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2480" tabRatio="945" activeTab="3"/>
  </bookViews>
  <sheets>
    <sheet name="SINAPI JULHO 2021" sheetId="39" r:id="rId1"/>
    <sheet name="QUANT" sheetId="44" r:id="rId2"/>
    <sheet name="1-RESUMO" sheetId="48" r:id="rId3"/>
    <sheet name="2-ORÇAMENTO" sheetId="41" r:id="rId4"/>
    <sheet name="3-CRONOGRAMA" sheetId="33" r:id="rId5"/>
    <sheet name="4-BDI" sheetId="45" r:id="rId6"/>
    <sheet name="5-COMP. PROPRIA" sheetId="43" r:id="rId7"/>
    <sheet name="6-CPUs" sheetId="63" r:id="rId8"/>
    <sheet name="7-ENCARGOS SOCIAIS" sheetId="62" r:id="rId9"/>
  </sheets>
  <externalReferences>
    <externalReference r:id="rId10"/>
    <externalReference r:id="rId11"/>
  </externalReferences>
  <definedNames>
    <definedName name="_Fill" localSheetId="8" hidden="1">#REF!</definedName>
    <definedName name="_Fill" hidden="1">#REF!</definedName>
    <definedName name="_xlnm._FilterDatabase" localSheetId="3" hidden="1">'2-ORÇAMENTO'!$D$1:$D$626</definedName>
    <definedName name="_xlnm._FilterDatabase" localSheetId="6" hidden="1">'5-COMP. PROPRIA'!$B$1:$I$931</definedName>
    <definedName name="_xlnm._FilterDatabase" localSheetId="1" hidden="1">QUANT!$B$1:$N$1049</definedName>
    <definedName name="_xlnm._FilterDatabase" localSheetId="0" hidden="1">'SINAPI JULHO 2021'!$E$1:$E$12002</definedName>
    <definedName name="_Key1" localSheetId="8" hidden="1">#REF!</definedName>
    <definedName name="_Key1" hidden="1">#REF!</definedName>
    <definedName name="_Key12" localSheetId="8" hidden="1">#REF!</definedName>
    <definedName name="_Key12" hidden="1">#REF!</definedName>
    <definedName name="_Key2" hidden="1">#REF!</definedName>
    <definedName name="_kkey1" hidden="1">#REF!</definedName>
    <definedName name="_Order1" hidden="1">255</definedName>
    <definedName name="_Order2" hidden="1">255</definedName>
    <definedName name="_Sort" hidden="1">#REF!</definedName>
    <definedName name="_Sort1" localSheetId="8" hidden="1">#REF!</definedName>
    <definedName name="_Sort1" hidden="1">#REF!</definedName>
    <definedName name="_Sort2" hidden="1">#REF!</definedName>
    <definedName name="ACRE" hidden="1">#REF!</definedName>
    <definedName name="ademir" localSheetId="8" hidden="1">{#N/A,#N/A,FALSE,"Cronograma";#N/A,#N/A,FALSE,"Cronogr. 2"}</definedName>
    <definedName name="ademir" hidden="1">{#N/A,#N/A,FALSE,"Cronograma";#N/A,#N/A,FALSE,"Cronogr. 2"}</definedName>
    <definedName name="_xlnm.Print_Area" localSheetId="2">'1-RESUMO'!$A$2:$AE$59</definedName>
    <definedName name="_xlnm.Print_Area" localSheetId="4">'3-CRONOGRAMA'!$B$2:$Q$59</definedName>
    <definedName name="_xlnm.Print_Area" localSheetId="5">'4-BDI'!$B$2:$D$49</definedName>
    <definedName name="_xlnm.Print_Area" localSheetId="6">'5-COMP. PROPRIA'!$B$2:$I$933</definedName>
    <definedName name="_xlnm.Print_Area" localSheetId="8">'7-ENCARGOS SOCIAIS'!$C$2:$M$58</definedName>
    <definedName name="_xlnm.Print_Area" localSheetId="1">QUANT!$B$2:$N$1045</definedName>
    <definedName name="_xlnm.Print_Area" localSheetId="0">'SINAPI JULHO 2021'!$A$1:$D$12144</definedName>
    <definedName name="armadura">[1]Plan2!$A$48:$A$50</definedName>
    <definedName name="bosta" localSheetId="8" hidden="1">{#N/A,#N/A,FALSE,"Cronograma";#N/A,#N/A,FALSE,"Cronogr. 2"}</definedName>
    <definedName name="bosta" hidden="1">{#N/A,#N/A,FALSE,"Cronograma";#N/A,#N/A,FALSE,"Cronogr. 2"}</definedName>
    <definedName name="CA´L" localSheetId="8" hidden="1">{#N/A,#N/A,FALSE,"Cronograma";#N/A,#N/A,FALSE,"Cronogr. 2"}</definedName>
    <definedName name="CA´L" hidden="1">{#N/A,#N/A,FALSE,"Cronograma";#N/A,#N/A,FALSE,"Cronogr. 2"}</definedName>
    <definedName name="caixapassagem">[1]Plan2!$A$25:$A$28</definedName>
    <definedName name="concorrentes" localSheetId="8"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d">[2]s1!$A$43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8" hidden="1">{#N/A,#N/A,FALSE,"Cronograma";#N/A,#N/A,FALSE,"Cronogr. 2"}</definedName>
    <definedName name="Popular" hidden="1">{#N/A,#N/A,FALSE,"Cronograma";#N/A,#N/A,FALSE,"Cronogr. 2"}</definedName>
    <definedName name="ralo">[1]Plan2!$A$30:$A$31</definedName>
    <definedName name="registro">[1]Plan2!$A$77:$A$78</definedName>
    <definedName name="rio" localSheetId="8" hidden="1">{#N/A,#N/A,FALSE,"Cronograma";#N/A,#N/A,FALSE,"Cronogr. 2"}</definedName>
    <definedName name="rio" hidden="1">{#N/A,#N/A,FALSE,"Cronograma";#N/A,#N/A,FALSE,"Cronogr. 2"}</definedName>
    <definedName name="SINAPI_AC" hidden="1">#REF!</definedName>
    <definedName name="ss" localSheetId="8"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8" hidden="1">{#N/A,#N/A,FALSE,"Cronograma";#N/A,#N/A,FALSE,"Cronogr. 2"}</definedName>
    <definedName name="wrn.Cronograma." hidden="1">{#N/A,#N/A,FALSE,"Cronograma";#N/A,#N/A,FALSE,"Cronogr. 2"}</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25725"/>
  <fileRecoveryPr autoRecover="0"/>
</workbook>
</file>

<file path=xl/calcChain.xml><?xml version="1.0" encoding="utf-8"?>
<calcChain xmlns="http://schemas.openxmlformats.org/spreadsheetml/2006/main">
  <c r="H26" i="33"/>
  <c r="N52"/>
  <c r="N50"/>
  <c r="N48"/>
  <c r="N46"/>
  <c r="N44"/>
  <c r="N42"/>
  <c r="N40"/>
  <c r="N38"/>
  <c r="N36"/>
  <c r="N34"/>
  <c r="N32"/>
  <c r="N30"/>
  <c r="N28"/>
  <c r="N26"/>
  <c r="N24"/>
  <c r="N22"/>
  <c r="N20"/>
  <c r="N18"/>
  <c r="N16"/>
  <c r="N14"/>
  <c r="B51" l="1"/>
  <c r="B49"/>
  <c r="B47"/>
  <c r="B45"/>
  <c r="B43"/>
  <c r="B41"/>
  <c r="B39"/>
  <c r="B37"/>
  <c r="B35"/>
  <c r="B33"/>
  <c r="B31"/>
  <c r="B29"/>
  <c r="B27"/>
  <c r="B25"/>
  <c r="B23"/>
  <c r="B21"/>
  <c r="B19"/>
  <c r="B17"/>
  <c r="B15"/>
  <c r="B13"/>
  <c r="B11"/>
  <c r="B43" i="48"/>
  <c r="C1032" i="44"/>
  <c r="H920" i="43"/>
  <c r="I920" s="1"/>
  <c r="F920"/>
  <c r="E920"/>
  <c r="H921"/>
  <c r="I921" s="1"/>
  <c r="F921"/>
  <c r="E921"/>
  <c r="C607" i="41"/>
  <c r="E607" s="1"/>
  <c r="D607"/>
  <c r="G607"/>
  <c r="C608"/>
  <c r="F608" s="1"/>
  <c r="D608"/>
  <c r="G608"/>
  <c r="C609"/>
  <c r="F609" s="1"/>
  <c r="D609"/>
  <c r="G609"/>
  <c r="E1034" i="44"/>
  <c r="G606" i="41"/>
  <c r="D606"/>
  <c r="C606"/>
  <c r="F606" s="1"/>
  <c r="E605"/>
  <c r="D604"/>
  <c r="G604"/>
  <c r="C1031" i="44"/>
  <c r="C604" i="41" s="1"/>
  <c r="H926" i="43"/>
  <c r="I926" s="1"/>
  <c r="F926"/>
  <c r="E926"/>
  <c r="I925"/>
  <c r="K18" i="44"/>
  <c r="H609" i="41" l="1"/>
  <c r="J609" s="1"/>
  <c r="H607"/>
  <c r="I919" i="43"/>
  <c r="E609" i="41"/>
  <c r="E608"/>
  <c r="F607"/>
  <c r="H608"/>
  <c r="H606"/>
  <c r="E606"/>
  <c r="I924" i="43"/>
  <c r="E610" i="41"/>
  <c r="D602"/>
  <c r="G602"/>
  <c r="D603"/>
  <c r="D611"/>
  <c r="G611"/>
  <c r="D612"/>
  <c r="G612"/>
  <c r="D613"/>
  <c r="G613"/>
  <c r="C596"/>
  <c r="D596"/>
  <c r="G596"/>
  <c r="C597"/>
  <c r="D597"/>
  <c r="G597"/>
  <c r="C586"/>
  <c r="D586"/>
  <c r="G586"/>
  <c r="C587"/>
  <c r="F587" s="1"/>
  <c r="D587"/>
  <c r="G587"/>
  <c r="C588"/>
  <c r="D588"/>
  <c r="G588"/>
  <c r="C589"/>
  <c r="D589"/>
  <c r="G589"/>
  <c r="C590"/>
  <c r="H590" s="1"/>
  <c r="D590"/>
  <c r="G590"/>
  <c r="C591"/>
  <c r="D591"/>
  <c r="G591"/>
  <c r="C592"/>
  <c r="F592" s="1"/>
  <c r="D592"/>
  <c r="G592"/>
  <c r="C593"/>
  <c r="E593" s="1"/>
  <c r="D593"/>
  <c r="G593"/>
  <c r="C594"/>
  <c r="D594"/>
  <c r="G594"/>
  <c r="C595"/>
  <c r="D595"/>
  <c r="G595"/>
  <c r="C585"/>
  <c r="E585" s="1"/>
  <c r="D585"/>
  <c r="G585"/>
  <c r="E583"/>
  <c r="D582"/>
  <c r="G582"/>
  <c r="C584"/>
  <c r="F584" s="1"/>
  <c r="D584"/>
  <c r="G584"/>
  <c r="E580"/>
  <c r="E575"/>
  <c r="C573"/>
  <c r="E573" s="1"/>
  <c r="D573"/>
  <c r="G573"/>
  <c r="C574"/>
  <c r="F574" s="1"/>
  <c r="D574"/>
  <c r="G574"/>
  <c r="D576"/>
  <c r="G576"/>
  <c r="D577"/>
  <c r="G577"/>
  <c r="D578"/>
  <c r="G578"/>
  <c r="C579"/>
  <c r="H579" s="1"/>
  <c r="D579"/>
  <c r="G579"/>
  <c r="C581"/>
  <c r="E581" s="1"/>
  <c r="D581"/>
  <c r="G581"/>
  <c r="E571"/>
  <c r="E555"/>
  <c r="E554"/>
  <c r="C549"/>
  <c r="E549" s="1"/>
  <c r="D549"/>
  <c r="G549"/>
  <c r="C550"/>
  <c r="F550" s="1"/>
  <c r="D550"/>
  <c r="G550"/>
  <c r="D551"/>
  <c r="G551"/>
  <c r="D552"/>
  <c r="G552"/>
  <c r="C553"/>
  <c r="H553" s="1"/>
  <c r="D553"/>
  <c r="G553"/>
  <c r="C556"/>
  <c r="H556" s="1"/>
  <c r="D556"/>
  <c r="G556"/>
  <c r="C557"/>
  <c r="H557" s="1"/>
  <c r="D557"/>
  <c r="G557"/>
  <c r="C558"/>
  <c r="H558" s="1"/>
  <c r="D558"/>
  <c r="G558"/>
  <c r="C559"/>
  <c r="F559" s="1"/>
  <c r="D559"/>
  <c r="G559"/>
  <c r="C560"/>
  <c r="H560" s="1"/>
  <c r="D560"/>
  <c r="G560"/>
  <c r="C561"/>
  <c r="H561" s="1"/>
  <c r="D561"/>
  <c r="G561"/>
  <c r="C562"/>
  <c r="H562" s="1"/>
  <c r="D562"/>
  <c r="G562"/>
  <c r="C563"/>
  <c r="H563" s="1"/>
  <c r="D563"/>
  <c r="G563"/>
  <c r="C564"/>
  <c r="H564" s="1"/>
  <c r="D564"/>
  <c r="G564"/>
  <c r="C565"/>
  <c r="H565" s="1"/>
  <c r="D565"/>
  <c r="G565"/>
  <c r="D566"/>
  <c r="G566"/>
  <c r="C567"/>
  <c r="F567" s="1"/>
  <c r="D567"/>
  <c r="G567"/>
  <c r="C568"/>
  <c r="H568" s="1"/>
  <c r="D568"/>
  <c r="G568"/>
  <c r="C569"/>
  <c r="H569" s="1"/>
  <c r="D569"/>
  <c r="G569"/>
  <c r="D570"/>
  <c r="G570"/>
  <c r="C572"/>
  <c r="E572" s="1"/>
  <c r="D572"/>
  <c r="G572"/>
  <c r="G548"/>
  <c r="D548"/>
  <c r="E547"/>
  <c r="E546"/>
  <c r="C47" i="33" s="1"/>
  <c r="C544" i="41"/>
  <c r="E544" s="1"/>
  <c r="D544"/>
  <c r="G544"/>
  <c r="D540"/>
  <c r="G540"/>
  <c r="D541"/>
  <c r="G541"/>
  <c r="D542"/>
  <c r="G542"/>
  <c r="D543"/>
  <c r="G543"/>
  <c r="E538"/>
  <c r="D539"/>
  <c r="G539"/>
  <c r="E535"/>
  <c r="E532"/>
  <c r="E530"/>
  <c r="C526"/>
  <c r="E526" s="1"/>
  <c r="D526"/>
  <c r="G526"/>
  <c r="D527"/>
  <c r="G527"/>
  <c r="D528"/>
  <c r="G528"/>
  <c r="D529"/>
  <c r="G529"/>
  <c r="C531"/>
  <c r="F531" s="1"/>
  <c r="D531"/>
  <c r="G531"/>
  <c r="D533"/>
  <c r="G533"/>
  <c r="D534"/>
  <c r="G534"/>
  <c r="C536"/>
  <c r="E536" s="1"/>
  <c r="D536"/>
  <c r="G536"/>
  <c r="C537"/>
  <c r="H537" s="1"/>
  <c r="D537"/>
  <c r="G537"/>
  <c r="G525"/>
  <c r="D525"/>
  <c r="C525"/>
  <c r="E524"/>
  <c r="E523"/>
  <c r="C45" i="33" s="1"/>
  <c r="C520" i="41"/>
  <c r="D520"/>
  <c r="G520"/>
  <c r="C521"/>
  <c r="F521" s="1"/>
  <c r="D521"/>
  <c r="G521"/>
  <c r="C516"/>
  <c r="D516"/>
  <c r="G516"/>
  <c r="C517"/>
  <c r="D517"/>
  <c r="G517"/>
  <c r="C518"/>
  <c r="H518" s="1"/>
  <c r="D518"/>
  <c r="G518"/>
  <c r="C519"/>
  <c r="D519"/>
  <c r="G519"/>
  <c r="C503"/>
  <c r="D503"/>
  <c r="G503"/>
  <c r="C504"/>
  <c r="D504"/>
  <c r="G504"/>
  <c r="C505"/>
  <c r="D505"/>
  <c r="G505"/>
  <c r="C506"/>
  <c r="H506" s="1"/>
  <c r="D506"/>
  <c r="G506"/>
  <c r="C507"/>
  <c r="E507" s="1"/>
  <c r="D507"/>
  <c r="G507"/>
  <c r="C508"/>
  <c r="D508"/>
  <c r="G508"/>
  <c r="C509"/>
  <c r="D509"/>
  <c r="G509"/>
  <c r="C510"/>
  <c r="D510"/>
  <c r="G510"/>
  <c r="C511"/>
  <c r="D511"/>
  <c r="G511"/>
  <c r="C512"/>
  <c r="D512"/>
  <c r="G512"/>
  <c r="C513"/>
  <c r="D513"/>
  <c r="G513"/>
  <c r="C514"/>
  <c r="D514"/>
  <c r="G514"/>
  <c r="C515"/>
  <c r="D515"/>
  <c r="G515"/>
  <c r="E499"/>
  <c r="C500"/>
  <c r="F500" s="1"/>
  <c r="D500"/>
  <c r="G500"/>
  <c r="C501"/>
  <c r="E501" s="1"/>
  <c r="D501"/>
  <c r="G501"/>
  <c r="C502"/>
  <c r="H502" s="1"/>
  <c r="D502"/>
  <c r="G502"/>
  <c r="E494"/>
  <c r="C484"/>
  <c r="D484"/>
  <c r="G484"/>
  <c r="C485"/>
  <c r="D485"/>
  <c r="G485"/>
  <c r="C486"/>
  <c r="D486"/>
  <c r="G486"/>
  <c r="C487"/>
  <c r="D487"/>
  <c r="G487"/>
  <c r="C488"/>
  <c r="D488"/>
  <c r="G488"/>
  <c r="C489"/>
  <c r="F489" s="1"/>
  <c r="D489"/>
  <c r="G489"/>
  <c r="C490"/>
  <c r="D490"/>
  <c r="G490"/>
  <c r="C491"/>
  <c r="D491"/>
  <c r="G491"/>
  <c r="C492"/>
  <c r="D492"/>
  <c r="G492"/>
  <c r="C493"/>
  <c r="D493"/>
  <c r="G493"/>
  <c r="C495"/>
  <c r="D495"/>
  <c r="G495"/>
  <c r="C496"/>
  <c r="D496"/>
  <c r="G496"/>
  <c r="C497"/>
  <c r="D497"/>
  <c r="G497"/>
  <c r="C498"/>
  <c r="D498"/>
  <c r="G498"/>
  <c r="C480"/>
  <c r="D480"/>
  <c r="G480"/>
  <c r="C481"/>
  <c r="D481"/>
  <c r="G481"/>
  <c r="C482"/>
  <c r="D482"/>
  <c r="G482"/>
  <c r="C483"/>
  <c r="D483"/>
  <c r="G483"/>
  <c r="C477"/>
  <c r="D477"/>
  <c r="G477"/>
  <c r="C478"/>
  <c r="D478"/>
  <c r="G478"/>
  <c r="C479"/>
  <c r="D479"/>
  <c r="G479"/>
  <c r="E470"/>
  <c r="E463"/>
  <c r="C460"/>
  <c r="D460"/>
  <c r="G460"/>
  <c r="C461"/>
  <c r="D461"/>
  <c r="G461"/>
  <c r="C462"/>
  <c r="D462"/>
  <c r="G462"/>
  <c r="C464"/>
  <c r="D464"/>
  <c r="G464"/>
  <c r="C465"/>
  <c r="F465" s="1"/>
  <c r="D465"/>
  <c r="G465"/>
  <c r="C466"/>
  <c r="H466" s="1"/>
  <c r="D466"/>
  <c r="G466"/>
  <c r="C467"/>
  <c r="D467"/>
  <c r="G467"/>
  <c r="C468"/>
  <c r="E468" s="1"/>
  <c r="D468"/>
  <c r="G468"/>
  <c r="C469"/>
  <c r="D469"/>
  <c r="G469"/>
  <c r="C471"/>
  <c r="D471"/>
  <c r="G471"/>
  <c r="C472"/>
  <c r="D472"/>
  <c r="G472"/>
  <c r="C473"/>
  <c r="D473"/>
  <c r="G473"/>
  <c r="C474"/>
  <c r="D474"/>
  <c r="G474"/>
  <c r="C475"/>
  <c r="D475"/>
  <c r="G475"/>
  <c r="C476"/>
  <c r="D476"/>
  <c r="G476"/>
  <c r="E458"/>
  <c r="C457"/>
  <c r="D457"/>
  <c r="G457"/>
  <c r="C459"/>
  <c r="D459"/>
  <c r="G459"/>
  <c r="C443"/>
  <c r="D443"/>
  <c r="G443"/>
  <c r="C444"/>
  <c r="D444"/>
  <c r="G444"/>
  <c r="C445"/>
  <c r="H445" s="1"/>
  <c r="D445"/>
  <c r="G445"/>
  <c r="C446"/>
  <c r="D446"/>
  <c r="G446"/>
  <c r="C447"/>
  <c r="D447"/>
  <c r="G447"/>
  <c r="C448"/>
  <c r="F448" s="1"/>
  <c r="D448"/>
  <c r="G448"/>
  <c r="C449"/>
  <c r="D449"/>
  <c r="G449"/>
  <c r="C450"/>
  <c r="D450"/>
  <c r="G450"/>
  <c r="C451"/>
  <c r="D451"/>
  <c r="G451"/>
  <c r="C452"/>
  <c r="F452" s="1"/>
  <c r="D452"/>
  <c r="G452"/>
  <c r="C453"/>
  <c r="F453" s="1"/>
  <c r="D453"/>
  <c r="G453"/>
  <c r="C454"/>
  <c r="D454"/>
  <c r="G454"/>
  <c r="C455"/>
  <c r="D455"/>
  <c r="G455"/>
  <c r="C456"/>
  <c r="D456"/>
  <c r="G456"/>
  <c r="C425"/>
  <c r="E425" s="1"/>
  <c r="D425"/>
  <c r="G425"/>
  <c r="C426"/>
  <c r="D426"/>
  <c r="G426"/>
  <c r="C427"/>
  <c r="D427"/>
  <c r="G427"/>
  <c r="C428"/>
  <c r="D428"/>
  <c r="G428"/>
  <c r="C429"/>
  <c r="D429"/>
  <c r="G429"/>
  <c r="C430"/>
  <c r="D430"/>
  <c r="G430"/>
  <c r="C431"/>
  <c r="D431"/>
  <c r="G431"/>
  <c r="C432"/>
  <c r="D432"/>
  <c r="G432"/>
  <c r="C433"/>
  <c r="D433"/>
  <c r="G433"/>
  <c r="C434"/>
  <c r="D434"/>
  <c r="G434"/>
  <c r="C435"/>
  <c r="D435"/>
  <c r="G435"/>
  <c r="C436"/>
  <c r="D436"/>
  <c r="G436"/>
  <c r="C437"/>
  <c r="H437" s="1"/>
  <c r="D437"/>
  <c r="G437"/>
  <c r="C438"/>
  <c r="D438"/>
  <c r="G438"/>
  <c r="C439"/>
  <c r="D439"/>
  <c r="G439"/>
  <c r="C440"/>
  <c r="D440"/>
  <c r="G440"/>
  <c r="C441"/>
  <c r="D441"/>
  <c r="G441"/>
  <c r="C442"/>
  <c r="D442"/>
  <c r="G442"/>
  <c r="G424"/>
  <c r="D424"/>
  <c r="C424"/>
  <c r="E423"/>
  <c r="E422"/>
  <c r="E412"/>
  <c r="C410"/>
  <c r="H410" s="1"/>
  <c r="D410"/>
  <c r="G410"/>
  <c r="C411"/>
  <c r="H411" s="1"/>
  <c r="D411"/>
  <c r="G411"/>
  <c r="C413"/>
  <c r="H413" s="1"/>
  <c r="D413"/>
  <c r="G413"/>
  <c r="C414"/>
  <c r="H414" s="1"/>
  <c r="D414"/>
  <c r="G414"/>
  <c r="C415"/>
  <c r="H415" s="1"/>
  <c r="D415"/>
  <c r="G415"/>
  <c r="C416"/>
  <c r="H416" s="1"/>
  <c r="D416"/>
  <c r="G416"/>
  <c r="C417"/>
  <c r="H417" s="1"/>
  <c r="D417"/>
  <c r="G417"/>
  <c r="C418"/>
  <c r="E418" s="1"/>
  <c r="D418"/>
  <c r="G418"/>
  <c r="C419"/>
  <c r="H419" s="1"/>
  <c r="D419"/>
  <c r="G419"/>
  <c r="C420"/>
  <c r="H420" s="1"/>
  <c r="D420"/>
  <c r="G420"/>
  <c r="E402"/>
  <c r="E397"/>
  <c r="E393"/>
  <c r="E388"/>
  <c r="E379"/>
  <c r="E363"/>
  <c r="C352"/>
  <c r="E352" s="1"/>
  <c r="D352"/>
  <c r="G352"/>
  <c r="C353"/>
  <c r="F353" s="1"/>
  <c r="D353"/>
  <c r="G353"/>
  <c r="C354"/>
  <c r="E354" s="1"/>
  <c r="D354"/>
  <c r="G354"/>
  <c r="C355"/>
  <c r="H355" s="1"/>
  <c r="D355"/>
  <c r="G355"/>
  <c r="C356"/>
  <c r="H356" s="1"/>
  <c r="D356"/>
  <c r="G356"/>
  <c r="C357"/>
  <c r="F357" s="1"/>
  <c r="D357"/>
  <c r="G357"/>
  <c r="C358"/>
  <c r="E358" s="1"/>
  <c r="D358"/>
  <c r="G358"/>
  <c r="C359"/>
  <c r="H359" s="1"/>
  <c r="D359"/>
  <c r="G359"/>
  <c r="C360"/>
  <c r="E360" s="1"/>
  <c r="D360"/>
  <c r="G360"/>
  <c r="D361"/>
  <c r="G361"/>
  <c r="D362"/>
  <c r="C364"/>
  <c r="E364" s="1"/>
  <c r="D364"/>
  <c r="G364"/>
  <c r="C365"/>
  <c r="F365" s="1"/>
  <c r="D365"/>
  <c r="G365"/>
  <c r="C366"/>
  <c r="E366" s="1"/>
  <c r="D366"/>
  <c r="G366"/>
  <c r="C367"/>
  <c r="H367" s="1"/>
  <c r="D367"/>
  <c r="G367"/>
  <c r="C368"/>
  <c r="E368" s="1"/>
  <c r="D368"/>
  <c r="G368"/>
  <c r="C369"/>
  <c r="F369" s="1"/>
  <c r="D369"/>
  <c r="G369"/>
  <c r="C370"/>
  <c r="E370" s="1"/>
  <c r="D370"/>
  <c r="G370"/>
  <c r="C371"/>
  <c r="H371" s="1"/>
  <c r="D371"/>
  <c r="G371"/>
  <c r="D372"/>
  <c r="G372"/>
  <c r="D373"/>
  <c r="G373"/>
  <c r="D374"/>
  <c r="G374"/>
  <c r="D375"/>
  <c r="G375"/>
  <c r="D376"/>
  <c r="G376"/>
  <c r="D377"/>
  <c r="G377"/>
  <c r="D378"/>
  <c r="G378"/>
  <c r="C380"/>
  <c r="H380" s="1"/>
  <c r="D380"/>
  <c r="G380"/>
  <c r="C381"/>
  <c r="F381" s="1"/>
  <c r="D381"/>
  <c r="G381"/>
  <c r="C382"/>
  <c r="E382" s="1"/>
  <c r="D382"/>
  <c r="G382"/>
  <c r="C383"/>
  <c r="H383" s="1"/>
  <c r="D383"/>
  <c r="G383"/>
  <c r="C384"/>
  <c r="H384" s="1"/>
  <c r="D384"/>
  <c r="G384"/>
  <c r="C385"/>
  <c r="F385" s="1"/>
  <c r="D385"/>
  <c r="G385"/>
  <c r="C386"/>
  <c r="E386" s="1"/>
  <c r="D386"/>
  <c r="G386"/>
  <c r="C387"/>
  <c r="H387" s="1"/>
  <c r="D387"/>
  <c r="G387"/>
  <c r="D389"/>
  <c r="G389"/>
  <c r="D390"/>
  <c r="G390"/>
  <c r="C391"/>
  <c r="H391" s="1"/>
  <c r="D391"/>
  <c r="G391"/>
  <c r="D392"/>
  <c r="G392"/>
  <c r="C394"/>
  <c r="E394" s="1"/>
  <c r="D394"/>
  <c r="G394"/>
  <c r="C395"/>
  <c r="H395" s="1"/>
  <c r="D395"/>
  <c r="G395"/>
  <c r="C396"/>
  <c r="D396"/>
  <c r="G396"/>
  <c r="C398"/>
  <c r="E398" s="1"/>
  <c r="D398"/>
  <c r="G398"/>
  <c r="C399"/>
  <c r="H399" s="1"/>
  <c r="D399"/>
  <c r="G399"/>
  <c r="C400"/>
  <c r="E400" s="1"/>
  <c r="D400"/>
  <c r="G400"/>
  <c r="C401"/>
  <c r="F401" s="1"/>
  <c r="D401"/>
  <c r="G401"/>
  <c r="C403"/>
  <c r="H403" s="1"/>
  <c r="D403"/>
  <c r="G403"/>
  <c r="C404"/>
  <c r="H404" s="1"/>
  <c r="D404"/>
  <c r="G404"/>
  <c r="C405"/>
  <c r="F405" s="1"/>
  <c r="D405"/>
  <c r="G405"/>
  <c r="C406"/>
  <c r="E406" s="1"/>
  <c r="D406"/>
  <c r="G406"/>
  <c r="C407"/>
  <c r="H407" s="1"/>
  <c r="D407"/>
  <c r="G407"/>
  <c r="C408"/>
  <c r="H408" s="1"/>
  <c r="D408"/>
  <c r="G408"/>
  <c r="C409"/>
  <c r="D409"/>
  <c r="G409"/>
  <c r="G351"/>
  <c r="D351"/>
  <c r="C351"/>
  <c r="H351" s="1"/>
  <c r="E350"/>
  <c r="C349"/>
  <c r="E349" s="1"/>
  <c r="D349"/>
  <c r="G349"/>
  <c r="C342"/>
  <c r="E342" s="1"/>
  <c r="D342"/>
  <c r="G342"/>
  <c r="C343"/>
  <c r="F343" s="1"/>
  <c r="D343"/>
  <c r="G343"/>
  <c r="C344"/>
  <c r="E344" s="1"/>
  <c r="D344"/>
  <c r="G344"/>
  <c r="C345"/>
  <c r="H345" s="1"/>
  <c r="D345"/>
  <c r="G345"/>
  <c r="C346"/>
  <c r="H346" s="1"/>
  <c r="D346"/>
  <c r="G346"/>
  <c r="C347"/>
  <c r="F347" s="1"/>
  <c r="D347"/>
  <c r="G347"/>
  <c r="C348"/>
  <c r="E348" s="1"/>
  <c r="D348"/>
  <c r="G348"/>
  <c r="E340"/>
  <c r="E339"/>
  <c r="C41" i="33" s="1"/>
  <c r="C326" i="41"/>
  <c r="E326" s="1"/>
  <c r="D326"/>
  <c r="G326"/>
  <c r="C327"/>
  <c r="F327" s="1"/>
  <c r="D327"/>
  <c r="G327"/>
  <c r="C328"/>
  <c r="E328" s="1"/>
  <c r="D328"/>
  <c r="G328"/>
  <c r="D329"/>
  <c r="G329"/>
  <c r="C330"/>
  <c r="E330" s="1"/>
  <c r="D330"/>
  <c r="G330"/>
  <c r="C331"/>
  <c r="F331" s="1"/>
  <c r="D331"/>
  <c r="G331"/>
  <c r="C332"/>
  <c r="H332" s="1"/>
  <c r="D332"/>
  <c r="G332"/>
  <c r="C333"/>
  <c r="H333" s="1"/>
  <c r="D333"/>
  <c r="G333"/>
  <c r="C334"/>
  <c r="E334" s="1"/>
  <c r="D334"/>
  <c r="G334"/>
  <c r="C335"/>
  <c r="F335" s="1"/>
  <c r="D335"/>
  <c r="G335"/>
  <c r="C336"/>
  <c r="H336" s="1"/>
  <c r="D336"/>
  <c r="G336"/>
  <c r="C337"/>
  <c r="H337" s="1"/>
  <c r="D337"/>
  <c r="G337"/>
  <c r="C314"/>
  <c r="H314" s="1"/>
  <c r="D314"/>
  <c r="G314"/>
  <c r="C315"/>
  <c r="F315" s="1"/>
  <c r="D315"/>
  <c r="G315"/>
  <c r="C316"/>
  <c r="E316" s="1"/>
  <c r="D316"/>
  <c r="G316"/>
  <c r="D317"/>
  <c r="G317"/>
  <c r="C318"/>
  <c r="E318" s="1"/>
  <c r="D318"/>
  <c r="G318"/>
  <c r="D319"/>
  <c r="C320"/>
  <c r="E320" s="1"/>
  <c r="D320"/>
  <c r="G320"/>
  <c r="C321"/>
  <c r="H321" s="1"/>
  <c r="D321"/>
  <c r="C322"/>
  <c r="F322" s="1"/>
  <c r="D322"/>
  <c r="G322"/>
  <c r="C323"/>
  <c r="F323" s="1"/>
  <c r="D323"/>
  <c r="C324"/>
  <c r="E324" s="1"/>
  <c r="D324"/>
  <c r="G324"/>
  <c r="C325"/>
  <c r="H325" s="1"/>
  <c r="D325"/>
  <c r="G325"/>
  <c r="E312"/>
  <c r="C308"/>
  <c r="E308" s="1"/>
  <c r="D308"/>
  <c r="G308"/>
  <c r="D309"/>
  <c r="G309"/>
  <c r="D310"/>
  <c r="G310"/>
  <c r="D311"/>
  <c r="G311"/>
  <c r="C261"/>
  <c r="E261" s="1"/>
  <c r="D261"/>
  <c r="G261"/>
  <c r="C262"/>
  <c r="F262" s="1"/>
  <c r="D262"/>
  <c r="G262"/>
  <c r="C263"/>
  <c r="F263" s="1"/>
  <c r="D263"/>
  <c r="G263"/>
  <c r="C264"/>
  <c r="H264" s="1"/>
  <c r="D264"/>
  <c r="G264"/>
  <c r="C265"/>
  <c r="E265" s="1"/>
  <c r="D265"/>
  <c r="G265"/>
  <c r="C266"/>
  <c r="F266" s="1"/>
  <c r="D266"/>
  <c r="G266"/>
  <c r="C267"/>
  <c r="F267" s="1"/>
  <c r="D267"/>
  <c r="G267"/>
  <c r="C268"/>
  <c r="H268" s="1"/>
  <c r="D268"/>
  <c r="G268"/>
  <c r="C269"/>
  <c r="E269" s="1"/>
  <c r="D269"/>
  <c r="G269"/>
  <c r="C270"/>
  <c r="F270" s="1"/>
  <c r="D270"/>
  <c r="G270"/>
  <c r="C271"/>
  <c r="H271" s="1"/>
  <c r="D271"/>
  <c r="G271"/>
  <c r="C272"/>
  <c r="H272" s="1"/>
  <c r="D272"/>
  <c r="G272"/>
  <c r="C273"/>
  <c r="E273" s="1"/>
  <c r="D273"/>
  <c r="G273"/>
  <c r="C274"/>
  <c r="F274" s="1"/>
  <c r="D274"/>
  <c r="G274"/>
  <c r="C275"/>
  <c r="H275" s="1"/>
  <c r="D275"/>
  <c r="G275"/>
  <c r="C276"/>
  <c r="H276" s="1"/>
  <c r="D276"/>
  <c r="G276"/>
  <c r="C277"/>
  <c r="H277" s="1"/>
  <c r="D277"/>
  <c r="G277"/>
  <c r="C278"/>
  <c r="H278" s="1"/>
  <c r="D278"/>
  <c r="G278"/>
  <c r="C279"/>
  <c r="H279" s="1"/>
  <c r="D279"/>
  <c r="G279"/>
  <c r="C280"/>
  <c r="H280" s="1"/>
  <c r="D280"/>
  <c r="G280"/>
  <c r="C281"/>
  <c r="H281" s="1"/>
  <c r="D281"/>
  <c r="G281"/>
  <c r="C282"/>
  <c r="H282" s="1"/>
  <c r="D282"/>
  <c r="G282"/>
  <c r="C283"/>
  <c r="H283" s="1"/>
  <c r="D283"/>
  <c r="G283"/>
  <c r="C284"/>
  <c r="H284" s="1"/>
  <c r="D284"/>
  <c r="G284"/>
  <c r="C285"/>
  <c r="H285" s="1"/>
  <c r="D285"/>
  <c r="G285"/>
  <c r="C286"/>
  <c r="H286" s="1"/>
  <c r="D286"/>
  <c r="G286"/>
  <c r="C287"/>
  <c r="H287" s="1"/>
  <c r="D287"/>
  <c r="G287"/>
  <c r="C288"/>
  <c r="H288" s="1"/>
  <c r="D288"/>
  <c r="G288"/>
  <c r="C289"/>
  <c r="H289" s="1"/>
  <c r="D289"/>
  <c r="G289"/>
  <c r="C290"/>
  <c r="H290" s="1"/>
  <c r="D290"/>
  <c r="G290"/>
  <c r="C291"/>
  <c r="H291" s="1"/>
  <c r="D291"/>
  <c r="G291"/>
  <c r="C292"/>
  <c r="H292" s="1"/>
  <c r="D292"/>
  <c r="G292"/>
  <c r="C293"/>
  <c r="H293" s="1"/>
  <c r="D293"/>
  <c r="G293"/>
  <c r="C294"/>
  <c r="H294" s="1"/>
  <c r="D294"/>
  <c r="G294"/>
  <c r="C295"/>
  <c r="H295" s="1"/>
  <c r="D295"/>
  <c r="G295"/>
  <c r="C296"/>
  <c r="H296" s="1"/>
  <c r="D296"/>
  <c r="G296"/>
  <c r="C297"/>
  <c r="H297" s="1"/>
  <c r="D297"/>
  <c r="G297"/>
  <c r="C298"/>
  <c r="H298" s="1"/>
  <c r="D298"/>
  <c r="G298"/>
  <c r="C299"/>
  <c r="H299" s="1"/>
  <c r="D299"/>
  <c r="G299"/>
  <c r="C300"/>
  <c r="H300" s="1"/>
  <c r="D300"/>
  <c r="G300"/>
  <c r="C301"/>
  <c r="H301" s="1"/>
  <c r="D301"/>
  <c r="G301"/>
  <c r="C302"/>
  <c r="H302" s="1"/>
  <c r="D302"/>
  <c r="G302"/>
  <c r="C303"/>
  <c r="H303" s="1"/>
  <c r="D303"/>
  <c r="G303"/>
  <c r="C304"/>
  <c r="H304" s="1"/>
  <c r="D304"/>
  <c r="G304"/>
  <c r="C305"/>
  <c r="H305" s="1"/>
  <c r="D305"/>
  <c r="G305"/>
  <c r="C306"/>
  <c r="H306" s="1"/>
  <c r="D306"/>
  <c r="G306"/>
  <c r="C307"/>
  <c r="H307" s="1"/>
  <c r="D307"/>
  <c r="G307"/>
  <c r="C253"/>
  <c r="E253" s="1"/>
  <c r="D253"/>
  <c r="G253"/>
  <c r="C254"/>
  <c r="F254" s="1"/>
  <c r="D254"/>
  <c r="G254"/>
  <c r="C255"/>
  <c r="E255" s="1"/>
  <c r="D255"/>
  <c r="G255"/>
  <c r="C256"/>
  <c r="H256" s="1"/>
  <c r="D256"/>
  <c r="G256"/>
  <c r="C257"/>
  <c r="E257" s="1"/>
  <c r="D257"/>
  <c r="G257"/>
  <c r="C258"/>
  <c r="F258" s="1"/>
  <c r="D258"/>
  <c r="G258"/>
  <c r="C224"/>
  <c r="E224" s="1"/>
  <c r="D224"/>
  <c r="G224"/>
  <c r="C225"/>
  <c r="F225" s="1"/>
  <c r="D225"/>
  <c r="G225"/>
  <c r="C226"/>
  <c r="E226" s="1"/>
  <c r="D226"/>
  <c r="G226"/>
  <c r="C227"/>
  <c r="H227" s="1"/>
  <c r="D227"/>
  <c r="G227"/>
  <c r="C228"/>
  <c r="E228" s="1"/>
  <c r="D228"/>
  <c r="G228"/>
  <c r="C229"/>
  <c r="F229" s="1"/>
  <c r="D229"/>
  <c r="G229"/>
  <c r="C230"/>
  <c r="E230" s="1"/>
  <c r="D230"/>
  <c r="G230"/>
  <c r="C231"/>
  <c r="H231" s="1"/>
  <c r="D231"/>
  <c r="G231"/>
  <c r="C232"/>
  <c r="H232" s="1"/>
  <c r="D232"/>
  <c r="G232"/>
  <c r="C233"/>
  <c r="F233" s="1"/>
  <c r="D233"/>
  <c r="G233"/>
  <c r="C234"/>
  <c r="E234" s="1"/>
  <c r="D234"/>
  <c r="G234"/>
  <c r="C235"/>
  <c r="H235" s="1"/>
  <c r="D235"/>
  <c r="G235"/>
  <c r="C236"/>
  <c r="H236" s="1"/>
  <c r="D236"/>
  <c r="G236"/>
  <c r="C237"/>
  <c r="F237" s="1"/>
  <c r="D237"/>
  <c r="G237"/>
  <c r="C238"/>
  <c r="E238" s="1"/>
  <c r="D238"/>
  <c r="G238"/>
  <c r="C239"/>
  <c r="H239" s="1"/>
  <c r="D239"/>
  <c r="G239"/>
  <c r="C240"/>
  <c r="H240" s="1"/>
  <c r="D240"/>
  <c r="G240"/>
  <c r="C241"/>
  <c r="F241" s="1"/>
  <c r="D241"/>
  <c r="G241"/>
  <c r="C242"/>
  <c r="E242" s="1"/>
  <c r="D242"/>
  <c r="G242"/>
  <c r="C243"/>
  <c r="H243" s="1"/>
  <c r="D243"/>
  <c r="G243"/>
  <c r="C244"/>
  <c r="E244" s="1"/>
  <c r="D244"/>
  <c r="G244"/>
  <c r="C245"/>
  <c r="F245" s="1"/>
  <c r="D245"/>
  <c r="G245"/>
  <c r="C246"/>
  <c r="E246" s="1"/>
  <c r="D246"/>
  <c r="G246"/>
  <c r="C247"/>
  <c r="H247" s="1"/>
  <c r="D247"/>
  <c r="G247"/>
  <c r="C248"/>
  <c r="F248" s="1"/>
  <c r="D248"/>
  <c r="G248"/>
  <c r="C249"/>
  <c r="F249" s="1"/>
  <c r="D249"/>
  <c r="G249"/>
  <c r="C250"/>
  <c r="E250" s="1"/>
  <c r="D250"/>
  <c r="G250"/>
  <c r="C251"/>
  <c r="H251" s="1"/>
  <c r="D251"/>
  <c r="G251"/>
  <c r="C252"/>
  <c r="H252" s="1"/>
  <c r="D252"/>
  <c r="G252"/>
  <c r="C218"/>
  <c r="E218" s="1"/>
  <c r="D218"/>
  <c r="D219"/>
  <c r="G214"/>
  <c r="C211"/>
  <c r="H211" s="1"/>
  <c r="D211"/>
  <c r="D212"/>
  <c r="C213"/>
  <c r="E213" s="1"/>
  <c r="D213"/>
  <c r="D214"/>
  <c r="C216"/>
  <c r="F216" s="1"/>
  <c r="D216"/>
  <c r="C217"/>
  <c r="E217" s="1"/>
  <c r="D217"/>
  <c r="D210"/>
  <c r="C210"/>
  <c r="E208"/>
  <c r="C37" i="33" s="1"/>
  <c r="C204" i="41"/>
  <c r="E204" s="1"/>
  <c r="D204"/>
  <c r="C205"/>
  <c r="F205" s="1"/>
  <c r="D205"/>
  <c r="C206"/>
  <c r="F206" s="1"/>
  <c r="D206"/>
  <c r="D203"/>
  <c r="C203"/>
  <c r="F203" s="1"/>
  <c r="C197"/>
  <c r="E197" s="1"/>
  <c r="D197"/>
  <c r="C198"/>
  <c r="F198" s="1"/>
  <c r="D198"/>
  <c r="C199"/>
  <c r="H199" s="1"/>
  <c r="D199"/>
  <c r="C200"/>
  <c r="H200" s="1"/>
  <c r="D200"/>
  <c r="G200"/>
  <c r="C201"/>
  <c r="H201" s="1"/>
  <c r="D201"/>
  <c r="G201"/>
  <c r="E202"/>
  <c r="D192"/>
  <c r="D193"/>
  <c r="C194"/>
  <c r="H194" s="1"/>
  <c r="D194"/>
  <c r="C195"/>
  <c r="E195" s="1"/>
  <c r="D195"/>
  <c r="C196"/>
  <c r="F196" s="1"/>
  <c r="D196"/>
  <c r="C189"/>
  <c r="E189" s="1"/>
  <c r="D189"/>
  <c r="C190"/>
  <c r="F190" s="1"/>
  <c r="D190"/>
  <c r="C191"/>
  <c r="F191" s="1"/>
  <c r="D191"/>
  <c r="C188"/>
  <c r="E188" s="1"/>
  <c r="D188"/>
  <c r="G188"/>
  <c r="E187"/>
  <c r="E186"/>
  <c r="C35" i="33" s="1"/>
  <c r="C181" i="41"/>
  <c r="H181" s="1"/>
  <c r="D181"/>
  <c r="C182"/>
  <c r="F182" s="1"/>
  <c r="D182"/>
  <c r="C183"/>
  <c r="H183" s="1"/>
  <c r="D183"/>
  <c r="C184"/>
  <c r="F184" s="1"/>
  <c r="D184"/>
  <c r="C180"/>
  <c r="H180" s="1"/>
  <c r="D180"/>
  <c r="D179"/>
  <c r="C179"/>
  <c r="F179" s="1"/>
  <c r="E178"/>
  <c r="C33" i="33" s="1"/>
  <c r="D174" i="41"/>
  <c r="D175"/>
  <c r="C176"/>
  <c r="F176" s="1"/>
  <c r="D176"/>
  <c r="D173"/>
  <c r="C173"/>
  <c r="F173" s="1"/>
  <c r="E172"/>
  <c r="C31" i="33" s="1"/>
  <c r="B23" i="48"/>
  <c r="B21"/>
  <c r="B19"/>
  <c r="D170" i="41"/>
  <c r="C161"/>
  <c r="H161" s="1"/>
  <c r="D161"/>
  <c r="C162"/>
  <c r="D162"/>
  <c r="C163"/>
  <c r="D163"/>
  <c r="C164"/>
  <c r="F164" s="1"/>
  <c r="D164"/>
  <c r="D165"/>
  <c r="C166"/>
  <c r="D166"/>
  <c r="C167"/>
  <c r="E167" s="1"/>
  <c r="D167"/>
  <c r="C168"/>
  <c r="D168"/>
  <c r="C169"/>
  <c r="D169"/>
  <c r="D160"/>
  <c r="C160"/>
  <c r="H160" s="1"/>
  <c r="E155"/>
  <c r="C141"/>
  <c r="E141" s="1"/>
  <c r="D141"/>
  <c r="G141"/>
  <c r="C142"/>
  <c r="F142" s="1"/>
  <c r="D142"/>
  <c r="G142"/>
  <c r="C143"/>
  <c r="H143" s="1"/>
  <c r="D143"/>
  <c r="G143"/>
  <c r="C144"/>
  <c r="H144" s="1"/>
  <c r="D144"/>
  <c r="G144"/>
  <c r="C145"/>
  <c r="E145" s="1"/>
  <c r="D145"/>
  <c r="G145"/>
  <c r="C146"/>
  <c r="F146" s="1"/>
  <c r="D146"/>
  <c r="G146"/>
  <c r="C147"/>
  <c r="H147" s="1"/>
  <c r="D147"/>
  <c r="G147"/>
  <c r="C148"/>
  <c r="H148" s="1"/>
  <c r="D148"/>
  <c r="C149"/>
  <c r="E149" s="1"/>
  <c r="D149"/>
  <c r="C150"/>
  <c r="F150" s="1"/>
  <c r="D150"/>
  <c r="C151"/>
  <c r="H151" s="1"/>
  <c r="D151"/>
  <c r="C152"/>
  <c r="H152" s="1"/>
  <c r="D152"/>
  <c r="D153"/>
  <c r="C154"/>
  <c r="F154" s="1"/>
  <c r="D154"/>
  <c r="C156"/>
  <c r="H156" s="1"/>
  <c r="D156"/>
  <c r="C157"/>
  <c r="H157" s="1"/>
  <c r="D157"/>
  <c r="G140"/>
  <c r="D140"/>
  <c r="C140"/>
  <c r="F140" s="1"/>
  <c r="E139"/>
  <c r="E138"/>
  <c r="C27" i="33" s="1"/>
  <c r="C134" i="41"/>
  <c r="D134"/>
  <c r="C135"/>
  <c r="E135" s="1"/>
  <c r="D135"/>
  <c r="C136"/>
  <c r="H136" s="1"/>
  <c r="D136"/>
  <c r="C130"/>
  <c r="D130"/>
  <c r="C131"/>
  <c r="D131"/>
  <c r="C132"/>
  <c r="D132"/>
  <c r="C133"/>
  <c r="D133"/>
  <c r="D129"/>
  <c r="C129"/>
  <c r="F129" s="1"/>
  <c r="E128"/>
  <c r="C25" i="33" s="1"/>
  <c r="E115" i="41"/>
  <c r="E104"/>
  <c r="D126"/>
  <c r="C126"/>
  <c r="E125"/>
  <c r="C122"/>
  <c r="E122" s="1"/>
  <c r="D122"/>
  <c r="G122"/>
  <c r="C123"/>
  <c r="F123" s="1"/>
  <c r="D123"/>
  <c r="G123"/>
  <c r="C118"/>
  <c r="E118" s="1"/>
  <c r="D118"/>
  <c r="G118"/>
  <c r="C119"/>
  <c r="F119" s="1"/>
  <c r="D119"/>
  <c r="G119"/>
  <c r="C120"/>
  <c r="E120" s="1"/>
  <c r="D120"/>
  <c r="G120"/>
  <c r="C121"/>
  <c r="H121" s="1"/>
  <c r="D121"/>
  <c r="G121"/>
  <c r="C107"/>
  <c r="F107" s="1"/>
  <c r="D107"/>
  <c r="D108"/>
  <c r="C109"/>
  <c r="E109" s="1"/>
  <c r="D109"/>
  <c r="C110"/>
  <c r="H110" s="1"/>
  <c r="D110"/>
  <c r="C111"/>
  <c r="E111" s="1"/>
  <c r="D111"/>
  <c r="C112"/>
  <c r="F112" s="1"/>
  <c r="D112"/>
  <c r="G112"/>
  <c r="C113"/>
  <c r="E113" s="1"/>
  <c r="D113"/>
  <c r="C114"/>
  <c r="H114" s="1"/>
  <c r="D114"/>
  <c r="C116"/>
  <c r="F116" s="1"/>
  <c r="D116"/>
  <c r="G116"/>
  <c r="C117"/>
  <c r="E117" s="1"/>
  <c r="D117"/>
  <c r="G117"/>
  <c r="D106"/>
  <c r="C106"/>
  <c r="D105"/>
  <c r="C105"/>
  <c r="E103"/>
  <c r="E100"/>
  <c r="C96"/>
  <c r="F96" s="1"/>
  <c r="D96"/>
  <c r="G96"/>
  <c r="C97"/>
  <c r="F97" s="1"/>
  <c r="D97"/>
  <c r="G97"/>
  <c r="C98"/>
  <c r="E98" s="1"/>
  <c r="D98"/>
  <c r="G98"/>
  <c r="D99"/>
  <c r="G99"/>
  <c r="C101"/>
  <c r="E101" s="1"/>
  <c r="D101"/>
  <c r="G95"/>
  <c r="D95"/>
  <c r="C95"/>
  <c r="F95" s="1"/>
  <c r="E94"/>
  <c r="C89"/>
  <c r="E89" s="1"/>
  <c r="D89"/>
  <c r="G89"/>
  <c r="C90"/>
  <c r="F90" s="1"/>
  <c r="D90"/>
  <c r="G90"/>
  <c r="C91"/>
  <c r="H91" s="1"/>
  <c r="D91"/>
  <c r="G91"/>
  <c r="C92"/>
  <c r="H92" s="1"/>
  <c r="D92"/>
  <c r="G92"/>
  <c r="C93"/>
  <c r="E93" s="1"/>
  <c r="D93"/>
  <c r="G93"/>
  <c r="G88"/>
  <c r="D88"/>
  <c r="C88"/>
  <c r="F88" s="1"/>
  <c r="E87"/>
  <c r="E77"/>
  <c r="C86"/>
  <c r="E86" s="1"/>
  <c r="D86"/>
  <c r="G86"/>
  <c r="C79"/>
  <c r="E79" s="1"/>
  <c r="D79"/>
  <c r="G79"/>
  <c r="C80"/>
  <c r="F80" s="1"/>
  <c r="D80"/>
  <c r="G80"/>
  <c r="C81"/>
  <c r="H81" s="1"/>
  <c r="D81"/>
  <c r="G81"/>
  <c r="C82"/>
  <c r="H82" s="1"/>
  <c r="D82"/>
  <c r="G82"/>
  <c r="C83"/>
  <c r="E83" s="1"/>
  <c r="D83"/>
  <c r="G83"/>
  <c r="C84"/>
  <c r="F84" s="1"/>
  <c r="D84"/>
  <c r="G84"/>
  <c r="C85"/>
  <c r="F85" s="1"/>
  <c r="D85"/>
  <c r="G85"/>
  <c r="G78"/>
  <c r="D78"/>
  <c r="C78"/>
  <c r="F78" s="1"/>
  <c r="C76"/>
  <c r="H76" s="1"/>
  <c r="D76"/>
  <c r="G76"/>
  <c r="C72"/>
  <c r="E72" s="1"/>
  <c r="D72"/>
  <c r="C73"/>
  <c r="H73" s="1"/>
  <c r="D73"/>
  <c r="C74"/>
  <c r="H74" s="1"/>
  <c r="D74"/>
  <c r="C75"/>
  <c r="H75" s="1"/>
  <c r="D75"/>
  <c r="G71"/>
  <c r="D71"/>
  <c r="C71"/>
  <c r="F71" s="1"/>
  <c r="E70"/>
  <c r="E69"/>
  <c r="E63"/>
  <c r="E58"/>
  <c r="E57"/>
  <c r="E56"/>
  <c r="C59"/>
  <c r="H59" s="1"/>
  <c r="D59"/>
  <c r="C60"/>
  <c r="F60" s="1"/>
  <c r="D60"/>
  <c r="G60"/>
  <c r="C61"/>
  <c r="E61" s="1"/>
  <c r="D61"/>
  <c r="G61"/>
  <c r="C62"/>
  <c r="H62" s="1"/>
  <c r="D62"/>
  <c r="C64"/>
  <c r="H64" s="1"/>
  <c r="D64"/>
  <c r="D65"/>
  <c r="G65"/>
  <c r="C66"/>
  <c r="F66" s="1"/>
  <c r="D66"/>
  <c r="G66"/>
  <c r="C67"/>
  <c r="E67" s="1"/>
  <c r="D67"/>
  <c r="G67"/>
  <c r="C68"/>
  <c r="H68" s="1"/>
  <c r="D68"/>
  <c r="D54"/>
  <c r="C54"/>
  <c r="H54" s="1"/>
  <c r="E53"/>
  <c r="C51"/>
  <c r="E51" s="1"/>
  <c r="D51"/>
  <c r="E52"/>
  <c r="C46"/>
  <c r="F46" s="1"/>
  <c r="D46"/>
  <c r="G46"/>
  <c r="C47"/>
  <c r="H47" s="1"/>
  <c r="D47"/>
  <c r="G47"/>
  <c r="C48"/>
  <c r="H48" s="1"/>
  <c r="D48"/>
  <c r="G48"/>
  <c r="C49"/>
  <c r="H49" s="1"/>
  <c r="D49"/>
  <c r="G49"/>
  <c r="C50"/>
  <c r="F50" s="1"/>
  <c r="D50"/>
  <c r="D43"/>
  <c r="C43"/>
  <c r="H43" s="1"/>
  <c r="C39"/>
  <c r="E39" s="1"/>
  <c r="D39"/>
  <c r="C40"/>
  <c r="H40" s="1"/>
  <c r="D40"/>
  <c r="C37"/>
  <c r="E37" s="1"/>
  <c r="D37"/>
  <c r="G26"/>
  <c r="D28"/>
  <c r="C28"/>
  <c r="F28" s="1"/>
  <c r="D27"/>
  <c r="C27"/>
  <c r="F27" s="1"/>
  <c r="D26"/>
  <c r="C26"/>
  <c r="E26" s="1"/>
  <c r="D25"/>
  <c r="C25"/>
  <c r="D24"/>
  <c r="C24"/>
  <c r="K32" i="44"/>
  <c r="C19" i="41"/>
  <c r="E19" s="1"/>
  <c r="D19"/>
  <c r="G19"/>
  <c r="D20"/>
  <c r="G20"/>
  <c r="D21"/>
  <c r="C617" i="44"/>
  <c r="C192" i="41" s="1"/>
  <c r="H147" i="43"/>
  <c r="I147" s="1"/>
  <c r="F147"/>
  <c r="E147"/>
  <c r="H146"/>
  <c r="I146" s="1"/>
  <c r="F146"/>
  <c r="E146"/>
  <c r="H145"/>
  <c r="I145" s="1"/>
  <c r="F145"/>
  <c r="E145"/>
  <c r="C35" i="44"/>
  <c r="C21" i="41" s="1"/>
  <c r="H30" i="43"/>
  <c r="I30" s="1"/>
  <c r="F30"/>
  <c r="E30"/>
  <c r="E29"/>
  <c r="F29"/>
  <c r="H29"/>
  <c r="I29" s="1"/>
  <c r="H28"/>
  <c r="I28" s="1"/>
  <c r="F28"/>
  <c r="E28"/>
  <c r="H27"/>
  <c r="I27" s="1"/>
  <c r="F27"/>
  <c r="E27"/>
  <c r="E16" i="44"/>
  <c r="E23" s="1"/>
  <c r="E24" s="1"/>
  <c r="K35" s="1"/>
  <c r="G21" i="41" s="1"/>
  <c r="H916" i="43"/>
  <c r="I916" s="1"/>
  <c r="C1041" i="44"/>
  <c r="C613" i="41" s="1"/>
  <c r="C1040" i="44"/>
  <c r="C612" i="41" s="1"/>
  <c r="C1039" i="44"/>
  <c r="C611" i="41" s="1"/>
  <c r="H917" i="43"/>
  <c r="I917" s="1"/>
  <c r="F917"/>
  <c r="E917"/>
  <c r="H915"/>
  <c r="I915" s="1"/>
  <c r="F915"/>
  <c r="E915"/>
  <c r="H912"/>
  <c r="I912" s="1"/>
  <c r="F912"/>
  <c r="E912"/>
  <c r="H911"/>
  <c r="I911" s="1"/>
  <c r="F911"/>
  <c r="E911"/>
  <c r="K1030" i="44"/>
  <c r="G603" i="41" s="1"/>
  <c r="C23" i="48" l="1"/>
  <c r="C23" i="33"/>
  <c r="C19" i="48"/>
  <c r="C19" i="33"/>
  <c r="C43"/>
  <c r="C43" i="48"/>
  <c r="C21"/>
  <c r="C21" i="33"/>
  <c r="H567" i="41"/>
  <c r="J567" s="1"/>
  <c r="J607"/>
  <c r="E558"/>
  <c r="F557"/>
  <c r="E567"/>
  <c r="J608"/>
  <c r="F558"/>
  <c r="J606"/>
  <c r="H592"/>
  <c r="E592"/>
  <c r="H544"/>
  <c r="J544" s="1"/>
  <c r="H585"/>
  <c r="E584"/>
  <c r="H559"/>
  <c r="H573"/>
  <c r="H593"/>
  <c r="H581"/>
  <c r="F585"/>
  <c r="F544"/>
  <c r="E559"/>
  <c r="J556"/>
  <c r="F553"/>
  <c r="F573"/>
  <c r="H572"/>
  <c r="H549"/>
  <c r="H584"/>
  <c r="J564"/>
  <c r="F563"/>
  <c r="E550"/>
  <c r="F565"/>
  <c r="F581"/>
  <c r="F579"/>
  <c r="E563"/>
  <c r="F562"/>
  <c r="E579"/>
  <c r="E587"/>
  <c r="F569"/>
  <c r="E562"/>
  <c r="F561"/>
  <c r="F549"/>
  <c r="E574"/>
  <c r="J590"/>
  <c r="F593"/>
  <c r="E590"/>
  <c r="H587"/>
  <c r="F590"/>
  <c r="H574"/>
  <c r="J579"/>
  <c r="J553"/>
  <c r="J568"/>
  <c r="J560"/>
  <c r="J569"/>
  <c r="J561"/>
  <c r="J565"/>
  <c r="J558"/>
  <c r="J557"/>
  <c r="J562"/>
  <c r="F572"/>
  <c r="E569"/>
  <c r="F568"/>
  <c r="E565"/>
  <c r="F564"/>
  <c r="E561"/>
  <c r="F560"/>
  <c r="E557"/>
  <c r="F556"/>
  <c r="E553"/>
  <c r="H550"/>
  <c r="E568"/>
  <c r="E564"/>
  <c r="J563"/>
  <c r="E560"/>
  <c r="E556"/>
  <c r="H526"/>
  <c r="H531"/>
  <c r="H468"/>
  <c r="H536"/>
  <c r="F526"/>
  <c r="H501"/>
  <c r="H507"/>
  <c r="E531"/>
  <c r="J537"/>
  <c r="F537"/>
  <c r="E537"/>
  <c r="F536"/>
  <c r="H425"/>
  <c r="F468"/>
  <c r="E489"/>
  <c r="F501"/>
  <c r="E500"/>
  <c r="H521"/>
  <c r="J502"/>
  <c r="J506"/>
  <c r="F518"/>
  <c r="E521"/>
  <c r="F507"/>
  <c r="E518"/>
  <c r="J518"/>
  <c r="F506"/>
  <c r="E506"/>
  <c r="F502"/>
  <c r="H500"/>
  <c r="E502"/>
  <c r="E466"/>
  <c r="E465"/>
  <c r="H489"/>
  <c r="F466"/>
  <c r="F425"/>
  <c r="H366"/>
  <c r="H465"/>
  <c r="J466"/>
  <c r="H360"/>
  <c r="E453"/>
  <c r="E452"/>
  <c r="J399"/>
  <c r="J351"/>
  <c r="J367"/>
  <c r="E411"/>
  <c r="H453"/>
  <c r="F445"/>
  <c r="J410"/>
  <c r="F437"/>
  <c r="E445"/>
  <c r="E448"/>
  <c r="H452"/>
  <c r="H448"/>
  <c r="J445"/>
  <c r="J437"/>
  <c r="E437"/>
  <c r="E415"/>
  <c r="F399"/>
  <c r="H398"/>
  <c r="J391"/>
  <c r="H385"/>
  <c r="F410"/>
  <c r="E399"/>
  <c r="E391"/>
  <c r="H353"/>
  <c r="H352"/>
  <c r="H418"/>
  <c r="F416"/>
  <c r="E410"/>
  <c r="E416"/>
  <c r="F415"/>
  <c r="F413"/>
  <c r="F411"/>
  <c r="J411"/>
  <c r="E351"/>
  <c r="J407"/>
  <c r="H406"/>
  <c r="J387"/>
  <c r="E385"/>
  <c r="F384"/>
  <c r="J383"/>
  <c r="H382"/>
  <c r="F417"/>
  <c r="E413"/>
  <c r="E407"/>
  <c r="E384"/>
  <c r="H369"/>
  <c r="H368"/>
  <c r="J359"/>
  <c r="E417"/>
  <c r="J414"/>
  <c r="J384"/>
  <c r="J419"/>
  <c r="J416"/>
  <c r="J420"/>
  <c r="J415"/>
  <c r="H401"/>
  <c r="H400"/>
  <c r="F380"/>
  <c r="H365"/>
  <c r="H364"/>
  <c r="F359"/>
  <c r="F420"/>
  <c r="F419"/>
  <c r="F414"/>
  <c r="F351"/>
  <c r="E380"/>
  <c r="F367"/>
  <c r="F366"/>
  <c r="F360"/>
  <c r="E359"/>
  <c r="H358"/>
  <c r="H357"/>
  <c r="E420"/>
  <c r="E419"/>
  <c r="F418"/>
  <c r="E414"/>
  <c r="F398"/>
  <c r="E367"/>
  <c r="J417"/>
  <c r="J413"/>
  <c r="J408"/>
  <c r="H328"/>
  <c r="H349"/>
  <c r="J349" s="1"/>
  <c r="F408"/>
  <c r="F404"/>
  <c r="H394"/>
  <c r="H370"/>
  <c r="F356"/>
  <c r="H354"/>
  <c r="E408"/>
  <c r="E404"/>
  <c r="J403"/>
  <c r="F400"/>
  <c r="J395"/>
  <c r="F383"/>
  <c r="F382"/>
  <c r="H381"/>
  <c r="J371"/>
  <c r="F368"/>
  <c r="F364"/>
  <c r="E356"/>
  <c r="J355"/>
  <c r="F352"/>
  <c r="F407"/>
  <c r="F406"/>
  <c r="H405"/>
  <c r="E401"/>
  <c r="F391"/>
  <c r="H386"/>
  <c r="E383"/>
  <c r="E369"/>
  <c r="F358"/>
  <c r="E353"/>
  <c r="J404"/>
  <c r="F403"/>
  <c r="F395"/>
  <c r="F394"/>
  <c r="F387"/>
  <c r="F386"/>
  <c r="J380"/>
  <c r="F371"/>
  <c r="F370"/>
  <c r="J356"/>
  <c r="F355"/>
  <c r="F354"/>
  <c r="E405"/>
  <c r="E403"/>
  <c r="E395"/>
  <c r="E387"/>
  <c r="E381"/>
  <c r="E371"/>
  <c r="E365"/>
  <c r="E357"/>
  <c r="E355"/>
  <c r="H318"/>
  <c r="H344"/>
  <c r="H230"/>
  <c r="H343"/>
  <c r="H342"/>
  <c r="J342" s="1"/>
  <c r="F349"/>
  <c r="H348"/>
  <c r="H347"/>
  <c r="J346"/>
  <c r="F346"/>
  <c r="H269"/>
  <c r="F314"/>
  <c r="H330"/>
  <c r="H326"/>
  <c r="E347"/>
  <c r="E346"/>
  <c r="F342"/>
  <c r="E314"/>
  <c r="H334"/>
  <c r="E332"/>
  <c r="E331"/>
  <c r="F328"/>
  <c r="E327"/>
  <c r="E343"/>
  <c r="J345"/>
  <c r="F345"/>
  <c r="F348"/>
  <c r="E345"/>
  <c r="F344"/>
  <c r="F318"/>
  <c r="F334"/>
  <c r="F326"/>
  <c r="F269"/>
  <c r="H323"/>
  <c r="F332"/>
  <c r="J337"/>
  <c r="J314"/>
  <c r="F303"/>
  <c r="H273"/>
  <c r="H320"/>
  <c r="H315"/>
  <c r="F336"/>
  <c r="J307"/>
  <c r="E303"/>
  <c r="F302"/>
  <c r="H308"/>
  <c r="E336"/>
  <c r="E335"/>
  <c r="E267"/>
  <c r="E266"/>
  <c r="E323"/>
  <c r="E322"/>
  <c r="F330"/>
  <c r="J333"/>
  <c r="F337"/>
  <c r="H335"/>
  <c r="F333"/>
  <c r="H331"/>
  <c r="H327"/>
  <c r="E337"/>
  <c r="J336"/>
  <c r="E333"/>
  <c r="J332"/>
  <c r="H224"/>
  <c r="H263"/>
  <c r="H324"/>
  <c r="H322"/>
  <c r="E282"/>
  <c r="F281"/>
  <c r="F308"/>
  <c r="J325"/>
  <c r="E315"/>
  <c r="J292"/>
  <c r="H316"/>
  <c r="F321"/>
  <c r="F325"/>
  <c r="E325"/>
  <c r="F324"/>
  <c r="E321"/>
  <c r="F320"/>
  <c r="F316"/>
  <c r="H253"/>
  <c r="E298"/>
  <c r="F297"/>
  <c r="F287"/>
  <c r="F273"/>
  <c r="H261"/>
  <c r="E287"/>
  <c r="F286"/>
  <c r="J276"/>
  <c r="E263"/>
  <c r="E262"/>
  <c r="H226"/>
  <c r="F295"/>
  <c r="F279"/>
  <c r="H267"/>
  <c r="F261"/>
  <c r="E295"/>
  <c r="F294"/>
  <c r="J284"/>
  <c r="E279"/>
  <c r="F278"/>
  <c r="F271"/>
  <c r="E306"/>
  <c r="F305"/>
  <c r="E290"/>
  <c r="F289"/>
  <c r="H265"/>
  <c r="H246"/>
  <c r="F307"/>
  <c r="E302"/>
  <c r="F301"/>
  <c r="F299"/>
  <c r="E294"/>
  <c r="F293"/>
  <c r="F291"/>
  <c r="E286"/>
  <c r="F285"/>
  <c r="F283"/>
  <c r="E278"/>
  <c r="F277"/>
  <c r="F275"/>
  <c r="E271"/>
  <c r="E270"/>
  <c r="F252"/>
  <c r="H248"/>
  <c r="H234"/>
  <c r="H257"/>
  <c r="E307"/>
  <c r="F306"/>
  <c r="E299"/>
  <c r="F298"/>
  <c r="E291"/>
  <c r="F290"/>
  <c r="E283"/>
  <c r="F282"/>
  <c r="E275"/>
  <c r="E274"/>
  <c r="F265"/>
  <c r="J302"/>
  <c r="J294"/>
  <c r="J300"/>
  <c r="J305"/>
  <c r="J297"/>
  <c r="J290"/>
  <c r="J289"/>
  <c r="J282"/>
  <c r="J281"/>
  <c r="J264"/>
  <c r="J306"/>
  <c r="J298"/>
  <c r="J304"/>
  <c r="J296"/>
  <c r="J288"/>
  <c r="J280"/>
  <c r="J268"/>
  <c r="J301"/>
  <c r="J293"/>
  <c r="J286"/>
  <c r="J285"/>
  <c r="J278"/>
  <c r="J277"/>
  <c r="J272"/>
  <c r="E305"/>
  <c r="F304"/>
  <c r="E301"/>
  <c r="F300"/>
  <c r="E297"/>
  <c r="F296"/>
  <c r="E293"/>
  <c r="F292"/>
  <c r="E289"/>
  <c r="F288"/>
  <c r="E285"/>
  <c r="F284"/>
  <c r="E281"/>
  <c r="F280"/>
  <c r="E277"/>
  <c r="F276"/>
  <c r="H274"/>
  <c r="F272"/>
  <c r="H270"/>
  <c r="F268"/>
  <c r="H266"/>
  <c r="F264"/>
  <c r="H262"/>
  <c r="E304"/>
  <c r="J303"/>
  <c r="E300"/>
  <c r="J299"/>
  <c r="E296"/>
  <c r="J295"/>
  <c r="E292"/>
  <c r="J291"/>
  <c r="E288"/>
  <c r="J287"/>
  <c r="E284"/>
  <c r="J283"/>
  <c r="E280"/>
  <c r="J279"/>
  <c r="E276"/>
  <c r="J275"/>
  <c r="E272"/>
  <c r="J271"/>
  <c r="E268"/>
  <c r="E264"/>
  <c r="E248"/>
  <c r="F246"/>
  <c r="E245"/>
  <c r="H255"/>
  <c r="H216"/>
  <c r="J251"/>
  <c r="H242"/>
  <c r="F240"/>
  <c r="F257"/>
  <c r="F255"/>
  <c r="E254"/>
  <c r="E236"/>
  <c r="F234"/>
  <c r="E233"/>
  <c r="H250"/>
  <c r="J232"/>
  <c r="E252"/>
  <c r="F250"/>
  <c r="E249"/>
  <c r="F232"/>
  <c r="H228"/>
  <c r="E225"/>
  <c r="E258"/>
  <c r="F253"/>
  <c r="H238"/>
  <c r="F236"/>
  <c r="J235"/>
  <c r="E232"/>
  <c r="F230"/>
  <c r="E229"/>
  <c r="J256"/>
  <c r="H258"/>
  <c r="F256"/>
  <c r="H254"/>
  <c r="E256"/>
  <c r="J236"/>
  <c r="J252"/>
  <c r="J240"/>
  <c r="H244"/>
  <c r="F224"/>
  <c r="H217"/>
  <c r="F244"/>
  <c r="E240"/>
  <c r="F238"/>
  <c r="E237"/>
  <c r="F228"/>
  <c r="J201"/>
  <c r="F200"/>
  <c r="F242"/>
  <c r="E241"/>
  <c r="F226"/>
  <c r="J239"/>
  <c r="J243"/>
  <c r="J227"/>
  <c r="J247"/>
  <c r="J231"/>
  <c r="F251"/>
  <c r="H249"/>
  <c r="F247"/>
  <c r="H245"/>
  <c r="F243"/>
  <c r="H241"/>
  <c r="F239"/>
  <c r="H237"/>
  <c r="F235"/>
  <c r="H233"/>
  <c r="F231"/>
  <c r="H229"/>
  <c r="F227"/>
  <c r="H225"/>
  <c r="E251"/>
  <c r="E247"/>
  <c r="E243"/>
  <c r="E239"/>
  <c r="E235"/>
  <c r="E231"/>
  <c r="J230"/>
  <c r="E227"/>
  <c r="F211"/>
  <c r="H218"/>
  <c r="E211"/>
  <c r="E216"/>
  <c r="F218"/>
  <c r="H213"/>
  <c r="F217"/>
  <c r="F213"/>
  <c r="H206"/>
  <c r="H197"/>
  <c r="H204"/>
  <c r="E206"/>
  <c r="E205"/>
  <c r="H195"/>
  <c r="F204"/>
  <c r="F197"/>
  <c r="H205"/>
  <c r="H188"/>
  <c r="J188" s="1"/>
  <c r="H189"/>
  <c r="E200"/>
  <c r="F199"/>
  <c r="E203"/>
  <c r="E190"/>
  <c r="F195"/>
  <c r="E199"/>
  <c r="E198"/>
  <c r="H203"/>
  <c r="F201"/>
  <c r="H198"/>
  <c r="E201"/>
  <c r="J200"/>
  <c r="F188"/>
  <c r="F189"/>
  <c r="E196"/>
  <c r="H196"/>
  <c r="F194"/>
  <c r="E194"/>
  <c r="E191"/>
  <c r="H191"/>
  <c r="H190"/>
  <c r="E176"/>
  <c r="E181"/>
  <c r="E183"/>
  <c r="F181"/>
  <c r="F183"/>
  <c r="E173"/>
  <c r="E179"/>
  <c r="E180"/>
  <c r="E182"/>
  <c r="E184"/>
  <c r="F180"/>
  <c r="H164"/>
  <c r="H184"/>
  <c r="H182"/>
  <c r="E164"/>
  <c r="H179"/>
  <c r="H176"/>
  <c r="H167"/>
  <c r="F167"/>
  <c r="E161"/>
  <c r="F162"/>
  <c r="H162"/>
  <c r="E162"/>
  <c r="F161"/>
  <c r="E160"/>
  <c r="F160"/>
  <c r="J144"/>
  <c r="H141"/>
  <c r="E157"/>
  <c r="F156"/>
  <c r="F141"/>
  <c r="H149"/>
  <c r="F151"/>
  <c r="E151"/>
  <c r="E150"/>
  <c r="F147"/>
  <c r="H145"/>
  <c r="E147"/>
  <c r="E146"/>
  <c r="F157"/>
  <c r="E156"/>
  <c r="E154"/>
  <c r="F145"/>
  <c r="F143"/>
  <c r="F149"/>
  <c r="E143"/>
  <c r="E142"/>
  <c r="H154"/>
  <c r="F152"/>
  <c r="H150"/>
  <c r="F148"/>
  <c r="H146"/>
  <c r="F144"/>
  <c r="H142"/>
  <c r="E152"/>
  <c r="E148"/>
  <c r="J147"/>
  <c r="E144"/>
  <c r="J143"/>
  <c r="E140"/>
  <c r="H140"/>
  <c r="H135"/>
  <c r="F135"/>
  <c r="E136"/>
  <c r="F136"/>
  <c r="E133"/>
  <c r="H133"/>
  <c r="E130"/>
  <c r="H130"/>
  <c r="H134"/>
  <c r="E134"/>
  <c r="F134"/>
  <c r="F133"/>
  <c r="F130"/>
  <c r="E132"/>
  <c r="F132"/>
  <c r="H132"/>
  <c r="E131"/>
  <c r="F131"/>
  <c r="H131"/>
  <c r="H129"/>
  <c r="E129"/>
  <c r="H120"/>
  <c r="E107"/>
  <c r="F120"/>
  <c r="E119"/>
  <c r="E123"/>
  <c r="H111"/>
  <c r="H122"/>
  <c r="H113"/>
  <c r="F122"/>
  <c r="H79"/>
  <c r="H86"/>
  <c r="J86" s="1"/>
  <c r="H116"/>
  <c r="F111"/>
  <c r="H118"/>
  <c r="H123"/>
  <c r="H112"/>
  <c r="F118"/>
  <c r="H109"/>
  <c r="H107"/>
  <c r="E116"/>
  <c r="H117"/>
  <c r="E112"/>
  <c r="J121"/>
  <c r="F121"/>
  <c r="H119"/>
  <c r="E121"/>
  <c r="F114"/>
  <c r="F110"/>
  <c r="E114"/>
  <c r="F113"/>
  <c r="E110"/>
  <c r="F109"/>
  <c r="F117"/>
  <c r="H85"/>
  <c r="H89"/>
  <c r="H101"/>
  <c r="H97"/>
  <c r="H93"/>
  <c r="E91"/>
  <c r="E90"/>
  <c r="F76"/>
  <c r="E85"/>
  <c r="E84"/>
  <c r="F89"/>
  <c r="E97"/>
  <c r="E96"/>
  <c r="F79"/>
  <c r="H88"/>
  <c r="F93"/>
  <c r="F91"/>
  <c r="H98"/>
  <c r="H96"/>
  <c r="H95"/>
  <c r="F101"/>
  <c r="F98"/>
  <c r="E95"/>
  <c r="J92"/>
  <c r="F92"/>
  <c r="H90"/>
  <c r="E92"/>
  <c r="J91"/>
  <c r="E88"/>
  <c r="E76"/>
  <c r="H83"/>
  <c r="E78"/>
  <c r="F83"/>
  <c r="F81"/>
  <c r="F86"/>
  <c r="E81"/>
  <c r="E80"/>
  <c r="H78"/>
  <c r="J82"/>
  <c r="H84"/>
  <c r="F82"/>
  <c r="H80"/>
  <c r="E82"/>
  <c r="J81"/>
  <c r="E75"/>
  <c r="F74"/>
  <c r="H72"/>
  <c r="J76"/>
  <c r="E74"/>
  <c r="F72"/>
  <c r="F75"/>
  <c r="F73"/>
  <c r="E73"/>
  <c r="H71"/>
  <c r="E71"/>
  <c r="H61"/>
  <c r="H67"/>
  <c r="E62"/>
  <c r="F67"/>
  <c r="H51"/>
  <c r="E64"/>
  <c r="E68"/>
  <c r="F61"/>
  <c r="E59"/>
  <c r="E54"/>
  <c r="E66"/>
  <c r="E60"/>
  <c r="F68"/>
  <c r="H66"/>
  <c r="F64"/>
  <c r="F62"/>
  <c r="H60"/>
  <c r="F59"/>
  <c r="F51"/>
  <c r="F54"/>
  <c r="H46"/>
  <c r="H50"/>
  <c r="E46"/>
  <c r="J49"/>
  <c r="F49"/>
  <c r="E50"/>
  <c r="E49"/>
  <c r="F48"/>
  <c r="J47"/>
  <c r="J48"/>
  <c r="E48"/>
  <c r="F47"/>
  <c r="E47"/>
  <c r="H39"/>
  <c r="H37"/>
  <c r="F43"/>
  <c r="E43"/>
  <c r="F37"/>
  <c r="F40"/>
  <c r="E40"/>
  <c r="F39"/>
  <c r="F26"/>
  <c r="H28"/>
  <c r="H27"/>
  <c r="E27"/>
  <c r="E28"/>
  <c r="H26"/>
  <c r="H19"/>
  <c r="F19"/>
  <c r="I144" i="43"/>
  <c r="I26"/>
  <c r="I910"/>
  <c r="I914"/>
  <c r="C1030" i="44"/>
  <c r="C603" i="41" s="1"/>
  <c r="C1029" i="44"/>
  <c r="C602" i="41" s="1"/>
  <c r="J572" l="1"/>
  <c r="J592"/>
  <c r="J593"/>
  <c r="J573"/>
  <c r="J585"/>
  <c r="J468"/>
  <c r="J584"/>
  <c r="J549"/>
  <c r="J559"/>
  <c r="J581"/>
  <c r="J353"/>
  <c r="J587"/>
  <c r="J574"/>
  <c r="J550"/>
  <c r="J531"/>
  <c r="J507"/>
  <c r="J263"/>
  <c r="J526"/>
  <c r="J501"/>
  <c r="J360"/>
  <c r="J328"/>
  <c r="J536"/>
  <c r="J425"/>
  <c r="J228"/>
  <c r="J418"/>
  <c r="J400"/>
  <c r="J521"/>
  <c r="J364"/>
  <c r="J366"/>
  <c r="J500"/>
  <c r="J489"/>
  <c r="J352"/>
  <c r="J385"/>
  <c r="J224"/>
  <c r="J465"/>
  <c r="J273"/>
  <c r="J357"/>
  <c r="J368"/>
  <c r="J401"/>
  <c r="J453"/>
  <c r="J365"/>
  <c r="J354"/>
  <c r="J448"/>
  <c r="J452"/>
  <c r="J253"/>
  <c r="J369"/>
  <c r="J334"/>
  <c r="J406"/>
  <c r="J398"/>
  <c r="J324"/>
  <c r="J315"/>
  <c r="J382"/>
  <c r="J308"/>
  <c r="J269"/>
  <c r="J318"/>
  <c r="J343"/>
  <c r="J358"/>
  <c r="J330"/>
  <c r="J394"/>
  <c r="J370"/>
  <c r="J347"/>
  <c r="J405"/>
  <c r="J234"/>
  <c r="J386"/>
  <c r="J326"/>
  <c r="J381"/>
  <c r="J320"/>
  <c r="J344"/>
  <c r="J348"/>
  <c r="J250"/>
  <c r="J226"/>
  <c r="J246"/>
  <c r="J267"/>
  <c r="J261"/>
  <c r="J327"/>
  <c r="J331"/>
  <c r="J335"/>
  <c r="J316"/>
  <c r="J322"/>
  <c r="J242"/>
  <c r="J255"/>
  <c r="J248"/>
  <c r="J265"/>
  <c r="J257"/>
  <c r="J266"/>
  <c r="J274"/>
  <c r="J262"/>
  <c r="J270"/>
  <c r="J238"/>
  <c r="J254"/>
  <c r="J258"/>
  <c r="J244"/>
  <c r="J233"/>
  <c r="J225"/>
  <c r="J237"/>
  <c r="J229"/>
  <c r="J245"/>
  <c r="J241"/>
  <c r="J249"/>
  <c r="J141"/>
  <c r="J145"/>
  <c r="J146"/>
  <c r="J142"/>
  <c r="J140"/>
  <c r="J120"/>
  <c r="J79"/>
  <c r="J85"/>
  <c r="J97"/>
  <c r="J118"/>
  <c r="J112"/>
  <c r="J116"/>
  <c r="J122"/>
  <c r="J123"/>
  <c r="J98"/>
  <c r="J117"/>
  <c r="J88"/>
  <c r="J119"/>
  <c r="J89"/>
  <c r="J95"/>
  <c r="J93"/>
  <c r="J96"/>
  <c r="J90"/>
  <c r="J78"/>
  <c r="J83"/>
  <c r="J80"/>
  <c r="J84"/>
  <c r="J67"/>
  <c r="J71"/>
  <c r="J61"/>
  <c r="J60"/>
  <c r="J66"/>
  <c r="J46"/>
  <c r="J19"/>
  <c r="J26"/>
  <c r="H833" i="43"/>
  <c r="I833" s="1"/>
  <c r="F833"/>
  <c r="E833"/>
  <c r="H832"/>
  <c r="I832" s="1"/>
  <c r="F832"/>
  <c r="E832"/>
  <c r="H831"/>
  <c r="I831" s="1"/>
  <c r="F831"/>
  <c r="E831"/>
  <c r="I828"/>
  <c r="H827"/>
  <c r="I827" s="1"/>
  <c r="F827"/>
  <c r="E827"/>
  <c r="H826"/>
  <c r="I826" s="1"/>
  <c r="F826"/>
  <c r="E826"/>
  <c r="H823"/>
  <c r="G823"/>
  <c r="F823"/>
  <c r="E823"/>
  <c r="H822"/>
  <c r="I822" s="1"/>
  <c r="F822"/>
  <c r="E822"/>
  <c r="H821"/>
  <c r="I821" s="1"/>
  <c r="F821"/>
  <c r="E821"/>
  <c r="H820"/>
  <c r="I820" s="1"/>
  <c r="F820"/>
  <c r="E820"/>
  <c r="H817"/>
  <c r="I817" s="1"/>
  <c r="F817"/>
  <c r="E817"/>
  <c r="H816"/>
  <c r="I816" s="1"/>
  <c r="F816"/>
  <c r="E816"/>
  <c r="H815"/>
  <c r="I815" s="1"/>
  <c r="F815"/>
  <c r="E815"/>
  <c r="H814"/>
  <c r="I814" s="1"/>
  <c r="F814"/>
  <c r="E814"/>
  <c r="H813"/>
  <c r="I813" s="1"/>
  <c r="F813"/>
  <c r="E813"/>
  <c r="H812"/>
  <c r="I812" s="1"/>
  <c r="F812"/>
  <c r="E812"/>
  <c r="H811"/>
  <c r="I811" s="1"/>
  <c r="F811"/>
  <c r="E811"/>
  <c r="H808"/>
  <c r="I808" s="1"/>
  <c r="F808"/>
  <c r="E808"/>
  <c r="I807"/>
  <c r="H806"/>
  <c r="I806" s="1"/>
  <c r="F806"/>
  <c r="E806"/>
  <c r="H805"/>
  <c r="I805" s="1"/>
  <c r="F805"/>
  <c r="E805"/>
  <c r="I802"/>
  <c r="H801"/>
  <c r="I801" s="1"/>
  <c r="F801"/>
  <c r="E801"/>
  <c r="H800"/>
  <c r="I800" s="1"/>
  <c r="F800"/>
  <c r="E800"/>
  <c r="H797"/>
  <c r="I797" s="1"/>
  <c r="F797"/>
  <c r="E797"/>
  <c r="H796"/>
  <c r="I796" s="1"/>
  <c r="F796"/>
  <c r="E796"/>
  <c r="H795"/>
  <c r="I795" s="1"/>
  <c r="F795"/>
  <c r="E795"/>
  <c r="I792"/>
  <c r="H791"/>
  <c r="I791" s="1"/>
  <c r="F791"/>
  <c r="E791"/>
  <c r="H790"/>
  <c r="I790" s="1"/>
  <c r="F790"/>
  <c r="E790"/>
  <c r="L1013" i="44"/>
  <c r="E1013"/>
  <c r="L1012"/>
  <c r="E1012"/>
  <c r="C1010"/>
  <c r="C582" i="41" s="1"/>
  <c r="C998" i="44"/>
  <c r="C570" i="41" s="1"/>
  <c r="C1006" i="44"/>
  <c r="C578" i="41" s="1"/>
  <c r="C1005" i="44"/>
  <c r="C577" i="41" s="1"/>
  <c r="C1004" i="44"/>
  <c r="C576" i="41" s="1"/>
  <c r="H778" i="43"/>
  <c r="I778" s="1"/>
  <c r="F778"/>
  <c r="E778"/>
  <c r="H777"/>
  <c r="I777" s="1"/>
  <c r="F777"/>
  <c r="E777"/>
  <c r="I776"/>
  <c r="H773"/>
  <c r="I773" s="1"/>
  <c r="F773"/>
  <c r="E773"/>
  <c r="H772"/>
  <c r="I772" s="1"/>
  <c r="F772"/>
  <c r="E772"/>
  <c r="I771"/>
  <c r="E767"/>
  <c r="F767"/>
  <c r="H767"/>
  <c r="I767" s="1"/>
  <c r="E768"/>
  <c r="F768"/>
  <c r="H768"/>
  <c r="I768" s="1"/>
  <c r="I766"/>
  <c r="H898"/>
  <c r="I898" s="1"/>
  <c r="F898"/>
  <c r="E898"/>
  <c r="H897"/>
  <c r="I897" s="1"/>
  <c r="F897"/>
  <c r="E897"/>
  <c r="H896"/>
  <c r="I896" s="1"/>
  <c r="F896"/>
  <c r="E896"/>
  <c r="I895"/>
  <c r="L973" i="44"/>
  <c r="C972"/>
  <c r="C543" i="41" s="1"/>
  <c r="C971" i="44"/>
  <c r="C542" i="41" s="1"/>
  <c r="H890" i="43"/>
  <c r="I890" s="1"/>
  <c r="F890"/>
  <c r="E890"/>
  <c r="H889"/>
  <c r="I889" s="1"/>
  <c r="F889"/>
  <c r="E889"/>
  <c r="H888"/>
  <c r="I888" s="1"/>
  <c r="F888"/>
  <c r="E888"/>
  <c r="I887"/>
  <c r="H884"/>
  <c r="I884" s="1"/>
  <c r="F884"/>
  <c r="E884"/>
  <c r="H883"/>
  <c r="I883" s="1"/>
  <c r="F883"/>
  <c r="E883"/>
  <c r="H882"/>
  <c r="I882" s="1"/>
  <c r="F882"/>
  <c r="E882"/>
  <c r="I881"/>
  <c r="C970" i="44"/>
  <c r="C541" i="41" s="1"/>
  <c r="C969" i="44"/>
  <c r="C540" i="41" s="1"/>
  <c r="H878" i="43"/>
  <c r="I878" s="1"/>
  <c r="F878"/>
  <c r="E878"/>
  <c r="H877"/>
  <c r="I877" s="1"/>
  <c r="F877"/>
  <c r="E877"/>
  <c r="H876"/>
  <c r="I876" s="1"/>
  <c r="F876"/>
  <c r="E876"/>
  <c r="I875"/>
  <c r="H872"/>
  <c r="I872" s="1"/>
  <c r="F872"/>
  <c r="E872"/>
  <c r="H871"/>
  <c r="I871" s="1"/>
  <c r="F871"/>
  <c r="E871"/>
  <c r="H870"/>
  <c r="I870" s="1"/>
  <c r="F870"/>
  <c r="E870"/>
  <c r="I869"/>
  <c r="C968" i="44"/>
  <c r="C539" i="41" s="1"/>
  <c r="I863" i="43"/>
  <c r="E866"/>
  <c r="F866"/>
  <c r="H866"/>
  <c r="I866" s="1"/>
  <c r="H865"/>
  <c r="I865" s="1"/>
  <c r="F865"/>
  <c r="E865"/>
  <c r="H864"/>
  <c r="I864" s="1"/>
  <c r="F864"/>
  <c r="E864"/>
  <c r="I823" l="1"/>
  <c r="I825"/>
  <c r="I810"/>
  <c r="I770"/>
  <c r="I794"/>
  <c r="I799"/>
  <c r="I789"/>
  <c r="I804"/>
  <c r="I819"/>
  <c r="I830"/>
  <c r="I775"/>
  <c r="I765"/>
  <c r="I894"/>
  <c r="I862"/>
  <c r="E973" i="44"/>
  <c r="I886" i="43"/>
  <c r="I880"/>
  <c r="I874"/>
  <c r="I868"/>
  <c r="C963" i="44" l="1"/>
  <c r="C534" i="41" s="1"/>
  <c r="C962" i="44"/>
  <c r="C533" i="41" s="1"/>
  <c r="H860" i="43"/>
  <c r="I860" s="1"/>
  <c r="F860"/>
  <c r="E860"/>
  <c r="H859"/>
  <c r="I859" s="1"/>
  <c r="F859"/>
  <c r="E859"/>
  <c r="I858"/>
  <c r="H855"/>
  <c r="I855" s="1"/>
  <c r="F855"/>
  <c r="E855"/>
  <c r="H854"/>
  <c r="I854" s="1"/>
  <c r="F854"/>
  <c r="E854"/>
  <c r="I853"/>
  <c r="C958" i="44"/>
  <c r="C529" i="41" s="1"/>
  <c r="H850" i="43"/>
  <c r="I850" s="1"/>
  <c r="F850"/>
  <c r="E850"/>
  <c r="H849"/>
  <c r="I849" s="1"/>
  <c r="F849"/>
  <c r="E849"/>
  <c r="I848"/>
  <c r="C957" i="44"/>
  <c r="C528" i="41" s="1"/>
  <c r="H845" i="43"/>
  <c r="I845" s="1"/>
  <c r="F845"/>
  <c r="E845"/>
  <c r="H844"/>
  <c r="I844" s="1"/>
  <c r="F844"/>
  <c r="E844"/>
  <c r="I843"/>
  <c r="C956" i="44"/>
  <c r="C527" i="41" s="1"/>
  <c r="L966" i="44"/>
  <c r="E966"/>
  <c r="L965"/>
  <c r="E965"/>
  <c r="L960"/>
  <c r="E960"/>
  <c r="I857" i="43" l="1"/>
  <c r="I842"/>
  <c r="I852"/>
  <c r="I847"/>
  <c r="H840" l="1"/>
  <c r="I840" s="1"/>
  <c r="F840"/>
  <c r="E840"/>
  <c r="H839"/>
  <c r="I839" s="1"/>
  <c r="F839"/>
  <c r="E839"/>
  <c r="I838"/>
  <c r="I837" l="1"/>
  <c r="E955" i="44" l="1"/>
  <c r="L955"/>
  <c r="L954"/>
  <c r="E954"/>
  <c r="L997" l="1"/>
  <c r="E997"/>
  <c r="H782" i="43" l="1"/>
  <c r="I782" s="1"/>
  <c r="F782"/>
  <c r="E782"/>
  <c r="H781"/>
  <c r="I781" s="1"/>
  <c r="F781"/>
  <c r="E781"/>
  <c r="C994" i="44"/>
  <c r="C566" i="41" s="1"/>
  <c r="H763" i="43"/>
  <c r="I763" s="1"/>
  <c r="F763"/>
  <c r="E763"/>
  <c r="H762"/>
  <c r="I762" s="1"/>
  <c r="F762"/>
  <c r="E762"/>
  <c r="H761"/>
  <c r="I761" s="1"/>
  <c r="F761"/>
  <c r="E761"/>
  <c r="H760"/>
  <c r="I760" s="1"/>
  <c r="F760"/>
  <c r="E760"/>
  <c r="L995" i="44"/>
  <c r="E995"/>
  <c r="L993"/>
  <c r="E993"/>
  <c r="L992"/>
  <c r="E992"/>
  <c r="L991"/>
  <c r="E991"/>
  <c r="L990"/>
  <c r="E990"/>
  <c r="L989"/>
  <c r="E989"/>
  <c r="L988"/>
  <c r="E988"/>
  <c r="L987"/>
  <c r="E987"/>
  <c r="L986"/>
  <c r="E986"/>
  <c r="L985"/>
  <c r="E985"/>
  <c r="L984"/>
  <c r="E984"/>
  <c r="I780" i="43" l="1"/>
  <c r="I759"/>
  <c r="C980" i="44" l="1"/>
  <c r="C552" i="41" s="1"/>
  <c r="C979" i="44"/>
  <c r="C551" i="41" s="1"/>
  <c r="C976" i="44"/>
  <c r="C548" i="41" s="1"/>
  <c r="G733" i="43"/>
  <c r="E948" i="44" l="1"/>
  <c r="L948"/>
  <c r="E951"/>
  <c r="L951"/>
  <c r="L931"/>
  <c r="L932"/>
  <c r="L936"/>
  <c r="L937"/>
  <c r="E936"/>
  <c r="E937"/>
  <c r="L930"/>
  <c r="L919"/>
  <c r="E919"/>
  <c r="E855"/>
  <c r="L855"/>
  <c r="E867"/>
  <c r="L867"/>
  <c r="E875"/>
  <c r="L875"/>
  <c r="E878"/>
  <c r="L878"/>
  <c r="E882"/>
  <c r="L882"/>
  <c r="E883"/>
  <c r="L883"/>
  <c r="E895"/>
  <c r="L895"/>
  <c r="E896"/>
  <c r="L896"/>
  <c r="E898"/>
  <c r="L898"/>
  <c r="L850"/>
  <c r="E850"/>
  <c r="L849"/>
  <c r="E849"/>
  <c r="L848"/>
  <c r="E848"/>
  <c r="L847"/>
  <c r="E847"/>
  <c r="L846"/>
  <c r="E846"/>
  <c r="L845"/>
  <c r="E845"/>
  <c r="L844"/>
  <c r="E844"/>
  <c r="L843"/>
  <c r="E843"/>
  <c r="E836"/>
  <c r="L836"/>
  <c r="E837"/>
  <c r="L837"/>
  <c r="E838"/>
  <c r="L838"/>
  <c r="E840"/>
  <c r="L840"/>
  <c r="E841"/>
  <c r="L841"/>
  <c r="L835"/>
  <c r="E835"/>
  <c r="L834"/>
  <c r="E834"/>
  <c r="L833"/>
  <c r="E833"/>
  <c r="L831"/>
  <c r="E831"/>
  <c r="L830"/>
  <c r="E830"/>
  <c r="L829"/>
  <c r="E829"/>
  <c r="L828"/>
  <c r="E828"/>
  <c r="C822"/>
  <c r="C392" i="41" s="1"/>
  <c r="C820" i="44"/>
  <c r="C390" i="41" s="1"/>
  <c r="C819" i="44"/>
  <c r="C389" i="41" s="1"/>
  <c r="C808" i="44"/>
  <c r="C378" i="41" s="1"/>
  <c r="C807" i="44"/>
  <c r="C377" i="41" s="1"/>
  <c r="C806" i="44"/>
  <c r="C376" i="41" s="1"/>
  <c r="C805" i="44"/>
  <c r="C375" i="41" s="1"/>
  <c r="C804" i="44"/>
  <c r="C374" i="41" s="1"/>
  <c r="C803" i="44"/>
  <c r="C373" i="41" s="1"/>
  <c r="C802" i="44"/>
  <c r="C372" i="41" s="1"/>
  <c r="E814" i="44"/>
  <c r="L814"/>
  <c r="E815"/>
  <c r="L815"/>
  <c r="E816"/>
  <c r="L816"/>
  <c r="E817"/>
  <c r="L817"/>
  <c r="C792"/>
  <c r="C791"/>
  <c r="H720" i="43"/>
  <c r="I720" s="1"/>
  <c r="F720"/>
  <c r="E720"/>
  <c r="H719"/>
  <c r="I719" s="1"/>
  <c r="F719"/>
  <c r="E719"/>
  <c r="H718"/>
  <c r="I718" s="1"/>
  <c r="F718"/>
  <c r="E718"/>
  <c r="I717"/>
  <c r="H714"/>
  <c r="I714" s="1"/>
  <c r="F714"/>
  <c r="E714"/>
  <c r="H713"/>
  <c r="I713" s="1"/>
  <c r="F713"/>
  <c r="E713"/>
  <c r="I712"/>
  <c r="H709"/>
  <c r="I709" s="1"/>
  <c r="F709"/>
  <c r="E709"/>
  <c r="H708"/>
  <c r="I708" s="1"/>
  <c r="F708"/>
  <c r="E708"/>
  <c r="I705"/>
  <c r="H704"/>
  <c r="I704" s="1"/>
  <c r="F704"/>
  <c r="E704"/>
  <c r="H703"/>
  <c r="I703" s="1"/>
  <c r="F703"/>
  <c r="E703"/>
  <c r="H702"/>
  <c r="I702" s="1"/>
  <c r="F702"/>
  <c r="E702"/>
  <c r="H699"/>
  <c r="I699" s="1"/>
  <c r="F699"/>
  <c r="E699"/>
  <c r="H698"/>
  <c r="I698" s="1"/>
  <c r="F698"/>
  <c r="E698"/>
  <c r="I697"/>
  <c r="I694"/>
  <c r="H693"/>
  <c r="I693" s="1"/>
  <c r="F693"/>
  <c r="E693"/>
  <c r="H692"/>
  <c r="I692" s="1"/>
  <c r="F692"/>
  <c r="E692"/>
  <c r="H691"/>
  <c r="I691" s="1"/>
  <c r="F691"/>
  <c r="E691"/>
  <c r="H688"/>
  <c r="I688" s="1"/>
  <c r="F688"/>
  <c r="E688"/>
  <c r="H687"/>
  <c r="I687" s="1"/>
  <c r="F687"/>
  <c r="E687"/>
  <c r="H686"/>
  <c r="I686" s="1"/>
  <c r="F686"/>
  <c r="E686"/>
  <c r="H683"/>
  <c r="I683" s="1"/>
  <c r="F683"/>
  <c r="E683"/>
  <c r="H682"/>
  <c r="I682" s="1"/>
  <c r="F682"/>
  <c r="E682"/>
  <c r="H681"/>
  <c r="I681" s="1"/>
  <c r="F681"/>
  <c r="E681"/>
  <c r="H678"/>
  <c r="I678" s="1"/>
  <c r="F678"/>
  <c r="E678"/>
  <c r="H677"/>
  <c r="I677" s="1"/>
  <c r="F677"/>
  <c r="E677"/>
  <c r="H676"/>
  <c r="I676" s="1"/>
  <c r="F676"/>
  <c r="E676"/>
  <c r="H673"/>
  <c r="I673" s="1"/>
  <c r="F673"/>
  <c r="E673"/>
  <c r="H672"/>
  <c r="I672" s="1"/>
  <c r="F672"/>
  <c r="E672"/>
  <c r="H671"/>
  <c r="I671" s="1"/>
  <c r="F671"/>
  <c r="E671"/>
  <c r="H668"/>
  <c r="I668" s="1"/>
  <c r="F668"/>
  <c r="E668"/>
  <c r="H667"/>
  <c r="I667" s="1"/>
  <c r="F667"/>
  <c r="E667"/>
  <c r="H666"/>
  <c r="I666" s="1"/>
  <c r="F666"/>
  <c r="E666"/>
  <c r="H662"/>
  <c r="I662" s="1"/>
  <c r="F662"/>
  <c r="E662"/>
  <c r="H661"/>
  <c r="I661" s="1"/>
  <c r="F661"/>
  <c r="E661"/>
  <c r="H660"/>
  <c r="I660" s="1"/>
  <c r="F660"/>
  <c r="E660"/>
  <c r="I657"/>
  <c r="H656"/>
  <c r="I656" s="1"/>
  <c r="F656"/>
  <c r="E656"/>
  <c r="H655"/>
  <c r="I655" s="1"/>
  <c r="F655"/>
  <c r="E655"/>
  <c r="E654"/>
  <c r="I652"/>
  <c r="H651"/>
  <c r="I651" s="1"/>
  <c r="F651"/>
  <c r="E651"/>
  <c r="H650"/>
  <c r="I650" s="1"/>
  <c r="F650"/>
  <c r="E650"/>
  <c r="H647"/>
  <c r="I647" s="1"/>
  <c r="F647"/>
  <c r="E647"/>
  <c r="H646"/>
  <c r="I646" s="1"/>
  <c r="F646"/>
  <c r="E646"/>
  <c r="H645"/>
  <c r="I645" s="1"/>
  <c r="F645"/>
  <c r="E645"/>
  <c r="H644"/>
  <c r="I644" s="1"/>
  <c r="F644"/>
  <c r="E644"/>
  <c r="H641"/>
  <c r="I641" s="1"/>
  <c r="F641"/>
  <c r="E641"/>
  <c r="H640"/>
  <c r="I640" s="1"/>
  <c r="F640"/>
  <c r="E640"/>
  <c r="H639"/>
  <c r="I639" s="1"/>
  <c r="F639"/>
  <c r="E639"/>
  <c r="H638"/>
  <c r="I638" s="1"/>
  <c r="F638"/>
  <c r="E638"/>
  <c r="H635"/>
  <c r="I635" s="1"/>
  <c r="F635"/>
  <c r="E635"/>
  <c r="H634"/>
  <c r="I634" s="1"/>
  <c r="F634"/>
  <c r="E634"/>
  <c r="H633"/>
  <c r="I633" s="1"/>
  <c r="F633"/>
  <c r="E633"/>
  <c r="H632"/>
  <c r="I632" s="1"/>
  <c r="F632"/>
  <c r="E632"/>
  <c r="H629"/>
  <c r="I629" s="1"/>
  <c r="F629"/>
  <c r="E629"/>
  <c r="H628"/>
  <c r="I628" s="1"/>
  <c r="F628"/>
  <c r="E628"/>
  <c r="H627"/>
  <c r="I627" s="1"/>
  <c r="F627"/>
  <c r="E627"/>
  <c r="I624"/>
  <c r="H623"/>
  <c r="I623" s="1"/>
  <c r="F623"/>
  <c r="E623"/>
  <c r="H622"/>
  <c r="I622" s="1"/>
  <c r="F622"/>
  <c r="E622"/>
  <c r="I619"/>
  <c r="H618"/>
  <c r="I618" s="1"/>
  <c r="F618"/>
  <c r="E618"/>
  <c r="H617"/>
  <c r="I617" s="1"/>
  <c r="F617"/>
  <c r="E617"/>
  <c r="I614"/>
  <c r="H613"/>
  <c r="I613" s="1"/>
  <c r="F613"/>
  <c r="E613"/>
  <c r="H612"/>
  <c r="I612" s="1"/>
  <c r="F612"/>
  <c r="E612"/>
  <c r="H609"/>
  <c r="I609" s="1"/>
  <c r="F609"/>
  <c r="E609"/>
  <c r="H607"/>
  <c r="I607" s="1"/>
  <c r="F607"/>
  <c r="E607"/>
  <c r="H606"/>
  <c r="I606" s="1"/>
  <c r="F606"/>
  <c r="E606"/>
  <c r="H605"/>
  <c r="I605" s="1"/>
  <c r="F605"/>
  <c r="E605"/>
  <c r="H603"/>
  <c r="I603" s="1"/>
  <c r="F603"/>
  <c r="E603"/>
  <c r="H602"/>
  <c r="I602" s="1"/>
  <c r="F602"/>
  <c r="E602"/>
  <c r="H601"/>
  <c r="I601" s="1"/>
  <c r="F601"/>
  <c r="E601"/>
  <c r="H600"/>
  <c r="I600" s="1"/>
  <c r="F600"/>
  <c r="E600"/>
  <c r="H598"/>
  <c r="I598" s="1"/>
  <c r="F598"/>
  <c r="E598"/>
  <c r="H597"/>
  <c r="I597" s="1"/>
  <c r="F597"/>
  <c r="E597"/>
  <c r="H596"/>
  <c r="I596" s="1"/>
  <c r="F596"/>
  <c r="E596"/>
  <c r="H595"/>
  <c r="I595" s="1"/>
  <c r="F595"/>
  <c r="E595"/>
  <c r="I591"/>
  <c r="H590"/>
  <c r="I590" s="1"/>
  <c r="F590"/>
  <c r="E590"/>
  <c r="H589"/>
  <c r="I589" s="1"/>
  <c r="F589"/>
  <c r="E589"/>
  <c r="H586"/>
  <c r="I586" s="1"/>
  <c r="F586"/>
  <c r="E586"/>
  <c r="H585"/>
  <c r="I585" s="1"/>
  <c r="F585"/>
  <c r="E585"/>
  <c r="H584"/>
  <c r="I584" s="1"/>
  <c r="F584"/>
  <c r="E584"/>
  <c r="I577"/>
  <c r="H576"/>
  <c r="I576" s="1"/>
  <c r="F576"/>
  <c r="E576"/>
  <c r="H575"/>
  <c r="I575" s="1"/>
  <c r="F575"/>
  <c r="E575"/>
  <c r="H572"/>
  <c r="I572" s="1"/>
  <c r="F572"/>
  <c r="E572"/>
  <c r="H571"/>
  <c r="I571" s="1"/>
  <c r="F571"/>
  <c r="E571"/>
  <c r="H570"/>
  <c r="I570" s="1"/>
  <c r="F570"/>
  <c r="E570"/>
  <c r="H569"/>
  <c r="I569" s="1"/>
  <c r="F569"/>
  <c r="E569"/>
  <c r="H568"/>
  <c r="I568" s="1"/>
  <c r="F568"/>
  <c r="E568"/>
  <c r="I563"/>
  <c r="H562"/>
  <c r="I562" s="1"/>
  <c r="F562"/>
  <c r="E562"/>
  <c r="H561"/>
  <c r="I561" s="1"/>
  <c r="F561"/>
  <c r="E561"/>
  <c r="I558"/>
  <c r="H557"/>
  <c r="I557" s="1"/>
  <c r="F557"/>
  <c r="E557"/>
  <c r="H556"/>
  <c r="I556" s="1"/>
  <c r="F556"/>
  <c r="E556"/>
  <c r="H553"/>
  <c r="I553" s="1"/>
  <c r="F553"/>
  <c r="E553"/>
  <c r="H552"/>
  <c r="I552" s="1"/>
  <c r="F552"/>
  <c r="E552"/>
  <c r="H551"/>
  <c r="I551" s="1"/>
  <c r="F551"/>
  <c r="E551"/>
  <c r="I548"/>
  <c r="I547"/>
  <c r="H546"/>
  <c r="I546" s="1"/>
  <c r="F546"/>
  <c r="E546"/>
  <c r="H545"/>
  <c r="I545" s="1"/>
  <c r="F545"/>
  <c r="E545"/>
  <c r="H542"/>
  <c r="I542" s="1"/>
  <c r="F542"/>
  <c r="E542"/>
  <c r="I541"/>
  <c r="H540"/>
  <c r="I540" s="1"/>
  <c r="F540"/>
  <c r="E540"/>
  <c r="H539"/>
  <c r="I539" s="1"/>
  <c r="F539"/>
  <c r="E539"/>
  <c r="H533"/>
  <c r="I533" s="1"/>
  <c r="F533"/>
  <c r="E533"/>
  <c r="H532"/>
  <c r="I532" s="1"/>
  <c r="F532"/>
  <c r="E532"/>
  <c r="H531"/>
  <c r="I531" s="1"/>
  <c r="F531"/>
  <c r="E531"/>
  <c r="I528"/>
  <c r="H527"/>
  <c r="I527" s="1"/>
  <c r="F527"/>
  <c r="E527"/>
  <c r="H526"/>
  <c r="I526" s="1"/>
  <c r="F526"/>
  <c r="E526"/>
  <c r="H523"/>
  <c r="I523" s="1"/>
  <c r="F523"/>
  <c r="E523"/>
  <c r="H522"/>
  <c r="I522" s="1"/>
  <c r="F522"/>
  <c r="E522"/>
  <c r="H521"/>
  <c r="I521" s="1"/>
  <c r="F521"/>
  <c r="E521"/>
  <c r="I516"/>
  <c r="H515"/>
  <c r="I515" s="1"/>
  <c r="F515"/>
  <c r="E515"/>
  <c r="H514"/>
  <c r="I514" s="1"/>
  <c r="F514"/>
  <c r="E514"/>
  <c r="I511"/>
  <c r="H510"/>
  <c r="I510" s="1"/>
  <c r="F510"/>
  <c r="E510"/>
  <c r="H509"/>
  <c r="I509" s="1"/>
  <c r="F509"/>
  <c r="E509"/>
  <c r="H506"/>
  <c r="I506" s="1"/>
  <c r="F506"/>
  <c r="E506"/>
  <c r="H505"/>
  <c r="I505" s="1"/>
  <c r="F505"/>
  <c r="E505"/>
  <c r="H504"/>
  <c r="I504" s="1"/>
  <c r="F504"/>
  <c r="E504"/>
  <c r="I501"/>
  <c r="H500"/>
  <c r="I500" s="1"/>
  <c r="F500"/>
  <c r="E500"/>
  <c r="H499"/>
  <c r="I499" s="1"/>
  <c r="F499"/>
  <c r="E499"/>
  <c r="H494"/>
  <c r="I494" s="1"/>
  <c r="F494"/>
  <c r="E494"/>
  <c r="H493"/>
  <c r="I493" s="1"/>
  <c r="F493"/>
  <c r="E493"/>
  <c r="H492"/>
  <c r="I492" s="1"/>
  <c r="F492"/>
  <c r="E492"/>
  <c r="H489"/>
  <c r="I489" s="1"/>
  <c r="F489"/>
  <c r="E489"/>
  <c r="H488"/>
  <c r="I488" s="1"/>
  <c r="F488"/>
  <c r="E488"/>
  <c r="H487"/>
  <c r="I487" s="1"/>
  <c r="F487"/>
  <c r="E487"/>
  <c r="I484"/>
  <c r="H483"/>
  <c r="I483" s="1"/>
  <c r="F483"/>
  <c r="E483"/>
  <c r="H482"/>
  <c r="I482" s="1"/>
  <c r="F482"/>
  <c r="E482"/>
  <c r="H479"/>
  <c r="I479" s="1"/>
  <c r="F479"/>
  <c r="E479"/>
  <c r="H478"/>
  <c r="I478" s="1"/>
  <c r="F478"/>
  <c r="E478"/>
  <c r="H477"/>
  <c r="I477" s="1"/>
  <c r="F477"/>
  <c r="E477"/>
  <c r="I474"/>
  <c r="H473"/>
  <c r="I473" s="1"/>
  <c r="F473"/>
  <c r="E473"/>
  <c r="H472"/>
  <c r="I472" s="1"/>
  <c r="F472"/>
  <c r="E472"/>
  <c r="H469"/>
  <c r="I469" s="1"/>
  <c r="F469"/>
  <c r="E469"/>
  <c r="H467"/>
  <c r="I467" s="1"/>
  <c r="F467"/>
  <c r="E467"/>
  <c r="H466"/>
  <c r="I466" s="1"/>
  <c r="F466"/>
  <c r="E466"/>
  <c r="H465"/>
  <c r="I465" s="1"/>
  <c r="F465"/>
  <c r="E465"/>
  <c r="H463"/>
  <c r="I463" s="1"/>
  <c r="F463"/>
  <c r="E463"/>
  <c r="H462"/>
  <c r="I462" s="1"/>
  <c r="F462"/>
  <c r="E462"/>
  <c r="H461"/>
  <c r="I461" s="1"/>
  <c r="F461"/>
  <c r="E461"/>
  <c r="H460"/>
  <c r="I460" s="1"/>
  <c r="F460"/>
  <c r="E460"/>
  <c r="H458"/>
  <c r="I458" s="1"/>
  <c r="F458"/>
  <c r="E458"/>
  <c r="H457"/>
  <c r="I457" s="1"/>
  <c r="F457"/>
  <c r="E457"/>
  <c r="H456"/>
  <c r="I456" s="1"/>
  <c r="F456"/>
  <c r="E456"/>
  <c r="H455"/>
  <c r="I455" s="1"/>
  <c r="F455"/>
  <c r="E455"/>
  <c r="H451"/>
  <c r="I451" s="1"/>
  <c r="F451"/>
  <c r="E451"/>
  <c r="H450"/>
  <c r="I450" s="1"/>
  <c r="F450"/>
  <c r="E450"/>
  <c r="H449"/>
  <c r="I449" s="1"/>
  <c r="F449"/>
  <c r="E449"/>
  <c r="I446"/>
  <c r="H445"/>
  <c r="I445" s="1"/>
  <c r="F445"/>
  <c r="E445"/>
  <c r="H444"/>
  <c r="I444" s="1"/>
  <c r="F444"/>
  <c r="E444"/>
  <c r="I441"/>
  <c r="H440"/>
  <c r="I440" s="1"/>
  <c r="F440"/>
  <c r="E440"/>
  <c r="H439"/>
  <c r="I439" s="1"/>
  <c r="F439"/>
  <c r="E439"/>
  <c r="I436"/>
  <c r="I435"/>
  <c r="H434"/>
  <c r="I434" s="1"/>
  <c r="F434"/>
  <c r="E434"/>
  <c r="H433"/>
  <c r="I433" s="1"/>
  <c r="F433"/>
  <c r="E433"/>
  <c r="I430"/>
  <c r="H429"/>
  <c r="I429" s="1"/>
  <c r="F429"/>
  <c r="E429"/>
  <c r="H428"/>
  <c r="I428" s="1"/>
  <c r="F428"/>
  <c r="E428"/>
  <c r="H425"/>
  <c r="I425" s="1"/>
  <c r="F425"/>
  <c r="E425"/>
  <c r="H424"/>
  <c r="I424" s="1"/>
  <c r="F424"/>
  <c r="E424"/>
  <c r="H423"/>
  <c r="I423" s="1"/>
  <c r="F423"/>
  <c r="E423"/>
  <c r="H422"/>
  <c r="I422" s="1"/>
  <c r="F422"/>
  <c r="E422"/>
  <c r="H419"/>
  <c r="I419" s="1"/>
  <c r="F419"/>
  <c r="E419"/>
  <c r="H418"/>
  <c r="I418" s="1"/>
  <c r="F418"/>
  <c r="E418"/>
  <c r="H417"/>
  <c r="I417" s="1"/>
  <c r="F417"/>
  <c r="E417"/>
  <c r="H416"/>
  <c r="I416" s="1"/>
  <c r="F416"/>
  <c r="E416"/>
  <c r="H413"/>
  <c r="I413" s="1"/>
  <c r="F413"/>
  <c r="E413"/>
  <c r="H412"/>
  <c r="I412" s="1"/>
  <c r="F412"/>
  <c r="E412"/>
  <c r="H411"/>
  <c r="I411" s="1"/>
  <c r="F411"/>
  <c r="E411"/>
  <c r="H410"/>
  <c r="I410" s="1"/>
  <c r="F410"/>
  <c r="E410"/>
  <c r="H407"/>
  <c r="I407" s="1"/>
  <c r="F407"/>
  <c r="E407"/>
  <c r="H406"/>
  <c r="I406" s="1"/>
  <c r="F406"/>
  <c r="E406"/>
  <c r="H405"/>
  <c r="I405" s="1"/>
  <c r="F405"/>
  <c r="E405"/>
  <c r="H404"/>
  <c r="I404" s="1"/>
  <c r="F404"/>
  <c r="E404"/>
  <c r="H401"/>
  <c r="I401" s="1"/>
  <c r="F401"/>
  <c r="E401"/>
  <c r="H400"/>
  <c r="I400" s="1"/>
  <c r="F400"/>
  <c r="E400"/>
  <c r="H399"/>
  <c r="I399" s="1"/>
  <c r="F399"/>
  <c r="E399"/>
  <c r="H398"/>
  <c r="I398" s="1"/>
  <c r="F398"/>
  <c r="E398"/>
  <c r="H395"/>
  <c r="I395" s="1"/>
  <c r="F395"/>
  <c r="E395"/>
  <c r="H394"/>
  <c r="I394" s="1"/>
  <c r="F394"/>
  <c r="E394"/>
  <c r="H393"/>
  <c r="I393" s="1"/>
  <c r="F393"/>
  <c r="E393"/>
  <c r="I390"/>
  <c r="H389"/>
  <c r="I389" s="1"/>
  <c r="F389"/>
  <c r="E389"/>
  <c r="I386"/>
  <c r="H385"/>
  <c r="I385" s="1"/>
  <c r="F385"/>
  <c r="E385"/>
  <c r="H384"/>
  <c r="I384" s="1"/>
  <c r="F384"/>
  <c r="E384"/>
  <c r="H381"/>
  <c r="I381" s="1"/>
  <c r="F381"/>
  <c r="E381"/>
  <c r="H380"/>
  <c r="I380" s="1"/>
  <c r="F380"/>
  <c r="E380"/>
  <c r="H379"/>
  <c r="I379" s="1"/>
  <c r="F379"/>
  <c r="E379"/>
  <c r="H376"/>
  <c r="I376" s="1"/>
  <c r="F376"/>
  <c r="E376"/>
  <c r="H375"/>
  <c r="I375" s="1"/>
  <c r="F375"/>
  <c r="E375"/>
  <c r="H374"/>
  <c r="I374" s="1"/>
  <c r="F374"/>
  <c r="E374"/>
  <c r="H371"/>
  <c r="I371" s="1"/>
  <c r="F371"/>
  <c r="E371"/>
  <c r="H370"/>
  <c r="I370" s="1"/>
  <c r="F370"/>
  <c r="E370"/>
  <c r="H369"/>
  <c r="I369" s="1"/>
  <c r="F369"/>
  <c r="E369"/>
  <c r="I366"/>
  <c r="H365"/>
  <c r="I365" s="1"/>
  <c r="F365"/>
  <c r="E365"/>
  <c r="H364"/>
  <c r="I364" s="1"/>
  <c r="F364"/>
  <c r="E364"/>
  <c r="I361"/>
  <c r="H360"/>
  <c r="I360" s="1"/>
  <c r="F360"/>
  <c r="E360"/>
  <c r="H359"/>
  <c r="I359" s="1"/>
  <c r="F359"/>
  <c r="E359"/>
  <c r="H356"/>
  <c r="I356" s="1"/>
  <c r="F356"/>
  <c r="E356"/>
  <c r="H355"/>
  <c r="I355" s="1"/>
  <c r="F355"/>
  <c r="E355"/>
  <c r="H354"/>
  <c r="I354" s="1"/>
  <c r="F354"/>
  <c r="E354"/>
  <c r="I351"/>
  <c r="H350"/>
  <c r="I350" s="1"/>
  <c r="F350"/>
  <c r="E350"/>
  <c r="H349"/>
  <c r="I349" s="1"/>
  <c r="F349"/>
  <c r="E349"/>
  <c r="I346"/>
  <c r="H345"/>
  <c r="I345" s="1"/>
  <c r="F345"/>
  <c r="E345"/>
  <c r="H344"/>
  <c r="I344" s="1"/>
  <c r="F344"/>
  <c r="E344"/>
  <c r="H341"/>
  <c r="I341" s="1"/>
  <c r="F341"/>
  <c r="E341"/>
  <c r="H340"/>
  <c r="I340" s="1"/>
  <c r="F340"/>
  <c r="E340"/>
  <c r="H339"/>
  <c r="I339" s="1"/>
  <c r="F339"/>
  <c r="E339"/>
  <c r="H336"/>
  <c r="I336" s="1"/>
  <c r="F336"/>
  <c r="E336"/>
  <c r="H335"/>
  <c r="I335" s="1"/>
  <c r="F335"/>
  <c r="E335"/>
  <c r="H334"/>
  <c r="I334" s="1"/>
  <c r="F334"/>
  <c r="E334"/>
  <c r="I331"/>
  <c r="I330"/>
  <c r="I329"/>
  <c r="H328"/>
  <c r="I328" s="1"/>
  <c r="F328"/>
  <c r="E328"/>
  <c r="H327"/>
  <c r="I327" s="1"/>
  <c r="F327"/>
  <c r="E327"/>
  <c r="H326"/>
  <c r="I326" s="1"/>
  <c r="F326"/>
  <c r="E326"/>
  <c r="I323"/>
  <c r="H322"/>
  <c r="I322" s="1"/>
  <c r="F322"/>
  <c r="E322"/>
  <c r="I725"/>
  <c r="E726"/>
  <c r="F726"/>
  <c r="H726"/>
  <c r="I726" s="1"/>
  <c r="E732"/>
  <c r="F732"/>
  <c r="G732"/>
  <c r="H732"/>
  <c r="E733"/>
  <c r="F733"/>
  <c r="H733"/>
  <c r="E735"/>
  <c r="F735"/>
  <c r="G735"/>
  <c r="H735"/>
  <c r="E736"/>
  <c r="F736"/>
  <c r="H736"/>
  <c r="E737"/>
  <c r="F737"/>
  <c r="H737"/>
  <c r="E738"/>
  <c r="F738"/>
  <c r="H738"/>
  <c r="E739"/>
  <c r="F739"/>
  <c r="H739"/>
  <c r="E740"/>
  <c r="F740"/>
  <c r="G740"/>
  <c r="H740"/>
  <c r="E742"/>
  <c r="F742"/>
  <c r="G742"/>
  <c r="H742"/>
  <c r="E743"/>
  <c r="F743"/>
  <c r="H743"/>
  <c r="I743" s="1"/>
  <c r="E746"/>
  <c r="F746"/>
  <c r="H746"/>
  <c r="I746" s="1"/>
  <c r="I747"/>
  <c r="E748"/>
  <c r="F748"/>
  <c r="H748"/>
  <c r="I748" s="1"/>
  <c r="E749"/>
  <c r="F749"/>
  <c r="H749"/>
  <c r="I749" s="1"/>
  <c r="E752"/>
  <c r="F752"/>
  <c r="H752"/>
  <c r="I752" s="1"/>
  <c r="E753"/>
  <c r="F753"/>
  <c r="H753"/>
  <c r="I753" s="1"/>
  <c r="E754"/>
  <c r="F754"/>
  <c r="H754"/>
  <c r="I754" s="1"/>
  <c r="E755"/>
  <c r="F755"/>
  <c r="H755"/>
  <c r="I755" s="1"/>
  <c r="I785"/>
  <c r="E786"/>
  <c r="F786"/>
  <c r="H786"/>
  <c r="I786" s="1"/>
  <c r="E787"/>
  <c r="F787"/>
  <c r="H787"/>
  <c r="I787" s="1"/>
  <c r="E903"/>
  <c r="F903"/>
  <c r="H903"/>
  <c r="I903" s="1"/>
  <c r="E904"/>
  <c r="F904"/>
  <c r="H904"/>
  <c r="I904" s="1"/>
  <c r="E907"/>
  <c r="F907"/>
  <c r="H907"/>
  <c r="I907" s="1"/>
  <c r="E908"/>
  <c r="F908"/>
  <c r="H908"/>
  <c r="I908" s="1"/>
  <c r="E931"/>
  <c r="F931"/>
  <c r="H931"/>
  <c r="I931" s="1"/>
  <c r="I930" s="1"/>
  <c r="E779" i="44"/>
  <c r="L779"/>
  <c r="I593" i="43" l="1"/>
  <c r="I453"/>
  <c r="I471"/>
  <c r="C362" i="41"/>
  <c r="C361"/>
  <c r="I363" i="43"/>
  <c r="I338"/>
  <c r="I443"/>
  <c r="I675"/>
  <c r="I701"/>
  <c r="I616"/>
  <c r="I626"/>
  <c r="I680"/>
  <c r="I373"/>
  <c r="I643"/>
  <c r="I513"/>
  <c r="I654"/>
  <c r="I742"/>
  <c r="I670"/>
  <c r="I690"/>
  <c r="I583"/>
  <c r="I409"/>
  <c r="I368"/>
  <c r="I555"/>
  <c r="I659"/>
  <c r="I321"/>
  <c r="I333"/>
  <c r="I378"/>
  <c r="I388"/>
  <c r="I397"/>
  <c r="I403"/>
  <c r="I567"/>
  <c r="I421"/>
  <c r="I631"/>
  <c r="I544"/>
  <c r="I550"/>
  <c r="I588"/>
  <c r="I498"/>
  <c r="I525"/>
  <c r="I611"/>
  <c r="I621"/>
  <c r="I740"/>
  <c r="I732"/>
  <c r="I343"/>
  <c r="I432"/>
  <c r="I438"/>
  <c r="I481"/>
  <c r="I696"/>
  <c r="I711"/>
  <c r="I784"/>
  <c r="G736"/>
  <c r="I736" s="1"/>
  <c r="I325"/>
  <c r="I348"/>
  <c r="I503"/>
  <c r="I530"/>
  <c r="I560"/>
  <c r="I574"/>
  <c r="I427"/>
  <c r="I486"/>
  <c r="I508"/>
  <c r="I538"/>
  <c r="I716"/>
  <c r="I353"/>
  <c r="I415"/>
  <c r="I491"/>
  <c r="I520"/>
  <c r="I637"/>
  <c r="I665"/>
  <c r="I685"/>
  <c r="I358"/>
  <c r="I383"/>
  <c r="I392"/>
  <c r="I448"/>
  <c r="I476"/>
  <c r="I649"/>
  <c r="I707"/>
  <c r="I751"/>
  <c r="I906"/>
  <c r="I902"/>
  <c r="I733"/>
  <c r="I724"/>
  <c r="I745"/>
  <c r="G737"/>
  <c r="I735"/>
  <c r="I737" l="1"/>
  <c r="G738"/>
  <c r="I738" l="1"/>
  <c r="G739"/>
  <c r="I739" s="1"/>
  <c r="I730" l="1"/>
  <c r="K121" i="44" l="1"/>
  <c r="G62" i="41" s="1"/>
  <c r="K116" i="44"/>
  <c r="K115"/>
  <c r="K106"/>
  <c r="E100"/>
  <c r="E99"/>
  <c r="E103"/>
  <c r="L103"/>
  <c r="J62" i="41" l="1"/>
  <c r="K127" i="44"/>
  <c r="G68" i="41" s="1"/>
  <c r="G51"/>
  <c r="K113" i="44"/>
  <c r="G59" i="41" s="1"/>
  <c r="K95" i="44"/>
  <c r="K94"/>
  <c r="E78"/>
  <c r="L78"/>
  <c r="E97"/>
  <c r="L97"/>
  <c r="J59" i="41" l="1"/>
  <c r="J68"/>
  <c r="J51"/>
  <c r="K92" i="44"/>
  <c r="K100"/>
  <c r="K99"/>
  <c r="L92"/>
  <c r="E92"/>
  <c r="K97" l="1"/>
  <c r="K79"/>
  <c r="G40" i="41" s="1"/>
  <c r="L79" i="44"/>
  <c r="E79"/>
  <c r="K76"/>
  <c r="G37" i="41" s="1"/>
  <c r="K75" i="44"/>
  <c r="H68"/>
  <c r="H73" s="1"/>
  <c r="E73"/>
  <c r="F73"/>
  <c r="F72"/>
  <c r="E72"/>
  <c r="H67"/>
  <c r="H72" s="1"/>
  <c r="F63"/>
  <c r="F62"/>
  <c r="E63"/>
  <c r="E62"/>
  <c r="J40" i="41" l="1"/>
  <c r="J37"/>
  <c r="K105" i="44"/>
  <c r="G50" i="41" s="1"/>
  <c r="K123" i="44"/>
  <c r="G64" i="41" s="1"/>
  <c r="K72" i="44"/>
  <c r="K77"/>
  <c r="G38" i="41" s="1"/>
  <c r="K63" i="44"/>
  <c r="K67"/>
  <c r="K73"/>
  <c r="K70" s="1"/>
  <c r="G35" i="41" s="1"/>
  <c r="K68" i="44"/>
  <c r="K62"/>
  <c r="K60" s="1"/>
  <c r="D56" i="62"/>
  <c r="D55"/>
  <c r="D54"/>
  <c r="I317" i="43"/>
  <c r="H316"/>
  <c r="I316" s="1"/>
  <c r="F316"/>
  <c r="E316"/>
  <c r="H315"/>
  <c r="I315" s="1"/>
  <c r="F315"/>
  <c r="E315"/>
  <c r="H314"/>
  <c r="I314" s="1"/>
  <c r="F314"/>
  <c r="E314"/>
  <c r="H313"/>
  <c r="I313" s="1"/>
  <c r="F313"/>
  <c r="E313"/>
  <c r="H312"/>
  <c r="I312" s="1"/>
  <c r="F312"/>
  <c r="E312"/>
  <c r="H311"/>
  <c r="I311" s="1"/>
  <c r="F311"/>
  <c r="E311"/>
  <c r="H310"/>
  <c r="I310" s="1"/>
  <c r="F310"/>
  <c r="E310"/>
  <c r="H309"/>
  <c r="I309" s="1"/>
  <c r="F309"/>
  <c r="E309"/>
  <c r="H305"/>
  <c r="I305" s="1"/>
  <c r="F305"/>
  <c r="E305"/>
  <c r="H304"/>
  <c r="I304" s="1"/>
  <c r="F304"/>
  <c r="E304"/>
  <c r="I303"/>
  <c r="H302"/>
  <c r="I302" s="1"/>
  <c r="F302"/>
  <c r="E302"/>
  <c r="H301"/>
  <c r="I301" s="1"/>
  <c r="F301"/>
  <c r="E301"/>
  <c r="H300"/>
  <c r="I300" s="1"/>
  <c r="F300"/>
  <c r="E300"/>
  <c r="H299"/>
  <c r="I299" s="1"/>
  <c r="F299"/>
  <c r="E299"/>
  <c r="H298"/>
  <c r="I298" s="1"/>
  <c r="F298"/>
  <c r="E298"/>
  <c r="H297"/>
  <c r="I297" s="1"/>
  <c r="F297"/>
  <c r="E297"/>
  <c r="H296"/>
  <c r="I296" s="1"/>
  <c r="F296"/>
  <c r="E296"/>
  <c r="H295"/>
  <c r="I295" s="1"/>
  <c r="F295"/>
  <c r="E295"/>
  <c r="I292"/>
  <c r="H291"/>
  <c r="I291" s="1"/>
  <c r="F291"/>
  <c r="E291"/>
  <c r="H290"/>
  <c r="I290" s="1"/>
  <c r="F290"/>
  <c r="E290"/>
  <c r="H289"/>
  <c r="I289" s="1"/>
  <c r="F289"/>
  <c r="E289"/>
  <c r="H288"/>
  <c r="I288" s="1"/>
  <c r="F288"/>
  <c r="E288"/>
  <c r="H287"/>
  <c r="I287" s="1"/>
  <c r="F287"/>
  <c r="E287"/>
  <c r="H286"/>
  <c r="I286" s="1"/>
  <c r="F286"/>
  <c r="E286"/>
  <c r="H285"/>
  <c r="I285" s="1"/>
  <c r="F285"/>
  <c r="E285"/>
  <c r="H284"/>
  <c r="I284" s="1"/>
  <c r="F284"/>
  <c r="E284"/>
  <c r="I281"/>
  <c r="I280"/>
  <c r="H279"/>
  <c r="I279" s="1"/>
  <c r="F279"/>
  <c r="E279"/>
  <c r="H278"/>
  <c r="I278" s="1"/>
  <c r="F278"/>
  <c r="E278"/>
  <c r="I275"/>
  <c r="H274"/>
  <c r="I274" s="1"/>
  <c r="F274"/>
  <c r="E274"/>
  <c r="H273"/>
  <c r="I273" s="1"/>
  <c r="F273"/>
  <c r="E273"/>
  <c r="H269"/>
  <c r="I269" s="1"/>
  <c r="F269"/>
  <c r="E269"/>
  <c r="H268"/>
  <c r="I268" s="1"/>
  <c r="F268"/>
  <c r="E268"/>
  <c r="H267"/>
  <c r="I267" s="1"/>
  <c r="F267"/>
  <c r="E267"/>
  <c r="H266"/>
  <c r="I266" s="1"/>
  <c r="F266"/>
  <c r="E266"/>
  <c r="H265"/>
  <c r="I265" s="1"/>
  <c r="F265"/>
  <c r="E265"/>
  <c r="H264"/>
  <c r="I264" s="1"/>
  <c r="F264"/>
  <c r="E264"/>
  <c r="H263"/>
  <c r="I263" s="1"/>
  <c r="F263"/>
  <c r="E263"/>
  <c r="H262"/>
  <c r="I262" s="1"/>
  <c r="F262"/>
  <c r="E262"/>
  <c r="H259"/>
  <c r="G259"/>
  <c r="F259"/>
  <c r="E259"/>
  <c r="H257"/>
  <c r="G257"/>
  <c r="F257"/>
  <c r="E257"/>
  <c r="H256"/>
  <c r="F256"/>
  <c r="E256"/>
  <c r="H255"/>
  <c r="F255"/>
  <c r="E255"/>
  <c r="H254"/>
  <c r="F254"/>
  <c r="E254"/>
  <c r="H253"/>
  <c r="G253"/>
  <c r="F253"/>
  <c r="E253"/>
  <c r="H251"/>
  <c r="G251"/>
  <c r="F251"/>
  <c r="E251"/>
  <c r="H249"/>
  <c r="G249"/>
  <c r="F249"/>
  <c r="E249"/>
  <c r="H248"/>
  <c r="I248" s="1"/>
  <c r="F248"/>
  <c r="E248"/>
  <c r="H247"/>
  <c r="I247" s="1"/>
  <c r="F247"/>
  <c r="E247"/>
  <c r="I246"/>
  <c r="H244"/>
  <c r="G244"/>
  <c r="F244"/>
  <c r="E244"/>
  <c r="H243"/>
  <c r="I243" s="1"/>
  <c r="F243"/>
  <c r="E243"/>
  <c r="H242"/>
  <c r="I242" s="1"/>
  <c r="F242"/>
  <c r="E242"/>
  <c r="H238"/>
  <c r="F238"/>
  <c r="E238"/>
  <c r="H237"/>
  <c r="F237"/>
  <c r="E237"/>
  <c r="H236"/>
  <c r="F236"/>
  <c r="E236"/>
  <c r="H235"/>
  <c r="F235"/>
  <c r="E235"/>
  <c r="H234"/>
  <c r="G234"/>
  <c r="G238" s="1"/>
  <c r="F234"/>
  <c r="E234"/>
  <c r="H233"/>
  <c r="G233"/>
  <c r="G237" s="1"/>
  <c r="F233"/>
  <c r="E233"/>
  <c r="H232"/>
  <c r="F232"/>
  <c r="E232"/>
  <c r="H231"/>
  <c r="G231"/>
  <c r="F231"/>
  <c r="E231"/>
  <c r="H229"/>
  <c r="I229" s="1"/>
  <c r="H228"/>
  <c r="I228" s="1"/>
  <c r="F228"/>
  <c r="E228"/>
  <c r="H227"/>
  <c r="I227" s="1"/>
  <c r="F227"/>
  <c r="E227"/>
  <c r="H226"/>
  <c r="I226" s="1"/>
  <c r="F226"/>
  <c r="E226"/>
  <c r="H225"/>
  <c r="F225"/>
  <c r="E225"/>
  <c r="H224"/>
  <c r="G224"/>
  <c r="F224"/>
  <c r="E224"/>
  <c r="H223"/>
  <c r="I223" s="1"/>
  <c r="F223"/>
  <c r="E223"/>
  <c r="H222"/>
  <c r="I222" s="1"/>
  <c r="F222"/>
  <c r="E222"/>
  <c r="H221"/>
  <c r="I221" s="1"/>
  <c r="F221"/>
  <c r="E221"/>
  <c r="H220"/>
  <c r="I220" s="1"/>
  <c r="F220"/>
  <c r="E220"/>
  <c r="H219"/>
  <c r="I219" s="1"/>
  <c r="F219"/>
  <c r="E219"/>
  <c r="H218"/>
  <c r="I218" s="1"/>
  <c r="F218"/>
  <c r="E218"/>
  <c r="H215"/>
  <c r="F215"/>
  <c r="E215"/>
  <c r="H214"/>
  <c r="G214"/>
  <c r="F214"/>
  <c r="E214"/>
  <c r="H213"/>
  <c r="I213" s="1"/>
  <c r="F213"/>
  <c r="E213"/>
  <c r="H212"/>
  <c r="I212" s="1"/>
  <c r="F212"/>
  <c r="E212"/>
  <c r="H211"/>
  <c r="I211" s="1"/>
  <c r="F211"/>
  <c r="E211"/>
  <c r="H210"/>
  <c r="F210"/>
  <c r="E210"/>
  <c r="H209"/>
  <c r="F209"/>
  <c r="E209"/>
  <c r="H208"/>
  <c r="G208"/>
  <c r="F208"/>
  <c r="E208"/>
  <c r="H207"/>
  <c r="G207"/>
  <c r="G215" s="1"/>
  <c r="F207"/>
  <c r="E207"/>
  <c r="H206"/>
  <c r="G206"/>
  <c r="F206"/>
  <c r="E206"/>
  <c r="H205"/>
  <c r="G205"/>
  <c r="F205"/>
  <c r="E205"/>
  <c r="H203"/>
  <c r="I203" s="1"/>
  <c r="F203"/>
  <c r="E203"/>
  <c r="H202"/>
  <c r="I202" s="1"/>
  <c r="F202"/>
  <c r="E202"/>
  <c r="H201"/>
  <c r="I201" s="1"/>
  <c r="F201"/>
  <c r="E201"/>
  <c r="H200"/>
  <c r="I200" s="1"/>
  <c r="F200"/>
  <c r="E200"/>
  <c r="H199"/>
  <c r="I199" s="1"/>
  <c r="F199"/>
  <c r="E199"/>
  <c r="H198"/>
  <c r="I198" s="1"/>
  <c r="F198"/>
  <c r="E198"/>
  <c r="H197"/>
  <c r="I197" s="1"/>
  <c r="F197"/>
  <c r="E197"/>
  <c r="H196"/>
  <c r="I196" s="1"/>
  <c r="F196"/>
  <c r="E196"/>
  <c r="H194"/>
  <c r="I194" s="1"/>
  <c r="H193"/>
  <c r="I193" s="1"/>
  <c r="F193"/>
  <c r="E193"/>
  <c r="H192"/>
  <c r="I192" s="1"/>
  <c r="F192"/>
  <c r="E192"/>
  <c r="H191"/>
  <c r="I191" s="1"/>
  <c r="F191"/>
  <c r="E191"/>
  <c r="H190"/>
  <c r="I190" s="1"/>
  <c r="F190"/>
  <c r="E190"/>
  <c r="H189"/>
  <c r="F189"/>
  <c r="E189"/>
  <c r="H188"/>
  <c r="G188"/>
  <c r="G189" s="1"/>
  <c r="I189" s="1"/>
  <c r="F188"/>
  <c r="E188"/>
  <c r="H187"/>
  <c r="I187" s="1"/>
  <c r="F187"/>
  <c r="E187"/>
  <c r="H186"/>
  <c r="I186" s="1"/>
  <c r="F186"/>
  <c r="E186"/>
  <c r="H185"/>
  <c r="I185" s="1"/>
  <c r="F185"/>
  <c r="E185"/>
  <c r="H184"/>
  <c r="I184" s="1"/>
  <c r="F184"/>
  <c r="E184"/>
  <c r="H183"/>
  <c r="I183" s="1"/>
  <c r="F183"/>
  <c r="E183"/>
  <c r="H182"/>
  <c r="I182" s="1"/>
  <c r="F182"/>
  <c r="E182"/>
  <c r="H177"/>
  <c r="G177"/>
  <c r="F177"/>
  <c r="E177"/>
  <c r="H176"/>
  <c r="I176" s="1"/>
  <c r="F176"/>
  <c r="E176"/>
  <c r="H175"/>
  <c r="I175" s="1"/>
  <c r="F175"/>
  <c r="E175"/>
  <c r="H172"/>
  <c r="I172" s="1"/>
  <c r="F172"/>
  <c r="E172"/>
  <c r="H171"/>
  <c r="I171" s="1"/>
  <c r="F171"/>
  <c r="E171"/>
  <c r="H170"/>
  <c r="I170" s="1"/>
  <c r="F170"/>
  <c r="E170"/>
  <c r="H169"/>
  <c r="I169" s="1"/>
  <c r="F169"/>
  <c r="E169"/>
  <c r="H166"/>
  <c r="I166" s="1"/>
  <c r="F166"/>
  <c r="E166"/>
  <c r="H165"/>
  <c r="I165" s="1"/>
  <c r="F165"/>
  <c r="E165"/>
  <c r="H162"/>
  <c r="I162" s="1"/>
  <c r="F162"/>
  <c r="E162"/>
  <c r="H161"/>
  <c r="I161" s="1"/>
  <c r="F161"/>
  <c r="E161"/>
  <c r="H160"/>
  <c r="I160" s="1"/>
  <c r="F160"/>
  <c r="E160"/>
  <c r="H159"/>
  <c r="F159"/>
  <c r="E159"/>
  <c r="H158"/>
  <c r="G158"/>
  <c r="F158"/>
  <c r="E158"/>
  <c r="H157"/>
  <c r="G157"/>
  <c r="F157"/>
  <c r="E157"/>
  <c r="H152"/>
  <c r="I152" s="1"/>
  <c r="F152"/>
  <c r="E152"/>
  <c r="H151"/>
  <c r="I151" s="1"/>
  <c r="F151"/>
  <c r="E151"/>
  <c r="H150"/>
  <c r="I150" s="1"/>
  <c r="F150"/>
  <c r="E150"/>
  <c r="H140"/>
  <c r="I140" s="1"/>
  <c r="F140"/>
  <c r="E140"/>
  <c r="H139"/>
  <c r="I139" s="1"/>
  <c r="F139"/>
  <c r="E139"/>
  <c r="H138"/>
  <c r="I138" s="1"/>
  <c r="F138"/>
  <c r="E138"/>
  <c r="H137"/>
  <c r="I137" s="1"/>
  <c r="F137"/>
  <c r="E137"/>
  <c r="H136"/>
  <c r="I136" s="1"/>
  <c r="F136"/>
  <c r="E136"/>
  <c r="H135"/>
  <c r="I135" s="1"/>
  <c r="F135"/>
  <c r="E135"/>
  <c r="H134"/>
  <c r="I134" s="1"/>
  <c r="F134"/>
  <c r="E134"/>
  <c r="H131"/>
  <c r="I131" s="1"/>
  <c r="F131"/>
  <c r="E131"/>
  <c r="H130"/>
  <c r="I130" s="1"/>
  <c r="F130"/>
  <c r="E130"/>
  <c r="H129"/>
  <c r="I129" s="1"/>
  <c r="F129"/>
  <c r="E129"/>
  <c r="H128"/>
  <c r="I128" s="1"/>
  <c r="F128"/>
  <c r="E128"/>
  <c r="H127"/>
  <c r="I127" s="1"/>
  <c r="F127"/>
  <c r="E127"/>
  <c r="H126"/>
  <c r="I126" s="1"/>
  <c r="F126"/>
  <c r="E126"/>
  <c r="H125"/>
  <c r="I125" s="1"/>
  <c r="F125"/>
  <c r="E125"/>
  <c r="H120"/>
  <c r="I120" s="1"/>
  <c r="F120"/>
  <c r="E120"/>
  <c r="H119"/>
  <c r="G119"/>
  <c r="F119"/>
  <c r="E119"/>
  <c r="H118"/>
  <c r="I118" s="1"/>
  <c r="F118"/>
  <c r="E118"/>
  <c r="H117"/>
  <c r="I117" s="1"/>
  <c r="F117"/>
  <c r="E117"/>
  <c r="H116"/>
  <c r="I116" s="1"/>
  <c r="F116"/>
  <c r="E116"/>
  <c r="H115"/>
  <c r="I115" s="1"/>
  <c r="F115"/>
  <c r="E115"/>
  <c r="H114"/>
  <c r="I114" s="1"/>
  <c r="F114"/>
  <c r="E114"/>
  <c r="H111"/>
  <c r="I111" s="1"/>
  <c r="F111"/>
  <c r="E111"/>
  <c r="H110"/>
  <c r="I110" s="1"/>
  <c r="F110"/>
  <c r="E110"/>
  <c r="H109"/>
  <c r="I109" s="1"/>
  <c r="F109"/>
  <c r="E109"/>
  <c r="H108"/>
  <c r="I108" s="1"/>
  <c r="F108"/>
  <c r="E108"/>
  <c r="H107"/>
  <c r="I107" s="1"/>
  <c r="F107"/>
  <c r="E107"/>
  <c r="H104"/>
  <c r="I104" s="1"/>
  <c r="F104"/>
  <c r="E104"/>
  <c r="H103"/>
  <c r="I103" s="1"/>
  <c r="F103"/>
  <c r="E103"/>
  <c r="H102"/>
  <c r="I102" s="1"/>
  <c r="F102"/>
  <c r="E102"/>
  <c r="H100"/>
  <c r="I100" s="1"/>
  <c r="F100"/>
  <c r="E100"/>
  <c r="I99"/>
  <c r="H98"/>
  <c r="I98" s="1"/>
  <c r="F98"/>
  <c r="E98"/>
  <c r="H97"/>
  <c r="I97" s="1"/>
  <c r="F97"/>
  <c r="E97"/>
  <c r="H96"/>
  <c r="I96" s="1"/>
  <c r="F96"/>
  <c r="E96"/>
  <c r="H94"/>
  <c r="I94" s="1"/>
  <c r="F94"/>
  <c r="E94"/>
  <c r="I93"/>
  <c r="H90"/>
  <c r="I90" s="1"/>
  <c r="F90"/>
  <c r="E90"/>
  <c r="H89"/>
  <c r="I89" s="1"/>
  <c r="F89"/>
  <c r="E89"/>
  <c r="H88"/>
  <c r="I88" s="1"/>
  <c r="F88"/>
  <c r="E88"/>
  <c r="H87"/>
  <c r="I87" s="1"/>
  <c r="F87"/>
  <c r="E87"/>
  <c r="H85"/>
  <c r="I85" s="1"/>
  <c r="F85"/>
  <c r="E85"/>
  <c r="I84"/>
  <c r="H83"/>
  <c r="I83" s="1"/>
  <c r="F83"/>
  <c r="E83"/>
  <c r="H82"/>
  <c r="I82" s="1"/>
  <c r="F82"/>
  <c r="E82"/>
  <c r="H81"/>
  <c r="I81" s="1"/>
  <c r="F81"/>
  <c r="E81"/>
  <c r="H78"/>
  <c r="I78" s="1"/>
  <c r="F78"/>
  <c r="E78"/>
  <c r="H77"/>
  <c r="I77" s="1"/>
  <c r="F77"/>
  <c r="E77"/>
  <c r="H76"/>
  <c r="G76"/>
  <c r="F76"/>
  <c r="E76"/>
  <c r="H75"/>
  <c r="G75"/>
  <c r="F75"/>
  <c r="E75"/>
  <c r="H74"/>
  <c r="G74"/>
  <c r="F74"/>
  <c r="E74"/>
  <c r="H73"/>
  <c r="G73"/>
  <c r="F73"/>
  <c r="E73"/>
  <c r="H68"/>
  <c r="I68" s="1"/>
  <c r="F68"/>
  <c r="E68"/>
  <c r="H67"/>
  <c r="I67" s="1"/>
  <c r="F67"/>
  <c r="E67"/>
  <c r="H66"/>
  <c r="I66" s="1"/>
  <c r="F66"/>
  <c r="E66"/>
  <c r="H65"/>
  <c r="I65" s="1"/>
  <c r="F65"/>
  <c r="E65"/>
  <c r="H64"/>
  <c r="I64" s="1"/>
  <c r="F64"/>
  <c r="E64"/>
  <c r="H63"/>
  <c r="I63" s="1"/>
  <c r="F63"/>
  <c r="E63"/>
  <c r="H62"/>
  <c r="I62" s="1"/>
  <c r="F62"/>
  <c r="E62"/>
  <c r="H57"/>
  <c r="I57" s="1"/>
  <c r="F57"/>
  <c r="E57"/>
  <c r="H56"/>
  <c r="I56" s="1"/>
  <c r="F56"/>
  <c r="E56"/>
  <c r="H55"/>
  <c r="I55" s="1"/>
  <c r="F55"/>
  <c r="E55"/>
  <c r="H54"/>
  <c r="I54" s="1"/>
  <c r="F54"/>
  <c r="E54"/>
  <c r="H53"/>
  <c r="I53" s="1"/>
  <c r="F53"/>
  <c r="E53"/>
  <c r="H52"/>
  <c r="I52" s="1"/>
  <c r="F52"/>
  <c r="E52"/>
  <c r="H51"/>
  <c r="I51" s="1"/>
  <c r="F51"/>
  <c r="E51"/>
  <c r="H50"/>
  <c r="I50" s="1"/>
  <c r="F50"/>
  <c r="E50"/>
  <c r="H45"/>
  <c r="I45" s="1"/>
  <c r="F45"/>
  <c r="E45"/>
  <c r="H44"/>
  <c r="I44" s="1"/>
  <c r="F44"/>
  <c r="E44"/>
  <c r="H43"/>
  <c r="I43" s="1"/>
  <c r="F43"/>
  <c r="E43"/>
  <c r="H42"/>
  <c r="F42"/>
  <c r="E42"/>
  <c r="H41"/>
  <c r="G41"/>
  <c r="G42" s="1"/>
  <c r="I42" s="1"/>
  <c r="F41"/>
  <c r="E41"/>
  <c r="H40"/>
  <c r="I40" s="1"/>
  <c r="F40"/>
  <c r="E40"/>
  <c r="H39"/>
  <c r="I39" s="1"/>
  <c r="F39"/>
  <c r="E39"/>
  <c r="H38"/>
  <c r="I38" s="1"/>
  <c r="F38"/>
  <c r="E38"/>
  <c r="H37"/>
  <c r="I37" s="1"/>
  <c r="F37"/>
  <c r="E37"/>
  <c r="H34"/>
  <c r="I34" s="1"/>
  <c r="F34"/>
  <c r="E34"/>
  <c r="H33"/>
  <c r="I33" s="1"/>
  <c r="F33"/>
  <c r="E33"/>
  <c r="H24"/>
  <c r="I24" s="1"/>
  <c r="F24"/>
  <c r="E24"/>
  <c r="H23"/>
  <c r="I23" s="1"/>
  <c r="F23"/>
  <c r="E23"/>
  <c r="H20"/>
  <c r="I20" s="1"/>
  <c r="F20"/>
  <c r="E20"/>
  <c r="H19"/>
  <c r="I19" s="1"/>
  <c r="F19"/>
  <c r="E19"/>
  <c r="H18"/>
  <c r="I18" s="1"/>
  <c r="F18"/>
  <c r="E18"/>
  <c r="H17"/>
  <c r="I17" s="1"/>
  <c r="F17"/>
  <c r="E17"/>
  <c r="H16"/>
  <c r="I16" s="1"/>
  <c r="F16"/>
  <c r="E16"/>
  <c r="H15"/>
  <c r="I15" s="1"/>
  <c r="F15"/>
  <c r="E15"/>
  <c r="H14"/>
  <c r="I14" s="1"/>
  <c r="F14"/>
  <c r="E14"/>
  <c r="B7"/>
  <c r="B6"/>
  <c r="B5"/>
  <c r="B4"/>
  <c r="B3"/>
  <c r="D23" i="45"/>
  <c r="D27" s="1"/>
  <c r="D29" s="1"/>
  <c r="E29" s="1"/>
  <c r="D17"/>
  <c r="D9"/>
  <c r="C59" i="33"/>
  <c r="C48" i="45" s="1"/>
  <c r="C58" i="33"/>
  <c r="C47" i="45" s="1"/>
  <c r="C57" i="33"/>
  <c r="C46" i="45" s="1"/>
  <c r="B7" i="33"/>
  <c r="B6"/>
  <c r="B5"/>
  <c r="B4"/>
  <c r="B3"/>
  <c r="D618" i="41"/>
  <c r="C618"/>
  <c r="F618" s="1"/>
  <c r="D617"/>
  <c r="C617"/>
  <c r="F617" s="1"/>
  <c r="D616"/>
  <c r="C616"/>
  <c r="E615"/>
  <c r="D601"/>
  <c r="C601"/>
  <c r="E600"/>
  <c r="E599"/>
  <c r="C49" i="33" s="1"/>
  <c r="G341" i="41"/>
  <c r="D341"/>
  <c r="C341"/>
  <c r="E341" s="1"/>
  <c r="G313"/>
  <c r="D313"/>
  <c r="C313"/>
  <c r="G260"/>
  <c r="D260"/>
  <c r="C260"/>
  <c r="F260" s="1"/>
  <c r="E259"/>
  <c r="G223"/>
  <c r="D223"/>
  <c r="C223"/>
  <c r="E223" s="1"/>
  <c r="E222"/>
  <c r="E221"/>
  <c r="H210"/>
  <c r="H126"/>
  <c r="E106"/>
  <c r="E105"/>
  <c r="G45"/>
  <c r="D45"/>
  <c r="C45"/>
  <c r="H45" s="1"/>
  <c r="E44"/>
  <c r="D42"/>
  <c r="C42"/>
  <c r="H42" s="1"/>
  <c r="D41"/>
  <c r="C41"/>
  <c r="E41" s="1"/>
  <c r="D38"/>
  <c r="C38"/>
  <c r="G36"/>
  <c r="D36"/>
  <c r="C36"/>
  <c r="E36" s="1"/>
  <c r="D35"/>
  <c r="C35"/>
  <c r="F35" s="1"/>
  <c r="D34"/>
  <c r="C34"/>
  <c r="H34" s="1"/>
  <c r="D33"/>
  <c r="C33"/>
  <c r="E33" s="1"/>
  <c r="E32"/>
  <c r="E31"/>
  <c r="E30"/>
  <c r="C17" i="33" s="1"/>
  <c r="H24" i="41"/>
  <c r="E23"/>
  <c r="C15" i="33" s="1"/>
  <c r="D18" i="41"/>
  <c r="C18"/>
  <c r="F18" s="1"/>
  <c r="D17"/>
  <c r="E16"/>
  <c r="C13" i="33" s="1"/>
  <c r="D14" i="41"/>
  <c r="C14"/>
  <c r="F14" s="1"/>
  <c r="G13"/>
  <c r="D13"/>
  <c r="C13"/>
  <c r="F13" s="1"/>
  <c r="D12"/>
  <c r="C12"/>
  <c r="F12" s="1"/>
  <c r="D11"/>
  <c r="C11"/>
  <c r="F11" s="1"/>
  <c r="E10"/>
  <c r="C11" i="33" s="1"/>
  <c r="C59" i="48"/>
  <c r="C58"/>
  <c r="C57"/>
  <c r="B51"/>
  <c r="B49"/>
  <c r="C47"/>
  <c r="B47"/>
  <c r="C45"/>
  <c r="B45"/>
  <c r="C41"/>
  <c r="B41"/>
  <c r="B39"/>
  <c r="B37"/>
  <c r="B35"/>
  <c r="B33"/>
  <c r="C31"/>
  <c r="B31"/>
  <c r="B29"/>
  <c r="B27"/>
  <c r="B25"/>
  <c r="B17"/>
  <c r="B15"/>
  <c r="B13"/>
  <c r="B11"/>
  <c r="B7"/>
  <c r="B6"/>
  <c r="B5"/>
  <c r="B4"/>
  <c r="B3"/>
  <c r="L1045" i="44"/>
  <c r="E1045"/>
  <c r="L1044"/>
  <c r="E1044"/>
  <c r="G601" i="41"/>
  <c r="L825" i="44"/>
  <c r="E825"/>
  <c r="L824"/>
  <c r="E824"/>
  <c r="L821"/>
  <c r="E821"/>
  <c r="L813"/>
  <c r="E813"/>
  <c r="L812"/>
  <c r="E812"/>
  <c r="L811"/>
  <c r="E811"/>
  <c r="L810"/>
  <c r="E810"/>
  <c r="L801"/>
  <c r="E801"/>
  <c r="L800"/>
  <c r="E800"/>
  <c r="L799"/>
  <c r="E799"/>
  <c r="L798"/>
  <c r="E798"/>
  <c r="L797"/>
  <c r="E797"/>
  <c r="L796"/>
  <c r="E796"/>
  <c r="L795"/>
  <c r="E795"/>
  <c r="L794"/>
  <c r="E794"/>
  <c r="K792"/>
  <c r="G362" i="41" s="1"/>
  <c r="L790" i="44"/>
  <c r="E790"/>
  <c r="L789"/>
  <c r="E789"/>
  <c r="L788"/>
  <c r="E788"/>
  <c r="L787"/>
  <c r="E787"/>
  <c r="L786"/>
  <c r="E786"/>
  <c r="L785"/>
  <c r="E785"/>
  <c r="L784"/>
  <c r="E784"/>
  <c r="L783"/>
  <c r="E783"/>
  <c r="L782"/>
  <c r="E782"/>
  <c r="L781"/>
  <c r="E781"/>
  <c r="L778"/>
  <c r="E778"/>
  <c r="L777"/>
  <c r="E777"/>
  <c r="L776"/>
  <c r="E776"/>
  <c r="L775"/>
  <c r="E775"/>
  <c r="L774"/>
  <c r="E774"/>
  <c r="L773"/>
  <c r="E773"/>
  <c r="L772"/>
  <c r="E772"/>
  <c r="L771"/>
  <c r="E771"/>
  <c r="L768"/>
  <c r="E768"/>
  <c r="L767"/>
  <c r="E767"/>
  <c r="L766"/>
  <c r="E766"/>
  <c r="L765"/>
  <c r="E765"/>
  <c r="L764"/>
  <c r="E764"/>
  <c r="L763"/>
  <c r="E763"/>
  <c r="L762"/>
  <c r="E762"/>
  <c r="L761"/>
  <c r="E761"/>
  <c r="C760"/>
  <c r="C329" i="41" s="1"/>
  <c r="L759" i="44"/>
  <c r="E759"/>
  <c r="L758"/>
  <c r="E758"/>
  <c r="L757"/>
  <c r="E757"/>
  <c r="L756"/>
  <c r="E756"/>
  <c r="L755"/>
  <c r="E755"/>
  <c r="L754"/>
  <c r="K754"/>
  <c r="G323" i="41" s="1"/>
  <c r="E754" i="44"/>
  <c r="L753"/>
  <c r="E753"/>
  <c r="L752"/>
  <c r="K752"/>
  <c r="G321" i="41" s="1"/>
  <c r="E752" i="44"/>
  <c r="L751"/>
  <c r="E751"/>
  <c r="K750"/>
  <c r="G319" i="41" s="1"/>
  <c r="C750" i="44"/>
  <c r="C319" i="41" s="1"/>
  <c r="L749" i="44"/>
  <c r="E749"/>
  <c r="C748"/>
  <c r="C317" i="41" s="1"/>
  <c r="L747" i="44"/>
  <c r="E747"/>
  <c r="L746"/>
  <c r="E746"/>
  <c r="L745"/>
  <c r="E745"/>
  <c r="L744"/>
  <c r="E744"/>
  <c r="C742"/>
  <c r="C311" i="41" s="1"/>
  <c r="C741" i="44"/>
  <c r="C310" i="41" s="1"/>
  <c r="C740" i="44"/>
  <c r="C309" i="41" s="1"/>
  <c r="L739" i="44"/>
  <c r="E739"/>
  <c r="L738"/>
  <c r="E738"/>
  <c r="L737"/>
  <c r="E737"/>
  <c r="L736"/>
  <c r="E736"/>
  <c r="L735"/>
  <c r="E735"/>
  <c r="L734"/>
  <c r="E734"/>
  <c r="L733"/>
  <c r="E733"/>
  <c r="L732"/>
  <c r="E732"/>
  <c r="L731"/>
  <c r="E731"/>
  <c r="L730"/>
  <c r="E730"/>
  <c r="L729"/>
  <c r="E729"/>
  <c r="L728"/>
  <c r="E728"/>
  <c r="L727"/>
  <c r="E727"/>
  <c r="L726"/>
  <c r="E726"/>
  <c r="L725"/>
  <c r="E725"/>
  <c r="L724"/>
  <c r="E724"/>
  <c r="L723"/>
  <c r="E723"/>
  <c r="L722"/>
  <c r="E722"/>
  <c r="L721"/>
  <c r="E721"/>
  <c r="L720"/>
  <c r="E720"/>
  <c r="L719"/>
  <c r="E719"/>
  <c r="L718"/>
  <c r="E718"/>
  <c r="L717"/>
  <c r="E717"/>
  <c r="L716"/>
  <c r="E716"/>
  <c r="L715"/>
  <c r="E715"/>
  <c r="L714"/>
  <c r="E714"/>
  <c r="L713"/>
  <c r="E713"/>
  <c r="L712"/>
  <c r="E712"/>
  <c r="L711"/>
  <c r="E711"/>
  <c r="L710"/>
  <c r="E710"/>
  <c r="L709"/>
  <c r="E709"/>
  <c r="L708"/>
  <c r="E708"/>
  <c r="L707"/>
  <c r="E707"/>
  <c r="L706"/>
  <c r="E706"/>
  <c r="L705"/>
  <c r="E705"/>
  <c r="L704"/>
  <c r="E704"/>
  <c r="L703"/>
  <c r="E703"/>
  <c r="L702"/>
  <c r="E702"/>
  <c r="L701"/>
  <c r="E701"/>
  <c r="L700"/>
  <c r="E700"/>
  <c r="L699"/>
  <c r="E699"/>
  <c r="L698"/>
  <c r="E698"/>
  <c r="L697"/>
  <c r="E697"/>
  <c r="L696"/>
  <c r="E696"/>
  <c r="L695"/>
  <c r="E695"/>
  <c r="L694"/>
  <c r="E694"/>
  <c r="L693"/>
  <c r="E693"/>
  <c r="L692"/>
  <c r="E692"/>
  <c r="L691"/>
  <c r="E691"/>
  <c r="L689"/>
  <c r="E689"/>
  <c r="L688"/>
  <c r="E688"/>
  <c r="L687"/>
  <c r="E687"/>
  <c r="L686"/>
  <c r="E686"/>
  <c r="L685"/>
  <c r="E685"/>
  <c r="L684"/>
  <c r="E684"/>
  <c r="L683"/>
  <c r="E683"/>
  <c r="L682"/>
  <c r="E682"/>
  <c r="L681"/>
  <c r="E681"/>
  <c r="L680"/>
  <c r="E680"/>
  <c r="L679"/>
  <c r="E679"/>
  <c r="L678"/>
  <c r="E678"/>
  <c r="L677"/>
  <c r="E677"/>
  <c r="L676"/>
  <c r="E676"/>
  <c r="L675"/>
  <c r="E675"/>
  <c r="L674"/>
  <c r="E674"/>
  <c r="L673"/>
  <c r="E673"/>
  <c r="L672"/>
  <c r="E672"/>
  <c r="L671"/>
  <c r="E671"/>
  <c r="L670"/>
  <c r="E670"/>
  <c r="L669"/>
  <c r="E669"/>
  <c r="L668"/>
  <c r="E668"/>
  <c r="L667"/>
  <c r="E667"/>
  <c r="L666"/>
  <c r="E666"/>
  <c r="L665"/>
  <c r="E665"/>
  <c r="L664"/>
  <c r="E664"/>
  <c r="L663"/>
  <c r="E663"/>
  <c r="L662"/>
  <c r="E662"/>
  <c r="L661"/>
  <c r="E661"/>
  <c r="L660"/>
  <c r="E660"/>
  <c r="L659"/>
  <c r="E659"/>
  <c r="L658"/>
  <c r="E658"/>
  <c r="L657"/>
  <c r="E657"/>
  <c r="L656"/>
  <c r="E656"/>
  <c r="L655"/>
  <c r="E655"/>
  <c r="L654"/>
  <c r="E654"/>
  <c r="L649"/>
  <c r="E649"/>
  <c r="L648"/>
  <c r="E648"/>
  <c r="E215" i="41"/>
  <c r="C646" i="44"/>
  <c r="C214" i="41" s="1"/>
  <c r="C644" i="44"/>
  <c r="C212" i="41" s="1"/>
  <c r="L643" i="44"/>
  <c r="E643"/>
  <c r="L642"/>
  <c r="E642"/>
  <c r="E209" i="41"/>
  <c r="K638" i="44"/>
  <c r="G206" i="41" s="1"/>
  <c r="L637" i="44"/>
  <c r="K637"/>
  <c r="G205" i="41" s="1"/>
  <c r="E637" i="44"/>
  <c r="K636"/>
  <c r="G204" i="41" s="1"/>
  <c r="L635" i="44"/>
  <c r="E635"/>
  <c r="L633"/>
  <c r="E633"/>
  <c r="L632"/>
  <c r="E632"/>
  <c r="L631"/>
  <c r="K631"/>
  <c r="G199" i="41" s="1"/>
  <c r="E631" i="44"/>
  <c r="K630"/>
  <c r="E629"/>
  <c r="K629" s="1"/>
  <c r="L627"/>
  <c r="E627"/>
  <c r="L626"/>
  <c r="E626"/>
  <c r="L625"/>
  <c r="K625"/>
  <c r="G196" i="41" s="1"/>
  <c r="E625" i="44"/>
  <c r="L624"/>
  <c r="K624"/>
  <c r="G195" i="41" s="1"/>
  <c r="E624" i="44"/>
  <c r="K623"/>
  <c r="K622"/>
  <c r="E621"/>
  <c r="K621" s="1"/>
  <c r="L619"/>
  <c r="E619"/>
  <c r="C618"/>
  <c r="C193" i="41" s="1"/>
  <c r="K616" i="44"/>
  <c r="K618" s="1"/>
  <c r="G193" i="41" s="1"/>
  <c r="K614" i="44"/>
  <c r="K613"/>
  <c r="K612"/>
  <c r="K611"/>
  <c r="K610"/>
  <c r="K609"/>
  <c r="K608"/>
  <c r="K607"/>
  <c r="K606"/>
  <c r="K605"/>
  <c r="K604"/>
  <c r="K603"/>
  <c r="K602"/>
  <c r="K601"/>
  <c r="K600"/>
  <c r="K599"/>
  <c r="K598"/>
  <c r="K597"/>
  <c r="K596"/>
  <c r="L592"/>
  <c r="E592"/>
  <c r="K591"/>
  <c r="K590"/>
  <c r="K589"/>
  <c r="K587"/>
  <c r="K586"/>
  <c r="K585"/>
  <c r="K584"/>
  <c r="K583"/>
  <c r="K582"/>
  <c r="K581"/>
  <c r="K580"/>
  <c r="K579"/>
  <c r="K578"/>
  <c r="K577"/>
  <c r="K576"/>
  <c r="K575"/>
  <c r="K574"/>
  <c r="K573"/>
  <c r="K572"/>
  <c r="K571"/>
  <c r="K570"/>
  <c r="K569"/>
  <c r="K568"/>
  <c r="K567"/>
  <c r="K566"/>
  <c r="K565"/>
  <c r="K564"/>
  <c r="K563"/>
  <c r="K562"/>
  <c r="L560"/>
  <c r="E560"/>
  <c r="L559"/>
  <c r="E559"/>
  <c r="L558"/>
  <c r="E558"/>
  <c r="L554"/>
  <c r="E554"/>
  <c r="L552"/>
  <c r="E552"/>
  <c r="L550"/>
  <c r="E550"/>
  <c r="L548"/>
  <c r="E548"/>
  <c r="K546"/>
  <c r="K552" s="1"/>
  <c r="G183" i="41" s="1"/>
  <c r="E544" i="44"/>
  <c r="K544" s="1"/>
  <c r="K543"/>
  <c r="K542"/>
  <c r="K541"/>
  <c r="K540"/>
  <c r="K539"/>
  <c r="K538"/>
  <c r="K537"/>
  <c r="K536"/>
  <c r="K535"/>
  <c r="K534"/>
  <c r="K533"/>
  <c r="G532"/>
  <c r="K532" s="1"/>
  <c r="K531"/>
  <c r="K530"/>
  <c r="K529"/>
  <c r="K528"/>
  <c r="K527"/>
  <c r="K526"/>
  <c r="K525"/>
  <c r="K523"/>
  <c r="K522"/>
  <c r="K521"/>
  <c r="K520"/>
  <c r="K519"/>
  <c r="K518"/>
  <c r="K517"/>
  <c r="K516"/>
  <c r="K515"/>
  <c r="K514"/>
  <c r="G513"/>
  <c r="E513"/>
  <c r="K512"/>
  <c r="K511"/>
  <c r="K510"/>
  <c r="K509"/>
  <c r="K508"/>
  <c r="K507"/>
  <c r="K506"/>
  <c r="K505"/>
  <c r="K504"/>
  <c r="K503"/>
  <c r="K500"/>
  <c r="M498"/>
  <c r="L498"/>
  <c r="E498"/>
  <c r="K497"/>
  <c r="M494"/>
  <c r="L494"/>
  <c r="E494"/>
  <c r="L491"/>
  <c r="E491"/>
  <c r="K489"/>
  <c r="G175" i="41" s="1"/>
  <c r="C489" i="44"/>
  <c r="C175" i="41" s="1"/>
  <c r="K486" i="44"/>
  <c r="K485"/>
  <c r="K484"/>
  <c r="K483"/>
  <c r="C481"/>
  <c r="C174" i="41" s="1"/>
  <c r="E479" i="44"/>
  <c r="K479" s="1"/>
  <c r="E478"/>
  <c r="K478" s="1"/>
  <c r="E477"/>
  <c r="K477" s="1"/>
  <c r="K476"/>
  <c r="K475"/>
  <c r="L473"/>
  <c r="E473"/>
  <c r="K471"/>
  <c r="G170" i="41" s="1"/>
  <c r="C471" i="44"/>
  <c r="C170" i="41" s="1"/>
  <c r="K470" i="44"/>
  <c r="K468" s="1"/>
  <c r="G169" i="41" s="1"/>
  <c r="K467" i="44"/>
  <c r="K466"/>
  <c r="B463"/>
  <c r="B462"/>
  <c r="L459"/>
  <c r="E459"/>
  <c r="K458"/>
  <c r="K456" s="1"/>
  <c r="G166" i="41" s="1"/>
  <c r="K455" i="44"/>
  <c r="G165" i="41" s="1"/>
  <c r="C455" i="44"/>
  <c r="C165" i="41" s="1"/>
  <c r="K454" i="44"/>
  <c r="K452" s="1"/>
  <c r="G164" i="41" s="1"/>
  <c r="L452" i="44"/>
  <c r="E452"/>
  <c r="K451"/>
  <c r="G163" i="41" s="1"/>
  <c r="L450" i="44"/>
  <c r="K450"/>
  <c r="G162" i="41" s="1"/>
  <c r="E450" i="44"/>
  <c r="K448"/>
  <c r="H448"/>
  <c r="K447"/>
  <c r="H447"/>
  <c r="K446"/>
  <c r="H446"/>
  <c r="L444"/>
  <c r="E444"/>
  <c r="K443"/>
  <c r="H443"/>
  <c r="K442"/>
  <c r="H442"/>
  <c r="L440"/>
  <c r="E440"/>
  <c r="E159" i="41"/>
  <c r="C29" i="33" s="1"/>
  <c r="L437" i="44"/>
  <c r="E437"/>
  <c r="L436"/>
  <c r="K436"/>
  <c r="E436"/>
  <c r="F432"/>
  <c r="F431"/>
  <c r="F430"/>
  <c r="L428"/>
  <c r="E428"/>
  <c r="K427"/>
  <c r="G153" i="41" s="1"/>
  <c r="C427" i="44"/>
  <c r="L426"/>
  <c r="K426"/>
  <c r="G152" i="41" s="1"/>
  <c r="E426" i="44"/>
  <c r="L425"/>
  <c r="K425"/>
  <c r="G151" i="41" s="1"/>
  <c r="E425" i="44"/>
  <c r="L424"/>
  <c r="K424"/>
  <c r="G150" i="41" s="1"/>
  <c r="E424" i="44"/>
  <c r="L423"/>
  <c r="K423"/>
  <c r="E423"/>
  <c r="L422"/>
  <c r="K422"/>
  <c r="E422"/>
  <c r="L421"/>
  <c r="E421"/>
  <c r="L420"/>
  <c r="E420"/>
  <c r="L419"/>
  <c r="E419"/>
  <c r="L418"/>
  <c r="E418"/>
  <c r="L417"/>
  <c r="E417"/>
  <c r="L416"/>
  <c r="E416"/>
  <c r="L415"/>
  <c r="E415"/>
  <c r="L414"/>
  <c r="E414"/>
  <c r="L410"/>
  <c r="K410"/>
  <c r="G136" i="41" s="1"/>
  <c r="E410" i="44"/>
  <c r="I408"/>
  <c r="I407"/>
  <c r="I406"/>
  <c r="I405"/>
  <c r="I404"/>
  <c r="I403"/>
  <c r="I402"/>
  <c r="I401"/>
  <c r="I400"/>
  <c r="I399"/>
  <c r="I398"/>
  <c r="I397"/>
  <c r="I396"/>
  <c r="I395"/>
  <c r="I394"/>
  <c r="I393"/>
  <c r="I392"/>
  <c r="I391"/>
  <c r="I389"/>
  <c r="I388"/>
  <c r="I387"/>
  <c r="I386"/>
  <c r="I385"/>
  <c r="I384"/>
  <c r="I383"/>
  <c r="I382"/>
  <c r="I381"/>
  <c r="I380"/>
  <c r="I378"/>
  <c r="I377"/>
  <c r="I376"/>
  <c r="I375"/>
  <c r="I374"/>
  <c r="I373"/>
  <c r="I372"/>
  <c r="I371"/>
  <c r="I370"/>
  <c r="I369"/>
  <c r="I368"/>
  <c r="I367"/>
  <c r="I366"/>
  <c r="L364"/>
  <c r="E364"/>
  <c r="H362"/>
  <c r="H361"/>
  <c r="H360"/>
  <c r="H359"/>
  <c r="H358"/>
  <c r="H357"/>
  <c r="H356"/>
  <c r="H355"/>
  <c r="H354"/>
  <c r="H353"/>
  <c r="H352"/>
  <c r="H351"/>
  <c r="H350"/>
  <c r="H349"/>
  <c r="H348"/>
  <c r="H347"/>
  <c r="H346"/>
  <c r="H345"/>
  <c r="H343"/>
  <c r="H342"/>
  <c r="H341"/>
  <c r="H340"/>
  <c r="H339"/>
  <c r="H338"/>
  <c r="H337"/>
  <c r="H336"/>
  <c r="H335"/>
  <c r="H334"/>
  <c r="H333"/>
  <c r="H332"/>
  <c r="H331"/>
  <c r="H330"/>
  <c r="H329"/>
  <c r="H328"/>
  <c r="H327"/>
  <c r="H326"/>
  <c r="H325"/>
  <c r="H324"/>
  <c r="H323"/>
  <c r="H322"/>
  <c r="H321"/>
  <c r="H320"/>
  <c r="L318"/>
  <c r="E318"/>
  <c r="I316"/>
  <c r="I315"/>
  <c r="I314"/>
  <c r="I313"/>
  <c r="I312"/>
  <c r="I311"/>
  <c r="I310"/>
  <c r="I309"/>
  <c r="I308"/>
  <c r="I307"/>
  <c r="I306"/>
  <c r="I305"/>
  <c r="I304"/>
  <c r="I303"/>
  <c r="I302"/>
  <c r="I301"/>
  <c r="I300"/>
  <c r="I299"/>
  <c r="I297"/>
  <c r="I296"/>
  <c r="I295"/>
  <c r="I294"/>
  <c r="I293"/>
  <c r="I292"/>
  <c r="I291"/>
  <c r="I290"/>
  <c r="I289"/>
  <c r="I288"/>
  <c r="I286"/>
  <c r="I285"/>
  <c r="I284"/>
  <c r="I283"/>
  <c r="I282"/>
  <c r="I281"/>
  <c r="I280"/>
  <c r="I279"/>
  <c r="I278"/>
  <c r="I277"/>
  <c r="I276"/>
  <c r="I275"/>
  <c r="I274"/>
  <c r="L272"/>
  <c r="E272"/>
  <c r="L270"/>
  <c r="E270"/>
  <c r="H268"/>
  <c r="J268" s="1"/>
  <c r="G268"/>
  <c r="L266"/>
  <c r="E266"/>
  <c r="L263"/>
  <c r="K263"/>
  <c r="G130" i="41" s="1"/>
  <c r="E263" i="44"/>
  <c r="E260"/>
  <c r="G260" s="1"/>
  <c r="G259"/>
  <c r="I258"/>
  <c r="H258"/>
  <c r="G258"/>
  <c r="I257"/>
  <c r="H257"/>
  <c r="G257"/>
  <c r="J256"/>
  <c r="G256"/>
  <c r="J255"/>
  <c r="G255"/>
  <c r="J254"/>
  <c r="G254"/>
  <c r="J253"/>
  <c r="G253"/>
  <c r="H252"/>
  <c r="J252" s="1"/>
  <c r="G252"/>
  <c r="I250"/>
  <c r="H250"/>
  <c r="G250"/>
  <c r="I249"/>
  <c r="H249"/>
  <c r="E249"/>
  <c r="G249" s="1"/>
  <c r="I248"/>
  <c r="H248"/>
  <c r="G248"/>
  <c r="I247"/>
  <c r="H247"/>
  <c r="G247"/>
  <c r="I246"/>
  <c r="H246"/>
  <c r="E246"/>
  <c r="G246" s="1"/>
  <c r="I245"/>
  <c r="H245"/>
  <c r="G245"/>
  <c r="I244"/>
  <c r="H244"/>
  <c r="G244"/>
  <c r="I243"/>
  <c r="H243"/>
  <c r="G243"/>
  <c r="I242"/>
  <c r="H242"/>
  <c r="G242"/>
  <c r="I241"/>
  <c r="H241"/>
  <c r="G241"/>
  <c r="I240"/>
  <c r="H240"/>
  <c r="G240"/>
  <c r="I239"/>
  <c r="H239"/>
  <c r="G239"/>
  <c r="I238"/>
  <c r="H238"/>
  <c r="G238"/>
  <c r="I237"/>
  <c r="H237"/>
  <c r="G237"/>
  <c r="I236"/>
  <c r="H236"/>
  <c r="G236"/>
  <c r="I235"/>
  <c r="H235"/>
  <c r="G235"/>
  <c r="I234"/>
  <c r="H234"/>
  <c r="G234"/>
  <c r="I233"/>
  <c r="H233"/>
  <c r="G233"/>
  <c r="I231"/>
  <c r="H231"/>
  <c r="G231"/>
  <c r="I230"/>
  <c r="H230"/>
  <c r="E230"/>
  <c r="G230" s="1"/>
  <c r="I229"/>
  <c r="H229"/>
  <c r="G229"/>
  <c r="I228"/>
  <c r="H228"/>
  <c r="G228"/>
  <c r="I227"/>
  <c r="H227"/>
  <c r="G227"/>
  <c r="I226"/>
  <c r="H226"/>
  <c r="G226"/>
  <c r="I225"/>
  <c r="H225"/>
  <c r="G225"/>
  <c r="I224"/>
  <c r="H224"/>
  <c r="G224"/>
  <c r="I223"/>
  <c r="H223"/>
  <c r="G223"/>
  <c r="I222"/>
  <c r="H222"/>
  <c r="G222"/>
  <c r="H221"/>
  <c r="J221" s="1"/>
  <c r="G221"/>
  <c r="I220"/>
  <c r="H220"/>
  <c r="G220"/>
  <c r="I219"/>
  <c r="H219"/>
  <c r="G219"/>
  <c r="I218"/>
  <c r="H218"/>
  <c r="G218"/>
  <c r="I217"/>
  <c r="H217"/>
  <c r="G217"/>
  <c r="I216"/>
  <c r="H216"/>
  <c r="G216"/>
  <c r="I215"/>
  <c r="H215"/>
  <c r="G215"/>
  <c r="I214"/>
  <c r="H214"/>
  <c r="G214"/>
  <c r="I213"/>
  <c r="H213"/>
  <c r="G213"/>
  <c r="I212"/>
  <c r="H212"/>
  <c r="G212"/>
  <c r="I211"/>
  <c r="H211"/>
  <c r="G211"/>
  <c r="I210"/>
  <c r="H210"/>
  <c r="G210"/>
  <c r="I209"/>
  <c r="H209"/>
  <c r="G209"/>
  <c r="I208"/>
  <c r="H208"/>
  <c r="G208"/>
  <c r="L206"/>
  <c r="E206"/>
  <c r="L203"/>
  <c r="K203"/>
  <c r="G126" i="41" s="1"/>
  <c r="E203" i="44"/>
  <c r="L200"/>
  <c r="E200"/>
  <c r="L199"/>
  <c r="E199"/>
  <c r="L198"/>
  <c r="E198"/>
  <c r="L197"/>
  <c r="E197"/>
  <c r="L196"/>
  <c r="E196"/>
  <c r="L195"/>
  <c r="E195"/>
  <c r="L194"/>
  <c r="E194"/>
  <c r="L193"/>
  <c r="E193"/>
  <c r="L191"/>
  <c r="K191"/>
  <c r="G114" i="41" s="1"/>
  <c r="E191" i="44"/>
  <c r="L190"/>
  <c r="K190"/>
  <c r="G113" i="41" s="1"/>
  <c r="E190" i="44"/>
  <c r="L189"/>
  <c r="E189"/>
  <c r="L188"/>
  <c r="K188"/>
  <c r="G111" i="41" s="1"/>
  <c r="E188" i="44"/>
  <c r="L187"/>
  <c r="K187"/>
  <c r="G110" i="41" s="1"/>
  <c r="E187" i="44"/>
  <c r="L186"/>
  <c r="K186"/>
  <c r="G109" i="41" s="1"/>
  <c r="E186" i="44"/>
  <c r="K185"/>
  <c r="G108" i="41" s="1"/>
  <c r="C185" i="44"/>
  <c r="L184"/>
  <c r="K184"/>
  <c r="E184"/>
  <c r="B184"/>
  <c r="L183"/>
  <c r="K183"/>
  <c r="E183"/>
  <c r="E181"/>
  <c r="K181" s="1"/>
  <c r="K180"/>
  <c r="K179"/>
  <c r="K178"/>
  <c r="K177"/>
  <c r="K176"/>
  <c r="K175"/>
  <c r="K174"/>
  <c r="L172"/>
  <c r="E172"/>
  <c r="L169"/>
  <c r="K169"/>
  <c r="G101" i="41" s="1"/>
  <c r="E169" i="44"/>
  <c r="C167"/>
  <c r="L166"/>
  <c r="E166"/>
  <c r="L165"/>
  <c r="E165"/>
  <c r="L164"/>
  <c r="E164"/>
  <c r="L163"/>
  <c r="E163"/>
  <c r="L161"/>
  <c r="E161"/>
  <c r="L160"/>
  <c r="E160"/>
  <c r="L159"/>
  <c r="E159"/>
  <c r="L158"/>
  <c r="E158"/>
  <c r="L157"/>
  <c r="E157"/>
  <c r="L156"/>
  <c r="E156"/>
  <c r="L154"/>
  <c r="E154"/>
  <c r="L153"/>
  <c r="E153"/>
  <c r="L152"/>
  <c r="E152"/>
  <c r="L151"/>
  <c r="E151"/>
  <c r="L150"/>
  <c r="E150"/>
  <c r="L149"/>
  <c r="E149"/>
  <c r="L148"/>
  <c r="E148"/>
  <c r="L147"/>
  <c r="E147"/>
  <c r="L146"/>
  <c r="E146"/>
  <c r="L144"/>
  <c r="E144"/>
  <c r="H143"/>
  <c r="K143" s="1"/>
  <c r="K141" s="1"/>
  <c r="G75" i="41" s="1"/>
  <c r="L141" i="44"/>
  <c r="E141"/>
  <c r="H140"/>
  <c r="K140" s="1"/>
  <c r="K138" s="1"/>
  <c r="G74" i="41" s="1"/>
  <c r="L138" i="44"/>
  <c r="E138"/>
  <c r="H137"/>
  <c r="K137" s="1"/>
  <c r="K135" s="1"/>
  <c r="G73" i="41" s="1"/>
  <c r="L135" i="44"/>
  <c r="E135"/>
  <c r="H134"/>
  <c r="K134" s="1"/>
  <c r="K132" s="1"/>
  <c r="G72" i="41" s="1"/>
  <c r="L132" i="44"/>
  <c r="E132"/>
  <c r="L131"/>
  <c r="E131"/>
  <c r="L127"/>
  <c r="E127"/>
  <c r="L126"/>
  <c r="E126"/>
  <c r="L125"/>
  <c r="E125"/>
  <c r="C124"/>
  <c r="L123"/>
  <c r="E123"/>
  <c r="L121"/>
  <c r="E121"/>
  <c r="L120"/>
  <c r="E120"/>
  <c r="L119"/>
  <c r="E119"/>
  <c r="L113"/>
  <c r="E113"/>
  <c r="L109"/>
  <c r="K109"/>
  <c r="G54" i="41" s="1"/>
  <c r="E109" i="44"/>
  <c r="L106"/>
  <c r="E106"/>
  <c r="L105"/>
  <c r="E105"/>
  <c r="L104"/>
  <c r="E104"/>
  <c r="L102"/>
  <c r="E102"/>
  <c r="L101"/>
  <c r="E101"/>
  <c r="L87"/>
  <c r="E87"/>
  <c r="L84"/>
  <c r="E84"/>
  <c r="L80"/>
  <c r="E80"/>
  <c r="L77"/>
  <c r="E77"/>
  <c r="L76"/>
  <c r="E76"/>
  <c r="L75"/>
  <c r="E75"/>
  <c r="L70"/>
  <c r="E70"/>
  <c r="L65"/>
  <c r="E65"/>
  <c r="L60"/>
  <c r="E60"/>
  <c r="L53"/>
  <c r="E53"/>
  <c r="L49"/>
  <c r="E49"/>
  <c r="M47"/>
  <c r="L47"/>
  <c r="E47"/>
  <c r="E45"/>
  <c r="K45" s="1"/>
  <c r="K44"/>
  <c r="K43"/>
  <c r="K42"/>
  <c r="E40"/>
  <c r="L38"/>
  <c r="E38"/>
  <c r="C34"/>
  <c r="C20" i="41" s="1"/>
  <c r="L33" i="44"/>
  <c r="E33"/>
  <c r="L32"/>
  <c r="K38"/>
  <c r="G24" i="41" s="1"/>
  <c r="E32" i="44"/>
  <c r="K30"/>
  <c r="K28" s="1"/>
  <c r="G17" i="41" s="1"/>
  <c r="C28" i="44"/>
  <c r="C17" i="41" s="1"/>
  <c r="H24" i="44"/>
  <c r="K24" s="1"/>
  <c r="H23"/>
  <c r="K23" s="1"/>
  <c r="L21"/>
  <c r="E21"/>
  <c r="L18"/>
  <c r="E18"/>
  <c r="H16"/>
  <c r="K16" s="1"/>
  <c r="K14" s="1"/>
  <c r="G12" i="41" s="1"/>
  <c r="L14" i="44"/>
  <c r="E14"/>
  <c r="L12"/>
  <c r="E12"/>
  <c r="K10"/>
  <c r="K8" s="1"/>
  <c r="L8"/>
  <c r="E8"/>
  <c r="B3"/>
  <c r="B2"/>
  <c r="G5075" i="39"/>
  <c r="G5076" s="1"/>
  <c r="L451" i="44" l="1"/>
  <c r="I367" i="41"/>
  <c r="K367" s="1"/>
  <c r="I556"/>
  <c r="K556" s="1"/>
  <c r="I91"/>
  <c r="K91" s="1"/>
  <c r="I200"/>
  <c r="K200" s="1"/>
  <c r="I292"/>
  <c r="K292" s="1"/>
  <c r="I276"/>
  <c r="K276" s="1"/>
  <c r="I321"/>
  <c r="K321" s="1"/>
  <c r="I407"/>
  <c r="K407" s="1"/>
  <c r="I568"/>
  <c r="K568" s="1"/>
  <c r="I151"/>
  <c r="I303"/>
  <c r="K303" s="1"/>
  <c r="I287"/>
  <c r="K287" s="1"/>
  <c r="I271"/>
  <c r="K271" s="1"/>
  <c r="I64"/>
  <c r="I152"/>
  <c r="I251"/>
  <c r="K251" s="1"/>
  <c r="I235"/>
  <c r="K235" s="1"/>
  <c r="I333"/>
  <c r="K333" s="1"/>
  <c r="I387"/>
  <c r="K387" s="1"/>
  <c r="I414"/>
  <c r="K414" s="1"/>
  <c r="I537"/>
  <c r="K537" s="1"/>
  <c r="I68"/>
  <c r="K68" s="1"/>
  <c r="I82"/>
  <c r="K82" s="1"/>
  <c r="I161"/>
  <c r="I240"/>
  <c r="K240" s="1"/>
  <c r="I391"/>
  <c r="K391" s="1"/>
  <c r="I445"/>
  <c r="K445" s="1"/>
  <c r="I609"/>
  <c r="K609" s="1"/>
  <c r="I558"/>
  <c r="K558" s="1"/>
  <c r="I562"/>
  <c r="K562" s="1"/>
  <c r="I437"/>
  <c r="K437" s="1"/>
  <c r="I416"/>
  <c r="K416" s="1"/>
  <c r="I314"/>
  <c r="K314" s="1"/>
  <c r="I420"/>
  <c r="K420" s="1"/>
  <c r="I608"/>
  <c r="K608" s="1"/>
  <c r="I147"/>
  <c r="K147" s="1"/>
  <c r="I304"/>
  <c r="K304" s="1"/>
  <c r="I288"/>
  <c r="K288" s="1"/>
  <c r="I272"/>
  <c r="K272" s="1"/>
  <c r="I336"/>
  <c r="K336" s="1"/>
  <c r="I403"/>
  <c r="K403" s="1"/>
  <c r="I62"/>
  <c r="K62" s="1"/>
  <c r="I194"/>
  <c r="I299"/>
  <c r="K299" s="1"/>
  <c r="I283"/>
  <c r="K283" s="1"/>
  <c r="I345"/>
  <c r="K345" s="1"/>
  <c r="I81"/>
  <c r="K81" s="1"/>
  <c r="I148"/>
  <c r="I247"/>
  <c r="K247" s="1"/>
  <c r="I231"/>
  <c r="K231" s="1"/>
  <c r="I408"/>
  <c r="K408" s="1"/>
  <c r="I383"/>
  <c r="K383" s="1"/>
  <c r="I466"/>
  <c r="K466" s="1"/>
  <c r="I579"/>
  <c r="K579" s="1"/>
  <c r="I59"/>
  <c r="K59" s="1"/>
  <c r="I110"/>
  <c r="I180"/>
  <c r="I232"/>
  <c r="K232" s="1"/>
  <c r="I380"/>
  <c r="K380" s="1"/>
  <c r="I506"/>
  <c r="K506" s="1"/>
  <c r="I553"/>
  <c r="K553" s="1"/>
  <c r="I565"/>
  <c r="K565" s="1"/>
  <c r="I557"/>
  <c r="K557" s="1"/>
  <c r="I411"/>
  <c r="K411" s="1"/>
  <c r="I384"/>
  <c r="K384" s="1"/>
  <c r="I297"/>
  <c r="K297" s="1"/>
  <c r="I289"/>
  <c r="K289" s="1"/>
  <c r="I281"/>
  <c r="K281" s="1"/>
  <c r="I301"/>
  <c r="K301" s="1"/>
  <c r="I286"/>
  <c r="K286" s="1"/>
  <c r="I278"/>
  <c r="K278" s="1"/>
  <c r="I307"/>
  <c r="K307" s="1"/>
  <c r="I564"/>
  <c r="K564" s="1"/>
  <c r="I47"/>
  <c r="K47" s="1"/>
  <c r="I143"/>
  <c r="K143" s="1"/>
  <c r="I300"/>
  <c r="K300" s="1"/>
  <c r="I284"/>
  <c r="K284" s="1"/>
  <c r="I268"/>
  <c r="K268" s="1"/>
  <c r="I332"/>
  <c r="K332" s="1"/>
  <c r="I417"/>
  <c r="K417" s="1"/>
  <c r="I76"/>
  <c r="K76" s="1"/>
  <c r="I211"/>
  <c r="I295"/>
  <c r="K295" s="1"/>
  <c r="I279"/>
  <c r="K279" s="1"/>
  <c r="I371"/>
  <c r="K371" s="1"/>
  <c r="I92"/>
  <c r="K92" s="1"/>
  <c r="I144"/>
  <c r="K144" s="1"/>
  <c r="I243"/>
  <c r="K243" s="1"/>
  <c r="I227"/>
  <c r="K227" s="1"/>
  <c r="I404"/>
  <c r="K404" s="1"/>
  <c r="I359"/>
  <c r="K359" s="1"/>
  <c r="I502"/>
  <c r="K502" s="1"/>
  <c r="I606"/>
  <c r="K606" s="1"/>
  <c r="I49"/>
  <c r="K49" s="1"/>
  <c r="I121"/>
  <c r="K121" s="1"/>
  <c r="I183"/>
  <c r="K183" s="1"/>
  <c r="I325"/>
  <c r="K325" s="1"/>
  <c r="I356"/>
  <c r="K356" s="1"/>
  <c r="I563"/>
  <c r="K563" s="1"/>
  <c r="I569"/>
  <c r="K569" s="1"/>
  <c r="I351"/>
  <c r="K351" s="1"/>
  <c r="I302"/>
  <c r="K302" s="1"/>
  <c r="I305"/>
  <c r="K305" s="1"/>
  <c r="I298"/>
  <c r="K298" s="1"/>
  <c r="I236"/>
  <c r="K236" s="1"/>
  <c r="I560"/>
  <c r="K560" s="1"/>
  <c r="I74"/>
  <c r="I160"/>
  <c r="I296"/>
  <c r="K296" s="1"/>
  <c r="I280"/>
  <c r="K280" s="1"/>
  <c r="I264"/>
  <c r="K264" s="1"/>
  <c r="I346"/>
  <c r="K346" s="1"/>
  <c r="I413"/>
  <c r="K413" s="1"/>
  <c r="I136"/>
  <c r="I256"/>
  <c r="K256" s="1"/>
  <c r="I291"/>
  <c r="K291" s="1"/>
  <c r="I275"/>
  <c r="K275" s="1"/>
  <c r="I40"/>
  <c r="K40" s="1"/>
  <c r="I114"/>
  <c r="K114" s="1"/>
  <c r="I201"/>
  <c r="K201" s="1"/>
  <c r="I239"/>
  <c r="K239" s="1"/>
  <c r="I337"/>
  <c r="K337" s="1"/>
  <c r="I399"/>
  <c r="K399" s="1"/>
  <c r="I355"/>
  <c r="K355" s="1"/>
  <c r="I518"/>
  <c r="K518" s="1"/>
  <c r="I607"/>
  <c r="K607" s="1"/>
  <c r="I73"/>
  <c r="K73" s="1"/>
  <c r="I157"/>
  <c r="I181"/>
  <c r="I395"/>
  <c r="K395" s="1"/>
  <c r="I419"/>
  <c r="K419" s="1"/>
  <c r="I590"/>
  <c r="K590" s="1"/>
  <c r="I561"/>
  <c r="K561" s="1"/>
  <c r="I410"/>
  <c r="K410" s="1"/>
  <c r="I415"/>
  <c r="K415" s="1"/>
  <c r="I290"/>
  <c r="K290" s="1"/>
  <c r="I293"/>
  <c r="K293" s="1"/>
  <c r="I252"/>
  <c r="K252" s="1"/>
  <c r="I54"/>
  <c r="I48"/>
  <c r="K48" s="1"/>
  <c r="I43"/>
  <c r="I199"/>
  <c r="I156"/>
  <c r="I277"/>
  <c r="K277" s="1"/>
  <c r="I75"/>
  <c r="I294"/>
  <c r="K294" s="1"/>
  <c r="I282"/>
  <c r="K282" s="1"/>
  <c r="I306"/>
  <c r="K306" s="1"/>
  <c r="I285"/>
  <c r="K285" s="1"/>
  <c r="I123"/>
  <c r="K123" s="1"/>
  <c r="I130"/>
  <c r="K130" s="1"/>
  <c r="I198"/>
  <c r="I216"/>
  <c r="I119"/>
  <c r="K119" s="1"/>
  <c r="I72"/>
  <c r="I79"/>
  <c r="K79" s="1"/>
  <c r="I154"/>
  <c r="I164"/>
  <c r="I213"/>
  <c r="I250"/>
  <c r="K250" s="1"/>
  <c r="I90"/>
  <c r="K90" s="1"/>
  <c r="I109"/>
  <c r="I67"/>
  <c r="K67" s="1"/>
  <c r="I133"/>
  <c r="I254"/>
  <c r="K254" s="1"/>
  <c r="I230"/>
  <c r="K230" s="1"/>
  <c r="I51"/>
  <c r="K51" s="1"/>
  <c r="I83"/>
  <c r="K83" s="1"/>
  <c r="I107"/>
  <c r="I134"/>
  <c r="I145"/>
  <c r="K145" s="1"/>
  <c r="I203"/>
  <c r="I241"/>
  <c r="K241" s="1"/>
  <c r="I274"/>
  <c r="K274" s="1"/>
  <c r="I352"/>
  <c r="K352" s="1"/>
  <c r="I489"/>
  <c r="K489" s="1"/>
  <c r="I584"/>
  <c r="K584" s="1"/>
  <c r="I258"/>
  <c r="K258" s="1"/>
  <c r="I226"/>
  <c r="K226" s="1"/>
  <c r="I370"/>
  <c r="K370" s="1"/>
  <c r="I353"/>
  <c r="K353" s="1"/>
  <c r="I526"/>
  <c r="K526" s="1"/>
  <c r="I246"/>
  <c r="K246" s="1"/>
  <c r="I224"/>
  <c r="K224" s="1"/>
  <c r="I334"/>
  <c r="K334" s="1"/>
  <c r="I364"/>
  <c r="K364" s="1"/>
  <c r="I385"/>
  <c r="K385" s="1"/>
  <c r="I507"/>
  <c r="K507" s="1"/>
  <c r="I593"/>
  <c r="K593" s="1"/>
  <c r="I327"/>
  <c r="K327" s="1"/>
  <c r="I343"/>
  <c r="K343" s="1"/>
  <c r="I354"/>
  <c r="K354" s="1"/>
  <c r="I368"/>
  <c r="K368" s="1"/>
  <c r="I572"/>
  <c r="K572" s="1"/>
  <c r="I581"/>
  <c r="K581" s="1"/>
  <c r="I358"/>
  <c r="K358" s="1"/>
  <c r="I122"/>
  <c r="K122" s="1"/>
  <c r="I140"/>
  <c r="K140" s="1"/>
  <c r="I195"/>
  <c r="K195" s="1"/>
  <c r="I324"/>
  <c r="K324" s="1"/>
  <c r="I37"/>
  <c r="K37" s="1"/>
  <c r="I84"/>
  <c r="K84" s="1"/>
  <c r="I111"/>
  <c r="I149"/>
  <c r="I190"/>
  <c r="I229"/>
  <c r="K229" s="1"/>
  <c r="I234"/>
  <c r="K234" s="1"/>
  <c r="I98"/>
  <c r="K98" s="1"/>
  <c r="I39"/>
  <c r="I95"/>
  <c r="K95" s="1"/>
  <c r="I191"/>
  <c r="I248"/>
  <c r="K248" s="1"/>
  <c r="I19"/>
  <c r="K19" s="1"/>
  <c r="I61"/>
  <c r="K61" s="1"/>
  <c r="I96"/>
  <c r="K96" s="1"/>
  <c r="I112"/>
  <c r="K112" s="1"/>
  <c r="I135"/>
  <c r="I162"/>
  <c r="I189"/>
  <c r="I249"/>
  <c r="K249" s="1"/>
  <c r="I261"/>
  <c r="K261" s="1"/>
  <c r="I398"/>
  <c r="K398" s="1"/>
  <c r="I500"/>
  <c r="K500" s="1"/>
  <c r="I559"/>
  <c r="K559" s="1"/>
  <c r="I228"/>
  <c r="K228" s="1"/>
  <c r="I263"/>
  <c r="K263" s="1"/>
  <c r="I357"/>
  <c r="K357" s="1"/>
  <c r="I453"/>
  <c r="K453" s="1"/>
  <c r="I262"/>
  <c r="K262" s="1"/>
  <c r="I267"/>
  <c r="K267" s="1"/>
  <c r="I335"/>
  <c r="K335" s="1"/>
  <c r="I342"/>
  <c r="K342" s="1"/>
  <c r="I401"/>
  <c r="K401" s="1"/>
  <c r="I448"/>
  <c r="K448" s="1"/>
  <c r="I468"/>
  <c r="K468" s="1"/>
  <c r="I592"/>
  <c r="K592" s="1"/>
  <c r="I320"/>
  <c r="K320" s="1"/>
  <c r="I318"/>
  <c r="K318" s="1"/>
  <c r="I394"/>
  <c r="K394" s="1"/>
  <c r="I452"/>
  <c r="K452" s="1"/>
  <c r="I573"/>
  <c r="K573" s="1"/>
  <c r="I218"/>
  <c r="I188"/>
  <c r="K188" s="1"/>
  <c r="I129"/>
  <c r="I176"/>
  <c r="I204"/>
  <c r="K204" s="1"/>
  <c r="I331"/>
  <c r="K331" s="1"/>
  <c r="I50"/>
  <c r="K50" s="1"/>
  <c r="I101"/>
  <c r="I131"/>
  <c r="I141"/>
  <c r="K141" s="1"/>
  <c r="I205"/>
  <c r="K205" s="1"/>
  <c r="I237"/>
  <c r="K237" s="1"/>
  <c r="I265"/>
  <c r="K265" s="1"/>
  <c r="I97"/>
  <c r="K97" s="1"/>
  <c r="I46"/>
  <c r="K46" s="1"/>
  <c r="I89"/>
  <c r="K89" s="1"/>
  <c r="I196"/>
  <c r="K196" s="1"/>
  <c r="I326"/>
  <c r="K326" s="1"/>
  <c r="I27"/>
  <c r="I80"/>
  <c r="K80" s="1"/>
  <c r="I88"/>
  <c r="K88" s="1"/>
  <c r="I116"/>
  <c r="K116" s="1"/>
  <c r="I142"/>
  <c r="K142" s="1"/>
  <c r="I167"/>
  <c r="I225"/>
  <c r="K225" s="1"/>
  <c r="I238"/>
  <c r="K238" s="1"/>
  <c r="I381"/>
  <c r="K381" s="1"/>
  <c r="I360"/>
  <c r="K360" s="1"/>
  <c r="I550"/>
  <c r="K550" s="1"/>
  <c r="I544"/>
  <c r="K544" s="1"/>
  <c r="I242"/>
  <c r="K242" s="1"/>
  <c r="I308"/>
  <c r="K308" s="1"/>
  <c r="I400"/>
  <c r="K400" s="1"/>
  <c r="I521"/>
  <c r="K521" s="1"/>
  <c r="I270"/>
  <c r="K270" s="1"/>
  <c r="I253"/>
  <c r="K253" s="1"/>
  <c r="I315"/>
  <c r="K315" s="1"/>
  <c r="I344"/>
  <c r="K344" s="1"/>
  <c r="I406"/>
  <c r="K406" s="1"/>
  <c r="I465"/>
  <c r="K465" s="1"/>
  <c r="I587"/>
  <c r="K587" s="1"/>
  <c r="I567"/>
  <c r="K567" s="1"/>
  <c r="I269"/>
  <c r="K269" s="1"/>
  <c r="I386"/>
  <c r="K386" s="1"/>
  <c r="I328"/>
  <c r="K328" s="1"/>
  <c r="I501"/>
  <c r="K501" s="1"/>
  <c r="I585"/>
  <c r="K585" s="1"/>
  <c r="I26"/>
  <c r="K26" s="1"/>
  <c r="I132"/>
  <c r="I184"/>
  <c r="I244"/>
  <c r="K244" s="1"/>
  <c r="I273"/>
  <c r="K273" s="1"/>
  <c r="I71"/>
  <c r="K71" s="1"/>
  <c r="I118"/>
  <c r="K118" s="1"/>
  <c r="I146"/>
  <c r="K146" s="1"/>
  <c r="I179"/>
  <c r="I197"/>
  <c r="I245"/>
  <c r="K245" s="1"/>
  <c r="I28"/>
  <c r="I117"/>
  <c r="K117" s="1"/>
  <c r="I66"/>
  <c r="K66" s="1"/>
  <c r="I120"/>
  <c r="K120" s="1"/>
  <c r="I217"/>
  <c r="I348"/>
  <c r="K348" s="1"/>
  <c r="I60"/>
  <c r="K60" s="1"/>
  <c r="I78"/>
  <c r="K78" s="1"/>
  <c r="I85"/>
  <c r="K85" s="1"/>
  <c r="I113"/>
  <c r="I150"/>
  <c r="I182"/>
  <c r="I233"/>
  <c r="K233" s="1"/>
  <c r="I266"/>
  <c r="K266" s="1"/>
  <c r="I369"/>
  <c r="K369" s="1"/>
  <c r="I366"/>
  <c r="K366" s="1"/>
  <c r="I574"/>
  <c r="K574" s="1"/>
  <c r="I206"/>
  <c r="K206" s="1"/>
  <c r="I255"/>
  <c r="K255" s="1"/>
  <c r="I330"/>
  <c r="K330" s="1"/>
  <c r="I382"/>
  <c r="K382" s="1"/>
  <c r="I536"/>
  <c r="K536" s="1"/>
  <c r="I257"/>
  <c r="K257" s="1"/>
  <c r="I316"/>
  <c r="K316" s="1"/>
  <c r="I323"/>
  <c r="K323" s="1"/>
  <c r="I349"/>
  <c r="K349" s="1"/>
  <c r="I418"/>
  <c r="K418" s="1"/>
  <c r="I425"/>
  <c r="K425" s="1"/>
  <c r="I549"/>
  <c r="K549" s="1"/>
  <c r="I322"/>
  <c r="K322" s="1"/>
  <c r="I347"/>
  <c r="K347" s="1"/>
  <c r="I405"/>
  <c r="K405" s="1"/>
  <c r="I365"/>
  <c r="K365" s="1"/>
  <c r="I531"/>
  <c r="K531" s="1"/>
  <c r="I86"/>
  <c r="K86" s="1"/>
  <c r="I93"/>
  <c r="K93" s="1"/>
  <c r="I42"/>
  <c r="C39" i="48"/>
  <c r="C39" i="33"/>
  <c r="B928" i="43"/>
  <c r="C51" i="33"/>
  <c r="L464" i="44"/>
  <c r="J183" i="41"/>
  <c r="J195"/>
  <c r="J199"/>
  <c r="K199"/>
  <c r="J204"/>
  <c r="J206"/>
  <c r="J205"/>
  <c r="J321"/>
  <c r="J196"/>
  <c r="J323"/>
  <c r="E212"/>
  <c r="F212"/>
  <c r="E214"/>
  <c r="F214"/>
  <c r="F193"/>
  <c r="E192"/>
  <c r="E193"/>
  <c r="F192"/>
  <c r="H192"/>
  <c r="F174"/>
  <c r="E174"/>
  <c r="F175"/>
  <c r="E175"/>
  <c r="K162"/>
  <c r="J162"/>
  <c r="K164"/>
  <c r="J164"/>
  <c r="E166"/>
  <c r="E169"/>
  <c r="F170"/>
  <c r="F163"/>
  <c r="E168"/>
  <c r="F166"/>
  <c r="E165"/>
  <c r="E163"/>
  <c r="F165"/>
  <c r="F168"/>
  <c r="E170"/>
  <c r="F169"/>
  <c r="K150"/>
  <c r="J150"/>
  <c r="L427" i="44"/>
  <c r="C153" i="41"/>
  <c r="E153" s="1"/>
  <c r="K437" i="44"/>
  <c r="G157" i="41" s="1"/>
  <c r="G156"/>
  <c r="E430" i="44"/>
  <c r="G430" s="1"/>
  <c r="G149" i="41"/>
  <c r="E431" i="44"/>
  <c r="E432" s="1"/>
  <c r="G432" s="1"/>
  <c r="K432" s="1"/>
  <c r="G148" i="41"/>
  <c r="K152"/>
  <c r="J152"/>
  <c r="K151"/>
  <c r="J151"/>
  <c r="J136"/>
  <c r="K136"/>
  <c r="J130"/>
  <c r="J109"/>
  <c r="K109"/>
  <c r="J114"/>
  <c r="J111"/>
  <c r="K111"/>
  <c r="G106"/>
  <c r="G107"/>
  <c r="K110"/>
  <c r="J110"/>
  <c r="J113"/>
  <c r="K113"/>
  <c r="E185" i="44"/>
  <c r="C108" i="41"/>
  <c r="J101"/>
  <c r="K101"/>
  <c r="L167" i="44"/>
  <c r="C99" i="41"/>
  <c r="C49" i="48"/>
  <c r="J74" i="41"/>
  <c r="K74"/>
  <c r="J73"/>
  <c r="K72"/>
  <c r="J72"/>
  <c r="J75"/>
  <c r="K75"/>
  <c r="J54"/>
  <c r="K54"/>
  <c r="C65"/>
  <c r="J64"/>
  <c r="K64"/>
  <c r="J50"/>
  <c r="E25"/>
  <c r="F25"/>
  <c r="H21"/>
  <c r="E20"/>
  <c r="F20"/>
  <c r="E21"/>
  <c r="F21"/>
  <c r="L468" i="44"/>
  <c r="E489"/>
  <c r="L35"/>
  <c r="E35"/>
  <c r="G11" i="41"/>
  <c r="K12" i="44"/>
  <c r="G461"/>
  <c r="K461" s="1"/>
  <c r="C51" i="48"/>
  <c r="E468" i="44"/>
  <c r="L456"/>
  <c r="E464"/>
  <c r="I92" i="43"/>
  <c r="H169" i="41" s="1"/>
  <c r="I206" i="43"/>
  <c r="I207"/>
  <c r="L40" i="44"/>
  <c r="I257" i="43"/>
  <c r="I259"/>
  <c r="G209"/>
  <c r="G210" s="1"/>
  <c r="I210" s="1"/>
  <c r="I13"/>
  <c r="H17" i="41" s="1"/>
  <c r="I214" i="43"/>
  <c r="I75"/>
  <c r="I177"/>
  <c r="I174" s="1"/>
  <c r="I251"/>
  <c r="I253"/>
  <c r="E451" i="44"/>
  <c r="E456"/>
  <c r="L471"/>
  <c r="E618"/>
  <c r="I86" i="43"/>
  <c r="H168" i="41" s="1"/>
  <c r="I119" i="43"/>
  <c r="I113" s="1"/>
  <c r="H170" i="41" s="1"/>
  <c r="I133" i="43"/>
  <c r="H175" i="41" s="1"/>
  <c r="I205" i="43"/>
  <c r="I215"/>
  <c r="I224"/>
  <c r="I231"/>
  <c r="I272"/>
  <c r="I22"/>
  <c r="H20" i="41" s="1"/>
  <c r="I73" i="43"/>
  <c r="I164"/>
  <c r="H212" i="41" s="1"/>
  <c r="L34" i="44"/>
  <c r="I124" i="43"/>
  <c r="H174" i="41" s="1"/>
  <c r="I157" i="43"/>
  <c r="I188"/>
  <c r="I61"/>
  <c r="I95"/>
  <c r="I208"/>
  <c r="G225"/>
  <c r="I225" s="1"/>
  <c r="G232"/>
  <c r="I232" s="1"/>
  <c r="I249"/>
  <c r="I277"/>
  <c r="I74"/>
  <c r="I237"/>
  <c r="G235"/>
  <c r="I235" s="1"/>
  <c r="G254"/>
  <c r="I158"/>
  <c r="G159"/>
  <c r="I159" s="1"/>
  <c r="I244"/>
  <c r="I308"/>
  <c r="I106"/>
  <c r="H165" i="41" s="1"/>
  <c r="I238" i="43"/>
  <c r="I41"/>
  <c r="I36" s="1"/>
  <c r="I76"/>
  <c r="I233"/>
  <c r="I234"/>
  <c r="G236"/>
  <c r="I236" s="1"/>
  <c r="I80"/>
  <c r="H163" i="41" s="1"/>
  <c r="I261" i="43"/>
  <c r="I283"/>
  <c r="I49"/>
  <c r="I32"/>
  <c r="H25" i="41" s="1"/>
  <c r="I101" i="43"/>
  <c r="H166" i="41" s="1"/>
  <c r="I149" i="43"/>
  <c r="H193" i="41" s="1"/>
  <c r="I168" i="43"/>
  <c r="I294"/>
  <c r="E82" i="44"/>
  <c r="K80" s="1"/>
  <c r="G41" i="41" s="1"/>
  <c r="E86" i="44"/>
  <c r="K84" s="1"/>
  <c r="K78"/>
  <c r="G39" i="41" s="1"/>
  <c r="K65" i="44"/>
  <c r="G34" i="41" s="1"/>
  <c r="J34" s="1"/>
  <c r="J225" i="44"/>
  <c r="J229"/>
  <c r="C35" i="48"/>
  <c r="J223" i="44"/>
  <c r="J227"/>
  <c r="J224"/>
  <c r="J228"/>
  <c r="J222"/>
  <c r="J226"/>
  <c r="J209"/>
  <c r="J213"/>
  <c r="J217"/>
  <c r="J237"/>
  <c r="J246"/>
  <c r="J258"/>
  <c r="K440"/>
  <c r="G160" i="41" s="1"/>
  <c r="J236" i="44"/>
  <c r="J240"/>
  <c r="J244"/>
  <c r="E14" i="41"/>
  <c r="E24"/>
  <c r="J247" i="44"/>
  <c r="K491"/>
  <c r="G176" i="41" s="1"/>
  <c r="K513" i="44"/>
  <c r="K498" s="1"/>
  <c r="G180" i="41" s="1"/>
  <c r="K627" i="44"/>
  <c r="G198" i="41" s="1"/>
  <c r="J208" i="44"/>
  <c r="J249"/>
  <c r="K40"/>
  <c r="G25" i="41" s="1"/>
  <c r="J235" i="44"/>
  <c r="J239"/>
  <c r="J243"/>
  <c r="J248"/>
  <c r="K318"/>
  <c r="G134" i="41" s="1"/>
  <c r="K430" i="44"/>
  <c r="K464"/>
  <c r="G168" i="41" s="1"/>
  <c r="K21" i="44"/>
  <c r="G14" i="41" s="1"/>
  <c r="K270" i="44"/>
  <c r="G132" i="41" s="1"/>
  <c r="K272" i="44"/>
  <c r="G133" i="41" s="1"/>
  <c r="G33"/>
  <c r="K619" i="44"/>
  <c r="G194" i="41" s="1"/>
  <c r="J220" i="44"/>
  <c r="K617"/>
  <c r="J212"/>
  <c r="J216"/>
  <c r="J233"/>
  <c r="J257"/>
  <c r="K172"/>
  <c r="J211"/>
  <c r="J215"/>
  <c r="J219"/>
  <c r="J231"/>
  <c r="K364"/>
  <c r="G135" i="41" s="1"/>
  <c r="K560" i="44"/>
  <c r="J210"/>
  <c r="J214"/>
  <c r="J218"/>
  <c r="J230"/>
  <c r="J234"/>
  <c r="J238"/>
  <c r="J242"/>
  <c r="J250"/>
  <c r="K444"/>
  <c r="G161" i="41" s="1"/>
  <c r="C25" i="48"/>
  <c r="L646" i="44"/>
  <c r="C17" i="48"/>
  <c r="C27"/>
  <c r="C37"/>
  <c r="J24" i="41"/>
  <c r="F24"/>
  <c r="J126"/>
  <c r="J127" s="1"/>
  <c r="F341"/>
  <c r="K635" i="44"/>
  <c r="G203" i="41" s="1"/>
  <c r="G18"/>
  <c r="K268" i="44"/>
  <c r="K266" s="1"/>
  <c r="G131" i="41" s="1"/>
  <c r="E463" i="44"/>
  <c r="K463" s="1"/>
  <c r="F38" i="41"/>
  <c r="E38"/>
  <c r="C33" i="48"/>
  <c r="E124" i="44"/>
  <c r="L124"/>
  <c r="E594"/>
  <c r="K594" s="1"/>
  <c r="K592" s="1"/>
  <c r="G191" i="41" s="1"/>
  <c r="K642" i="44"/>
  <c r="G210" i="41" s="1"/>
  <c r="J241" i="44"/>
  <c r="J245"/>
  <c r="G431"/>
  <c r="K431" s="1"/>
  <c r="E462"/>
  <c r="K462" s="1"/>
  <c r="K473"/>
  <c r="G173" i="41" s="1"/>
  <c r="K481" i="44"/>
  <c r="G174" i="41" s="1"/>
  <c r="C15" i="48"/>
  <c r="E260" i="41"/>
  <c r="H341"/>
  <c r="I341" s="1"/>
  <c r="K341" s="1"/>
  <c r="C11" i="48"/>
  <c r="J45" i="41"/>
  <c r="E617"/>
  <c r="H33"/>
  <c r="I33" s="1"/>
  <c r="I126"/>
  <c r="K126" s="1"/>
  <c r="K127" s="1"/>
  <c r="C651" i="44"/>
  <c r="C219" i="41" s="1"/>
  <c r="F219" s="1"/>
  <c r="L185" i="44"/>
  <c r="E471"/>
  <c r="E644"/>
  <c r="H12" i="41"/>
  <c r="J12" s="1"/>
  <c r="H13"/>
  <c r="I13" s="1"/>
  <c r="K13" s="1"/>
  <c r="E18"/>
  <c r="E45"/>
  <c r="F105"/>
  <c r="C13" i="48"/>
  <c r="E12" i="41"/>
  <c r="H14"/>
  <c r="I14" s="1"/>
  <c r="F33"/>
  <c r="H38"/>
  <c r="J38" s="1"/>
  <c r="E126"/>
  <c r="L644" i="44"/>
  <c r="H11" i="41"/>
  <c r="H18"/>
  <c r="I18" s="1"/>
  <c r="H105"/>
  <c r="E210"/>
  <c r="F210"/>
  <c r="H617"/>
  <c r="F17"/>
  <c r="E17"/>
  <c r="L28" i="44"/>
  <c r="E34"/>
  <c r="E167"/>
  <c r="E427"/>
  <c r="E455"/>
  <c r="L481"/>
  <c r="L489"/>
  <c r="L618"/>
  <c r="C29" i="48"/>
  <c r="E11" i="41"/>
  <c r="E13"/>
  <c r="E34"/>
  <c r="F36"/>
  <c r="E42"/>
  <c r="F45"/>
  <c r="F106"/>
  <c r="F126"/>
  <c r="F34"/>
  <c r="E35"/>
  <c r="F41"/>
  <c r="F42"/>
  <c r="H223"/>
  <c r="F223"/>
  <c r="E28" i="44"/>
  <c r="L455"/>
  <c r="E481"/>
  <c r="E646"/>
  <c r="H36" i="41"/>
  <c r="H106"/>
  <c r="I106" s="1"/>
  <c r="H35"/>
  <c r="I35" s="1"/>
  <c r="K35" s="1"/>
  <c r="H41"/>
  <c r="I41" s="1"/>
  <c r="H173"/>
  <c r="I173" s="1"/>
  <c r="B179" i="43"/>
  <c r="L1032" i="44" s="1"/>
  <c r="H260" i="41"/>
  <c r="J260" s="1"/>
  <c r="H313"/>
  <c r="I313" s="1"/>
  <c r="K313" s="1"/>
  <c r="E313"/>
  <c r="F313"/>
  <c r="E618"/>
  <c r="H618"/>
  <c r="I34"/>
  <c r="I45"/>
  <c r="K45" s="1"/>
  <c r="I24"/>
  <c r="K24" s="1"/>
  <c r="I210"/>
  <c r="F548" l="1"/>
  <c r="D23" i="48"/>
  <c r="D23" i="33"/>
  <c r="E1032" i="44"/>
  <c r="K191" i="41"/>
  <c r="J191"/>
  <c r="J194"/>
  <c r="K194"/>
  <c r="J180"/>
  <c r="K180"/>
  <c r="K106"/>
  <c r="K203"/>
  <c r="J203"/>
  <c r="K559" i="44"/>
  <c r="G189" i="41" s="1"/>
  <c r="G190"/>
  <c r="K626" i="44"/>
  <c r="G197" i="41" s="1"/>
  <c r="G192"/>
  <c r="J198"/>
  <c r="K198"/>
  <c r="F604"/>
  <c r="E604"/>
  <c r="H604"/>
  <c r="L1031" i="44"/>
  <c r="L1035"/>
  <c r="L1034"/>
  <c r="L1036"/>
  <c r="E1031"/>
  <c r="L1037"/>
  <c r="H108" i="41"/>
  <c r="E1035" i="44"/>
  <c r="E1036"/>
  <c r="E1037"/>
  <c r="H457" i="41"/>
  <c r="I457" s="1"/>
  <c r="K457" s="1"/>
  <c r="H612"/>
  <c r="F611"/>
  <c r="F602"/>
  <c r="E603"/>
  <c r="H603"/>
  <c r="H602"/>
  <c r="H611"/>
  <c r="E611"/>
  <c r="E602"/>
  <c r="E613"/>
  <c r="F612"/>
  <c r="F603"/>
  <c r="F613"/>
  <c r="H613"/>
  <c r="E612"/>
  <c r="H597"/>
  <c r="E552"/>
  <c r="H595"/>
  <c r="F570"/>
  <c r="E576"/>
  <c r="H591"/>
  <c r="E595"/>
  <c r="H576"/>
  <c r="E566"/>
  <c r="H577"/>
  <c r="F551"/>
  <c r="F586"/>
  <c r="E570"/>
  <c r="F576"/>
  <c r="H589"/>
  <c r="H570"/>
  <c r="H578"/>
  <c r="H566"/>
  <c r="F578"/>
  <c r="F582"/>
  <c r="F595"/>
  <c r="H586"/>
  <c r="F577"/>
  <c r="E597"/>
  <c r="E588"/>
  <c r="E594"/>
  <c r="F597"/>
  <c r="E578"/>
  <c r="F589"/>
  <c r="E586"/>
  <c r="H594"/>
  <c r="H588"/>
  <c r="F588"/>
  <c r="E551"/>
  <c r="H582"/>
  <c r="H596"/>
  <c r="E548"/>
  <c r="F594"/>
  <c r="H552"/>
  <c r="E596"/>
  <c r="E589"/>
  <c r="F552"/>
  <c r="E582"/>
  <c r="F596"/>
  <c r="E577"/>
  <c r="E591"/>
  <c r="H551"/>
  <c r="F566"/>
  <c r="F591"/>
  <c r="H548"/>
  <c r="E539"/>
  <c r="H541"/>
  <c r="E542"/>
  <c r="H539"/>
  <c r="H543"/>
  <c r="F541"/>
  <c r="E541"/>
  <c r="F543"/>
  <c r="E543"/>
  <c r="H542"/>
  <c r="H540"/>
  <c r="E540"/>
  <c r="F539"/>
  <c r="F542"/>
  <c r="F540"/>
  <c r="E533"/>
  <c r="F533"/>
  <c r="E529"/>
  <c r="E528"/>
  <c r="F534"/>
  <c r="F528"/>
  <c r="H527"/>
  <c r="H529"/>
  <c r="H528"/>
  <c r="F529"/>
  <c r="H534"/>
  <c r="E534"/>
  <c r="F527"/>
  <c r="H533"/>
  <c r="E527"/>
  <c r="E515"/>
  <c r="F517"/>
  <c r="E514"/>
  <c r="H519"/>
  <c r="E511"/>
  <c r="H511"/>
  <c r="E517"/>
  <c r="F505"/>
  <c r="F503"/>
  <c r="H505"/>
  <c r="E505"/>
  <c r="F519"/>
  <c r="F504"/>
  <c r="F510"/>
  <c r="E513"/>
  <c r="E503"/>
  <c r="E510"/>
  <c r="F508"/>
  <c r="E508"/>
  <c r="H516"/>
  <c r="E512"/>
  <c r="E504"/>
  <c r="H515"/>
  <c r="F513"/>
  <c r="E519"/>
  <c r="F515"/>
  <c r="H514"/>
  <c r="F514"/>
  <c r="H512"/>
  <c r="F520"/>
  <c r="E509"/>
  <c r="F511"/>
  <c r="H503"/>
  <c r="H508"/>
  <c r="F512"/>
  <c r="H513"/>
  <c r="H510"/>
  <c r="H504"/>
  <c r="E516"/>
  <c r="H517"/>
  <c r="E520"/>
  <c r="H509"/>
  <c r="H520"/>
  <c r="F509"/>
  <c r="F516"/>
  <c r="F479"/>
  <c r="H483"/>
  <c r="F485"/>
  <c r="H493"/>
  <c r="E478"/>
  <c r="E483"/>
  <c r="H480"/>
  <c r="F477"/>
  <c r="E495"/>
  <c r="E486"/>
  <c r="H481"/>
  <c r="H490"/>
  <c r="H498"/>
  <c r="H484"/>
  <c r="E497"/>
  <c r="E487"/>
  <c r="H487"/>
  <c r="H477"/>
  <c r="E496"/>
  <c r="E492"/>
  <c r="E491"/>
  <c r="E485"/>
  <c r="F478"/>
  <c r="H497"/>
  <c r="H495"/>
  <c r="H482"/>
  <c r="F484"/>
  <c r="E493"/>
  <c r="H479"/>
  <c r="H496"/>
  <c r="F491"/>
  <c r="E477"/>
  <c r="F482"/>
  <c r="E484"/>
  <c r="F488"/>
  <c r="F487"/>
  <c r="F493"/>
  <c r="H486"/>
  <c r="E488"/>
  <c r="F486"/>
  <c r="F480"/>
  <c r="H478"/>
  <c r="F498"/>
  <c r="F481"/>
  <c r="E490"/>
  <c r="H491"/>
  <c r="F497"/>
  <c r="H485"/>
  <c r="F492"/>
  <c r="F496"/>
  <c r="F495"/>
  <c r="E479"/>
  <c r="F483"/>
  <c r="E482"/>
  <c r="E480"/>
  <c r="H492"/>
  <c r="E481"/>
  <c r="F490"/>
  <c r="E498"/>
  <c r="H488"/>
  <c r="E475"/>
  <c r="H467"/>
  <c r="E476"/>
  <c r="F467"/>
  <c r="H475"/>
  <c r="F473"/>
  <c r="F476"/>
  <c r="E473"/>
  <c r="E461"/>
  <c r="H461"/>
  <c r="F469"/>
  <c r="E472"/>
  <c r="F475"/>
  <c r="H462"/>
  <c r="E469"/>
  <c r="F474"/>
  <c r="H472"/>
  <c r="H460"/>
  <c r="F471"/>
  <c r="H473"/>
  <c r="H471"/>
  <c r="F472"/>
  <c r="E467"/>
  <c r="E464"/>
  <c r="F462"/>
  <c r="H464"/>
  <c r="H476"/>
  <c r="F461"/>
  <c r="F464"/>
  <c r="E471"/>
  <c r="E460"/>
  <c r="H469"/>
  <c r="H474"/>
  <c r="E474"/>
  <c r="E462"/>
  <c r="F460"/>
  <c r="E441"/>
  <c r="H436"/>
  <c r="F426"/>
  <c r="H439"/>
  <c r="F428"/>
  <c r="E451"/>
  <c r="H433"/>
  <c r="E429"/>
  <c r="H454"/>
  <c r="F424"/>
  <c r="E430"/>
  <c r="F432"/>
  <c r="H429"/>
  <c r="E439"/>
  <c r="E456"/>
  <c r="F427"/>
  <c r="F442"/>
  <c r="E426"/>
  <c r="F441"/>
  <c r="F433"/>
  <c r="H449"/>
  <c r="E454"/>
  <c r="F444"/>
  <c r="H446"/>
  <c r="H432"/>
  <c r="H424"/>
  <c r="F436"/>
  <c r="H438"/>
  <c r="H442"/>
  <c r="E446"/>
  <c r="E447"/>
  <c r="F430"/>
  <c r="E449"/>
  <c r="F440"/>
  <c r="H428"/>
  <c r="H431"/>
  <c r="H455"/>
  <c r="F449"/>
  <c r="E435"/>
  <c r="F455"/>
  <c r="F439"/>
  <c r="F431"/>
  <c r="F443"/>
  <c r="H426"/>
  <c r="E450"/>
  <c r="H430"/>
  <c r="H441"/>
  <c r="H440"/>
  <c r="E428"/>
  <c r="H444"/>
  <c r="F456"/>
  <c r="E444"/>
  <c r="F446"/>
  <c r="E443"/>
  <c r="F438"/>
  <c r="E432"/>
  <c r="H456"/>
  <c r="E455"/>
  <c r="E438"/>
  <c r="F447"/>
  <c r="H443"/>
  <c r="F434"/>
  <c r="H447"/>
  <c r="H435"/>
  <c r="H427"/>
  <c r="F459"/>
  <c r="E433"/>
  <c r="F450"/>
  <c r="H450"/>
  <c r="F457"/>
  <c r="E436"/>
  <c r="E459"/>
  <c r="E424"/>
  <c r="F454"/>
  <c r="H434"/>
  <c r="F451"/>
  <c r="E440"/>
  <c r="E457"/>
  <c r="E431"/>
  <c r="F429"/>
  <c r="F435"/>
  <c r="H459"/>
  <c r="E427"/>
  <c r="E442"/>
  <c r="E434"/>
  <c r="H451"/>
  <c r="H219"/>
  <c r="E219"/>
  <c r="H375"/>
  <c r="H392"/>
  <c r="E376"/>
  <c r="H396"/>
  <c r="E372"/>
  <c r="H409"/>
  <c r="F390"/>
  <c r="E409"/>
  <c r="H372"/>
  <c r="E361"/>
  <c r="E396"/>
  <c r="E389"/>
  <c r="E392"/>
  <c r="E373"/>
  <c r="E377"/>
  <c r="H376"/>
  <c r="F361"/>
  <c r="E362"/>
  <c r="H378"/>
  <c r="H390"/>
  <c r="H373"/>
  <c r="F392"/>
  <c r="F362"/>
  <c r="F372"/>
  <c r="F375"/>
  <c r="E374"/>
  <c r="F378"/>
  <c r="F373"/>
  <c r="F376"/>
  <c r="H377"/>
  <c r="H374"/>
  <c r="H362"/>
  <c r="F377"/>
  <c r="F374"/>
  <c r="F409"/>
  <c r="H389"/>
  <c r="F396"/>
  <c r="E378"/>
  <c r="F389"/>
  <c r="E390"/>
  <c r="E375"/>
  <c r="H361"/>
  <c r="E329"/>
  <c r="H329"/>
  <c r="F329"/>
  <c r="E317"/>
  <c r="F317"/>
  <c r="F319"/>
  <c r="E319"/>
  <c r="H317"/>
  <c r="H319"/>
  <c r="F311"/>
  <c r="F310"/>
  <c r="E309"/>
  <c r="E310"/>
  <c r="E311"/>
  <c r="F309"/>
  <c r="I212"/>
  <c r="I193"/>
  <c r="K193" s="1"/>
  <c r="J193"/>
  <c r="I192"/>
  <c r="K192" s="1"/>
  <c r="J192"/>
  <c r="K161"/>
  <c r="J161"/>
  <c r="K160"/>
  <c r="J160"/>
  <c r="K176"/>
  <c r="J176"/>
  <c r="I174"/>
  <c r="K174" s="1"/>
  <c r="J174"/>
  <c r="I175"/>
  <c r="K175" s="1"/>
  <c r="J175"/>
  <c r="I165"/>
  <c r="K165" s="1"/>
  <c r="J165"/>
  <c r="I169"/>
  <c r="K169" s="1"/>
  <c r="J169"/>
  <c r="I170"/>
  <c r="K170" s="1"/>
  <c r="J170"/>
  <c r="I166"/>
  <c r="K166" s="1"/>
  <c r="J166"/>
  <c r="I168"/>
  <c r="K168" s="1"/>
  <c r="J168"/>
  <c r="I163"/>
  <c r="K163" s="1"/>
  <c r="J163"/>
  <c r="F153"/>
  <c r="J149"/>
  <c r="K149"/>
  <c r="K148"/>
  <c r="J148"/>
  <c r="J156"/>
  <c r="K156"/>
  <c r="J157"/>
  <c r="K157"/>
  <c r="J135"/>
  <c r="K135"/>
  <c r="J133"/>
  <c r="K133"/>
  <c r="J131"/>
  <c r="K131"/>
  <c r="J132"/>
  <c r="K132"/>
  <c r="K134"/>
  <c r="J134"/>
  <c r="G105"/>
  <c r="J105" s="1"/>
  <c r="K107"/>
  <c r="J107"/>
  <c r="F108"/>
  <c r="E108"/>
  <c r="I108"/>
  <c r="K108" s="1"/>
  <c r="J108"/>
  <c r="H99"/>
  <c r="F99"/>
  <c r="E99"/>
  <c r="E65"/>
  <c r="H65"/>
  <c r="F65"/>
  <c r="K34"/>
  <c r="J39"/>
  <c r="K39"/>
  <c r="I25"/>
  <c r="K25" s="1"/>
  <c r="J25"/>
  <c r="I20"/>
  <c r="K20" s="1"/>
  <c r="J20"/>
  <c r="I21"/>
  <c r="K21" s="1"/>
  <c r="J21"/>
  <c r="K41"/>
  <c r="J11"/>
  <c r="K459" i="44"/>
  <c r="G167" i="41" s="1"/>
  <c r="K1043" i="44"/>
  <c r="G616" i="41" s="1"/>
  <c r="K554" i="44"/>
  <c r="G184" i="41" s="1"/>
  <c r="K1045" i="44"/>
  <c r="G618" i="41" s="1"/>
  <c r="J618" s="1"/>
  <c r="K173"/>
  <c r="L1025" i="44"/>
  <c r="E1039"/>
  <c r="L1041"/>
  <c r="E1041"/>
  <c r="L1039"/>
  <c r="L1040"/>
  <c r="E1040"/>
  <c r="E1018"/>
  <c r="L1018"/>
  <c r="E1016"/>
  <c r="E1019"/>
  <c r="E1014"/>
  <c r="L1019"/>
  <c r="E1024"/>
  <c r="L1020"/>
  <c r="E1022"/>
  <c r="E1021"/>
  <c r="E1020"/>
  <c r="L1021"/>
  <c r="L1014"/>
  <c r="L1022"/>
  <c r="E1015"/>
  <c r="E1023"/>
  <c r="L1015"/>
  <c r="L1023"/>
  <c r="L1016"/>
  <c r="L1024"/>
  <c r="E1017"/>
  <c r="E1025"/>
  <c r="L1017"/>
  <c r="E998"/>
  <c r="L998"/>
  <c r="E1009"/>
  <c r="E1010"/>
  <c r="L1009"/>
  <c r="L1010"/>
  <c r="I38" i="41"/>
  <c r="K38" s="1"/>
  <c r="K252" i="44"/>
  <c r="E971"/>
  <c r="E969"/>
  <c r="L972"/>
  <c r="L971"/>
  <c r="L969"/>
  <c r="E970"/>
  <c r="E972"/>
  <c r="L970"/>
  <c r="L968"/>
  <c r="E968"/>
  <c r="E651"/>
  <c r="E962"/>
  <c r="L957"/>
  <c r="E963"/>
  <c r="E958"/>
  <c r="L958"/>
  <c r="E957"/>
  <c r="L963"/>
  <c r="L962"/>
  <c r="L956"/>
  <c r="E956"/>
  <c r="L1007"/>
  <c r="L1006"/>
  <c r="E1007"/>
  <c r="E1006"/>
  <c r="L1005"/>
  <c r="E1004"/>
  <c r="E1005"/>
  <c r="L1004"/>
  <c r="L1002"/>
  <c r="E1002"/>
  <c r="L1001"/>
  <c r="L1000"/>
  <c r="E1000"/>
  <c r="E1001"/>
  <c r="E996"/>
  <c r="L996"/>
  <c r="I209" i="43"/>
  <c r="I181" s="1"/>
  <c r="H309" i="41" s="1"/>
  <c r="L994" i="44"/>
  <c r="E994"/>
  <c r="I156" i="43"/>
  <c r="H214" i="41" s="1"/>
  <c r="I214" s="1"/>
  <c r="K214" s="1"/>
  <c r="I217" i="43"/>
  <c r="H310" i="41" s="1"/>
  <c r="I310" s="1"/>
  <c r="K310" s="1"/>
  <c r="L651" i="44"/>
  <c r="K18" i="41"/>
  <c r="I12"/>
  <c r="K12" s="1"/>
  <c r="L928" i="44"/>
  <c r="L926"/>
  <c r="E928"/>
  <c r="E926"/>
  <c r="E925"/>
  <c r="L927"/>
  <c r="L925"/>
  <c r="E927"/>
  <c r="E942"/>
  <c r="E944"/>
  <c r="E946"/>
  <c r="E950"/>
  <c r="L933"/>
  <c r="L941"/>
  <c r="E939"/>
  <c r="L938"/>
  <c r="L942"/>
  <c r="L944"/>
  <c r="L946"/>
  <c r="L950"/>
  <c r="L934"/>
  <c r="E940"/>
  <c r="E943"/>
  <c r="E945"/>
  <c r="E947"/>
  <c r="E949"/>
  <c r="L935"/>
  <c r="L939"/>
  <c r="E941"/>
  <c r="L943"/>
  <c r="L945"/>
  <c r="L947"/>
  <c r="L949"/>
  <c r="L940"/>
  <c r="E938"/>
  <c r="L912"/>
  <c r="L916"/>
  <c r="L920"/>
  <c r="E912"/>
  <c r="E916"/>
  <c r="E920"/>
  <c r="E930"/>
  <c r="E934"/>
  <c r="L913"/>
  <c r="L917"/>
  <c r="L921"/>
  <c r="E913"/>
  <c r="E917"/>
  <c r="E921"/>
  <c r="E931"/>
  <c r="E935"/>
  <c r="L914"/>
  <c r="L918"/>
  <c r="L922"/>
  <c r="E914"/>
  <c r="E918"/>
  <c r="E922"/>
  <c r="E932"/>
  <c r="L915"/>
  <c r="L923"/>
  <c r="E915"/>
  <c r="E923"/>
  <c r="E933"/>
  <c r="L887"/>
  <c r="L856"/>
  <c r="L858"/>
  <c r="L860"/>
  <c r="L862"/>
  <c r="L864"/>
  <c r="L866"/>
  <c r="L868"/>
  <c r="L870"/>
  <c r="L872"/>
  <c r="L874"/>
  <c r="L876"/>
  <c r="L880"/>
  <c r="L884"/>
  <c r="L886"/>
  <c r="E890"/>
  <c r="E892"/>
  <c r="E897"/>
  <c r="E899"/>
  <c r="E902"/>
  <c r="E904"/>
  <c r="E906"/>
  <c r="E908"/>
  <c r="E910"/>
  <c r="L854"/>
  <c r="E858"/>
  <c r="E864"/>
  <c r="E872"/>
  <c r="E886"/>
  <c r="L907"/>
  <c r="E857"/>
  <c r="E859"/>
  <c r="E861"/>
  <c r="E863"/>
  <c r="E865"/>
  <c r="E869"/>
  <c r="E871"/>
  <c r="E873"/>
  <c r="E877"/>
  <c r="E879"/>
  <c r="E881"/>
  <c r="E885"/>
  <c r="E887"/>
  <c r="L890"/>
  <c r="L892"/>
  <c r="L897"/>
  <c r="L899"/>
  <c r="L902"/>
  <c r="L904"/>
  <c r="L906"/>
  <c r="L908"/>
  <c r="L910"/>
  <c r="E854"/>
  <c r="E856"/>
  <c r="E862"/>
  <c r="E868"/>
  <c r="E876"/>
  <c r="E884"/>
  <c r="L894"/>
  <c r="L905"/>
  <c r="L911"/>
  <c r="L857"/>
  <c r="L859"/>
  <c r="L861"/>
  <c r="L863"/>
  <c r="L865"/>
  <c r="L869"/>
  <c r="L871"/>
  <c r="L873"/>
  <c r="L877"/>
  <c r="L879"/>
  <c r="L881"/>
  <c r="L885"/>
  <c r="E889"/>
  <c r="E891"/>
  <c r="E894"/>
  <c r="E901"/>
  <c r="E903"/>
  <c r="E905"/>
  <c r="E907"/>
  <c r="E909"/>
  <c r="E911"/>
  <c r="E860"/>
  <c r="E866"/>
  <c r="E874"/>
  <c r="L889"/>
  <c r="L901"/>
  <c r="E870"/>
  <c r="E880"/>
  <c r="L891"/>
  <c r="L903"/>
  <c r="L909"/>
  <c r="E839"/>
  <c r="L839"/>
  <c r="E51"/>
  <c r="K49" s="1"/>
  <c r="G27" i="41" s="1"/>
  <c r="L826" i="44"/>
  <c r="E826"/>
  <c r="E807"/>
  <c r="L807"/>
  <c r="E808"/>
  <c r="L808"/>
  <c r="L803"/>
  <c r="E803"/>
  <c r="I72" i="43"/>
  <c r="H153" i="41" s="1"/>
  <c r="I153" s="1"/>
  <c r="K153" s="1"/>
  <c r="I254" i="43"/>
  <c r="G256"/>
  <c r="I256" s="1"/>
  <c r="G255"/>
  <c r="I255" s="1"/>
  <c r="J173" i="41"/>
  <c r="L748" i="44"/>
  <c r="E792"/>
  <c r="L792"/>
  <c r="J341" i="41"/>
  <c r="K33"/>
  <c r="I105"/>
  <c r="I11"/>
  <c r="K11" s="1"/>
  <c r="E89" i="44"/>
  <c r="K87" s="1"/>
  <c r="G43" i="41" s="1"/>
  <c r="G42"/>
  <c r="F601"/>
  <c r="E601"/>
  <c r="J18"/>
  <c r="H601"/>
  <c r="J601" s="1"/>
  <c r="J106"/>
  <c r="I260"/>
  <c r="K260" s="1"/>
  <c r="I617"/>
  <c r="K550" i="44"/>
  <c r="G182" i="41" s="1"/>
  <c r="N498" i="44"/>
  <c r="K14" i="41"/>
  <c r="K208" i="44"/>
  <c r="K428"/>
  <c r="G154" i="41" s="1"/>
  <c r="K233" i="44"/>
  <c r="I618" i="41"/>
  <c r="J261" i="44"/>
  <c r="M642"/>
  <c r="K644" s="1"/>
  <c r="G212" i="41" s="1"/>
  <c r="J212" s="1"/>
  <c r="K643" i="44"/>
  <c r="G211" i="41" s="1"/>
  <c r="J33"/>
  <c r="J13"/>
  <c r="J14"/>
  <c r="J313"/>
  <c r="E740" i="44"/>
  <c r="J41" i="41"/>
  <c r="E742" i="44"/>
  <c r="L742"/>
  <c r="H525" i="41"/>
  <c r="F525"/>
  <c r="E525"/>
  <c r="E1043" i="44"/>
  <c r="L981"/>
  <c r="L979"/>
  <c r="L978"/>
  <c r="L976"/>
  <c r="L819"/>
  <c r="L805"/>
  <c r="E1030"/>
  <c r="E1029"/>
  <c r="E1028"/>
  <c r="E981"/>
  <c r="E979"/>
  <c r="E978"/>
  <c r="E976"/>
  <c r="E819"/>
  <c r="E805"/>
  <c r="L791"/>
  <c r="L741"/>
  <c r="L117"/>
  <c r="L980"/>
  <c r="L977"/>
  <c r="L822"/>
  <c r="L820"/>
  <c r="L806"/>
  <c r="L804"/>
  <c r="L802"/>
  <c r="E791"/>
  <c r="E741"/>
  <c r="E117"/>
  <c r="L1043"/>
  <c r="L1030"/>
  <c r="L1029"/>
  <c r="L1028"/>
  <c r="E980"/>
  <c r="E977"/>
  <c r="E822"/>
  <c r="E820"/>
  <c r="E806"/>
  <c r="E804"/>
  <c r="E802"/>
  <c r="E748"/>
  <c r="L740"/>
  <c r="I36" i="41"/>
  <c r="K36" s="1"/>
  <c r="J36"/>
  <c r="J223"/>
  <c r="I223"/>
  <c r="K223" s="1"/>
  <c r="J35"/>
  <c r="L760" i="44"/>
  <c r="E760"/>
  <c r="E750"/>
  <c r="L750"/>
  <c r="J17" i="41"/>
  <c r="I17"/>
  <c r="K17" s="1"/>
  <c r="J457" l="1"/>
  <c r="G23" i="33"/>
  <c r="H23"/>
  <c r="J197" i="41"/>
  <c r="K197"/>
  <c r="K182"/>
  <c r="J182"/>
  <c r="J190"/>
  <c r="K190"/>
  <c r="J189"/>
  <c r="K189"/>
  <c r="K184"/>
  <c r="J184"/>
  <c r="I604"/>
  <c r="K604" s="1"/>
  <c r="J604"/>
  <c r="J214"/>
  <c r="K212"/>
  <c r="K211"/>
  <c r="J211"/>
  <c r="I611"/>
  <c r="K611" s="1"/>
  <c r="J611"/>
  <c r="I613"/>
  <c r="K613" s="1"/>
  <c r="J613"/>
  <c r="I602"/>
  <c r="K602" s="1"/>
  <c r="J602"/>
  <c r="I603"/>
  <c r="K603" s="1"/>
  <c r="J603"/>
  <c r="I612"/>
  <c r="K612" s="1"/>
  <c r="J612"/>
  <c r="I219"/>
  <c r="I596"/>
  <c r="K596" s="1"/>
  <c r="J596"/>
  <c r="I588"/>
  <c r="K588" s="1"/>
  <c r="J588"/>
  <c r="I570"/>
  <c r="K570" s="1"/>
  <c r="J570"/>
  <c r="I576"/>
  <c r="K576" s="1"/>
  <c r="J576"/>
  <c r="I551"/>
  <c r="K551" s="1"/>
  <c r="J551"/>
  <c r="I552"/>
  <c r="K552" s="1"/>
  <c r="J552"/>
  <c r="J582"/>
  <c r="I582"/>
  <c r="K582" s="1"/>
  <c r="I594"/>
  <c r="K594" s="1"/>
  <c r="J594"/>
  <c r="I589"/>
  <c r="K589" s="1"/>
  <c r="J589"/>
  <c r="J595"/>
  <c r="I595"/>
  <c r="K595" s="1"/>
  <c r="J548"/>
  <c r="I548"/>
  <c r="K548" s="1"/>
  <c r="I586"/>
  <c r="K586" s="1"/>
  <c r="J586"/>
  <c r="I566"/>
  <c r="K566" s="1"/>
  <c r="J566"/>
  <c r="I577"/>
  <c r="K577" s="1"/>
  <c r="J577"/>
  <c r="J591"/>
  <c r="I591"/>
  <c r="K591" s="1"/>
  <c r="I578"/>
  <c r="K578" s="1"/>
  <c r="J578"/>
  <c r="I597"/>
  <c r="K597" s="1"/>
  <c r="J597"/>
  <c r="K105"/>
  <c r="K22"/>
  <c r="D13" i="33" s="1"/>
  <c r="I539" i="41"/>
  <c r="K539" s="1"/>
  <c r="J539"/>
  <c r="I540"/>
  <c r="K540" s="1"/>
  <c r="J540"/>
  <c r="I542"/>
  <c r="K542" s="1"/>
  <c r="J542"/>
  <c r="I541"/>
  <c r="K541" s="1"/>
  <c r="J541"/>
  <c r="I543"/>
  <c r="K543" s="1"/>
  <c r="J543"/>
  <c r="I528"/>
  <c r="K528" s="1"/>
  <c r="J528"/>
  <c r="I529"/>
  <c r="K529" s="1"/>
  <c r="J529"/>
  <c r="I533"/>
  <c r="K533" s="1"/>
  <c r="J533"/>
  <c r="I534"/>
  <c r="K534" s="1"/>
  <c r="J534"/>
  <c r="I527"/>
  <c r="K527" s="1"/>
  <c r="J527"/>
  <c r="I517"/>
  <c r="K517" s="1"/>
  <c r="J517"/>
  <c r="I513"/>
  <c r="K513" s="1"/>
  <c r="J513"/>
  <c r="J516"/>
  <c r="I516"/>
  <c r="K516" s="1"/>
  <c r="I519"/>
  <c r="K519" s="1"/>
  <c r="J519"/>
  <c r="J520"/>
  <c r="I520"/>
  <c r="K520" s="1"/>
  <c r="I514"/>
  <c r="K514" s="1"/>
  <c r="J514"/>
  <c r="J515"/>
  <c r="I515"/>
  <c r="K515" s="1"/>
  <c r="I509"/>
  <c r="K509" s="1"/>
  <c r="J509"/>
  <c r="I504"/>
  <c r="K504" s="1"/>
  <c r="J504"/>
  <c r="I508"/>
  <c r="K508" s="1"/>
  <c r="J508"/>
  <c r="I505"/>
  <c r="K505" s="1"/>
  <c r="J505"/>
  <c r="I511"/>
  <c r="K511" s="1"/>
  <c r="J511"/>
  <c r="I510"/>
  <c r="K510" s="1"/>
  <c r="J510"/>
  <c r="I503"/>
  <c r="K503" s="1"/>
  <c r="J503"/>
  <c r="J512"/>
  <c r="I512"/>
  <c r="K512" s="1"/>
  <c r="J310"/>
  <c r="I488"/>
  <c r="K488" s="1"/>
  <c r="J488"/>
  <c r="I492"/>
  <c r="K492" s="1"/>
  <c r="J492"/>
  <c r="I485"/>
  <c r="K485" s="1"/>
  <c r="J485"/>
  <c r="I497"/>
  <c r="K497" s="1"/>
  <c r="J497"/>
  <c r="I490"/>
  <c r="K490" s="1"/>
  <c r="J490"/>
  <c r="I493"/>
  <c r="K493" s="1"/>
  <c r="J493"/>
  <c r="J481"/>
  <c r="I481"/>
  <c r="K481" s="1"/>
  <c r="I480"/>
  <c r="K480" s="1"/>
  <c r="J480"/>
  <c r="I491"/>
  <c r="K491" s="1"/>
  <c r="J491"/>
  <c r="I478"/>
  <c r="K478" s="1"/>
  <c r="J478"/>
  <c r="I486"/>
  <c r="K486" s="1"/>
  <c r="J486"/>
  <c r="I496"/>
  <c r="K496" s="1"/>
  <c r="J496"/>
  <c r="I482"/>
  <c r="K482" s="1"/>
  <c r="J482"/>
  <c r="I477"/>
  <c r="K477" s="1"/>
  <c r="J477"/>
  <c r="I484"/>
  <c r="K484" s="1"/>
  <c r="J484"/>
  <c r="I483"/>
  <c r="K483" s="1"/>
  <c r="J483"/>
  <c r="I479"/>
  <c r="K479" s="1"/>
  <c r="J479"/>
  <c r="I495"/>
  <c r="K495" s="1"/>
  <c r="J495"/>
  <c r="I487"/>
  <c r="K487" s="1"/>
  <c r="J487"/>
  <c r="I498"/>
  <c r="K498" s="1"/>
  <c r="J498"/>
  <c r="I469"/>
  <c r="K469" s="1"/>
  <c r="J469"/>
  <c r="I473"/>
  <c r="K473" s="1"/>
  <c r="J473"/>
  <c r="I476"/>
  <c r="K476" s="1"/>
  <c r="J476"/>
  <c r="I464"/>
  <c r="K464" s="1"/>
  <c r="J464"/>
  <c r="I460"/>
  <c r="K460" s="1"/>
  <c r="J460"/>
  <c r="I462"/>
  <c r="K462" s="1"/>
  <c r="J462"/>
  <c r="I461"/>
  <c r="K461" s="1"/>
  <c r="J461"/>
  <c r="I467"/>
  <c r="K467" s="1"/>
  <c r="J467"/>
  <c r="I474"/>
  <c r="K474" s="1"/>
  <c r="J474"/>
  <c r="I471"/>
  <c r="K471" s="1"/>
  <c r="J471"/>
  <c r="I472"/>
  <c r="K472" s="1"/>
  <c r="J472"/>
  <c r="I475"/>
  <c r="K475" s="1"/>
  <c r="J475"/>
  <c r="J434"/>
  <c r="I434"/>
  <c r="K434" s="1"/>
  <c r="I450"/>
  <c r="K450" s="1"/>
  <c r="J450"/>
  <c r="I427"/>
  <c r="K427" s="1"/>
  <c r="J427"/>
  <c r="I443"/>
  <c r="K443" s="1"/>
  <c r="J443"/>
  <c r="I456"/>
  <c r="K456" s="1"/>
  <c r="J456"/>
  <c r="I455"/>
  <c r="K455" s="1"/>
  <c r="J455"/>
  <c r="I442"/>
  <c r="K442" s="1"/>
  <c r="J442"/>
  <c r="I432"/>
  <c r="K432" s="1"/>
  <c r="J432"/>
  <c r="I449"/>
  <c r="K449" s="1"/>
  <c r="J449"/>
  <c r="I429"/>
  <c r="K429" s="1"/>
  <c r="J429"/>
  <c r="I454"/>
  <c r="K454" s="1"/>
  <c r="J454"/>
  <c r="I451"/>
  <c r="K451" s="1"/>
  <c r="J451"/>
  <c r="I459"/>
  <c r="K459" s="1"/>
  <c r="J459"/>
  <c r="I435"/>
  <c r="K435" s="1"/>
  <c r="J435"/>
  <c r="I440"/>
  <c r="K440" s="1"/>
  <c r="J440"/>
  <c r="I426"/>
  <c r="K426" s="1"/>
  <c r="J426"/>
  <c r="I431"/>
  <c r="K431" s="1"/>
  <c r="J431"/>
  <c r="J438"/>
  <c r="I438"/>
  <c r="K438" s="1"/>
  <c r="I446"/>
  <c r="K446" s="1"/>
  <c r="J446"/>
  <c r="I439"/>
  <c r="K439" s="1"/>
  <c r="J439"/>
  <c r="I447"/>
  <c r="K447" s="1"/>
  <c r="J447"/>
  <c r="J441"/>
  <c r="I441"/>
  <c r="K441" s="1"/>
  <c r="I428"/>
  <c r="K428" s="1"/>
  <c r="J428"/>
  <c r="J433"/>
  <c r="I433"/>
  <c r="K433" s="1"/>
  <c r="I444"/>
  <c r="K444" s="1"/>
  <c r="J444"/>
  <c r="I430"/>
  <c r="K430" s="1"/>
  <c r="J430"/>
  <c r="I424"/>
  <c r="K424" s="1"/>
  <c r="J424"/>
  <c r="I436"/>
  <c r="K436" s="1"/>
  <c r="J436"/>
  <c r="I374"/>
  <c r="K374" s="1"/>
  <c r="J374"/>
  <c r="I390"/>
  <c r="K390" s="1"/>
  <c r="J390"/>
  <c r="I376"/>
  <c r="K376" s="1"/>
  <c r="J376"/>
  <c r="I396"/>
  <c r="K396" s="1"/>
  <c r="J396"/>
  <c r="I361"/>
  <c r="K361" s="1"/>
  <c r="J361"/>
  <c r="I377"/>
  <c r="K377" s="1"/>
  <c r="J377"/>
  <c r="I378"/>
  <c r="K378" s="1"/>
  <c r="J378"/>
  <c r="I373"/>
  <c r="K373" s="1"/>
  <c r="J373"/>
  <c r="I409"/>
  <c r="K409" s="1"/>
  <c r="J409"/>
  <c r="I392"/>
  <c r="K392" s="1"/>
  <c r="J392"/>
  <c r="I389"/>
  <c r="K389" s="1"/>
  <c r="J389"/>
  <c r="I362"/>
  <c r="K362" s="1"/>
  <c r="J362"/>
  <c r="I372"/>
  <c r="K372" s="1"/>
  <c r="J372"/>
  <c r="I375"/>
  <c r="K375" s="1"/>
  <c r="J375"/>
  <c r="I329"/>
  <c r="K329" s="1"/>
  <c r="J329"/>
  <c r="I319"/>
  <c r="K319" s="1"/>
  <c r="J319"/>
  <c r="I317"/>
  <c r="K317" s="1"/>
  <c r="J317"/>
  <c r="I309"/>
  <c r="K309" s="1"/>
  <c r="J309"/>
  <c r="K177"/>
  <c r="D31" i="33" s="1"/>
  <c r="K167" i="41"/>
  <c r="K171" s="1"/>
  <c r="J167"/>
  <c r="J171" s="1"/>
  <c r="J153"/>
  <c r="K154"/>
  <c r="K158" s="1"/>
  <c r="D27" i="33" s="1"/>
  <c r="J154" i="41"/>
  <c r="J22"/>
  <c r="J124"/>
  <c r="K618"/>
  <c r="I99"/>
  <c r="K99" s="1"/>
  <c r="J99"/>
  <c r="I65"/>
  <c r="K65" s="1"/>
  <c r="J65"/>
  <c r="J43"/>
  <c r="K43"/>
  <c r="J27"/>
  <c r="K27"/>
  <c r="K1044" i="44"/>
  <c r="G617" i="41" s="1"/>
  <c r="J617" s="1"/>
  <c r="E638" i="44"/>
  <c r="L617"/>
  <c r="L650"/>
  <c r="E616" i="41"/>
  <c r="E617" i="44"/>
  <c r="E636"/>
  <c r="L1008"/>
  <c r="L961"/>
  <c r="E645"/>
  <c r="L638"/>
  <c r="H616" i="41"/>
  <c r="I616" s="1"/>
  <c r="K616" s="1"/>
  <c r="F616"/>
  <c r="L636" i="44"/>
  <c r="E650"/>
  <c r="L645"/>
  <c r="E55"/>
  <c r="K55" s="1"/>
  <c r="K53" s="1"/>
  <c r="G28" i="41" s="1"/>
  <c r="I240" i="43"/>
  <c r="H311" i="41" s="1"/>
  <c r="I311" s="1"/>
  <c r="K311" s="1"/>
  <c r="J177"/>
  <c r="K15"/>
  <c r="D11" i="33" s="1"/>
  <c r="I601" i="41"/>
  <c r="K601" s="1"/>
  <c r="K42"/>
  <c r="J42"/>
  <c r="K206" i="44"/>
  <c r="K645"/>
  <c r="G213" i="41" s="1"/>
  <c r="J207"/>
  <c r="J15"/>
  <c r="I525"/>
  <c r="K525" s="1"/>
  <c r="J525"/>
  <c r="O23" i="33" l="1"/>
  <c r="O24" s="1"/>
  <c r="K27"/>
  <c r="M31"/>
  <c r="L31"/>
  <c r="K31"/>
  <c r="D29"/>
  <c r="K11"/>
  <c r="G11"/>
  <c r="J11"/>
  <c r="F11"/>
  <c r="I11"/>
  <c r="L11"/>
  <c r="H11"/>
  <c r="G27"/>
  <c r="J27"/>
  <c r="I27"/>
  <c r="H27"/>
  <c r="K124" i="41"/>
  <c r="N23" i="33"/>
  <c r="F13"/>
  <c r="N13" s="1"/>
  <c r="K207" i="41"/>
  <c r="D35" i="33" s="1"/>
  <c r="D13" i="48"/>
  <c r="J311" i="41"/>
  <c r="J338" s="1"/>
  <c r="K614"/>
  <c r="J614"/>
  <c r="J213"/>
  <c r="K213"/>
  <c r="D11" i="48"/>
  <c r="K598" i="41"/>
  <c r="D47" i="33" s="1"/>
  <c r="K522" i="41"/>
  <c r="K421"/>
  <c r="J522"/>
  <c r="K338"/>
  <c r="J421"/>
  <c r="J55"/>
  <c r="D29" i="48"/>
  <c r="K55" i="41"/>
  <c r="J158"/>
  <c r="D31" i="48"/>
  <c r="K102" i="41"/>
  <c r="J102"/>
  <c r="G129"/>
  <c r="K28"/>
  <c r="K29" s="1"/>
  <c r="D15" i="33" s="1"/>
  <c r="J28" i="41"/>
  <c r="J29" s="1"/>
  <c r="K617"/>
  <c r="K619" s="1"/>
  <c r="D51" i="33" s="1"/>
  <c r="J616" i="41"/>
  <c r="J619" s="1"/>
  <c r="E496" i="44"/>
  <c r="K496" s="1"/>
  <c r="K494" s="1"/>
  <c r="J598" i="41"/>
  <c r="J545"/>
  <c r="K545"/>
  <c r="D35" i="48" l="1"/>
  <c r="O27" i="33"/>
  <c r="O28" s="1"/>
  <c r="M51"/>
  <c r="N51" s="1"/>
  <c r="F15"/>
  <c r="O15" s="1"/>
  <c r="O16" s="1"/>
  <c r="N31"/>
  <c r="O13"/>
  <c r="O14" s="1"/>
  <c r="O31"/>
  <c r="O32" s="1"/>
  <c r="M29"/>
  <c r="M47"/>
  <c r="F47"/>
  <c r="L47"/>
  <c r="M35"/>
  <c r="K35"/>
  <c r="L35"/>
  <c r="F35"/>
  <c r="N27"/>
  <c r="I29"/>
  <c r="L29"/>
  <c r="K29"/>
  <c r="J29"/>
  <c r="D21" i="48"/>
  <c r="D21" i="33"/>
  <c r="D45" i="48"/>
  <c r="D45" i="33"/>
  <c r="D41" i="48"/>
  <c r="D41" i="33"/>
  <c r="D43"/>
  <c r="D43" i="48"/>
  <c r="D17"/>
  <c r="D17" i="33"/>
  <c r="D39" i="48"/>
  <c r="D39" i="33"/>
  <c r="D19" i="48"/>
  <c r="D19" i="33"/>
  <c r="D49" i="48"/>
  <c r="D49" i="33"/>
  <c r="K548" i="44"/>
  <c r="G179" i="41"/>
  <c r="D27" i="48"/>
  <c r="K129" i="41"/>
  <c r="J129"/>
  <c r="J137" s="1"/>
  <c r="D15" i="48"/>
  <c r="D51"/>
  <c r="N494" i="44"/>
  <c r="J210" i="41"/>
  <c r="D47" i="48"/>
  <c r="O35" i="33" l="1"/>
  <c r="O36" s="1"/>
  <c r="O47"/>
  <c r="O48" s="1"/>
  <c r="O29"/>
  <c r="O30" s="1"/>
  <c r="N15"/>
  <c r="N35"/>
  <c r="O51"/>
  <c r="O52" s="1"/>
  <c r="N47"/>
  <c r="G41"/>
  <c r="L41"/>
  <c r="K41"/>
  <c r="H41"/>
  <c r="M41"/>
  <c r="J41"/>
  <c r="I39"/>
  <c r="L39"/>
  <c r="F39"/>
  <c r="K39"/>
  <c r="M39"/>
  <c r="H45"/>
  <c r="M45"/>
  <c r="L49"/>
  <c r="M49"/>
  <c r="K49"/>
  <c r="L43"/>
  <c r="M43"/>
  <c r="N29"/>
  <c r="K137" i="41"/>
  <c r="L21" i="33"/>
  <c r="F21"/>
  <c r="K21"/>
  <c r="G17"/>
  <c r="F17"/>
  <c r="G19"/>
  <c r="H19"/>
  <c r="F19"/>
  <c r="I19"/>
  <c r="K179" i="41"/>
  <c r="J179"/>
  <c r="K648" i="44"/>
  <c r="G181" i="41"/>
  <c r="K210"/>
  <c r="O43" i="33" l="1"/>
  <c r="O44" s="1"/>
  <c r="O49"/>
  <c r="O50" s="1"/>
  <c r="O19"/>
  <c r="O20" s="1"/>
  <c r="O45"/>
  <c r="O46" s="1"/>
  <c r="O41"/>
  <c r="O42" s="1"/>
  <c r="O21"/>
  <c r="O22" s="1"/>
  <c r="O39"/>
  <c r="O40" s="1"/>
  <c r="O17"/>
  <c r="O18" s="1"/>
  <c r="F53"/>
  <c r="N43"/>
  <c r="N39"/>
  <c r="N41"/>
  <c r="N49"/>
  <c r="N45"/>
  <c r="N17"/>
  <c r="N19"/>
  <c r="N21"/>
  <c r="D25" i="48"/>
  <c r="D25" i="33"/>
  <c r="G216" i="41"/>
  <c r="K650" i="44"/>
  <c r="G218" i="41" s="1"/>
  <c r="M648" i="44"/>
  <c r="K651" s="1"/>
  <c r="G219" i="41" s="1"/>
  <c r="K649" i="44"/>
  <c r="G217" i="41" s="1"/>
  <c r="K181"/>
  <c r="K185" s="1"/>
  <c r="J181"/>
  <c r="J185" s="1"/>
  <c r="J25" i="33" l="1"/>
  <c r="D33"/>
  <c r="D33" i="48"/>
  <c r="G25" i="33"/>
  <c r="I25"/>
  <c r="H25"/>
  <c r="J218" i="41"/>
  <c r="K218"/>
  <c r="J219"/>
  <c r="K219"/>
  <c r="K216"/>
  <c r="J216"/>
  <c r="K217"/>
  <c r="J217"/>
  <c r="F55" i="33"/>
  <c r="O25" l="1"/>
  <c r="O26" s="1"/>
  <c r="G33"/>
  <c r="H33"/>
  <c r="H53" s="1"/>
  <c r="J33"/>
  <c r="I33"/>
  <c r="I53" s="1"/>
  <c r="N25"/>
  <c r="J220" i="41"/>
  <c r="J621" s="1"/>
  <c r="K220"/>
  <c r="D37" i="33" s="1"/>
  <c r="N33" l="1"/>
  <c r="O33"/>
  <c r="O34" s="1"/>
  <c r="G53"/>
  <c r="G55" s="1"/>
  <c r="K37"/>
  <c r="K53" s="1"/>
  <c r="L37"/>
  <c r="L53" s="1"/>
  <c r="M37"/>
  <c r="J37"/>
  <c r="D55"/>
  <c r="K622" i="41"/>
  <c r="D37" i="48"/>
  <c r="D54" s="1"/>
  <c r="O37" i="33" l="1"/>
  <c r="O38" s="1"/>
  <c r="N37"/>
  <c r="J53"/>
  <c r="J54" s="1"/>
  <c r="E51"/>
  <c r="E49"/>
  <c r="L54"/>
  <c r="E13"/>
  <c r="E41"/>
  <c r="E45"/>
  <c r="E29"/>
  <c r="E15"/>
  <c r="E39"/>
  <c r="E27"/>
  <c r="E25"/>
  <c r="E11"/>
  <c r="E43"/>
  <c r="E21"/>
  <c r="E35"/>
  <c r="E17"/>
  <c r="E47"/>
  <c r="E19"/>
  <c r="E23"/>
  <c r="E33"/>
  <c r="K54"/>
  <c r="F54"/>
  <c r="E37"/>
  <c r="G54"/>
  <c r="E43" i="48"/>
  <c r="I54" i="33"/>
  <c r="E31"/>
  <c r="E55" l="1"/>
  <c r="E21" i="48"/>
  <c r="E13"/>
  <c r="E15"/>
  <c r="E33"/>
  <c r="E39"/>
  <c r="E31"/>
  <c r="E11"/>
  <c r="E51"/>
  <c r="E41"/>
  <c r="E23"/>
  <c r="E45"/>
  <c r="E35"/>
  <c r="E29"/>
  <c r="E17"/>
  <c r="E27"/>
  <c r="E25"/>
  <c r="E47"/>
  <c r="E19"/>
  <c r="E49"/>
  <c r="E37"/>
  <c r="E54" l="1"/>
  <c r="H55" i="33"/>
  <c r="I55" s="1"/>
  <c r="J55" s="1"/>
  <c r="K55" s="1"/>
  <c r="L55" s="1"/>
  <c r="H54"/>
  <c r="N12"/>
  <c r="M11"/>
  <c r="M53" s="1"/>
  <c r="N11" l="1"/>
  <c r="N53" s="1"/>
  <c r="N54" s="1"/>
  <c r="O11"/>
  <c r="O12" s="1"/>
  <c r="M54"/>
  <c r="M55"/>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<sst xmlns="http://schemas.openxmlformats.org/spreadsheetml/2006/main" count="58708" uniqueCount="15556">
  <si>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</si>
  <si>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</si>
  <si>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</si>
  <si>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</si>
  <si>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</si>
  <si>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</si>
  <si>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</si>
  <si>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</si>
  <si>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</si>
  <si>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</si>
  <si>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</si>
  <si>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</si>
  <si>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</si>
  <si>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</si>
  <si>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</si>
  <si>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</si>
  <si>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</si>
  <si>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</si>
  <si>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</si>
  <si>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</si>
  <si>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</si>
  <si>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</si>
  <si>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</si>
  <si>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7.1</t>
  </si>
  <si>
    <t>8.1</t>
  </si>
  <si>
    <t>8.2</t>
  </si>
  <si>
    <t>8.3</t>
  </si>
  <si>
    <t>4.1</t>
  </si>
  <si>
    <t>6.1</t>
  </si>
  <si>
    <t>9.1</t>
  </si>
  <si>
    <t>9.2</t>
  </si>
  <si>
    <t>M3</t>
  </si>
  <si>
    <t>APLICAÇÃO MANUAL DE PINTURA COM TINTA LÁTEX ACRÍLICA EM PAREDES, DUAS DEMÃOS. AF_06/2014</t>
  </si>
  <si>
    <t/>
  </si>
  <si>
    <t>UN</t>
  </si>
  <si>
    <t>CRONOGRAMA FÍSICO-FINANCEIRO</t>
  </si>
  <si>
    <t>3.5</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</si>
  <si>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</si>
  <si>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</si>
  <si>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</si>
  <si>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</si>
  <si>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</si>
  <si>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</si>
  <si>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</si>
  <si>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</si>
  <si>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</si>
  <si>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</si>
  <si>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</si>
  <si>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</si>
  <si>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</si>
  <si>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</si>
  <si>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</si>
  <si>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</si>
  <si>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</si>
  <si>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</si>
  <si>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</si>
  <si>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</si>
  <si>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</si>
  <si>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</si>
  <si>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</si>
  <si>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</si>
  <si>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</si>
  <si>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</si>
  <si>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</si>
  <si>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</si>
  <si>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</si>
  <si>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</si>
  <si>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</si>
  <si>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</si>
  <si>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</si>
  <si>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</si>
  <si>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</si>
  <si>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</si>
  <si>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</si>
  <si>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</si>
  <si>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</si>
  <si>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</si>
  <si>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</si>
  <si>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</si>
  <si>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</si>
  <si>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</si>
  <si>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</si>
  <si>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</si>
  <si>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</si>
  <si>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</si>
  <si>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</si>
  <si>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</si>
  <si>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</si>
  <si>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</si>
  <si>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</si>
  <si>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</si>
  <si>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</si>
  <si>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</si>
  <si>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</si>
  <si>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</si>
  <si>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</si>
  <si>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</si>
  <si>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</si>
  <si>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</si>
  <si>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</si>
  <si>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</si>
  <si>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</si>
  <si>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</si>
  <si>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</si>
  <si>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</si>
  <si>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</si>
  <si>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</si>
  <si>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</si>
  <si>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</si>
  <si>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</si>
  <si>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</si>
  <si>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</si>
  <si>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</si>
  <si>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</si>
  <si>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</si>
  <si>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</si>
  <si>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</si>
  <si>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</si>
  <si>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</si>
  <si>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</si>
  <si>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</si>
  <si>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</si>
  <si>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</si>
  <si>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</si>
  <si>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</si>
  <si>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</si>
  <si>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</si>
  <si>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</si>
  <si>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</si>
  <si>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</si>
  <si>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</si>
  <si>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</si>
  <si>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</si>
  <si>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</si>
  <si>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</si>
  <si>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</si>
  <si>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</si>
  <si>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</si>
  <si>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</si>
  <si>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</si>
  <si>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</si>
  <si>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</si>
  <si>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</si>
  <si>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</si>
  <si>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</si>
  <si>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</si>
  <si>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</si>
  <si>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</si>
  <si>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</si>
  <si>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</si>
  <si>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</si>
  <si>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</si>
  <si>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</si>
  <si>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</si>
  <si>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</si>
  <si>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</si>
  <si>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</si>
  <si>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</si>
  <si>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</si>
  <si>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</si>
  <si>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</si>
  <si>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</si>
  <si>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</si>
  <si>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</si>
  <si>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</si>
  <si>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</si>
  <si>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</si>
  <si>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</si>
  <si>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</si>
  <si>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</si>
  <si>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</si>
  <si>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</si>
  <si>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</si>
  <si>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</si>
  <si>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</si>
  <si>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</si>
  <si>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</si>
  <si>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</si>
  <si>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</si>
  <si>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</si>
  <si>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</si>
  <si>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</si>
  <si>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</si>
  <si>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</si>
  <si>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</si>
  <si>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</si>
  <si>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</si>
  <si>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</si>
  <si>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</si>
  <si>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</si>
  <si>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</si>
  <si>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</si>
  <si>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</si>
  <si>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</si>
  <si>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</si>
  <si>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</si>
  <si>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</si>
  <si>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</si>
  <si>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</si>
  <si>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</si>
  <si>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</si>
  <si>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</si>
  <si>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</si>
  <si>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</si>
  <si>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</si>
  <si>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</si>
  <si>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</si>
  <si>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</si>
  <si>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</si>
  <si>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</si>
  <si>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</si>
  <si>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</si>
  <si>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</si>
  <si>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</si>
  <si>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</si>
  <si>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</si>
  <si>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</si>
  <si>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</si>
  <si>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</si>
  <si>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</si>
  <si>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</si>
  <si>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</si>
  <si>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</si>
  <si>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</si>
  <si>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</si>
  <si>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</si>
  <si>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</si>
  <si>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</si>
  <si>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</si>
  <si>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</si>
  <si>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</si>
  <si>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</si>
  <si>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</si>
  <si>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</si>
  <si>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</si>
  <si>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</si>
  <si>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</si>
  <si>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</si>
  <si>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</si>
  <si>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</si>
  <si>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</si>
  <si>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</si>
  <si>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</si>
  <si>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</si>
  <si>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</si>
  <si>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</si>
  <si>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</si>
  <si>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</si>
  <si>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</si>
  <si>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</si>
  <si>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</si>
  <si>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</si>
  <si>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</si>
  <si>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</si>
  <si>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</si>
  <si>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</si>
  <si>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</si>
  <si>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</si>
  <si>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</si>
  <si>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</si>
  <si>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</si>
  <si>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</si>
  <si>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</si>
  <si>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</si>
  <si>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</si>
  <si>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</si>
  <si>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</si>
  <si>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</si>
  <si>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</si>
  <si>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</si>
  <si>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</si>
  <si>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</si>
  <si>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</si>
  <si>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</si>
  <si>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</si>
  <si>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</si>
  <si>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</si>
  <si>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</si>
  <si>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</si>
  <si>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</si>
  <si>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</si>
  <si>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</si>
  <si>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</si>
  <si>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</si>
  <si>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</si>
  <si>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</si>
  <si>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</si>
  <si>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</si>
  <si>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</si>
  <si>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</si>
  <si>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</si>
  <si>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</si>
  <si>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</si>
  <si>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</si>
  <si>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</si>
  <si>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</si>
  <si>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</si>
  <si>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</si>
  <si>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</si>
  <si>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</si>
  <si>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</si>
  <si>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</si>
  <si>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</si>
  <si>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</si>
  <si>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</si>
  <si>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</si>
  <si>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</si>
  <si>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</si>
  <si>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</si>
  <si>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</si>
  <si>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</si>
  <si>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</si>
  <si>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</si>
  <si>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</si>
  <si>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</si>
  <si>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</si>
  <si>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</si>
  <si>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</si>
  <si>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</si>
  <si>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</si>
  <si>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</si>
  <si>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</si>
  <si>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</si>
  <si>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</si>
  <si>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</si>
  <si>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</si>
  <si>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</si>
  <si>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</si>
  <si>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</si>
  <si>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</si>
  <si>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</si>
  <si>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</si>
  <si>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</si>
  <si>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</si>
  <si>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</si>
  <si>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</si>
  <si>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</si>
  <si>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</si>
  <si>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</si>
  <si>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</si>
  <si>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</si>
  <si>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</si>
  <si>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</si>
  <si>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</si>
  <si>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</si>
  <si>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</si>
  <si>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</si>
  <si>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</si>
  <si>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</si>
  <si>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</si>
  <si>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</si>
  <si>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</si>
  <si>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</si>
  <si>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</si>
  <si>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</si>
  <si>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</si>
  <si>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</si>
  <si>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</si>
  <si>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</si>
  <si>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</si>
  <si>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</si>
  <si>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</si>
  <si>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</si>
  <si>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</si>
  <si>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</si>
  <si>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</si>
  <si>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</si>
  <si>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</si>
  <si>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</si>
  <si>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</si>
  <si>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</si>
  <si>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</si>
  <si>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</si>
  <si>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</si>
  <si>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</si>
  <si>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</si>
  <si>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</si>
  <si>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</si>
  <si>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</si>
  <si>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</si>
  <si>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</si>
  <si>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</si>
  <si>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</si>
  <si>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</si>
  <si>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</si>
  <si>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</si>
  <si>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</si>
  <si>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</si>
  <si>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</si>
  <si>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</si>
  <si>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</si>
  <si>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</si>
  <si>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</si>
  <si>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</si>
  <si>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</si>
  <si>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</si>
  <si>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</si>
  <si>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</si>
  <si>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</si>
  <si>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</si>
  <si>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</si>
  <si>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</si>
  <si>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</si>
  <si>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</si>
  <si>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</si>
  <si>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</si>
  <si>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</si>
  <si>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</si>
  <si>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</si>
  <si>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</si>
  <si>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</si>
  <si>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</si>
  <si>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</si>
  <si>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</si>
  <si>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</si>
  <si>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</si>
  <si>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</si>
  <si>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</si>
  <si>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</si>
  <si>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</si>
  <si>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</si>
  <si>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</si>
  <si>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</si>
  <si>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</si>
  <si>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</si>
  <si>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</si>
  <si>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</si>
  <si>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</si>
  <si>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</si>
  <si>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</si>
  <si>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</si>
  <si>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</si>
  <si>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</si>
  <si>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</si>
  <si>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</si>
  <si>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</si>
  <si>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</si>
  <si>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</si>
  <si>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</si>
  <si>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</si>
  <si>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</si>
  <si>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</si>
  <si>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</si>
  <si>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</si>
  <si>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</si>
  <si>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</si>
  <si>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</si>
  <si>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</si>
  <si>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</si>
  <si>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</si>
  <si>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</si>
  <si>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</si>
  <si>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</si>
  <si>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</si>
  <si>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</si>
  <si>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</si>
  <si>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</si>
  <si>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</si>
  <si>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</si>
  <si>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</si>
  <si>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</si>
  <si>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</si>
  <si>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</si>
  <si>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</si>
  <si>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</si>
  <si>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</si>
  <si>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</si>
  <si>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</si>
  <si>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</si>
  <si>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</si>
  <si>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</si>
  <si>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</si>
  <si>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</si>
  <si>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</si>
  <si>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</si>
  <si>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</si>
  <si>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</si>
  <si>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</si>
  <si>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</si>
  <si>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</si>
  <si>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</si>
  <si>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</si>
  <si>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</si>
  <si>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</si>
  <si>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</si>
  <si>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</si>
  <si>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</si>
  <si>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</si>
  <si>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</si>
  <si>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</si>
  <si>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</si>
  <si>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</si>
  <si>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</si>
  <si>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</si>
  <si>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</si>
  <si>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</si>
  <si>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</si>
  <si>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</si>
  <si>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</si>
  <si>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</si>
  <si>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</si>
  <si>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</si>
  <si>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</si>
  <si>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</si>
  <si>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</si>
  <si>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</si>
  <si>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</si>
  <si>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</si>
  <si>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</si>
  <si>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</si>
  <si>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</si>
  <si>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</si>
  <si>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</si>
  <si>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</si>
  <si>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</si>
  <si>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</si>
  <si>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</si>
  <si>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</si>
  <si>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</si>
  <si>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</si>
  <si>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</si>
  <si>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</si>
  <si>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</si>
  <si>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</si>
  <si>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</si>
  <si>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</si>
  <si>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</si>
  <si>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</si>
  <si>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</si>
  <si>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</si>
  <si>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</si>
  <si>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</si>
  <si>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</si>
  <si>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</si>
  <si>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</si>
  <si>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</si>
  <si>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</si>
  <si>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</si>
  <si>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</si>
  <si>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</si>
  <si>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</si>
  <si>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</si>
  <si>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</si>
  <si>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</si>
  <si>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</si>
  <si>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</si>
  <si>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</si>
  <si>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</si>
  <si>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</si>
  <si>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</si>
  <si>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</si>
  <si>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</si>
  <si>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</si>
  <si>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</si>
  <si>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</si>
  <si>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</si>
  <si>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</si>
  <si>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</si>
  <si>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</si>
  <si>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</si>
  <si>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</si>
  <si>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</si>
  <si>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</si>
  <si>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</si>
  <si>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</si>
  <si>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</si>
  <si>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</si>
  <si>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</si>
  <si>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</si>
  <si>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</si>
  <si>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</si>
  <si>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</si>
  <si>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</si>
  <si>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</si>
  <si>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</si>
  <si>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</si>
  <si>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</si>
  <si>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</si>
  <si>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</si>
  <si>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</si>
  <si>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</si>
  <si>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</si>
  <si>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</si>
  <si>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</si>
  <si>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</si>
  <si>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</si>
  <si>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</si>
  <si>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</si>
  <si>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</si>
  <si>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</si>
  <si>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</si>
  <si>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</si>
  <si>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</si>
  <si>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</si>
  <si>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</si>
  <si>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</si>
  <si>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</si>
  <si>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</si>
  <si>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</si>
  <si>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</si>
  <si>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</si>
  <si>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</si>
  <si>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</si>
  <si>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</si>
  <si>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</si>
  <si>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</si>
  <si>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</si>
  <si>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</si>
  <si>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</si>
  <si>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</si>
  <si>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</si>
  <si>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</si>
  <si>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</si>
  <si>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</si>
  <si>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</si>
  <si>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</si>
  <si>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</si>
  <si>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</si>
  <si>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</si>
  <si>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</si>
  <si>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</si>
  <si>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</si>
  <si>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</si>
  <si>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</si>
  <si>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</si>
  <si>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</si>
  <si>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</si>
  <si>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</si>
  <si>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</si>
  <si>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</si>
  <si>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</si>
  <si>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</si>
  <si>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</si>
  <si>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</si>
  <si>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</si>
  <si>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</si>
  <si>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</si>
  <si>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</si>
  <si>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</si>
  <si>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</si>
  <si>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</si>
  <si>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</si>
  <si>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</si>
  <si>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</si>
  <si>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</si>
  <si>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</si>
  <si>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</si>
  <si>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</si>
  <si>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</si>
  <si>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</si>
  <si>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</si>
  <si>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</si>
  <si>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</si>
  <si>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</si>
  <si>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</si>
  <si>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</si>
  <si>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</si>
  <si>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</si>
  <si>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</si>
  <si>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</si>
  <si>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</si>
  <si>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</si>
  <si>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</si>
  <si>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</si>
  <si>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</si>
  <si>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</si>
  <si>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</si>
  <si>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</si>
  <si>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</si>
  <si>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</si>
  <si>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</si>
  <si>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</si>
  <si>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</si>
  <si>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</si>
  <si>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</si>
  <si>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</si>
  <si>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</si>
  <si>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</si>
  <si>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</si>
  <si>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</si>
  <si>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</si>
  <si>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</si>
  <si>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</si>
  <si>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</si>
  <si>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</si>
  <si>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</si>
  <si>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</si>
  <si>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</si>
  <si>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</si>
  <si>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</si>
  <si>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</si>
  <si>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</si>
  <si>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</si>
  <si>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</si>
  <si>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</si>
  <si>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</si>
  <si>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</si>
  <si>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</si>
  <si>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</si>
  <si>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</si>
  <si>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</si>
  <si>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</si>
  <si>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</si>
  <si>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</si>
  <si>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</si>
  <si>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</si>
  <si>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</si>
  <si>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</si>
  <si>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</si>
  <si>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</si>
  <si>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</si>
  <si>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</si>
  <si>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</si>
  <si>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</si>
  <si>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</si>
  <si>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</si>
  <si>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</si>
  <si>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</si>
  <si>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</si>
  <si>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</si>
  <si>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</si>
  <si>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</si>
  <si>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</si>
  <si>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</si>
  <si>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</si>
  <si>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</si>
  <si>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</si>
  <si>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</si>
  <si>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</si>
  <si>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</si>
  <si>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</si>
  <si>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</si>
  <si>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</si>
  <si>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</si>
  <si>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</si>
  <si>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</si>
  <si>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</si>
  <si>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</si>
  <si>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</si>
  <si>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</si>
  <si>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</si>
  <si>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</si>
  <si>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</si>
  <si>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</si>
  <si>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</si>
  <si>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</si>
  <si>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</si>
  <si>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</si>
  <si>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</si>
  <si>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</si>
  <si>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</si>
  <si>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</si>
  <si>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</si>
  <si>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</si>
  <si>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</si>
  <si>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</si>
  <si>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</si>
  <si>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</si>
  <si>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</si>
  <si>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</si>
  <si>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</si>
  <si>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</si>
  <si>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</si>
  <si>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</si>
  <si>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</si>
  <si>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</si>
  <si>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</si>
  <si>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</si>
  <si>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</si>
  <si>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</si>
  <si>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</si>
  <si>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</si>
  <si>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</si>
  <si>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</si>
  <si>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</si>
  <si>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</si>
  <si>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</si>
  <si>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</si>
  <si>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</si>
  <si>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</si>
  <si>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</si>
  <si>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</si>
  <si>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</si>
  <si>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</si>
  <si>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</si>
  <si>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</si>
  <si>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</si>
  <si>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</si>
  <si>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</si>
  <si>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</si>
  <si>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</si>
  <si>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</si>
  <si>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</si>
  <si>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</si>
  <si>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</si>
  <si>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</si>
  <si>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</si>
  <si>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</si>
  <si>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</si>
  <si>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</si>
  <si>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</si>
  <si>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</si>
  <si>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</si>
  <si>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</si>
  <si>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</si>
  <si>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</si>
  <si>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</si>
  <si>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</si>
  <si>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</si>
  <si>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</si>
  <si>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</si>
  <si>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</si>
  <si>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</si>
  <si>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</si>
  <si>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</si>
  <si>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</si>
  <si>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</si>
  <si>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</si>
  <si>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</si>
  <si>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</si>
  <si>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</si>
  <si>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</si>
  <si>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</si>
  <si>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</si>
  <si>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</si>
  <si>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</si>
  <si>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</si>
  <si>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</si>
  <si>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</si>
  <si>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</si>
  <si>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</si>
  <si>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</si>
  <si>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</si>
  <si>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</si>
  <si>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</si>
  <si>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</si>
  <si>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</si>
  <si>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</si>
  <si>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</si>
  <si>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</si>
  <si>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</si>
  <si>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</si>
  <si>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</si>
  <si>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</si>
  <si>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</si>
  <si>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</si>
  <si>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</si>
  <si>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</si>
  <si>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</si>
  <si>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</si>
  <si>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</si>
  <si>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</si>
  <si>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</si>
  <si>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</si>
  <si>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</si>
  <si>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</si>
  <si>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</si>
  <si>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</si>
  <si>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</si>
  <si>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</si>
  <si>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</si>
  <si>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</si>
  <si>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</si>
  <si>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</si>
  <si>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</si>
  <si>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</si>
  <si>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</si>
  <si>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</si>
  <si>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</si>
  <si>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</si>
  <si>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</si>
  <si>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</si>
  <si>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</si>
  <si>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</si>
  <si>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</si>
  <si>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</si>
  <si>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</si>
  <si>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</si>
  <si>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</si>
  <si>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</si>
  <si>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</si>
  <si>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</si>
  <si>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</si>
  <si>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</si>
  <si>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</si>
  <si>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</si>
  <si>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</si>
  <si>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</si>
  <si>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</si>
  <si>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</si>
  <si>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</si>
  <si>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</si>
  <si>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</si>
  <si>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</si>
  <si>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</si>
  <si>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</si>
  <si>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</si>
  <si>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</si>
  <si>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</si>
  <si>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</si>
  <si>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</si>
  <si>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</si>
  <si>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</si>
  <si>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</si>
  <si>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</si>
  <si>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</si>
  <si>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</si>
  <si>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</si>
  <si>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</si>
  <si>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</si>
  <si>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</si>
  <si>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</si>
  <si>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</si>
  <si>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</si>
  <si>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</si>
  <si>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</si>
  <si>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</si>
  <si>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</si>
  <si>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</si>
  <si>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</si>
  <si>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</si>
  <si>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</si>
  <si>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</si>
  <si>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</si>
  <si>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</si>
  <si>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</si>
  <si>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</si>
  <si>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</si>
  <si>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</si>
  <si>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</si>
  <si>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</si>
  <si>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</si>
  <si>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</si>
  <si>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</si>
  <si>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</si>
  <si>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</si>
  <si>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</si>
  <si>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</si>
  <si>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</si>
  <si>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</si>
  <si>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</si>
  <si>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</si>
  <si>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</si>
  <si>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</si>
  <si>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</si>
  <si>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</si>
  <si>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</si>
  <si>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</si>
  <si>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</si>
  <si>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</si>
  <si>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</si>
  <si>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</si>
  <si>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</si>
  <si>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</si>
  <si>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</si>
  <si>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</si>
  <si>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</si>
  <si>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</si>
  <si>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</si>
  <si>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</si>
  <si>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</si>
  <si>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</si>
  <si>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</si>
  <si>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</si>
  <si>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</si>
  <si>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</si>
  <si>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</si>
  <si>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</si>
  <si>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</si>
  <si>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</si>
  <si>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</si>
  <si>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</si>
  <si>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</si>
  <si>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</si>
  <si>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</si>
  <si>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</si>
  <si>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</si>
  <si>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</si>
  <si>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</si>
  <si>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</si>
  <si>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</si>
  <si>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</si>
  <si>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</si>
  <si>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</si>
  <si>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</si>
  <si>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</si>
  <si>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</si>
  <si>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</si>
  <si>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</si>
  <si>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</si>
  <si>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</si>
  <si>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</si>
  <si>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</si>
  <si>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</si>
  <si>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</si>
  <si>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</si>
  <si>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</si>
  <si>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</si>
  <si>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</si>
  <si>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</si>
  <si>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</si>
  <si>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</si>
  <si>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</si>
  <si>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</si>
  <si>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</si>
  <si>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</si>
  <si>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</si>
  <si>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</si>
  <si>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</si>
  <si>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</si>
  <si>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</si>
  <si>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</si>
  <si>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</si>
  <si>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</si>
  <si>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</si>
  <si>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</si>
  <si>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</si>
  <si>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</si>
  <si>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</si>
  <si>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</si>
  <si>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</si>
  <si>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</si>
  <si>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</si>
  <si>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</si>
  <si>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</si>
  <si>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</si>
  <si>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</si>
  <si>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</si>
  <si>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</si>
  <si>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</si>
  <si>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</si>
  <si>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</si>
  <si>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</si>
  <si>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</si>
  <si>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</si>
  <si>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</si>
  <si>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</si>
  <si>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</si>
  <si>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</si>
  <si>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</si>
  <si>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</si>
  <si>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</si>
  <si>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</si>
  <si>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</si>
  <si>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</si>
  <si>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</si>
  <si>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</si>
  <si>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</si>
  <si>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</si>
  <si>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</si>
  <si>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</si>
  <si>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</si>
  <si>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</si>
  <si>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</si>
  <si>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</si>
  <si>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</si>
  <si>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</si>
  <si>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</si>
  <si>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</si>
  <si>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</si>
  <si>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</si>
  <si>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</si>
  <si>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</si>
  <si>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</si>
  <si>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</si>
  <si>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</si>
  <si>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</si>
  <si>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</si>
  <si>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</si>
  <si>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</si>
  <si>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</si>
  <si>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</si>
  <si>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</si>
  <si>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</si>
  <si>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</si>
  <si>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</si>
  <si>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</si>
  <si>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</si>
  <si>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</si>
  <si>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</si>
  <si>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</si>
  <si>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</si>
  <si>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</si>
  <si>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</si>
  <si>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</si>
  <si>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</si>
  <si>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</si>
  <si>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</si>
  <si>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</si>
  <si>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</si>
  <si>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</si>
  <si>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</si>
  <si>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</si>
  <si>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</si>
  <si>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</si>
  <si>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</si>
  <si>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</si>
  <si>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</si>
  <si>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</si>
  <si>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</si>
  <si>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</si>
  <si>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</si>
  <si>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</si>
  <si>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</si>
  <si>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</si>
  <si>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</si>
  <si>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</si>
  <si>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</si>
  <si>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</si>
  <si>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</si>
  <si>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</si>
  <si>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</si>
  <si>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</si>
  <si>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</si>
  <si>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</si>
  <si>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</si>
  <si>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</si>
  <si>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</si>
  <si>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</si>
  <si>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</si>
  <si>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</si>
  <si>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</si>
  <si>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</si>
  <si>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</si>
  <si>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</si>
  <si>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</si>
  <si>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</si>
  <si>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</si>
  <si>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</si>
  <si>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</si>
  <si>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</si>
  <si>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</si>
  <si>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</si>
  <si>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</si>
  <si>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</si>
  <si>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</si>
  <si>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</si>
  <si>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</si>
  <si>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</si>
  <si>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</si>
  <si>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</si>
  <si>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</si>
  <si>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</si>
  <si>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</si>
  <si>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</si>
  <si>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</si>
  <si>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</si>
  <si>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</si>
  <si>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</si>
  <si>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</si>
  <si>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</si>
  <si>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</si>
  <si>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</si>
  <si>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</si>
  <si>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</si>
  <si>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</si>
  <si>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</si>
  <si>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</si>
  <si>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</si>
  <si>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</si>
  <si>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</si>
  <si>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</si>
  <si>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</si>
  <si>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</si>
  <si>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</si>
  <si>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</si>
  <si>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</si>
  <si>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</si>
  <si>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</si>
  <si>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</si>
  <si>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</si>
  <si>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</si>
  <si>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</si>
  <si>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</si>
  <si>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</si>
  <si>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</si>
  <si>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</si>
  <si>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</si>
  <si>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</si>
  <si>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</si>
  <si>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</si>
  <si>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</si>
  <si>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</si>
  <si>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</si>
  <si>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</si>
  <si>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</si>
  <si>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</si>
  <si>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</si>
  <si>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</si>
  <si>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</si>
  <si>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</si>
  <si>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</si>
  <si>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</si>
  <si>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</si>
  <si>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</si>
  <si>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</si>
  <si>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</si>
  <si>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</si>
  <si>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</si>
  <si>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</si>
  <si>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</si>
  <si>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</si>
  <si>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</si>
  <si>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</si>
  <si>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</si>
  <si>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</si>
  <si>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</si>
  <si>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</si>
  <si>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</si>
  <si>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</si>
  <si>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</si>
  <si>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</si>
  <si>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</si>
  <si>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</si>
  <si>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</si>
  <si>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</si>
  <si>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</si>
  <si>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</si>
  <si>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</si>
  <si>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</si>
  <si>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</si>
  <si>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</si>
  <si>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</si>
  <si>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</si>
  <si>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</si>
  <si>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</si>
  <si>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</si>
  <si>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</si>
  <si>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</si>
  <si>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</si>
  <si>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</si>
  <si>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</si>
  <si>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</si>
  <si>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</si>
  <si>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</si>
  <si>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</si>
  <si>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</si>
  <si>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</si>
  <si>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</si>
  <si>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</si>
  <si>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</si>
  <si>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</si>
  <si>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</si>
  <si>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</si>
  <si>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</si>
  <si>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</si>
  <si>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</si>
  <si>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</si>
  <si>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</si>
  <si>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</si>
  <si>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</si>
  <si>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</si>
  <si>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</si>
  <si>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</si>
  <si>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</si>
  <si>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</si>
  <si>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</si>
  <si>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</si>
  <si>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</si>
  <si>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</si>
  <si>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</si>
  <si>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</si>
  <si>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</si>
  <si>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</si>
  <si>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</si>
  <si>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</si>
  <si>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</si>
  <si>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</si>
  <si>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</si>
  <si>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</si>
  <si>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</si>
  <si>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</si>
  <si>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</si>
  <si>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</si>
  <si>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</si>
  <si>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</si>
  <si>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</si>
  <si>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</si>
  <si>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</si>
  <si>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</si>
  <si>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</si>
  <si>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</si>
  <si>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</si>
  <si>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</si>
  <si>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</si>
  <si>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</si>
  <si>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</si>
  <si>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</si>
  <si>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</si>
  <si>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</si>
  <si>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</si>
  <si>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</si>
  <si>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</si>
  <si>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</si>
  <si>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</si>
  <si>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</si>
  <si>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</si>
  <si>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</si>
  <si>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</si>
  <si>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</si>
  <si>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</si>
  <si>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</si>
  <si>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</si>
  <si>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</si>
  <si>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</si>
  <si>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</si>
  <si>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</si>
  <si>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</si>
  <si>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</si>
  <si>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</si>
  <si>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</si>
  <si>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</si>
  <si>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</si>
  <si>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</si>
  <si>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</si>
  <si>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</si>
  <si>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</si>
  <si>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</si>
  <si>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</si>
  <si>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</si>
  <si>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</si>
  <si>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</si>
  <si>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</si>
  <si>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</si>
  <si>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</si>
  <si>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</si>
  <si>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</si>
  <si>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</si>
  <si>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</si>
  <si>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</si>
  <si>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</si>
  <si>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</si>
  <si>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</si>
  <si>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</si>
  <si>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</si>
  <si>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</si>
  <si>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</si>
  <si>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</si>
  <si>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</si>
  <si>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</si>
  <si>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</si>
  <si>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</si>
  <si>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</si>
  <si>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</si>
  <si>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</si>
  <si>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</si>
  <si>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</si>
  <si>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</si>
  <si>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</si>
  <si>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</si>
  <si>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</si>
  <si>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</si>
  <si>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</si>
  <si>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</si>
  <si>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</si>
  <si>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</si>
  <si>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</si>
  <si>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</si>
  <si>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</si>
  <si>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</si>
  <si>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</si>
  <si>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</si>
  <si>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</si>
  <si>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</si>
  <si>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</si>
  <si>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</si>
  <si>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</si>
  <si>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</si>
  <si>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</si>
  <si>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</si>
  <si>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</si>
  <si>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</si>
  <si>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</si>
  <si>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</si>
  <si>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</si>
  <si>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</si>
  <si>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</si>
  <si>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</si>
  <si>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</si>
  <si>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</si>
  <si>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</si>
  <si>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</si>
  <si>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</si>
  <si>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</si>
  <si>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</si>
  <si>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</si>
  <si>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</si>
  <si>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</si>
  <si>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</si>
  <si>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</si>
  <si>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</si>
  <si>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</si>
  <si>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</si>
  <si>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</si>
  <si>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</si>
  <si>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</si>
  <si>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</si>
  <si>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</si>
  <si>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</si>
  <si>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</si>
  <si>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</si>
  <si>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</si>
  <si>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</si>
  <si>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</si>
  <si>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</si>
  <si>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</si>
  <si>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</si>
  <si>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</si>
  <si>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</si>
  <si>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</si>
  <si>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</si>
  <si>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</si>
  <si>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</si>
  <si>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</si>
  <si>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</si>
  <si>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</si>
  <si>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</si>
  <si>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</si>
  <si>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</si>
  <si>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</si>
  <si>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</si>
  <si>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</si>
  <si>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</si>
  <si>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</si>
  <si>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</si>
  <si>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</si>
  <si>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</si>
  <si>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</si>
  <si>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</si>
  <si>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</si>
  <si>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</si>
  <si>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</si>
  <si>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</si>
  <si>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</si>
  <si>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</si>
  <si>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</si>
  <si>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</si>
  <si>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</si>
  <si>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</si>
  <si>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</si>
  <si>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</si>
  <si>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</si>
  <si>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</si>
  <si>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</si>
  <si>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</si>
  <si>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</si>
  <si>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</si>
  <si>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</si>
  <si>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</si>
  <si>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</si>
  <si>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</si>
  <si>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</si>
  <si>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</si>
  <si>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</si>
  <si>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</si>
  <si>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</si>
  <si>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</si>
  <si>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</si>
  <si>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</si>
  <si>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</si>
  <si>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</si>
  <si>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</si>
  <si>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</si>
  <si>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</si>
  <si>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</si>
  <si>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</si>
  <si>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</si>
  <si>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</si>
  <si>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</si>
  <si>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</si>
  <si>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</si>
  <si>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</si>
  <si>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</si>
  <si>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</si>
  <si>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</si>
  <si>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</si>
  <si>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</si>
  <si>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</si>
  <si>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</si>
  <si>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</si>
  <si>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</si>
  <si>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</si>
  <si>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</si>
  <si>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</si>
  <si>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</si>
  <si>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</si>
  <si>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</si>
  <si>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</si>
  <si>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</si>
  <si>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</si>
  <si>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</si>
  <si>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</si>
  <si>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</si>
  <si>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</si>
  <si>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</si>
  <si>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</si>
  <si>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</si>
  <si>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</si>
  <si>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</si>
  <si>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</si>
  <si>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</si>
  <si>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</si>
  <si>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</si>
  <si>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</si>
  <si>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</si>
  <si>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</si>
  <si>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</si>
  <si>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</si>
  <si>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</si>
  <si>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</si>
  <si>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</si>
  <si>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</si>
  <si>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</si>
  <si>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</si>
  <si>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</si>
  <si>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</si>
  <si>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</si>
  <si>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</si>
  <si>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</si>
  <si>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</si>
  <si>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</si>
  <si>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</si>
  <si>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</si>
  <si>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</si>
  <si>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</si>
  <si>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</si>
  <si>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</si>
  <si>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</si>
  <si>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</si>
  <si>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</si>
  <si>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</si>
  <si>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</si>
  <si>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</si>
  <si>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</si>
  <si>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</si>
  <si>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</si>
  <si>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</si>
  <si>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</si>
  <si>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</si>
  <si>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</si>
  <si>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</si>
  <si>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</si>
  <si>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</si>
  <si>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</si>
  <si>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</si>
  <si>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</si>
  <si>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</si>
  <si>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</si>
  <si>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</si>
  <si>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</si>
  <si>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</si>
  <si>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</si>
  <si>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</si>
  <si>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</si>
  <si>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</si>
  <si>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</si>
  <si>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</si>
  <si>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</si>
  <si>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</si>
  <si>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</si>
  <si>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</si>
  <si>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</si>
  <si>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</si>
  <si>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</si>
  <si>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</si>
  <si>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</si>
  <si>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</si>
  <si>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</si>
  <si>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</si>
  <si>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</si>
  <si>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</si>
  <si>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</si>
  <si>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</si>
  <si>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</si>
  <si>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</si>
  <si>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</si>
  <si>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</si>
  <si>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</si>
  <si>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</si>
  <si>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</si>
  <si>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</si>
  <si>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</si>
  <si>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</si>
  <si>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</si>
  <si>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</si>
  <si>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</si>
  <si>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</si>
  <si>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</si>
  <si>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</si>
  <si>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</si>
  <si>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</si>
  <si>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</si>
  <si>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</si>
  <si>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</si>
  <si>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</si>
  <si>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</si>
  <si>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</si>
  <si>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</si>
  <si>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</si>
  <si>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</si>
  <si>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</si>
  <si>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</si>
  <si>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</si>
  <si>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</si>
  <si>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</si>
  <si>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</si>
  <si>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</si>
  <si>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</si>
  <si>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</si>
  <si>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</si>
  <si>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</si>
  <si>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</si>
  <si>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</si>
  <si>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</si>
  <si>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</si>
  <si>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</si>
  <si>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</si>
  <si>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</si>
  <si>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</si>
  <si>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</si>
  <si>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</si>
  <si>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</si>
  <si>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</si>
  <si>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</si>
  <si>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</si>
  <si>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</si>
  <si>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</si>
  <si>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</si>
  <si>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</si>
  <si>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</si>
  <si>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</si>
  <si>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</si>
  <si>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</si>
  <si>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</si>
  <si>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</si>
  <si>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</si>
  <si>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</si>
  <si>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</si>
  <si>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</si>
  <si>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</si>
  <si>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</si>
  <si>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</si>
  <si>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</si>
  <si>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</si>
  <si>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</si>
  <si>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</si>
  <si>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</si>
  <si>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</si>
  <si>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</si>
  <si>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</si>
  <si>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</si>
  <si>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</si>
  <si>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</si>
  <si>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</si>
  <si>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</si>
  <si>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</si>
  <si>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</si>
  <si>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</si>
  <si>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</si>
  <si>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</si>
  <si>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</si>
  <si>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</si>
  <si>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</si>
  <si>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</si>
  <si>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</si>
  <si>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</si>
  <si>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</si>
  <si>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</si>
  <si>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</si>
  <si>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</si>
  <si>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</si>
  <si>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</si>
  <si>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</si>
  <si>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</si>
  <si>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</si>
  <si>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</si>
  <si>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</si>
  <si>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</si>
  <si>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</si>
  <si>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</si>
  <si>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</si>
  <si>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</si>
  <si>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</si>
  <si>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</si>
  <si>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</si>
  <si>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</si>
  <si>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</si>
  <si>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</si>
  <si>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</si>
  <si>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</si>
  <si>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</si>
  <si>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</si>
  <si>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</si>
  <si>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</si>
  <si>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</si>
  <si>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</si>
  <si>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</si>
  <si>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</si>
  <si>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</si>
  <si>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</si>
  <si>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</si>
  <si>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</si>
  <si>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</si>
  <si>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</si>
  <si>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</si>
  <si>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</si>
  <si>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</si>
  <si>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</si>
  <si>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</si>
  <si>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</si>
  <si>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</si>
  <si>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</si>
  <si>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</si>
  <si>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</si>
  <si>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</si>
  <si>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</si>
  <si>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</si>
  <si>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</si>
  <si>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</si>
  <si>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</si>
  <si>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</si>
  <si>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</si>
  <si>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</si>
  <si>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</si>
  <si>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</si>
  <si>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</si>
  <si>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</si>
  <si>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</si>
  <si>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</si>
  <si>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</si>
  <si>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</si>
  <si>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</si>
  <si>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</si>
  <si>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</si>
  <si>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</si>
  <si>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</si>
  <si>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</si>
  <si>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</si>
  <si>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</si>
  <si>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</si>
  <si>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</si>
  <si>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</si>
  <si>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</si>
  <si>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</si>
  <si>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</si>
  <si>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</si>
  <si>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</si>
  <si>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</si>
  <si>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</si>
  <si>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</si>
  <si>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</si>
  <si>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</si>
  <si>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</si>
  <si>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</si>
  <si>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</si>
  <si>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</si>
  <si>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</si>
  <si>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</si>
  <si>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</si>
  <si>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</si>
  <si>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</si>
  <si>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</si>
  <si>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</si>
  <si>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</si>
  <si>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</si>
  <si>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</si>
  <si>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</si>
  <si>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</si>
  <si>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</si>
  <si>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</si>
  <si>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</si>
  <si>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</si>
  <si>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</si>
  <si>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</si>
  <si>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</si>
  <si>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</si>
  <si>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</si>
  <si>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</si>
  <si>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</si>
  <si>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</si>
  <si>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</si>
  <si>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</si>
  <si>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</si>
  <si>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</si>
  <si>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</si>
  <si>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</si>
  <si>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</si>
  <si>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</si>
  <si>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</si>
  <si>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</si>
  <si>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</si>
  <si>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</si>
  <si>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</si>
  <si>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</si>
  <si>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</si>
  <si>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</si>
  <si>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</si>
  <si>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</si>
  <si>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</si>
  <si>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</si>
  <si>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</si>
  <si>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</si>
  <si>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</si>
  <si>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</si>
  <si>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</si>
  <si>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</si>
  <si>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</si>
  <si>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</si>
  <si>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</si>
  <si>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</si>
  <si>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</si>
  <si>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</si>
  <si>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</si>
  <si>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</si>
  <si>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</si>
  <si>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</si>
  <si>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</si>
  <si>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</si>
  <si>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</si>
  <si>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</si>
  <si>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</si>
  <si>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</si>
  <si>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</si>
  <si>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</si>
  <si>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</si>
  <si>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</si>
  <si>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</si>
  <si>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</si>
  <si>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</si>
  <si>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</si>
  <si>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</si>
  <si>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</si>
  <si>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</si>
  <si>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</si>
  <si>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</si>
  <si>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</si>
  <si>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</si>
  <si>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</si>
  <si>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</si>
  <si>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</si>
  <si>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</si>
  <si>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</si>
  <si>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</si>
  <si>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</si>
  <si>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</si>
  <si>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</si>
  <si>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</si>
  <si>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</si>
  <si>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</si>
  <si>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</si>
  <si>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</si>
  <si>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</si>
  <si>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</si>
  <si>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</si>
  <si>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</si>
  <si>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</si>
  <si>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</si>
  <si>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</si>
  <si>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</si>
  <si>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</si>
  <si>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</si>
  <si>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</si>
  <si>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</si>
  <si>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</si>
  <si>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</si>
  <si>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</si>
  <si>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</si>
  <si>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</si>
  <si>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</si>
  <si>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</si>
  <si>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</si>
  <si>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</si>
  <si>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</si>
  <si>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</si>
  <si>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</si>
  <si>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</si>
  <si>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</si>
  <si>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</si>
  <si>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</si>
  <si>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</si>
  <si>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</si>
  <si>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</si>
  <si>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</si>
  <si>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</si>
  <si>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</si>
  <si>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</si>
  <si>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</si>
  <si>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</si>
  <si>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</si>
  <si>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</si>
  <si>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</si>
  <si>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</si>
  <si>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</si>
  <si>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</si>
  <si>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</si>
  <si>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</si>
  <si>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</si>
  <si>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</si>
  <si>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</si>
  <si>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</si>
  <si>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</si>
  <si>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</si>
  <si>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</si>
  <si>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</si>
  <si>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</si>
  <si>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</si>
  <si>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</si>
  <si>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</si>
  <si>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</si>
  <si>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</si>
  <si>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</si>
  <si>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</si>
  <si>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</si>
  <si>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</si>
  <si>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</si>
  <si>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</si>
  <si>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</si>
  <si>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</si>
  <si>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</si>
  <si>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</si>
  <si>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</si>
  <si>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</si>
  <si>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</si>
  <si>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</si>
  <si>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</si>
  <si>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</si>
  <si>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</si>
  <si>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</si>
  <si>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</si>
  <si>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</si>
  <si>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</si>
  <si>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</si>
  <si>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</si>
  <si>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</si>
  <si>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</si>
  <si>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</si>
  <si>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</si>
  <si>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</si>
  <si>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</si>
  <si>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</si>
  <si>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</si>
  <si>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</si>
  <si>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</si>
  <si>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</si>
  <si>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</si>
  <si>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</si>
  <si>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</si>
  <si>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</si>
  <si>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</si>
  <si>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</si>
  <si>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</si>
  <si>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</si>
  <si>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</si>
  <si>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</si>
  <si>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</si>
  <si>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</si>
  <si>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</si>
  <si>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</si>
  <si>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</si>
  <si>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</si>
  <si>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</si>
  <si>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</si>
  <si>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</si>
  <si>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</si>
  <si>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</si>
  <si>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</si>
  <si>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</si>
  <si>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</si>
  <si>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</si>
  <si>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</si>
  <si>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</si>
  <si>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</si>
  <si>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</si>
  <si>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</si>
  <si>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</si>
  <si>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</si>
  <si>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</si>
  <si>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</si>
  <si>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</si>
  <si>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</si>
  <si>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</si>
  <si>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</si>
  <si>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</si>
  <si>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</si>
  <si>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</si>
  <si>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</si>
  <si>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</si>
  <si>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</si>
  <si>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</si>
  <si>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</si>
  <si>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</si>
  <si>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</si>
  <si>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</si>
  <si>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</si>
  <si>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</si>
  <si>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</si>
  <si>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</si>
  <si>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</si>
  <si>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</si>
  <si>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</si>
  <si>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</si>
  <si>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</si>
  <si>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</si>
  <si>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</si>
  <si>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</si>
  <si>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</si>
  <si>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</si>
  <si>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</si>
  <si>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</si>
  <si>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</si>
  <si>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</si>
  <si>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</si>
  <si>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</si>
  <si>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</si>
  <si>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</si>
  <si>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</si>
  <si>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</si>
  <si>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</si>
  <si>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</si>
  <si>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</si>
  <si>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</si>
  <si>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</si>
  <si>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</si>
  <si>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</si>
  <si>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</si>
  <si>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</si>
  <si>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</si>
  <si>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</si>
  <si>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</si>
  <si>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</si>
  <si>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</si>
  <si>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</si>
  <si>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</si>
  <si>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</si>
  <si>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</si>
  <si>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</si>
  <si>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</si>
  <si>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</si>
  <si>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</si>
  <si>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</si>
  <si>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</si>
  <si>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</si>
  <si>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</si>
  <si>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</si>
  <si>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</si>
  <si>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</si>
  <si>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</si>
  <si>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</si>
  <si>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</si>
  <si>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</si>
  <si>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</si>
  <si>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</si>
  <si>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</si>
  <si>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</si>
  <si>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</si>
  <si>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</si>
  <si>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</si>
  <si>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</si>
  <si>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</si>
  <si>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</si>
  <si>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</si>
  <si>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</si>
  <si>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</si>
  <si>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</si>
  <si>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</si>
  <si>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</si>
  <si>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</si>
  <si>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</si>
  <si>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</si>
  <si>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</si>
  <si>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</si>
  <si>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</si>
  <si>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</si>
  <si>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</si>
  <si>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</si>
  <si>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</si>
  <si>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</si>
  <si>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</si>
  <si>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</si>
  <si>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</si>
  <si>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</si>
  <si>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</si>
  <si>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</si>
  <si>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</si>
  <si>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</si>
  <si>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</si>
  <si>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</si>
  <si>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</si>
  <si>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</si>
  <si>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</si>
  <si>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</si>
  <si>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</si>
  <si>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</si>
  <si>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</si>
  <si>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</si>
  <si>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</si>
  <si>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</si>
  <si>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</si>
  <si>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</si>
  <si>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</si>
  <si>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</si>
  <si>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</si>
  <si>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</si>
  <si>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</si>
  <si>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</si>
  <si>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</si>
  <si>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</si>
  <si>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</si>
  <si>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</si>
  <si>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</si>
  <si>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</si>
  <si>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</si>
  <si>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</si>
  <si>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</si>
  <si>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</si>
  <si>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</si>
  <si>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</si>
  <si>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</si>
  <si>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</si>
  <si>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</si>
  <si>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</si>
  <si>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</si>
  <si>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</si>
  <si>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</si>
  <si>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</si>
  <si>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</si>
  <si>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</si>
  <si>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</si>
  <si>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</si>
  <si>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</si>
  <si>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</si>
  <si>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</si>
  <si>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</si>
  <si>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</si>
  <si>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</si>
  <si>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</si>
  <si>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</si>
  <si>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</si>
  <si>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</si>
  <si>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</si>
  <si>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</si>
  <si>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</si>
  <si>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</si>
  <si>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</si>
  <si>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</si>
  <si>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</si>
  <si>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</si>
  <si>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</si>
  <si>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</si>
  <si>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</si>
  <si>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</si>
  <si>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</si>
  <si>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</si>
  <si>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</si>
  <si>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</si>
  <si>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</si>
  <si>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</si>
  <si>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</si>
  <si>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</si>
  <si>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</si>
  <si>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</si>
  <si>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</si>
  <si>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</si>
  <si>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</si>
  <si>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</si>
  <si>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</si>
  <si>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</si>
  <si>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</si>
  <si>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</si>
  <si>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</si>
  <si>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</si>
  <si>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</si>
  <si>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</si>
  <si>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</si>
  <si>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</si>
  <si>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</si>
  <si>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</si>
  <si>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</si>
  <si>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</si>
  <si>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</si>
  <si>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</si>
  <si>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</si>
  <si>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</si>
  <si>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</si>
  <si>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</si>
  <si>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</si>
  <si>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</si>
  <si>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</si>
  <si>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</si>
  <si>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</si>
  <si>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</si>
  <si>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</si>
  <si>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</si>
  <si>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</si>
  <si>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</si>
  <si>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</si>
  <si>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</si>
  <si>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</si>
  <si>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</si>
  <si>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</si>
  <si>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</si>
  <si>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</si>
  <si>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</si>
  <si>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</si>
  <si>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</si>
  <si>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</si>
  <si>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</si>
  <si>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</si>
  <si>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</si>
  <si>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</si>
  <si>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</si>
  <si>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</si>
  <si>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</si>
  <si>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</si>
  <si>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</si>
  <si>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</si>
  <si>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</si>
  <si>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</si>
  <si>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</si>
  <si>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</si>
  <si>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</si>
  <si>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</si>
  <si>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</si>
  <si>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</si>
  <si>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</si>
  <si>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</si>
  <si>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</si>
  <si>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</si>
  <si>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</si>
  <si>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</si>
  <si>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</si>
  <si>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</si>
  <si>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</si>
  <si>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</si>
  <si>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</si>
  <si>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</si>
  <si>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</si>
  <si>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</si>
  <si>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</si>
  <si>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</si>
  <si>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</si>
  <si>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</si>
  <si>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</si>
  <si>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</si>
  <si>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</si>
  <si>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</si>
  <si>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</si>
  <si>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</si>
  <si>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</si>
  <si>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</si>
  <si>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</si>
  <si>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</si>
  <si>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</si>
  <si>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</si>
  <si>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</si>
  <si>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</si>
  <si>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</si>
  <si>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</si>
  <si>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</si>
  <si>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</si>
  <si>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</si>
  <si>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</si>
  <si>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</si>
  <si>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</si>
  <si>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</si>
  <si>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</si>
  <si>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</si>
  <si>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</si>
  <si>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</si>
  <si>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</si>
  <si>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</si>
  <si>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</si>
  <si>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</si>
  <si>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</si>
  <si>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</si>
  <si>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</si>
  <si>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</si>
  <si>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</si>
  <si>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</si>
  <si>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</si>
  <si>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</si>
  <si>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</si>
  <si>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</si>
  <si>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</si>
  <si>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</si>
  <si>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</si>
  <si>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</si>
  <si>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</si>
  <si>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</si>
  <si>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</si>
  <si>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</si>
  <si>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</si>
  <si>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</si>
  <si>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</si>
  <si>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</si>
  <si>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</si>
  <si>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</si>
  <si>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</si>
  <si>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</si>
  <si>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</si>
  <si>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</si>
  <si>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</si>
  <si>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</si>
  <si>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</si>
  <si>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</si>
  <si>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</si>
  <si>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</si>
  <si>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</si>
  <si>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</si>
  <si>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</si>
  <si>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</si>
  <si>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</si>
  <si>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</si>
  <si>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</si>
  <si>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</si>
  <si>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</si>
  <si>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</si>
  <si>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</si>
  <si>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</si>
  <si>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</si>
  <si>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</si>
  <si>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</si>
  <si>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</si>
  <si>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</si>
  <si>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</si>
  <si>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</si>
  <si>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</si>
  <si>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</si>
  <si>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</si>
  <si>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</si>
  <si>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</si>
  <si>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</si>
  <si>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</si>
  <si>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</si>
  <si>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</si>
  <si>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</si>
  <si>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</si>
  <si>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</si>
  <si>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</si>
  <si>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</si>
  <si>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</si>
  <si>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</si>
  <si>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</si>
  <si>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</si>
  <si>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</si>
  <si>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</si>
  <si>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</si>
  <si>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</si>
  <si>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</si>
  <si>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</si>
  <si>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</si>
  <si>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</si>
  <si>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</si>
  <si>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</si>
  <si>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</si>
  <si>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</si>
  <si>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</si>
  <si>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</si>
  <si>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</si>
  <si>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</si>
  <si>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</si>
  <si>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</si>
  <si>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</si>
  <si>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</si>
  <si>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</si>
  <si>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</si>
  <si>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</si>
  <si>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</si>
  <si>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</si>
  <si>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</si>
  <si>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</si>
  <si>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</si>
  <si>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</si>
  <si>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</si>
  <si>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</si>
  <si>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</si>
  <si>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</si>
  <si>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</si>
  <si>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</si>
  <si>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</si>
  <si>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</si>
  <si>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</si>
  <si>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</si>
  <si>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</si>
  <si>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</si>
  <si>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</si>
  <si>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</si>
  <si>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</si>
  <si>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</si>
  <si>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</si>
  <si>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</si>
  <si>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</si>
  <si>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</si>
  <si>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</si>
  <si>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</si>
  <si>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</si>
  <si>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</si>
  <si>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</si>
  <si>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</si>
  <si>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</si>
  <si>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</si>
  <si>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</si>
  <si>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</si>
  <si>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</si>
  <si>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</si>
  <si>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</si>
  <si>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</si>
  <si>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</si>
  <si>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</si>
  <si>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</si>
  <si>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</si>
  <si>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</si>
  <si>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</si>
  <si>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</si>
  <si>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</si>
  <si>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</si>
  <si>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</si>
  <si>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</si>
  <si>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</si>
  <si>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</si>
  <si>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</si>
  <si>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</si>
  <si>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</si>
  <si>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</si>
  <si>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</si>
  <si>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</si>
  <si>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</si>
  <si>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</si>
  <si>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</si>
  <si>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</si>
  <si>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</si>
  <si>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</si>
  <si>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</si>
  <si>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</si>
  <si>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</si>
  <si>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</si>
  <si>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</si>
  <si>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</si>
  <si>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</si>
  <si>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</si>
  <si>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</si>
  <si>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</si>
  <si>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</si>
  <si>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</si>
  <si>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</si>
  <si>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</si>
  <si>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</si>
  <si>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</si>
  <si>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</si>
  <si>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</si>
  <si>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</si>
  <si>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</si>
  <si>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</si>
  <si>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</si>
  <si>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</si>
  <si>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</si>
  <si>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</si>
  <si>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</si>
  <si>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</si>
  <si>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</si>
  <si>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</si>
  <si>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</si>
  <si>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</si>
  <si>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</si>
  <si>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</si>
  <si>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</si>
  <si>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</si>
  <si>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</si>
  <si>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</si>
  <si>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</si>
  <si>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</si>
  <si>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</si>
  <si>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</si>
  <si>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</si>
  <si>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</si>
  <si>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</si>
  <si>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</si>
  <si>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</si>
  <si>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</si>
  <si>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</si>
  <si>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</si>
  <si>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</si>
  <si>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</si>
  <si>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</si>
  <si>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</si>
  <si>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</si>
  <si>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</si>
  <si>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</si>
  <si>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</si>
  <si>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</si>
  <si>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</si>
  <si>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</si>
  <si>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</si>
  <si>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</si>
  <si>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</si>
  <si>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</si>
  <si>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</si>
  <si>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</si>
  <si>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</si>
  <si>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</si>
  <si>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</si>
  <si>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</si>
  <si>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</si>
  <si>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</si>
  <si>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</si>
  <si>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</si>
  <si>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</si>
  <si>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</si>
  <si>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</si>
  <si>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</si>
  <si>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</si>
  <si>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</si>
  <si>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</si>
  <si>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</si>
  <si>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</si>
  <si>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</si>
  <si>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</si>
  <si>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</si>
  <si>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</si>
  <si>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</si>
  <si>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</si>
  <si>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</si>
  <si>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</si>
  <si>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</si>
  <si>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</si>
  <si>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</si>
  <si>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</si>
  <si>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</si>
  <si>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</si>
  <si>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</si>
  <si>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</si>
  <si>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</si>
  <si>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</si>
  <si>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</si>
  <si>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</si>
  <si>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</si>
  <si>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</si>
  <si>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</si>
  <si>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</si>
  <si>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</si>
  <si>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</si>
  <si>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</si>
  <si>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</si>
  <si>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</si>
  <si>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</si>
  <si>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</si>
  <si>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</si>
  <si>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</si>
  <si>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</si>
  <si>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</si>
  <si>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</si>
  <si>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</si>
  <si>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</si>
  <si>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</si>
  <si>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</si>
  <si>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</si>
  <si>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</si>
  <si>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</si>
  <si>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</si>
  <si>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</si>
  <si>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</si>
  <si>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</si>
  <si>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</si>
  <si>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</si>
  <si>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</si>
  <si>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</si>
  <si>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</si>
  <si>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</si>
  <si>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</si>
  <si>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</si>
  <si>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</si>
  <si>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</si>
  <si>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</si>
  <si>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</si>
  <si>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</si>
  <si>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</si>
  <si>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</si>
  <si>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</si>
  <si>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</si>
  <si>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</si>
  <si>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</si>
  <si>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</si>
  <si>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</si>
  <si>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</si>
  <si>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</si>
  <si>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</si>
  <si>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</si>
  <si>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</si>
  <si>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</si>
  <si>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</si>
  <si>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</si>
  <si>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</si>
  <si>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</si>
  <si>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</si>
  <si>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</si>
  <si>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</si>
  <si>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</si>
  <si>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</si>
  <si>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</si>
  <si>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</si>
  <si>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</si>
  <si>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</si>
  <si>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</si>
  <si>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</si>
  <si>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</si>
  <si>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</si>
  <si>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</si>
  <si>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</si>
  <si>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</si>
  <si>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</si>
  <si>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</si>
  <si>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</si>
  <si>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</si>
  <si>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</si>
  <si>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</si>
  <si>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</si>
  <si>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</si>
  <si>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</si>
  <si>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</si>
  <si>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</si>
  <si>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</si>
  <si>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</si>
  <si>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</si>
  <si>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</si>
  <si>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</si>
  <si>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</si>
  <si>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</si>
  <si>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</si>
  <si>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</si>
  <si>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</si>
  <si>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</si>
  <si>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</si>
  <si>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</si>
  <si>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</si>
  <si>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</si>
  <si>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</si>
  <si>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</si>
  <si>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</si>
  <si>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</si>
  <si>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</si>
  <si>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</si>
  <si>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</si>
  <si>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</si>
  <si>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</si>
  <si>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</si>
  <si>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</si>
  <si>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</si>
  <si>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</si>
  <si>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</si>
  <si>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</si>
  <si>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</si>
  <si>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</si>
  <si>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</si>
  <si>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</si>
  <si>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</si>
  <si>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</si>
  <si>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</si>
  <si>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</si>
  <si>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</si>
  <si>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</si>
  <si>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</si>
  <si>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</si>
  <si>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</si>
  <si>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</si>
  <si>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</si>
  <si>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</si>
  <si>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</si>
  <si>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</si>
  <si>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</si>
  <si>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</si>
  <si>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</si>
  <si>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</si>
  <si>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</si>
  <si>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</si>
  <si>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</si>
  <si>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</si>
  <si>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</si>
  <si>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</si>
  <si>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</si>
  <si>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</si>
  <si>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</si>
  <si>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</si>
  <si>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</si>
  <si>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</si>
  <si>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</si>
  <si>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</si>
  <si>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</si>
  <si>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</si>
  <si>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</si>
  <si>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</si>
  <si>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</si>
  <si>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</si>
  <si>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</si>
  <si>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</si>
  <si>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</si>
  <si>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</si>
  <si>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</si>
  <si>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</si>
  <si>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</si>
  <si>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</si>
  <si>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</si>
  <si>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</si>
  <si>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</si>
  <si>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</si>
  <si>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</si>
  <si>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</si>
  <si>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</si>
  <si>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</si>
  <si>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</si>
  <si>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</si>
  <si>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</si>
  <si>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</si>
  <si>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</si>
  <si>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</si>
  <si>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</si>
  <si>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</si>
  <si>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</si>
  <si>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</si>
  <si>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</si>
  <si>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</si>
  <si>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</si>
  <si>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</si>
  <si>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</si>
  <si>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</si>
  <si>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</si>
  <si>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</si>
  <si>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</si>
  <si>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</si>
  <si>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</si>
  <si>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</si>
  <si>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</si>
  <si>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</si>
  <si>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</si>
  <si>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</si>
  <si>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</si>
  <si>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</si>
  <si>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</si>
  <si>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</si>
  <si>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</si>
  <si>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</si>
  <si>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</si>
  <si>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</si>
  <si>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</si>
  <si>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</si>
  <si>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</si>
  <si>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</si>
  <si>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</si>
  <si>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</si>
  <si>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</si>
  <si>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</si>
  <si>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</si>
  <si>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</si>
  <si>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</si>
  <si>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</si>
  <si>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</si>
  <si>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</si>
  <si>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</si>
  <si>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</si>
  <si>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</si>
  <si>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</si>
  <si>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</si>
  <si>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</si>
  <si>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</si>
  <si>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</si>
  <si>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</si>
  <si>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</si>
  <si>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</si>
  <si>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</si>
  <si>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</si>
  <si>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</si>
  <si>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</si>
  <si>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</si>
  <si>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</si>
  <si>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</si>
  <si>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</si>
  <si>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</si>
  <si>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</si>
  <si>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</si>
  <si>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</si>
  <si>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</si>
  <si>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</si>
  <si>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</si>
  <si>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</si>
  <si>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</si>
  <si>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</si>
  <si>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</si>
  <si>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</si>
  <si>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</si>
  <si>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</si>
  <si>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</si>
  <si>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</si>
  <si>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</si>
  <si>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</si>
  <si>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</si>
  <si>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</si>
  <si>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</si>
  <si>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</si>
  <si>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</si>
  <si>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</si>
  <si>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</si>
  <si>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</si>
  <si>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</si>
  <si>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</si>
  <si>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</si>
  <si>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</si>
  <si>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</si>
  <si>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</si>
  <si>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</si>
  <si>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</si>
  <si>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</si>
  <si>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</si>
  <si>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</si>
  <si>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</si>
  <si>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</si>
  <si>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</si>
  <si>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</si>
  <si>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</si>
  <si>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</si>
  <si>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</si>
  <si>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</si>
  <si>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</si>
  <si>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</si>
  <si>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</si>
  <si>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</si>
  <si>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</si>
  <si>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</si>
  <si>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</si>
  <si>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</si>
  <si>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</si>
  <si>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</si>
  <si>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</si>
  <si>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</si>
  <si>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</si>
  <si>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</si>
  <si>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</si>
  <si>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</si>
  <si>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</si>
  <si>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</si>
  <si>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</si>
  <si>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</si>
  <si>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</si>
  <si>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</si>
  <si>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</si>
  <si>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</si>
  <si>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</si>
  <si>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</si>
  <si>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</si>
  <si>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</si>
  <si>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</si>
  <si>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</si>
  <si>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</si>
  <si>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</si>
  <si>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</si>
  <si>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</si>
  <si>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</si>
  <si>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</si>
  <si>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</si>
  <si>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</si>
  <si>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</si>
  <si>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</si>
  <si>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</si>
  <si>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</si>
  <si>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</si>
  <si>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</si>
  <si>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</si>
  <si>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</si>
  <si>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</si>
  <si>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</si>
  <si>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</si>
  <si>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</si>
  <si>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</si>
  <si>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</si>
  <si>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</si>
  <si>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</si>
  <si>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</si>
  <si>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</si>
  <si>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</si>
  <si>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</si>
  <si>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</si>
  <si>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</si>
  <si>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</si>
  <si>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</si>
  <si>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</si>
  <si>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</si>
  <si>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</si>
  <si>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</si>
  <si>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</si>
  <si>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</si>
  <si>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</si>
  <si>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</si>
  <si>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</si>
  <si>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</si>
  <si>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</si>
  <si>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</si>
  <si>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</si>
  <si>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</si>
  <si>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</si>
  <si>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</si>
  <si>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</si>
  <si>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</si>
  <si>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</si>
  <si>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</si>
  <si>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</si>
  <si>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</si>
  <si>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</si>
  <si>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</si>
  <si>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</si>
  <si>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</si>
  <si>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</si>
  <si>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</si>
  <si>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</si>
  <si>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</si>
  <si>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</si>
  <si>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</si>
  <si>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</si>
  <si>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</si>
  <si>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</si>
  <si>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</si>
  <si>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</si>
  <si>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</si>
  <si>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</si>
  <si>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</si>
  <si>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</si>
  <si>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</si>
  <si>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</si>
  <si>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</si>
  <si>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</si>
  <si>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</si>
  <si>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</si>
  <si>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</si>
  <si>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</si>
  <si>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</si>
  <si>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</si>
  <si>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</si>
  <si>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</si>
  <si>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</si>
  <si>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</si>
  <si>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</si>
  <si>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</si>
  <si>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</si>
  <si>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</si>
  <si>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</si>
  <si>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</si>
  <si>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</si>
  <si>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</si>
  <si>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</si>
  <si>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</si>
  <si>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</si>
  <si>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</si>
  <si>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</si>
  <si>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</si>
  <si>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</si>
  <si>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</si>
  <si>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</si>
  <si>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</si>
  <si>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</si>
  <si>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</si>
  <si>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</si>
  <si>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</si>
  <si>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</si>
  <si>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</si>
  <si>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</si>
  <si>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</si>
  <si>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</si>
  <si>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</si>
  <si>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</si>
  <si>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</si>
  <si>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</si>
  <si>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</si>
  <si>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</si>
  <si>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</si>
  <si>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</si>
  <si>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</si>
  <si>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</si>
  <si>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</si>
  <si>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</si>
  <si>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</si>
  <si>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</si>
  <si>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</si>
  <si>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</si>
  <si>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</si>
  <si>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</si>
  <si>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</si>
  <si>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</si>
  <si>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</si>
  <si>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</si>
  <si>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</si>
  <si>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</si>
  <si>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</si>
  <si>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</si>
  <si>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</si>
  <si>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</si>
  <si>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</si>
  <si>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</si>
  <si>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</si>
  <si>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</si>
  <si>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</si>
  <si>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</si>
  <si>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</si>
  <si>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</si>
  <si>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</si>
  <si>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</si>
  <si>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</si>
  <si>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</si>
  <si>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</si>
  <si>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</si>
  <si>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</si>
  <si>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</si>
  <si>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</si>
  <si>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</si>
  <si>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</si>
  <si>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</si>
  <si>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</si>
  <si>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</si>
  <si>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</si>
  <si>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</si>
  <si>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</si>
  <si>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</si>
  <si>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</si>
  <si>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</si>
  <si>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</si>
  <si>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</si>
  <si>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</si>
  <si>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</si>
  <si>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</si>
  <si>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</si>
  <si>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</si>
  <si>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</si>
  <si>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</si>
  <si>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</si>
  <si>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</si>
  <si>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</si>
  <si>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</si>
  <si>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</si>
  <si>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</si>
  <si>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</si>
  <si>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</si>
  <si>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</si>
  <si>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</si>
  <si>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</si>
  <si>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</si>
  <si>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</si>
  <si>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</si>
  <si>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</si>
  <si>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</si>
  <si>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</si>
  <si>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</si>
  <si>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</si>
  <si>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</si>
  <si>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</si>
  <si>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</si>
  <si>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</si>
  <si>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</si>
  <si>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</si>
  <si>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</si>
  <si>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</si>
  <si>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</si>
  <si>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</si>
  <si>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</si>
  <si>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</si>
  <si>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</si>
  <si>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</si>
  <si>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</si>
  <si>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</si>
  <si>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</si>
  <si>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</si>
  <si>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</si>
  <si>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</si>
  <si>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</si>
  <si>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</si>
  <si>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</si>
  <si>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</si>
  <si>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</si>
  <si>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</si>
  <si>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</si>
  <si>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</si>
  <si>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</si>
  <si>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</si>
  <si>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</si>
  <si>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</si>
  <si>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</si>
  <si>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</si>
  <si>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</si>
  <si>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</si>
  <si>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</si>
  <si>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</si>
  <si>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</si>
  <si>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</si>
  <si>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</si>
  <si>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</si>
  <si>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</si>
  <si>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</si>
  <si>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</si>
  <si>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</si>
  <si>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</si>
  <si>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</si>
  <si>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</si>
  <si>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</si>
  <si>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</si>
  <si>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</si>
  <si>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</si>
  <si>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</si>
  <si>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</si>
  <si>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</si>
  <si>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</si>
  <si>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</si>
  <si>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</si>
  <si>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</si>
  <si>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</si>
  <si>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</si>
  <si>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</si>
  <si>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</si>
  <si>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</si>
  <si>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</si>
  <si>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</si>
  <si>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</si>
  <si>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</si>
  <si>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</si>
  <si>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</si>
  <si>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</si>
  <si>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</si>
  <si>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</si>
  <si>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</si>
  <si>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</si>
  <si>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</si>
  <si>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</si>
  <si>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</si>
  <si>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</si>
  <si>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</si>
  <si>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</si>
  <si>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</si>
  <si>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</si>
  <si>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</si>
  <si>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</si>
  <si>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</si>
  <si>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</si>
  <si>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</si>
  <si>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</si>
  <si>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</si>
  <si>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</si>
  <si>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</si>
  <si>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</si>
  <si>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</si>
  <si>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</si>
  <si>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</si>
  <si>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</si>
  <si>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</si>
  <si>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</si>
  <si>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</si>
  <si>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</si>
  <si>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</si>
  <si>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</si>
  <si>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</si>
  <si>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</si>
  <si>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</si>
  <si>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</si>
  <si>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</si>
  <si>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</si>
  <si>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</si>
  <si>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</si>
  <si>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</si>
  <si>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</si>
  <si>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</si>
  <si>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</si>
  <si>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</si>
  <si>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</si>
  <si>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</si>
  <si>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</si>
  <si>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</si>
  <si>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</si>
  <si>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</si>
  <si>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</si>
  <si>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</si>
  <si>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</si>
  <si>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</si>
  <si>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</si>
  <si>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</si>
  <si>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</si>
  <si>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</si>
  <si>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</si>
  <si>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</si>
  <si>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</si>
  <si>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</si>
  <si>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</si>
  <si>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</si>
  <si>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</si>
  <si>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</si>
  <si>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</si>
  <si>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</si>
  <si>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</si>
  <si>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</si>
  <si>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</si>
  <si>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</si>
  <si>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</si>
  <si>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</si>
  <si>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</si>
  <si>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</si>
  <si>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</si>
  <si>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</si>
  <si>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</si>
  <si>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</si>
  <si>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</si>
  <si>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</si>
  <si>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</si>
  <si>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</si>
  <si>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</si>
  <si>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</si>
  <si>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</si>
  <si>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</si>
  <si>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</si>
  <si>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</si>
  <si>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</si>
  <si>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</si>
  <si>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</si>
  <si>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</si>
  <si>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</si>
  <si>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</si>
  <si>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</si>
  <si>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</si>
  <si>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</si>
  <si>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</si>
  <si>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</si>
  <si>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</si>
  <si>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</si>
  <si>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</si>
  <si>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</si>
  <si>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</si>
  <si>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</si>
  <si>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</si>
  <si>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</si>
  <si>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</si>
  <si>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</si>
  <si>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</si>
  <si>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</si>
  <si>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</si>
  <si>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</si>
  <si>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</si>
  <si>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</si>
  <si>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</si>
  <si>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</si>
  <si>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</si>
  <si>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</si>
  <si>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</si>
  <si>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</si>
  <si>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</si>
  <si>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</si>
  <si>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</si>
  <si>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</si>
  <si>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</si>
  <si>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</si>
  <si>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</si>
  <si>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</si>
  <si>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</si>
  <si>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</si>
  <si>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</si>
  <si>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</si>
  <si>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</si>
  <si>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</si>
  <si>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</si>
  <si>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</si>
  <si>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</si>
  <si>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</si>
  <si>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</si>
  <si>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</si>
  <si>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</si>
  <si>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</si>
  <si>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</si>
  <si>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</si>
  <si>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</si>
  <si>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</si>
  <si>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</si>
  <si>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</si>
  <si>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</si>
  <si>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</si>
  <si>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</si>
  <si>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</si>
  <si>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</si>
  <si>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</si>
  <si>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</si>
  <si>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</si>
  <si>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</si>
  <si>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</si>
  <si>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</si>
  <si>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</si>
  <si>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</si>
  <si>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</si>
  <si>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</si>
  <si>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</si>
  <si>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</si>
  <si>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</si>
  <si>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</si>
  <si>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</si>
  <si>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</si>
  <si>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</si>
  <si>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</si>
  <si>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</si>
  <si>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</si>
  <si>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</si>
  <si>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</si>
  <si>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</si>
  <si>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</si>
  <si>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</si>
  <si>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</si>
  <si>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</si>
  <si>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</si>
  <si>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</si>
  <si>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</si>
  <si>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</si>
  <si>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</si>
  <si>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</si>
  <si>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</si>
  <si>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</si>
  <si>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</si>
  <si>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</si>
  <si>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</si>
  <si>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</si>
  <si>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</si>
  <si>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</si>
  <si>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</si>
  <si>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</si>
  <si>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</si>
  <si>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</si>
  <si>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</si>
  <si>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</si>
  <si>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</si>
  <si>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</si>
  <si>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</si>
  <si>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</si>
  <si>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</si>
  <si>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11.1</t>
  </si>
  <si>
    <t>MANOMETRO COM CAIXA EM ACO PINTADO, ESCALA *10* KGF/CM2 (*10* BAR), DIAMETRO NOMINAL DE 100 MM, CONEXAO DE 1/2" - FORNECIMENTO E INSTALAÇÃO</t>
  </si>
  <si>
    <t xml:space="preserve">REGUALADOR DE 1º ESTÁGIO PARA 10KG - FORNECIMENTO E INSTALAÇÃO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</si>
  <si>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</si>
  <si>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</si>
  <si>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</si>
  <si>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</si>
  <si>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</si>
  <si>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</si>
  <si>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</si>
  <si>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</si>
  <si>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</si>
  <si>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</si>
  <si>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</si>
  <si>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</si>
  <si>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</si>
  <si>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</si>
  <si>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</si>
  <si>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</si>
  <si>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</si>
  <si>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</si>
  <si>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</si>
  <si>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</si>
  <si>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</si>
  <si>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</si>
  <si>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</si>
  <si>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</si>
  <si>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</si>
  <si>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</si>
  <si>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</si>
  <si>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</si>
  <si>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</si>
  <si>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</si>
  <si>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</si>
  <si>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</si>
  <si>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</si>
  <si>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</si>
  <si>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</si>
  <si>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</si>
  <si>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</si>
  <si>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</si>
  <si>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</si>
  <si>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</si>
  <si>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</si>
  <si>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</si>
  <si>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</si>
  <si>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</si>
  <si>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</si>
  <si>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</si>
  <si>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</si>
  <si>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</si>
  <si>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</si>
  <si>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</si>
  <si>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</si>
  <si>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</si>
  <si>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</si>
  <si>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</si>
  <si>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</si>
  <si>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</si>
  <si>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</si>
  <si>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</si>
  <si>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</si>
  <si>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</si>
  <si>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</si>
  <si>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</si>
  <si>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</si>
  <si>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</si>
  <si>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</si>
  <si>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</si>
  <si>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</si>
  <si>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</si>
  <si>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</si>
  <si>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</si>
  <si>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</si>
  <si>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</si>
  <si>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</si>
  <si>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</si>
  <si>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</si>
  <si>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</si>
  <si>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</si>
  <si>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</si>
  <si>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</si>
  <si>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</si>
  <si>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</si>
  <si>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</si>
  <si>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</si>
  <si>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</si>
  <si>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</si>
  <si>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</si>
  <si>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</si>
  <si>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</si>
  <si>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</si>
  <si>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</si>
  <si>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</si>
  <si>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</si>
  <si>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</si>
  <si>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</si>
  <si>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</si>
  <si>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</si>
  <si>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</si>
  <si>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</si>
  <si>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</si>
  <si>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</si>
  <si>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</si>
  <si>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</si>
  <si>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</si>
  <si>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</si>
  <si>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</si>
  <si>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</si>
  <si>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</si>
  <si>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</si>
  <si>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</si>
  <si>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</si>
  <si>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</si>
  <si>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</si>
  <si>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</si>
  <si>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</si>
  <si>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</si>
  <si>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</si>
  <si>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</si>
  <si>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</si>
  <si>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</si>
  <si>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</si>
  <si>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</si>
  <si>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</si>
  <si>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</si>
  <si>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</si>
  <si>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</si>
  <si>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</si>
  <si>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</si>
  <si>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</si>
  <si>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</si>
  <si>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</si>
  <si>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</si>
  <si>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</si>
  <si>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</si>
  <si>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</si>
  <si>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</si>
  <si>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</si>
  <si>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</si>
  <si>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</si>
  <si>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</si>
  <si>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</si>
  <si>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</si>
  <si>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</si>
  <si>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</si>
  <si>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</si>
  <si>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</si>
  <si>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</si>
  <si>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</si>
  <si>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</si>
  <si>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</si>
  <si>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</si>
  <si>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</si>
  <si>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</si>
  <si>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</si>
  <si>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</si>
  <si>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</si>
  <si>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</si>
  <si>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</si>
  <si>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</si>
  <si>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</si>
  <si>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</si>
  <si>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</si>
  <si>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</si>
  <si>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</si>
  <si>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</si>
  <si>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</si>
  <si>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</si>
  <si>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</si>
  <si>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</si>
  <si>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</si>
  <si>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</si>
  <si>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</si>
  <si>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</si>
  <si>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</si>
  <si>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Obra convencional 3x2 m; Obras menores 2,5x1,25</t>
  </si>
  <si>
    <t xml:space="preserve">TOTAL DO ITEM </t>
  </si>
  <si>
    <t>TOTAL DO ITEM</t>
  </si>
  <si>
    <t>PINTURA</t>
  </si>
  <si>
    <t>PINTURA ANTICORROSIVA DE DUTO METÁLICO. AF_04/2018</t>
  </si>
  <si>
    <t>RESUMO</t>
  </si>
  <si>
    <t xml:space="preserve">INSTALAÇÕES HIDROSSANITÁRIAS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</si>
  <si>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</si>
  <si>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</si>
  <si>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</si>
  <si>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</si>
  <si>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</si>
  <si>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</si>
  <si>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</si>
  <si>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</si>
  <si>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</si>
  <si>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</si>
  <si>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</si>
  <si>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</si>
  <si>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</si>
  <si>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</si>
  <si>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</si>
  <si>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</si>
  <si>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</si>
  <si>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</si>
  <si>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</si>
  <si>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</si>
  <si>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</si>
  <si>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</si>
  <si>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</si>
  <si>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</si>
  <si>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</si>
  <si>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</si>
  <si>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</si>
  <si>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</si>
  <si>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</si>
  <si>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</si>
  <si>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</si>
  <si>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</si>
  <si>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</si>
  <si>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</si>
  <si>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</si>
  <si>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</si>
  <si>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</si>
  <si>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</si>
  <si>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</si>
  <si>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</si>
  <si>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</si>
  <si>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</si>
  <si>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</si>
  <si>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</si>
  <si>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</si>
  <si>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</si>
  <si>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</si>
  <si>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</si>
  <si>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</si>
  <si>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</si>
  <si>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</si>
  <si>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</si>
  <si>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</si>
  <si>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</si>
  <si>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</si>
  <si>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</si>
  <si>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</si>
  <si>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</si>
  <si>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</si>
  <si>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</si>
  <si>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</si>
  <si>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</si>
  <si>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</si>
  <si>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</si>
  <si>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</si>
  <si>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</si>
  <si>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</si>
  <si>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</si>
  <si>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</si>
  <si>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</si>
  <si>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</si>
  <si>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</si>
  <si>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</si>
  <si>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</si>
  <si>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</si>
  <si>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</si>
  <si>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</si>
  <si>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</si>
  <si>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</si>
  <si>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</si>
  <si>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</si>
  <si>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</si>
  <si>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</si>
  <si>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</si>
  <si>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</si>
  <si>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</si>
  <si>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</si>
  <si>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</si>
  <si>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</si>
  <si>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</si>
  <si>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</si>
  <si>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</si>
  <si>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</si>
  <si>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</si>
  <si>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</si>
  <si>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</si>
  <si>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</si>
  <si>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</si>
  <si>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</si>
  <si>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</si>
  <si>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</si>
  <si>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</si>
  <si>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</si>
  <si>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</si>
  <si>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</si>
  <si>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</si>
  <si>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</si>
  <si>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</si>
  <si>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</si>
  <si>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</si>
  <si>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</si>
  <si>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</si>
  <si>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</si>
  <si>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</si>
  <si>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</si>
  <si>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</si>
  <si>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</si>
  <si>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</si>
  <si>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</si>
  <si>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</si>
  <si>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</si>
  <si>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</si>
  <si>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</si>
  <si>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</si>
  <si>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</si>
  <si>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</si>
  <si>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</si>
  <si>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</si>
  <si>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</si>
  <si>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</si>
  <si>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</si>
  <si>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</si>
  <si>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</si>
  <si>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</si>
  <si>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</si>
  <si>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</si>
  <si>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</si>
  <si>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</si>
  <si>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</si>
  <si>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</si>
  <si>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</si>
  <si>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</si>
  <si>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</si>
  <si>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</si>
  <si>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</si>
  <si>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</si>
  <si>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</si>
  <si>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</si>
  <si>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</si>
  <si>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</si>
  <si>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</si>
  <si>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</si>
  <si>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</si>
  <si>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</si>
  <si>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</si>
  <si>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</si>
  <si>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</si>
  <si>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</si>
  <si>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</si>
  <si>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</si>
  <si>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</si>
  <si>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</si>
  <si>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</si>
  <si>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</si>
  <si>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</si>
  <si>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</si>
  <si>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</si>
  <si>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</si>
  <si>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</si>
  <si>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</si>
  <si>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</si>
  <si>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</si>
  <si>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</si>
  <si>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</si>
  <si>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</si>
  <si>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</si>
  <si>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</si>
  <si>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</si>
  <si>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</si>
  <si>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</si>
  <si>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</si>
  <si>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</si>
  <si>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</si>
  <si>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</si>
  <si>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</si>
  <si>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</si>
  <si>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</si>
  <si>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</si>
  <si>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</si>
  <si>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</si>
  <si>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</si>
  <si>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</si>
  <si>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</si>
  <si>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</si>
  <si>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</si>
  <si>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</si>
  <si>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</si>
  <si>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</si>
  <si>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</si>
  <si>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</si>
  <si>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</si>
  <si>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</si>
  <si>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</si>
  <si>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</si>
  <si>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</si>
  <si>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</si>
  <si>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</si>
  <si>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</si>
  <si>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</si>
  <si>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</si>
  <si>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</si>
  <si>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</si>
  <si>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</si>
  <si>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</si>
  <si>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</si>
  <si>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</si>
  <si>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</si>
  <si>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</si>
  <si>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</si>
  <si>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</si>
  <si>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</si>
  <si>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</si>
  <si>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</si>
  <si>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</si>
  <si>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</si>
  <si>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</si>
  <si>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</si>
  <si>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</si>
  <si>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</si>
  <si>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</si>
  <si>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</si>
  <si>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</si>
  <si>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</si>
  <si>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</si>
  <si>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</si>
  <si>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</si>
  <si>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</si>
  <si>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</si>
  <si>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</si>
  <si>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</si>
  <si>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</si>
  <si>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</si>
  <si>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</si>
  <si>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</si>
  <si>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</si>
  <si>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</si>
  <si>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</si>
  <si>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</si>
  <si>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</si>
  <si>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</si>
  <si>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</si>
  <si>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</si>
  <si>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</si>
  <si>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</si>
  <si>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</si>
  <si>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</si>
  <si>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</si>
  <si>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</si>
  <si>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</si>
  <si>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</si>
  <si>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</si>
  <si>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</si>
  <si>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</si>
  <si>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</si>
  <si>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</si>
  <si>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</si>
  <si>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</si>
  <si>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</si>
  <si>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</si>
  <si>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</si>
  <si>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</si>
  <si>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</si>
  <si>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</si>
  <si>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</si>
  <si>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</si>
  <si>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</si>
  <si>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</si>
  <si>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</si>
  <si>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</si>
  <si>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</si>
  <si>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</si>
  <si>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</si>
  <si>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</si>
  <si>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</si>
  <si>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</si>
  <si>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</si>
  <si>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</si>
  <si>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</si>
  <si>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</si>
  <si>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</si>
  <si>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</si>
  <si>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</si>
  <si>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</si>
  <si>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</si>
  <si>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</si>
  <si>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</si>
  <si>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</si>
  <si>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</si>
  <si>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</si>
  <si>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</si>
  <si>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</si>
  <si>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</si>
  <si>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</si>
  <si>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</si>
  <si>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</si>
  <si>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</si>
  <si>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</si>
  <si>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</si>
  <si>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</si>
  <si>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</si>
  <si>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</si>
  <si>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</si>
  <si>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</si>
  <si>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</si>
  <si>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</si>
  <si>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</si>
  <si>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</si>
  <si>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</si>
  <si>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</si>
  <si>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</si>
  <si>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</si>
  <si>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</si>
  <si>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</si>
  <si>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</si>
  <si>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</si>
  <si>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</si>
  <si>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</si>
  <si>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</si>
  <si>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</si>
  <si>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</si>
  <si>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</si>
  <si>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</si>
  <si>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</si>
  <si>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</si>
  <si>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</si>
  <si>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</si>
  <si>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</si>
  <si>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</si>
  <si>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</si>
  <si>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</si>
  <si>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</si>
  <si>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</si>
  <si>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</si>
  <si>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</si>
  <si>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</si>
  <si>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</si>
  <si>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</si>
  <si>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</si>
  <si>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</si>
  <si>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</si>
  <si>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</si>
  <si>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</si>
  <si>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</si>
  <si>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</si>
  <si>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</si>
  <si>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</si>
  <si>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</si>
  <si>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</si>
  <si>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</si>
  <si>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</si>
  <si>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</si>
  <si>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</si>
  <si>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</si>
  <si>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</si>
  <si>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</si>
  <si>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</si>
  <si>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</si>
  <si>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</si>
  <si>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</si>
  <si>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</si>
  <si>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</si>
  <si>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</si>
  <si>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</si>
  <si>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</si>
  <si>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</si>
  <si>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</si>
  <si>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</si>
  <si>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</si>
  <si>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</si>
  <si>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</si>
  <si>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</si>
  <si>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</si>
  <si>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</si>
  <si>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</si>
  <si>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</si>
  <si>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</si>
  <si>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</si>
  <si>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</si>
  <si>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</si>
  <si>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</si>
  <si>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</si>
  <si>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</si>
  <si>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</si>
  <si>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</si>
  <si>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</si>
  <si>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</si>
  <si>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</si>
  <si>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</si>
  <si>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</si>
  <si>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</si>
  <si>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</si>
  <si>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</si>
  <si>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</si>
  <si>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</si>
  <si>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</si>
  <si>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</si>
  <si>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</si>
  <si>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</si>
  <si>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</si>
  <si>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</si>
  <si>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</si>
  <si>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</si>
  <si>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</si>
  <si>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</si>
  <si>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</si>
  <si>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</si>
  <si>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</si>
  <si>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</si>
  <si>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</si>
  <si>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</si>
  <si>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</si>
  <si>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</si>
  <si>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</si>
  <si>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</si>
  <si>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</si>
  <si>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</si>
  <si>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</si>
  <si>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</si>
  <si>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</si>
  <si>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</si>
  <si>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</si>
  <si>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</si>
  <si>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</si>
  <si>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</si>
  <si>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</si>
  <si>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</si>
  <si>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</si>
  <si>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</si>
  <si>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</si>
  <si>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</si>
  <si>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</si>
  <si>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</si>
  <si>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</si>
  <si>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</si>
  <si>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</si>
  <si>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</si>
  <si>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</si>
  <si>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</si>
  <si>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</si>
  <si>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</si>
  <si>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</si>
  <si>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</si>
  <si>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</si>
  <si>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</si>
  <si>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</si>
  <si>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</si>
  <si>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</si>
  <si>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</si>
  <si>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</si>
  <si>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</si>
  <si>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</si>
  <si>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</si>
  <si>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</si>
  <si>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</si>
  <si>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</si>
  <si>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</si>
  <si>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</si>
  <si>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</si>
  <si>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</si>
  <si>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</si>
  <si>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</si>
  <si>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</si>
  <si>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</si>
  <si>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</si>
  <si>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</si>
  <si>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</si>
  <si>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</si>
  <si>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</si>
  <si>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</si>
  <si>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</si>
  <si>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</si>
  <si>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</si>
  <si>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</si>
  <si>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</si>
  <si>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</si>
  <si>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</si>
  <si>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</si>
  <si>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</si>
  <si>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</si>
  <si>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</si>
  <si>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</si>
  <si>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</si>
  <si>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</si>
  <si>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</si>
  <si>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</si>
  <si>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</si>
  <si>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</si>
  <si>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</si>
  <si>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</si>
  <si>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</si>
  <si>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</si>
  <si>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</si>
  <si>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</si>
  <si>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</si>
  <si>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</si>
  <si>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</si>
  <si>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</si>
  <si>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</si>
  <si>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</si>
  <si>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</si>
  <si>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</si>
  <si>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</si>
  <si>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</si>
  <si>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</si>
  <si>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</si>
  <si>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</si>
  <si>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</si>
  <si>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</si>
  <si>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</si>
  <si>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</si>
  <si>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</si>
  <si>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</si>
  <si>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</si>
  <si>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</si>
  <si>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</si>
  <si>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</si>
  <si>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</si>
  <si>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</si>
  <si>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</si>
  <si>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</si>
  <si>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</si>
  <si>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</si>
  <si>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</si>
  <si>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</si>
  <si>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</si>
  <si>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</si>
  <si>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</si>
  <si>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</si>
  <si>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</si>
  <si>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</si>
  <si>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</si>
  <si>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</si>
  <si>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</si>
  <si>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</si>
  <si>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</si>
  <si>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</si>
  <si>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</si>
  <si>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</si>
  <si>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</si>
  <si>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</si>
  <si>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</si>
  <si>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</si>
  <si>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</si>
  <si>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</si>
  <si>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</si>
  <si>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</si>
  <si>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</si>
  <si>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</si>
  <si>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</si>
  <si>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</si>
  <si>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</si>
  <si>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</si>
  <si>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</si>
  <si>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</si>
  <si>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</si>
  <si>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</si>
  <si>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</si>
  <si>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</si>
  <si>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</si>
  <si>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</si>
  <si>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</si>
  <si>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</si>
  <si>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</si>
  <si>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</si>
  <si>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</si>
  <si>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</si>
  <si>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</si>
  <si>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</si>
  <si>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</si>
  <si>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</si>
  <si>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</si>
  <si>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</si>
  <si>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</si>
  <si>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</si>
  <si>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</si>
  <si>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</si>
  <si>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</si>
  <si>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</si>
  <si>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</si>
  <si>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</si>
  <si>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</si>
  <si>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</si>
  <si>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</si>
  <si>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</si>
  <si>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</si>
  <si>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</si>
  <si>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</si>
  <si>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</si>
  <si>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</si>
  <si>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</si>
  <si>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</si>
  <si>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</si>
  <si>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</si>
  <si>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</si>
  <si>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</si>
  <si>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</si>
  <si>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</si>
  <si>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</si>
  <si>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</si>
  <si>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</si>
  <si>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</si>
  <si>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</si>
  <si>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</si>
  <si>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</si>
  <si>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</si>
  <si>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</si>
  <si>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</si>
  <si>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</si>
  <si>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</si>
  <si>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</si>
  <si>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</si>
  <si>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</si>
  <si>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</si>
  <si>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</si>
  <si>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</si>
  <si>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</si>
  <si>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</si>
  <si>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</si>
  <si>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</si>
  <si>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</si>
  <si>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</si>
  <si>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</si>
  <si>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</si>
  <si>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</si>
  <si>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</si>
  <si>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</si>
  <si>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</si>
  <si>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</si>
  <si>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</si>
  <si>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</si>
  <si>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</si>
  <si>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</si>
  <si>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</si>
  <si>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</si>
  <si>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</si>
  <si>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</si>
  <si>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</si>
  <si>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</si>
  <si>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</si>
  <si>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</si>
  <si>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</si>
  <si>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</si>
  <si>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</si>
  <si>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</si>
  <si>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</si>
  <si>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</si>
  <si>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</si>
  <si>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</si>
  <si>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</si>
  <si>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</si>
  <si>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</si>
  <si>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</si>
  <si>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</si>
  <si>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</si>
  <si>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</si>
  <si>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</si>
  <si>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</si>
  <si>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</si>
  <si>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</si>
  <si>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</si>
  <si>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</si>
  <si>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</si>
  <si>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</si>
  <si>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</si>
  <si>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</si>
  <si>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</si>
  <si>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</si>
  <si>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</si>
  <si>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</si>
  <si>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</si>
  <si>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</si>
  <si>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</si>
  <si>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</si>
  <si>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</si>
  <si>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</si>
  <si>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</si>
  <si>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</si>
  <si>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</si>
  <si>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</si>
  <si>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</si>
  <si>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</si>
  <si>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</si>
  <si>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</si>
  <si>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</si>
  <si>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</si>
  <si>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</si>
  <si>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</si>
  <si>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</si>
  <si>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</si>
  <si>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</si>
  <si>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</si>
  <si>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</si>
  <si>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</si>
  <si>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</si>
  <si>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</si>
  <si>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</si>
  <si>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</si>
  <si>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</si>
  <si>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</si>
  <si>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</si>
  <si>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</si>
  <si>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</si>
  <si>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</si>
  <si>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</si>
  <si>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</si>
  <si>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</si>
  <si>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</si>
  <si>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</si>
  <si>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</si>
  <si>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</si>
  <si>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</si>
  <si>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</si>
  <si>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</si>
  <si>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</si>
  <si>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</si>
  <si>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</si>
  <si>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</si>
  <si>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</si>
  <si>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</si>
  <si>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</si>
  <si>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</si>
  <si>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</si>
  <si>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</si>
  <si>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</si>
  <si>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</si>
  <si>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</si>
  <si>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</si>
  <si>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</si>
  <si>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</si>
  <si>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</si>
  <si>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</si>
  <si>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</si>
  <si>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</si>
  <si>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</si>
  <si>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</si>
  <si>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</si>
  <si>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</si>
  <si>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</si>
  <si>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</si>
  <si>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</si>
  <si>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</si>
  <si>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</si>
  <si>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</si>
  <si>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</si>
  <si>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</si>
  <si>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</si>
  <si>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</si>
  <si>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</si>
  <si>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COMPOSIÇÕES PARA DEMOLIÇÕES E RETIRADAS</t>
  </si>
  <si>
    <t>PRÓPRIA</t>
  </si>
  <si>
    <t>CP-DEM-02</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</si>
  <si>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</si>
  <si>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</si>
  <si>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</si>
  <si>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</si>
  <si>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</si>
  <si>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</si>
  <si>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CP-ESQ-01</t>
  </si>
  <si>
    <t>CP-ESQ-02</t>
  </si>
  <si>
    <t>CP-ESQ-03</t>
  </si>
  <si>
    <t>MURO</t>
  </si>
  <si>
    <t>CP-PIN-02</t>
  </si>
  <si>
    <t>CP-PIN-01</t>
  </si>
  <si>
    <t>PINTURA INTERNA E EXTERNA</t>
  </si>
  <si>
    <t>ESCOLA- INTERNO E SALAS</t>
  </si>
  <si>
    <t>CP-PIS-01</t>
  </si>
  <si>
    <t>CASA DE GÁS</t>
  </si>
  <si>
    <t>CP-GAS-01</t>
  </si>
  <si>
    <t>RADIER</t>
  </si>
  <si>
    <t>FECHAMENTO</t>
  </si>
  <si>
    <t>LAJE</t>
  </si>
  <si>
    <t>CP-GAS-02</t>
  </si>
  <si>
    <t>CP-GAS-03</t>
  </si>
  <si>
    <t>LIMPEZA DE OBRA</t>
  </si>
  <si>
    <t>limpeza geral da obra</t>
  </si>
  <si>
    <t>CP-LP-01</t>
  </si>
  <si>
    <t>QUADROS</t>
  </si>
  <si>
    <t>CP-QUA-01</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</si>
  <si>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</si>
  <si>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</si>
  <si>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</si>
  <si>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</si>
  <si>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</si>
  <si>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</si>
  <si>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</si>
  <si>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</si>
  <si>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</si>
  <si>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</si>
  <si>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</si>
  <si>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</si>
  <si>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</si>
  <si>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</si>
  <si>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</si>
  <si>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</si>
  <si>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</si>
  <si>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</si>
  <si>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</si>
  <si>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</si>
  <si>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</si>
  <si>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</si>
  <si>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</si>
  <si>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</si>
  <si>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</si>
  <si>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</si>
  <si>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</si>
  <si>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</si>
  <si>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</si>
  <si>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</si>
  <si>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</si>
  <si>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</si>
  <si>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</si>
  <si>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</si>
  <si>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</si>
  <si>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</si>
  <si>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</si>
  <si>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</si>
  <si>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</si>
  <si>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</si>
  <si>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</si>
  <si>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</si>
  <si>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</si>
  <si>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</si>
  <si>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</si>
  <si>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</si>
  <si>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</si>
  <si>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</si>
  <si>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</si>
  <si>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</si>
  <si>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</si>
  <si>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</si>
  <si>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</si>
  <si>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</si>
  <si>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</si>
  <si>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</si>
  <si>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</si>
  <si>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</si>
  <si>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</si>
  <si>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</si>
  <si>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</si>
  <si>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</si>
  <si>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</si>
  <si>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</si>
  <si>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</si>
  <si>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</si>
  <si>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</si>
  <si>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</si>
  <si>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</si>
  <si>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</si>
  <si>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</si>
  <si>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</si>
  <si>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</si>
  <si>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</si>
  <si>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</si>
  <si>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</si>
  <si>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</si>
  <si>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</si>
  <si>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</si>
  <si>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</si>
  <si>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</si>
  <si>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</si>
  <si>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</si>
  <si>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</si>
  <si>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</si>
  <si>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</si>
  <si>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</si>
  <si>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</si>
  <si>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</si>
  <si>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</si>
  <si>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</si>
  <si>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</si>
  <si>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</si>
  <si>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</si>
  <si>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</si>
  <si>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</si>
  <si>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</si>
  <si>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</si>
  <si>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</si>
  <si>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</si>
  <si>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</si>
  <si>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</si>
  <si>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</si>
  <si>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</si>
  <si>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</si>
  <si>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</si>
  <si>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</si>
  <si>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</si>
  <si>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</si>
  <si>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</si>
  <si>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</si>
  <si>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</si>
  <si>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</si>
  <si>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</si>
  <si>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</si>
  <si>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</si>
  <si>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</si>
  <si>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</si>
  <si>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</si>
  <si>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</si>
  <si>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</si>
  <si>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</si>
  <si>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</si>
  <si>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</si>
  <si>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</si>
  <si>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</si>
  <si>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</si>
  <si>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</si>
  <si>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</si>
  <si>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</si>
  <si>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</si>
  <si>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</si>
  <si>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</si>
  <si>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</si>
  <si>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</si>
  <si>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</si>
  <si>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</si>
  <si>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</si>
  <si>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</si>
  <si>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</si>
  <si>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</si>
  <si>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</si>
  <si>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</si>
  <si>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</si>
  <si>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</si>
  <si>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</si>
  <si>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</si>
  <si>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</si>
  <si>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</si>
  <si>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</si>
  <si>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lados</t>
  </si>
  <si>
    <t>CP-HID-03</t>
  </si>
  <si>
    <t>4.1.1</t>
  </si>
  <si>
    <t>INFRAESTRUTURA</t>
  </si>
  <si>
    <t>comp(m)</t>
  </si>
  <si>
    <t>larg(m)</t>
  </si>
  <si>
    <t>alt(m)</t>
  </si>
  <si>
    <t>quant ou repetições</t>
  </si>
  <si>
    <t>diam Ø (mm)</t>
  </si>
  <si>
    <t>quant uni</t>
  </si>
  <si>
    <t>kg/m</t>
  </si>
  <si>
    <t>volume escavado(m3)</t>
  </si>
  <si>
    <t xml:space="preserve">SUPERESTRUTURA </t>
  </si>
  <si>
    <t>4.2</t>
  </si>
  <si>
    <t>4.2.1</t>
  </si>
  <si>
    <t>REVESTIMENTO INTERNO E EXTERNO</t>
  </si>
  <si>
    <t>12.0</t>
  </si>
  <si>
    <t>12.1</t>
  </si>
  <si>
    <t>ABRACADEIRA EM ACO PARA AMARRACAO DE ELETRODUTOS, TIPO D, COM 1" E PARAFUSO DE FIXACAO</t>
  </si>
  <si>
    <t>UND</t>
  </si>
  <si>
    <t>NOVA COBERTURA NO CANTEIRO CENTRAL DA ESCOLA</t>
  </si>
  <si>
    <t>12.2</t>
  </si>
  <si>
    <t>12.3</t>
  </si>
  <si>
    <t>13.0</t>
  </si>
  <si>
    <t>13.1</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</si>
  <si>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</si>
  <si>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</si>
  <si>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</si>
  <si>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</si>
  <si>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</si>
  <si>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10.1</t>
  </si>
  <si>
    <t>10.2</t>
  </si>
  <si>
    <t>10.3</t>
  </si>
  <si>
    <t>4.1.2</t>
  </si>
  <si>
    <t>VALOR TOTAL ACUMULADO COM BDI</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</si>
  <si>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</si>
  <si>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</si>
  <si>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</si>
  <si>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</si>
  <si>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</si>
  <si>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</si>
  <si>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</si>
  <si>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</si>
  <si>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</si>
  <si>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</si>
  <si>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</si>
  <si>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</si>
  <si>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</si>
  <si>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</si>
  <si>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</si>
  <si>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</si>
  <si>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</si>
  <si>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</si>
  <si>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</si>
  <si>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</si>
  <si>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</si>
  <si>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</si>
  <si>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</si>
  <si>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</si>
  <si>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</si>
  <si>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</si>
  <si>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</si>
  <si>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</si>
  <si>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</si>
  <si>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</si>
  <si>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</si>
  <si>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</si>
  <si>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</si>
  <si>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</si>
  <si>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</si>
  <si>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</si>
  <si>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</si>
  <si>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</si>
  <si>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</si>
  <si>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</si>
  <si>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</si>
  <si>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</si>
  <si>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</si>
  <si>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</si>
  <si>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</si>
  <si>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</si>
  <si>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</si>
  <si>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</si>
  <si>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</si>
  <si>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</si>
  <si>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</si>
  <si>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</si>
  <si>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</si>
  <si>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</si>
  <si>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</si>
  <si>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</si>
  <si>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</si>
  <si>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</si>
  <si>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</si>
  <si>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</si>
  <si>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</si>
  <si>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</si>
  <si>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</si>
  <si>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</si>
  <si>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</si>
  <si>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</si>
  <si>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</si>
  <si>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</si>
  <si>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</si>
  <si>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</si>
  <si>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</si>
  <si>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</si>
  <si>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</si>
  <si>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</si>
  <si>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</si>
  <si>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</si>
  <si>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</si>
  <si>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</si>
  <si>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</si>
  <si>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</si>
  <si>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</si>
  <si>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</si>
  <si>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</si>
  <si>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</si>
  <si>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</si>
  <si>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</si>
  <si>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</si>
  <si>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</si>
  <si>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</si>
  <si>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</si>
  <si>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</si>
  <si>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</si>
  <si>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</si>
  <si>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</si>
  <si>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</si>
  <si>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</si>
  <si>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</si>
  <si>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</si>
  <si>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</si>
  <si>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</si>
  <si>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</si>
  <si>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</si>
  <si>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</si>
  <si>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</si>
  <si>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</si>
  <si>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</si>
  <si>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</si>
  <si>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</si>
  <si>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</si>
  <si>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</si>
  <si>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</si>
  <si>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</si>
  <si>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</si>
  <si>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</si>
  <si>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</si>
  <si>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</si>
  <si>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</si>
  <si>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</si>
  <si>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</si>
  <si>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</si>
  <si>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</si>
  <si>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</si>
  <si>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</si>
  <si>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</si>
  <si>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</si>
  <si>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</si>
  <si>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</si>
  <si>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</si>
  <si>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</si>
  <si>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</si>
  <si>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</si>
  <si>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</si>
  <si>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</si>
  <si>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</si>
  <si>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</si>
  <si>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</si>
  <si>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</si>
  <si>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</si>
  <si>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</si>
  <si>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</si>
  <si>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</si>
  <si>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</si>
  <si>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</si>
  <si>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</si>
  <si>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</si>
  <si>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</si>
  <si>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</si>
  <si>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</si>
  <si>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</si>
  <si>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</si>
  <si>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</si>
  <si>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</si>
  <si>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</si>
  <si>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</si>
  <si>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</si>
  <si>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</si>
  <si>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</si>
  <si>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</si>
  <si>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</si>
  <si>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</si>
  <si>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</si>
  <si>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</si>
  <si>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</si>
  <si>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</si>
  <si>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</si>
  <si>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</si>
  <si>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</si>
  <si>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</si>
  <si>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</si>
  <si>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</si>
  <si>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</si>
  <si>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</si>
  <si>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</si>
  <si>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</si>
  <si>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</si>
  <si>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</si>
  <si>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</si>
  <si>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</si>
  <si>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</si>
  <si>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</si>
  <si>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</si>
  <si>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</si>
  <si>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</si>
  <si>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</si>
  <si>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</si>
  <si>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</si>
  <si>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</si>
  <si>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</si>
  <si>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</si>
  <si>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</si>
  <si>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</si>
  <si>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</si>
  <si>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</si>
  <si>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</si>
  <si>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</si>
  <si>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</si>
  <si>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</si>
  <si>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</si>
  <si>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</si>
  <si>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</si>
  <si>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</si>
  <si>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</si>
  <si>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</si>
  <si>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</si>
  <si>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</si>
  <si>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</si>
  <si>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</si>
  <si>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</si>
  <si>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</si>
  <si>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</si>
  <si>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</si>
  <si>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</si>
  <si>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</si>
  <si>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</si>
  <si>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</si>
  <si>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</si>
  <si>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</si>
  <si>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</si>
  <si>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</si>
  <si>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</si>
  <si>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</si>
  <si>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</si>
  <si>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</si>
  <si>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</si>
  <si>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</si>
  <si>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</si>
  <si>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</si>
  <si>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</si>
  <si>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</si>
  <si>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</si>
  <si>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</si>
  <si>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</si>
  <si>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</si>
  <si>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</si>
  <si>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</si>
  <si>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</si>
  <si>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</si>
  <si>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</si>
  <si>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</si>
  <si>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</si>
  <si>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</si>
  <si>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</si>
  <si>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</si>
  <si>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</si>
  <si>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</si>
  <si>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</si>
  <si>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</si>
  <si>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</si>
  <si>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</si>
  <si>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</si>
  <si>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</si>
  <si>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</si>
  <si>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</si>
  <si>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</si>
  <si>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</si>
  <si>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</si>
  <si>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</si>
  <si>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</si>
  <si>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</si>
  <si>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</si>
  <si>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</si>
  <si>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</si>
  <si>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</si>
  <si>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</si>
  <si>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</si>
  <si>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</si>
  <si>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</si>
  <si>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</si>
  <si>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</si>
  <si>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</si>
  <si>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</si>
  <si>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</si>
  <si>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</si>
  <si>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</si>
  <si>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</si>
  <si>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</si>
  <si>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</si>
  <si>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</si>
  <si>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</si>
  <si>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</si>
  <si>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</si>
  <si>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</si>
  <si>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</si>
  <si>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</si>
  <si>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</si>
  <si>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</si>
  <si>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</si>
  <si>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</si>
  <si>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</si>
  <si>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</si>
  <si>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</si>
  <si>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</si>
  <si>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</si>
  <si>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</si>
  <si>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</si>
  <si>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</si>
  <si>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</si>
  <si>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</si>
  <si>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</si>
  <si>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</si>
  <si>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</si>
  <si>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</si>
  <si>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</si>
  <si>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</si>
  <si>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</si>
  <si>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</si>
  <si>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</si>
  <si>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</si>
  <si>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</si>
  <si>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</si>
  <si>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</si>
  <si>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</si>
  <si>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</si>
  <si>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</si>
  <si>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</si>
  <si>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</si>
  <si>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</si>
  <si>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</si>
  <si>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</si>
  <si>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</si>
  <si>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</si>
  <si>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</si>
  <si>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</si>
  <si>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</si>
  <si>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</si>
  <si>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</si>
  <si>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</si>
  <si>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</si>
  <si>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</si>
  <si>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</si>
  <si>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</si>
  <si>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</si>
  <si>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</si>
  <si>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</si>
  <si>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</si>
  <si>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</si>
  <si>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</si>
  <si>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</si>
  <si>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</si>
  <si>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</si>
  <si>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</si>
  <si>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</si>
  <si>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</si>
  <si>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</si>
  <si>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</si>
  <si>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</si>
  <si>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</si>
  <si>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</si>
  <si>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</si>
  <si>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</si>
  <si>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</si>
  <si>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</si>
  <si>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</si>
  <si>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</si>
  <si>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</si>
  <si>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</si>
  <si>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</si>
  <si>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</si>
  <si>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</si>
  <si>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</si>
  <si>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</si>
  <si>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</si>
  <si>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</si>
  <si>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</si>
  <si>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</si>
  <si>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</si>
  <si>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</si>
  <si>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</si>
  <si>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</si>
  <si>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</si>
  <si>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</si>
  <si>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</si>
  <si>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</si>
  <si>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</si>
  <si>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</si>
  <si>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</si>
  <si>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</si>
  <si>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</si>
  <si>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</si>
  <si>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</si>
  <si>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</si>
  <si>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</si>
  <si>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</si>
  <si>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</si>
  <si>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</si>
  <si>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</si>
  <si>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</si>
  <si>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</si>
  <si>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</si>
  <si>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</si>
  <si>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</si>
  <si>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</si>
  <si>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</si>
  <si>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</si>
  <si>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</si>
  <si>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</si>
  <si>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</si>
  <si>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</si>
  <si>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</si>
  <si>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</si>
  <si>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</si>
  <si>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</si>
  <si>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</si>
  <si>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</si>
  <si>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</si>
  <si>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</si>
  <si>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</si>
  <si>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</si>
  <si>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</si>
  <si>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</si>
  <si>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</si>
  <si>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</si>
  <si>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</si>
  <si>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</si>
  <si>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</si>
  <si>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</si>
  <si>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</si>
  <si>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</si>
  <si>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</si>
  <si>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</si>
  <si>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</si>
  <si>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</si>
  <si>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</si>
  <si>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</si>
  <si>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</si>
  <si>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</si>
  <si>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</si>
  <si>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</si>
  <si>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</si>
  <si>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</si>
  <si>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</si>
  <si>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</si>
  <si>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</si>
  <si>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</si>
  <si>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</si>
  <si>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</si>
  <si>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</si>
  <si>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</si>
  <si>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</si>
  <si>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</si>
  <si>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</si>
  <si>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</si>
  <si>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</si>
  <si>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</si>
  <si>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</si>
  <si>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</si>
  <si>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</si>
  <si>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</si>
  <si>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</si>
  <si>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</si>
  <si>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</si>
  <si>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</si>
  <si>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</si>
  <si>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</si>
  <si>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</si>
  <si>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</si>
  <si>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</si>
  <si>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</si>
  <si>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</si>
  <si>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</si>
  <si>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</si>
  <si>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</si>
  <si>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</si>
  <si>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</si>
  <si>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</si>
  <si>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</si>
  <si>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</si>
  <si>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</si>
  <si>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</si>
  <si>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</si>
  <si>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</si>
  <si>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</si>
  <si>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</si>
  <si>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</si>
  <si>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</si>
  <si>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</si>
  <si>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</si>
  <si>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</si>
  <si>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</si>
  <si>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</si>
  <si>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</si>
  <si>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</si>
  <si>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</si>
  <si>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</si>
  <si>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</si>
  <si>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</si>
  <si>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</si>
  <si>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</si>
  <si>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</si>
  <si>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</si>
  <si>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</si>
  <si>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</si>
  <si>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</si>
  <si>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</si>
  <si>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</si>
  <si>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</si>
  <si>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</si>
  <si>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</si>
  <si>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</si>
  <si>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</si>
  <si>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</si>
  <si>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</si>
  <si>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</si>
  <si>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</si>
  <si>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</si>
  <si>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</si>
  <si>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</si>
  <si>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</si>
  <si>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</si>
  <si>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</si>
  <si>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</si>
  <si>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</si>
  <si>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</si>
  <si>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</si>
  <si>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</si>
  <si>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</si>
  <si>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</si>
  <si>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</si>
  <si>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</si>
  <si>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</si>
  <si>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</si>
  <si>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</si>
  <si>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</si>
  <si>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</si>
  <si>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</si>
  <si>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</si>
  <si>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</si>
  <si>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</si>
  <si>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</si>
  <si>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</si>
  <si>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</si>
  <si>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</si>
  <si>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</si>
  <si>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</si>
  <si>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</si>
  <si>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</si>
  <si>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</si>
  <si>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</si>
  <si>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</si>
  <si>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</si>
  <si>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</si>
  <si>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</si>
  <si>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</si>
  <si>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</si>
  <si>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</si>
  <si>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</si>
  <si>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</si>
  <si>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</si>
  <si>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</si>
  <si>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</si>
  <si>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</si>
  <si>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</si>
  <si>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</si>
  <si>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</si>
  <si>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</si>
  <si>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</si>
  <si>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</si>
  <si>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</si>
  <si>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</si>
  <si>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</si>
  <si>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</si>
  <si>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</si>
  <si>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</si>
  <si>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</si>
  <si>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</si>
  <si>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</si>
  <si>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</si>
  <si>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</si>
  <si>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</si>
  <si>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</si>
  <si>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</si>
  <si>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</si>
  <si>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</si>
  <si>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</si>
  <si>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</si>
  <si>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</si>
  <si>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</si>
  <si>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</si>
  <si>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</si>
  <si>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</si>
  <si>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</si>
  <si>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</si>
  <si>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</si>
  <si>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</si>
  <si>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</si>
  <si>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</si>
  <si>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</si>
  <si>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</si>
  <si>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</si>
  <si>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</si>
  <si>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</si>
  <si>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</si>
  <si>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</si>
  <si>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</si>
  <si>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</si>
  <si>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</si>
  <si>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</si>
  <si>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</si>
  <si>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</si>
  <si>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</si>
  <si>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</si>
  <si>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</si>
  <si>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</si>
  <si>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</si>
  <si>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</si>
  <si>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</si>
  <si>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</si>
  <si>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</si>
  <si>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</si>
  <si>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</si>
  <si>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</si>
  <si>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</si>
  <si>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</si>
  <si>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</si>
  <si>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</si>
  <si>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</si>
  <si>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</si>
  <si>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</si>
  <si>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</si>
  <si>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</si>
  <si>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</si>
  <si>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</si>
  <si>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</si>
  <si>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</si>
  <si>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</si>
  <si>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</si>
  <si>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</si>
  <si>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</si>
  <si>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</si>
  <si>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</si>
  <si>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</si>
  <si>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</si>
  <si>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</si>
  <si>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</si>
  <si>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</si>
  <si>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</si>
  <si>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</si>
  <si>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</si>
  <si>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</si>
  <si>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</si>
  <si>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</si>
  <si>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</si>
  <si>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</si>
  <si>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</si>
  <si>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</si>
  <si>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</si>
  <si>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</si>
  <si>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</si>
  <si>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</si>
  <si>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</si>
  <si>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</si>
  <si>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</si>
  <si>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</si>
  <si>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</si>
  <si>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</si>
  <si>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</si>
  <si>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</si>
  <si>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</si>
  <si>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</si>
  <si>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</si>
  <si>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</si>
  <si>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</si>
  <si>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</si>
  <si>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</si>
  <si>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</si>
  <si>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</si>
  <si>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</si>
  <si>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</si>
  <si>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</si>
  <si>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</si>
  <si>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</si>
  <si>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</si>
  <si>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</si>
  <si>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</si>
  <si>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</si>
  <si>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</si>
  <si>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</si>
  <si>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</si>
  <si>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</si>
  <si>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</si>
  <si>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</si>
  <si>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</si>
  <si>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</si>
  <si>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</si>
  <si>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</si>
  <si>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</si>
  <si>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</si>
  <si>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</si>
  <si>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</si>
  <si>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</si>
  <si>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</si>
  <si>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</si>
  <si>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</si>
  <si>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</si>
  <si>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</si>
  <si>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</si>
  <si>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</si>
  <si>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</si>
  <si>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</si>
  <si>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</si>
  <si>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</si>
  <si>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</si>
  <si>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</si>
  <si>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</si>
  <si>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</si>
  <si>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</si>
  <si>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</si>
  <si>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</si>
  <si>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</si>
  <si>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</si>
  <si>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</si>
  <si>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</si>
  <si>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</si>
  <si>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</si>
  <si>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</si>
  <si>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</si>
  <si>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</si>
  <si>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</si>
  <si>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</si>
  <si>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</si>
  <si>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</si>
  <si>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</si>
  <si>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</si>
  <si>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</si>
  <si>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</si>
  <si>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</si>
  <si>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</si>
  <si>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</si>
  <si>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</si>
  <si>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</si>
  <si>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</si>
  <si>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</si>
  <si>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</si>
  <si>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</si>
  <si>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</si>
  <si>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</si>
  <si>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</si>
  <si>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</si>
  <si>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</si>
  <si>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</si>
  <si>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</si>
  <si>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</si>
  <si>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</si>
  <si>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</si>
  <si>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</si>
  <si>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</si>
  <si>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</si>
  <si>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</si>
  <si>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</si>
  <si>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</si>
  <si>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</si>
  <si>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</si>
  <si>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</si>
  <si>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</si>
  <si>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</si>
  <si>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</si>
  <si>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</si>
  <si>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</si>
  <si>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</si>
  <si>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</si>
  <si>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</si>
  <si>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</si>
  <si>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</si>
  <si>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</si>
  <si>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</si>
  <si>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</si>
  <si>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</si>
  <si>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</si>
  <si>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</si>
  <si>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</si>
  <si>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</si>
  <si>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</si>
  <si>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</si>
  <si>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</si>
  <si>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</si>
  <si>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</si>
  <si>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</si>
  <si>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</si>
  <si>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</si>
  <si>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</si>
  <si>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</si>
  <si>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</si>
  <si>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</si>
  <si>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</si>
  <si>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</si>
  <si>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</si>
  <si>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</si>
  <si>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</si>
  <si>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</si>
  <si>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</si>
  <si>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</si>
  <si>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</si>
  <si>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</si>
  <si>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</si>
  <si>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</si>
  <si>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</si>
  <si>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</si>
  <si>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</si>
  <si>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</si>
  <si>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</si>
  <si>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</si>
  <si>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</si>
  <si>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</si>
  <si>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</si>
  <si>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</si>
  <si>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</si>
  <si>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</si>
  <si>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</si>
  <si>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</si>
  <si>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</si>
  <si>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</si>
  <si>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</si>
  <si>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</si>
  <si>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</si>
  <si>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</si>
  <si>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</si>
  <si>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</si>
  <si>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</si>
  <si>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</si>
  <si>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</si>
  <si>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</si>
  <si>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</si>
  <si>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</si>
  <si>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</si>
  <si>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</si>
  <si>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</si>
  <si>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</si>
  <si>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</si>
  <si>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</si>
  <si>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</si>
  <si>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</si>
  <si>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</si>
  <si>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</si>
  <si>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</si>
  <si>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</si>
  <si>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</si>
  <si>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</si>
  <si>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</si>
  <si>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</si>
  <si>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</si>
  <si>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</si>
  <si>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</si>
  <si>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</si>
  <si>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</si>
  <si>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</si>
  <si>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</si>
  <si>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</si>
  <si>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</si>
  <si>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</si>
  <si>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</si>
  <si>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</si>
  <si>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</si>
  <si>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</si>
  <si>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</si>
  <si>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</si>
  <si>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</si>
  <si>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</si>
  <si>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</si>
  <si>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</si>
  <si>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</si>
  <si>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</si>
  <si>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</si>
  <si>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</si>
  <si>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</si>
  <si>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</si>
  <si>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</si>
  <si>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</si>
  <si>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</si>
  <si>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</si>
  <si>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</si>
  <si>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</si>
  <si>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</si>
  <si>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</si>
  <si>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</si>
  <si>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</si>
  <si>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</si>
  <si>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</si>
  <si>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</si>
  <si>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</si>
  <si>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</si>
  <si>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</si>
  <si>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</si>
  <si>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</si>
  <si>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</si>
  <si>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</si>
  <si>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</si>
  <si>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</si>
  <si>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</si>
  <si>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</si>
  <si>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</si>
  <si>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</si>
  <si>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</si>
  <si>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</si>
  <si>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</si>
  <si>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</si>
  <si>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</si>
  <si>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</si>
  <si>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</si>
  <si>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</si>
  <si>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</si>
  <si>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</si>
  <si>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</si>
  <si>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</si>
  <si>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</si>
  <si>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</si>
  <si>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</si>
  <si>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</si>
  <si>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</si>
  <si>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</si>
  <si>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</si>
  <si>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</si>
  <si>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</si>
  <si>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</si>
  <si>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</si>
  <si>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</si>
  <si>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</si>
  <si>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</si>
  <si>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</si>
  <si>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</si>
  <si>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</si>
  <si>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</si>
  <si>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</si>
  <si>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</si>
  <si>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</si>
  <si>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</si>
  <si>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</si>
  <si>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</si>
  <si>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</si>
  <si>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</si>
  <si>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</si>
  <si>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</si>
  <si>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</si>
  <si>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</si>
  <si>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</si>
  <si>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</si>
  <si>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</si>
  <si>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</si>
  <si>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</si>
  <si>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</si>
  <si>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</si>
  <si>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</si>
  <si>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</si>
  <si>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</si>
  <si>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</si>
  <si>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</si>
  <si>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</si>
  <si>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</si>
  <si>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</si>
  <si>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</si>
  <si>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</si>
  <si>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</si>
  <si>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</si>
  <si>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</si>
  <si>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</si>
  <si>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</si>
  <si>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</si>
  <si>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</si>
  <si>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</si>
  <si>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</si>
  <si>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</si>
  <si>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</si>
  <si>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</si>
  <si>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</si>
  <si>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</si>
  <si>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</si>
  <si>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</si>
  <si>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</si>
  <si>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</si>
  <si>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</si>
  <si>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</si>
  <si>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</si>
  <si>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</si>
  <si>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</si>
  <si>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</si>
  <si>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</si>
  <si>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</si>
  <si>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</si>
  <si>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</si>
  <si>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</si>
  <si>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</si>
  <si>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</si>
  <si>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</si>
  <si>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</si>
  <si>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</si>
  <si>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</si>
  <si>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</si>
  <si>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</si>
  <si>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</si>
  <si>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</si>
  <si>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</si>
  <si>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</si>
  <si>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</si>
  <si>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</si>
  <si>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</si>
  <si>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</si>
  <si>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</si>
  <si>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</si>
  <si>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</si>
  <si>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</si>
  <si>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</si>
  <si>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</si>
  <si>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</si>
  <si>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</si>
  <si>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</si>
  <si>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</si>
  <si>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</si>
  <si>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</si>
  <si>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</si>
  <si>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</si>
  <si>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</si>
  <si>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</si>
  <si>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</si>
  <si>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</si>
  <si>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</si>
  <si>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</si>
  <si>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</si>
  <si>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</si>
  <si>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</si>
  <si>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</si>
  <si>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</si>
  <si>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</si>
  <si>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</si>
  <si>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</si>
  <si>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</si>
  <si>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</si>
  <si>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</si>
  <si>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</si>
  <si>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</si>
  <si>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</si>
  <si>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</si>
  <si>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</si>
  <si>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</si>
  <si>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</si>
  <si>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</si>
  <si>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</si>
  <si>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</si>
  <si>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</si>
  <si>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</si>
  <si>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</si>
  <si>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</si>
  <si>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</si>
  <si>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</si>
  <si>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</si>
  <si>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</si>
  <si>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</si>
  <si>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</si>
  <si>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</si>
  <si>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</si>
  <si>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</si>
  <si>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</si>
  <si>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</si>
  <si>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</si>
  <si>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</si>
  <si>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</si>
  <si>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</si>
  <si>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</si>
  <si>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</si>
  <si>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</si>
  <si>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</si>
  <si>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</si>
  <si>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</si>
  <si>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</si>
  <si>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</si>
  <si>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</si>
  <si>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</si>
  <si>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</si>
  <si>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</si>
  <si>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</si>
  <si>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</si>
  <si>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</si>
  <si>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</si>
  <si>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</si>
  <si>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</si>
  <si>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</si>
  <si>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</si>
  <si>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</si>
  <si>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</si>
  <si>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</si>
  <si>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</si>
  <si>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</si>
  <si>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</si>
  <si>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</si>
  <si>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</si>
  <si>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</si>
  <si>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</si>
  <si>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</si>
  <si>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</si>
  <si>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</si>
  <si>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</si>
  <si>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</si>
  <si>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</si>
  <si>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</si>
  <si>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</si>
  <si>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</si>
  <si>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</si>
  <si>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</si>
  <si>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</si>
  <si>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</si>
  <si>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</si>
  <si>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</si>
  <si>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</si>
  <si>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</si>
  <si>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</si>
  <si>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</si>
  <si>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</si>
  <si>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</si>
  <si>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</si>
  <si>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</si>
  <si>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</si>
  <si>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</si>
  <si>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</si>
  <si>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</si>
  <si>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</si>
  <si>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</si>
  <si>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</si>
  <si>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</si>
  <si>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</si>
  <si>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</si>
  <si>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</si>
  <si>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</si>
  <si>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</si>
  <si>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</si>
  <si>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</si>
  <si>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</si>
  <si>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</si>
  <si>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</si>
  <si>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</si>
  <si>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</si>
  <si>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</si>
  <si>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</si>
  <si>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</si>
  <si>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</si>
  <si>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</si>
  <si>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</si>
  <si>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</si>
  <si>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</si>
  <si>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</si>
  <si>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</si>
  <si>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</si>
  <si>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</si>
  <si>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</si>
  <si>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</si>
  <si>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</si>
  <si>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</si>
  <si>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</si>
  <si>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</si>
  <si>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</si>
  <si>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</si>
  <si>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</si>
  <si>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</si>
  <si>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</si>
  <si>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</si>
  <si>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</si>
  <si>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</si>
  <si>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</si>
  <si>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</si>
  <si>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</si>
  <si>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</si>
  <si>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</si>
  <si>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</si>
  <si>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</si>
  <si>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</si>
  <si>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</si>
  <si>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</si>
  <si>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</si>
  <si>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</si>
  <si>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</si>
  <si>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</si>
  <si>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</si>
  <si>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</si>
  <si>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</si>
  <si>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</si>
  <si>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</si>
  <si>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</si>
  <si>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</si>
  <si>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</si>
  <si>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</si>
  <si>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</si>
  <si>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</si>
  <si>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</si>
  <si>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</si>
  <si>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</si>
  <si>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</si>
  <si>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</si>
  <si>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</si>
  <si>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</si>
  <si>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</si>
  <si>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</si>
  <si>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</si>
  <si>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</si>
  <si>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</si>
  <si>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</si>
  <si>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</si>
  <si>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</si>
  <si>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</si>
  <si>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</si>
  <si>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</si>
  <si>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</si>
  <si>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</si>
  <si>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</si>
  <si>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</si>
  <si>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</si>
  <si>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</si>
  <si>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</si>
  <si>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</si>
  <si>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</si>
  <si>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</si>
  <si>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</si>
  <si>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</si>
  <si>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</si>
  <si>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</si>
  <si>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</si>
  <si>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</si>
  <si>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</si>
  <si>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</si>
  <si>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</si>
  <si>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</si>
  <si>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</si>
  <si>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</si>
  <si>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</si>
  <si>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</si>
  <si>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</si>
  <si>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</si>
  <si>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</si>
  <si>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</si>
  <si>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</si>
  <si>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</si>
  <si>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</si>
  <si>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</si>
  <si>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</si>
  <si>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</si>
  <si>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</si>
  <si>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</si>
  <si>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</si>
  <si>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</si>
  <si>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</si>
  <si>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</si>
  <si>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</si>
  <si>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</si>
  <si>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</si>
  <si>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</si>
  <si>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</si>
  <si>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</si>
  <si>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</si>
  <si>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</si>
  <si>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</si>
  <si>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</si>
  <si>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</si>
  <si>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</si>
  <si>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</si>
  <si>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</si>
  <si>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</si>
  <si>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</si>
  <si>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</si>
  <si>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</si>
  <si>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</si>
  <si>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REGUALADOR DE 1º ESTÁGIO PARA 10KG</t>
  </si>
  <si>
    <t>CP-IP-02</t>
  </si>
  <si>
    <t>5.1.1</t>
  </si>
  <si>
    <t>5.1.2</t>
  </si>
  <si>
    <t>5.2.1</t>
  </si>
  <si>
    <t>5.2.2</t>
  </si>
  <si>
    <t>6.2</t>
  </si>
  <si>
    <t>8.5</t>
  </si>
  <si>
    <t>8.6</t>
  </si>
  <si>
    <t>8.8</t>
  </si>
  <si>
    <t>11.2</t>
  </si>
  <si>
    <t>11.3</t>
  </si>
  <si>
    <t>13.1.1</t>
  </si>
  <si>
    <t>13.1.2</t>
  </si>
  <si>
    <t>13.1.3</t>
  </si>
  <si>
    <t>14.0</t>
  </si>
  <si>
    <t>14.1</t>
  </si>
  <si>
    <t>14.2</t>
  </si>
  <si>
    <t>15.0</t>
  </si>
  <si>
    <t>15.1</t>
  </si>
  <si>
    <t>PLACA DE OBRA EM CHAPA DE AÇO GALVANIZADO</t>
  </si>
  <si>
    <t xml:space="preserve">INSTALAÇÕES SANITÁRIAS  </t>
  </si>
  <si>
    <t>INSTALAÇÕES HIDRAÚLICAS</t>
  </si>
  <si>
    <t xml:space="preserve"> LOUÇAS E METÁIS </t>
  </si>
  <si>
    <t>SITEMA DE PROTEÇÃO (SPDA)</t>
  </si>
  <si>
    <t>1.4</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</si>
  <si>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</si>
  <si>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</si>
  <si>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</si>
  <si>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</si>
  <si>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</si>
  <si>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</si>
  <si>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</si>
  <si>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</si>
  <si>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</si>
  <si>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</si>
  <si>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</si>
  <si>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</si>
  <si>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</si>
  <si>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</si>
  <si>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</si>
  <si>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</si>
  <si>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</si>
  <si>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</si>
  <si>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</si>
  <si>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</si>
  <si>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</si>
  <si>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</si>
  <si>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</si>
  <si>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</si>
  <si>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</si>
  <si>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</si>
  <si>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</si>
  <si>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</si>
  <si>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</si>
  <si>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</si>
  <si>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</si>
  <si>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</si>
  <si>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</si>
  <si>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</si>
  <si>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</si>
  <si>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</si>
  <si>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</si>
  <si>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</si>
  <si>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</si>
  <si>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</si>
  <si>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</si>
  <si>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</si>
  <si>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</si>
  <si>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</si>
  <si>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</si>
  <si>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</si>
  <si>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</si>
  <si>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</si>
  <si>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</si>
  <si>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</si>
  <si>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</si>
  <si>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</si>
  <si>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</si>
  <si>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</si>
  <si>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</si>
  <si>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</si>
  <si>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</si>
  <si>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</si>
  <si>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</si>
  <si>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</si>
  <si>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</si>
  <si>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</si>
  <si>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</si>
  <si>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</si>
  <si>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</si>
  <si>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</si>
  <si>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</si>
  <si>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</si>
  <si>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</si>
  <si>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</si>
  <si>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</si>
  <si>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</si>
  <si>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</si>
  <si>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</si>
  <si>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</si>
  <si>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</si>
  <si>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</si>
  <si>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</si>
  <si>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</si>
  <si>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</si>
  <si>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</si>
  <si>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</si>
  <si>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</si>
  <si>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</si>
  <si>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</si>
  <si>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</si>
  <si>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</si>
  <si>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</si>
  <si>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</si>
  <si>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</si>
  <si>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</si>
  <si>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</si>
  <si>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</si>
  <si>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</si>
  <si>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</si>
  <si>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</si>
  <si>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</si>
  <si>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</si>
  <si>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</si>
  <si>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</si>
  <si>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</si>
  <si>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</si>
  <si>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</si>
  <si>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</si>
  <si>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</si>
  <si>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</si>
  <si>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</si>
  <si>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</si>
  <si>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</si>
  <si>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</si>
  <si>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</si>
  <si>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</si>
  <si>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</si>
  <si>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</si>
  <si>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</si>
  <si>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</si>
  <si>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</si>
  <si>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</si>
  <si>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</si>
  <si>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</si>
  <si>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</si>
  <si>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</si>
  <si>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</si>
  <si>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</si>
  <si>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</si>
  <si>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</si>
  <si>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</si>
  <si>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</si>
  <si>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</si>
  <si>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</si>
  <si>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</si>
  <si>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</si>
  <si>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</si>
  <si>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</si>
  <si>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</si>
  <si>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</si>
  <si>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</si>
  <si>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</si>
  <si>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</si>
  <si>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</si>
  <si>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</si>
  <si>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</si>
  <si>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</si>
  <si>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</si>
  <si>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</si>
  <si>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</si>
  <si>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</si>
  <si>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</si>
  <si>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</si>
  <si>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</si>
  <si>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</si>
  <si>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</si>
  <si>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</si>
  <si>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</si>
  <si>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</si>
  <si>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</si>
  <si>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</si>
  <si>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</si>
  <si>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</si>
  <si>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</si>
  <si>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</si>
  <si>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</si>
  <si>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</si>
  <si>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</si>
  <si>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</si>
  <si>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</si>
  <si>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</si>
  <si>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</si>
  <si>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</si>
  <si>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</si>
  <si>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</si>
  <si>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</si>
  <si>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</si>
  <si>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</si>
  <si>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</si>
  <si>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</si>
  <si>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</si>
  <si>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</si>
  <si>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</si>
  <si>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</si>
  <si>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</si>
  <si>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</si>
  <si>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</si>
  <si>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</si>
  <si>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</si>
  <si>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</si>
  <si>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</si>
  <si>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</si>
  <si>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</si>
  <si>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</si>
  <si>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</si>
  <si>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</si>
  <si>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</si>
  <si>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</si>
  <si>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</si>
  <si>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</si>
  <si>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</si>
  <si>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</si>
  <si>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</si>
  <si>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</si>
  <si>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</si>
  <si>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</si>
  <si>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</si>
  <si>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</si>
  <si>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</si>
  <si>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</si>
  <si>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</si>
  <si>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</si>
  <si>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</si>
  <si>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</si>
  <si>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</si>
  <si>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</si>
  <si>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</si>
  <si>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</si>
  <si>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</si>
  <si>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</si>
  <si>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</si>
  <si>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</si>
  <si>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</si>
  <si>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</si>
  <si>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</si>
  <si>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</si>
  <si>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</si>
  <si>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</si>
  <si>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</si>
  <si>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</si>
  <si>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</si>
  <si>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</si>
  <si>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</si>
  <si>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</si>
  <si>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</si>
  <si>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</si>
  <si>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</si>
  <si>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</si>
  <si>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</si>
  <si>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</si>
  <si>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</si>
  <si>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</si>
  <si>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</si>
  <si>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</si>
  <si>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</si>
  <si>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</si>
  <si>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</si>
  <si>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</si>
  <si>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</si>
  <si>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</si>
  <si>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</si>
  <si>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</si>
  <si>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</si>
  <si>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</si>
  <si>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</si>
  <si>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</si>
  <si>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</si>
  <si>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</si>
  <si>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</si>
  <si>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</si>
  <si>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</si>
  <si>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</si>
  <si>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</si>
  <si>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</si>
  <si>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</si>
  <si>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</si>
  <si>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</si>
  <si>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</si>
  <si>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</si>
  <si>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</si>
  <si>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</si>
  <si>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</si>
  <si>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</si>
  <si>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</si>
  <si>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</si>
  <si>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</si>
  <si>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</si>
  <si>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</si>
  <si>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</si>
  <si>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</si>
  <si>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</si>
  <si>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</si>
  <si>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</si>
  <si>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</si>
  <si>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</si>
  <si>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</si>
  <si>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</si>
  <si>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</si>
  <si>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</si>
  <si>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</si>
  <si>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</si>
  <si>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</si>
  <si>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</si>
  <si>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</si>
  <si>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</si>
  <si>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</si>
  <si>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</si>
  <si>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</si>
  <si>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</si>
  <si>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</si>
  <si>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</si>
  <si>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</si>
  <si>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</si>
  <si>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</si>
  <si>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</si>
  <si>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</si>
  <si>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</si>
  <si>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</si>
  <si>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</si>
  <si>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</si>
  <si>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</si>
  <si>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</si>
  <si>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</si>
  <si>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</si>
  <si>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</si>
  <si>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</si>
  <si>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</si>
  <si>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</si>
  <si>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</si>
  <si>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</si>
  <si>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</si>
  <si>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</si>
  <si>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</si>
  <si>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</si>
  <si>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</si>
  <si>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</si>
  <si>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</si>
  <si>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</si>
  <si>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</si>
  <si>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</si>
  <si>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</si>
  <si>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</si>
  <si>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</si>
  <si>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</si>
  <si>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</si>
  <si>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</si>
  <si>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</si>
  <si>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</si>
  <si>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</si>
  <si>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</si>
  <si>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</si>
  <si>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</si>
  <si>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</si>
  <si>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</si>
  <si>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</si>
  <si>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</si>
  <si>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</si>
  <si>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</si>
  <si>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</si>
  <si>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</si>
  <si>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</si>
  <si>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</si>
  <si>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</si>
  <si>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</si>
  <si>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</si>
  <si>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</si>
  <si>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</si>
  <si>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</si>
  <si>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</si>
  <si>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</si>
  <si>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</si>
  <si>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</si>
  <si>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</si>
  <si>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</si>
  <si>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</si>
  <si>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</si>
  <si>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</si>
  <si>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</si>
  <si>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</si>
  <si>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</si>
  <si>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</si>
  <si>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</si>
  <si>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</si>
  <si>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</si>
  <si>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</si>
  <si>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</si>
  <si>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</si>
  <si>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</si>
  <si>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</si>
  <si>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</si>
  <si>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</si>
  <si>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</si>
  <si>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 xml:space="preserve">LIMPEZA DE ESQUADRIAS COM PANO ÚMIDO </t>
  </si>
  <si>
    <t>ESGOTAMENTO, DEMOLIÇÃO E RETIRADA DE FOSSA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</si>
  <si>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</si>
  <si>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</si>
  <si>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</si>
  <si>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</si>
  <si>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</si>
  <si>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</si>
  <si>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</si>
  <si>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</si>
  <si>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</si>
  <si>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</si>
  <si>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</si>
  <si>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</si>
  <si>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</si>
  <si>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</si>
  <si>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</si>
  <si>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</si>
  <si>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</si>
  <si>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</si>
  <si>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</si>
  <si>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</si>
  <si>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</si>
  <si>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</si>
  <si>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</si>
  <si>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</si>
  <si>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</si>
  <si>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</si>
  <si>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</si>
  <si>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</si>
  <si>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</si>
  <si>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</si>
  <si>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</si>
  <si>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</si>
  <si>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</si>
  <si>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</si>
  <si>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</si>
  <si>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</si>
  <si>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</si>
  <si>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</si>
  <si>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</si>
  <si>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</si>
  <si>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</si>
  <si>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</si>
  <si>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</si>
  <si>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</si>
  <si>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</si>
  <si>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</si>
  <si>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</si>
  <si>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</si>
  <si>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</si>
  <si>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</si>
  <si>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</si>
  <si>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</si>
  <si>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</si>
  <si>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</si>
  <si>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</si>
  <si>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</si>
  <si>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</si>
  <si>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</si>
  <si>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</si>
  <si>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</si>
  <si>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</si>
  <si>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</si>
  <si>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</si>
  <si>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</si>
  <si>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</si>
  <si>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</si>
  <si>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</si>
  <si>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</si>
  <si>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</si>
  <si>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</si>
  <si>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</si>
  <si>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</si>
  <si>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</si>
  <si>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</si>
  <si>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</si>
  <si>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</si>
  <si>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</si>
  <si>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</si>
  <si>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</si>
  <si>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</si>
  <si>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</si>
  <si>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</si>
  <si>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</si>
  <si>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</si>
  <si>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</si>
  <si>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</si>
  <si>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</si>
  <si>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</si>
  <si>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</si>
  <si>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</si>
  <si>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</si>
  <si>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</si>
  <si>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</si>
  <si>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</si>
  <si>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</si>
  <si>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</si>
  <si>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</si>
  <si>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</si>
  <si>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</si>
  <si>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</si>
  <si>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</si>
  <si>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</si>
  <si>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</si>
  <si>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</si>
  <si>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</si>
  <si>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</si>
  <si>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</si>
  <si>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</si>
  <si>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</si>
  <si>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</si>
  <si>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</si>
  <si>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</si>
  <si>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</si>
  <si>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</si>
  <si>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</si>
  <si>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</si>
  <si>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</si>
  <si>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</si>
  <si>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</si>
  <si>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</si>
  <si>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</si>
  <si>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</si>
  <si>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</si>
  <si>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</si>
  <si>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</si>
  <si>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</si>
  <si>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</si>
  <si>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</si>
  <si>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</si>
  <si>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</si>
  <si>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</si>
  <si>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</si>
  <si>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CP-REV-01</t>
  </si>
  <si>
    <t>16.0</t>
  </si>
  <si>
    <t>16.1</t>
  </si>
  <si>
    <t>16.2</t>
  </si>
  <si>
    <t>16.3</t>
  </si>
  <si>
    <t>15.2</t>
  </si>
  <si>
    <t>15.3</t>
  </si>
  <si>
    <t>PORTAS 0.90</t>
  </si>
  <si>
    <t>16.4</t>
  </si>
  <si>
    <t>16.5</t>
  </si>
  <si>
    <t>17.0</t>
  </si>
  <si>
    <t>17.1</t>
  </si>
  <si>
    <t>17.2</t>
  </si>
  <si>
    <t>17.3</t>
  </si>
  <si>
    <t>17.4</t>
  </si>
  <si>
    <t>17.5</t>
  </si>
  <si>
    <t>17.6</t>
  </si>
  <si>
    <t>18.0</t>
  </si>
  <si>
    <t>18.1</t>
  </si>
  <si>
    <t>18.2</t>
  </si>
  <si>
    <t>19.0</t>
  </si>
  <si>
    <t>19.1</t>
  </si>
  <si>
    <t>19.2</t>
  </si>
  <si>
    <t>19.3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</si>
  <si>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</si>
  <si>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</si>
  <si>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</si>
  <si>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</si>
  <si>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</si>
  <si>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</si>
  <si>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</si>
  <si>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</si>
  <si>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</si>
  <si>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</si>
  <si>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</si>
  <si>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</si>
  <si>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</si>
  <si>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</si>
  <si>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</si>
  <si>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</si>
  <si>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</si>
  <si>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</si>
  <si>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</si>
  <si>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</si>
  <si>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</si>
  <si>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</si>
  <si>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</si>
  <si>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</si>
  <si>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</si>
  <si>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</si>
  <si>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</si>
  <si>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</si>
  <si>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</si>
  <si>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</si>
  <si>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</si>
  <si>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</si>
  <si>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</si>
  <si>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</si>
  <si>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</si>
  <si>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</si>
  <si>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</si>
  <si>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</si>
  <si>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</si>
  <si>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</si>
  <si>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</si>
  <si>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</si>
  <si>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</si>
  <si>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</si>
  <si>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</si>
  <si>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</si>
  <si>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</si>
  <si>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</si>
  <si>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</si>
  <si>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</si>
  <si>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</si>
  <si>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</si>
  <si>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</si>
  <si>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</si>
  <si>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</si>
  <si>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</si>
  <si>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</si>
  <si>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</si>
  <si>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</si>
  <si>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</si>
  <si>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</si>
  <si>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</si>
  <si>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</si>
  <si>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</si>
  <si>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</si>
  <si>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</si>
  <si>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</si>
  <si>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</si>
  <si>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</si>
  <si>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</si>
  <si>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</si>
  <si>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</si>
  <si>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</si>
  <si>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</si>
  <si>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</si>
  <si>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</si>
  <si>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</si>
  <si>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</si>
  <si>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</si>
  <si>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</si>
  <si>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</si>
  <si>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</si>
  <si>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</si>
  <si>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</si>
  <si>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</si>
  <si>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</si>
  <si>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</si>
  <si>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</si>
  <si>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</si>
  <si>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</si>
  <si>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</si>
  <si>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</si>
  <si>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</si>
  <si>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</si>
  <si>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</si>
  <si>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</si>
  <si>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</si>
  <si>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</si>
  <si>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</si>
  <si>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</si>
  <si>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</si>
  <si>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</si>
  <si>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</si>
  <si>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</si>
  <si>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</si>
  <si>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</si>
  <si>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</si>
  <si>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</si>
  <si>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</si>
  <si>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</si>
  <si>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</si>
  <si>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</si>
  <si>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</si>
  <si>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</si>
  <si>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</si>
  <si>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</si>
  <si>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</si>
  <si>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</si>
  <si>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</si>
  <si>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</si>
  <si>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</si>
  <si>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</si>
  <si>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</si>
  <si>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</si>
  <si>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</si>
  <si>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</si>
  <si>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</si>
  <si>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</si>
  <si>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</si>
  <si>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</si>
  <si>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</si>
  <si>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</si>
  <si>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</si>
  <si>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</si>
  <si>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</si>
  <si>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</si>
  <si>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</si>
  <si>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</si>
  <si>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</si>
  <si>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</si>
  <si>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</si>
  <si>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</si>
  <si>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</si>
  <si>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</si>
  <si>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</si>
  <si>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</si>
  <si>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</si>
  <si>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</si>
  <si>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</si>
  <si>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</si>
  <si>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</si>
  <si>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</si>
  <si>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</si>
  <si>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</si>
  <si>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</si>
  <si>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</si>
  <si>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</si>
  <si>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</si>
  <si>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</si>
  <si>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</si>
  <si>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</si>
  <si>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</si>
  <si>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</si>
  <si>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</si>
  <si>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</si>
  <si>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</si>
  <si>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</si>
  <si>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</si>
  <si>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</si>
  <si>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</si>
  <si>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</si>
  <si>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</si>
  <si>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</si>
  <si>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</si>
  <si>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</si>
  <si>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</si>
  <si>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</si>
  <si>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</si>
  <si>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</si>
  <si>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</si>
  <si>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</si>
  <si>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</si>
  <si>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</si>
  <si>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</si>
  <si>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</si>
  <si>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</si>
  <si>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</si>
  <si>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</si>
  <si>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</si>
  <si>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</si>
  <si>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</si>
  <si>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</si>
  <si>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</si>
  <si>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</si>
  <si>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</si>
  <si>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</si>
  <si>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</si>
  <si>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</si>
  <si>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</si>
  <si>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</si>
  <si>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</si>
  <si>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</si>
  <si>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</si>
  <si>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</si>
  <si>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</si>
  <si>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</si>
  <si>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</si>
  <si>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</si>
  <si>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</si>
  <si>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</si>
  <si>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</si>
  <si>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</si>
  <si>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</si>
  <si>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</si>
  <si>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</si>
  <si>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</si>
  <si>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</si>
  <si>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</si>
  <si>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</si>
  <si>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</si>
  <si>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</si>
  <si>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</si>
  <si>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</si>
  <si>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</si>
  <si>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</si>
  <si>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</si>
  <si>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</si>
  <si>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</si>
  <si>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</si>
  <si>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</si>
  <si>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</si>
  <si>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</si>
  <si>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</si>
  <si>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</si>
  <si>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</si>
  <si>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</si>
  <si>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</si>
  <si>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</si>
  <si>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</si>
  <si>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</si>
  <si>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</si>
  <si>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</si>
  <si>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</si>
  <si>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</si>
  <si>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</si>
  <si>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</si>
  <si>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</si>
  <si>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</si>
  <si>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</si>
  <si>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</si>
  <si>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</si>
  <si>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</si>
  <si>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</si>
  <si>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</si>
  <si>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</si>
  <si>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</si>
  <si>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</si>
  <si>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</si>
  <si>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</si>
  <si>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</si>
  <si>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</si>
  <si>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</si>
  <si>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</si>
  <si>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</si>
  <si>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</si>
  <si>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</si>
  <si>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</si>
  <si>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</si>
  <si>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</si>
  <si>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</si>
  <si>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</si>
  <si>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</si>
  <si>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</si>
  <si>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</si>
  <si>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</si>
  <si>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</si>
  <si>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</si>
  <si>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</si>
  <si>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</si>
  <si>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</si>
  <si>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</si>
  <si>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</si>
  <si>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</si>
  <si>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</si>
  <si>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</si>
  <si>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</si>
  <si>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</si>
  <si>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</si>
  <si>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</si>
  <si>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</si>
  <si>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</si>
  <si>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</si>
  <si>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</si>
  <si>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</si>
  <si>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</si>
  <si>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</si>
  <si>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</si>
  <si>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</si>
  <si>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</si>
  <si>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</si>
  <si>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</si>
  <si>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</si>
  <si>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</si>
  <si>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</si>
  <si>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</si>
  <si>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</si>
  <si>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</si>
  <si>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</si>
  <si>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</si>
  <si>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</si>
  <si>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</si>
  <si>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</si>
  <si>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</si>
  <si>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</si>
  <si>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</si>
  <si>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</si>
  <si>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</si>
  <si>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</si>
  <si>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</si>
  <si>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</si>
  <si>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</si>
  <si>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</si>
  <si>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</si>
  <si>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</si>
  <si>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</si>
  <si>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</si>
  <si>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</si>
  <si>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</si>
  <si>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</si>
  <si>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</si>
  <si>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</si>
  <si>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</si>
  <si>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</si>
  <si>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</si>
  <si>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</si>
  <si>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</si>
  <si>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</si>
  <si>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</si>
  <si>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</si>
  <si>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</si>
  <si>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</si>
  <si>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</si>
  <si>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</si>
  <si>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</si>
  <si>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</si>
  <si>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</si>
  <si>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</si>
  <si>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</si>
  <si>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</si>
  <si>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</si>
  <si>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</si>
  <si>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</si>
  <si>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</si>
  <si>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</si>
  <si>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</si>
  <si>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</si>
  <si>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</si>
  <si>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</si>
  <si>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</si>
  <si>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</si>
  <si>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</si>
  <si>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</si>
  <si>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</si>
  <si>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</si>
  <si>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</si>
  <si>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</si>
  <si>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</si>
  <si>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</si>
  <si>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</si>
  <si>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</si>
  <si>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</si>
  <si>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</si>
  <si>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</si>
  <si>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</si>
  <si>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</si>
  <si>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</si>
  <si>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</si>
  <si>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</si>
  <si>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</si>
  <si>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</si>
  <si>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</si>
  <si>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</si>
  <si>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</si>
  <si>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</si>
  <si>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</si>
  <si>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</si>
  <si>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</si>
  <si>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</si>
  <si>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</si>
  <si>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</si>
  <si>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</si>
  <si>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</si>
  <si>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</si>
  <si>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</si>
  <si>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</si>
  <si>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</si>
  <si>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</si>
  <si>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</si>
  <si>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</si>
  <si>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</si>
  <si>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</si>
  <si>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</si>
  <si>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</si>
  <si>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</si>
  <si>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</si>
  <si>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</si>
  <si>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</si>
  <si>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</si>
  <si>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</si>
  <si>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</si>
  <si>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</si>
  <si>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</si>
  <si>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</si>
  <si>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</si>
  <si>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</si>
  <si>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</si>
  <si>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</si>
  <si>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</si>
  <si>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</si>
  <si>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</si>
  <si>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</si>
  <si>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</si>
  <si>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</si>
  <si>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</si>
  <si>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</si>
  <si>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</si>
  <si>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</si>
  <si>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</si>
  <si>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</si>
  <si>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</si>
  <si>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</si>
  <si>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</si>
  <si>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</si>
  <si>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</si>
  <si>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ANEL EM CONCRETO ARMADO, LISO, PARA FOSSAS SEPTICAS E SUMIDOUROS, SEM FUNDO, DIAMETRO INTERNO DE 3,20 M E ALTURA DE 0,50 M</t>
  </si>
  <si>
    <t>ANEL EM CONCRETO ARMADO, LISO, PARA FOSSAS SEPTICAS E SUMIDOUROS, SEM FUNDO, DIAMETRO INTERNO DE 4,55 M E ALTURA DE 0,50 M</t>
  </si>
  <si>
    <t>TANQUE SÉPTICO CIRCULAR, EM CONCRETO PRÉ-MOLDADO, DIÂMETRO INTERNO = 3,20 M, ALTURA INTERNA = 2,50 M, VOLUME ÚTIL: 17693 L.</t>
  </si>
  <si>
    <t>FILTRO ANAERÓBIO CIRCULAR, EM CONCRETO PRÉ-MOLDADO, DIÂMETRO INTERNO =4,55 M, ALTURA INTERNA = 1,50 M, VOLUME ÚTIL: 21525,1 L.</t>
  </si>
  <si>
    <t>ANEL EM CONCRETO ARMADO, PERFURADO, PARA FOSSAS SEPTICAS E SUMIDOUROS, SEM FUNDO, DIAMETRO INTERNO DE 3,50 M E ALTURA DE 0,50 M</t>
  </si>
  <si>
    <t xml:space="preserve">SUMIDOURO CIRCULAR, EM CONCRETO PRÉ-MOLDADO, DIÂMETRO INTERNO = 3,50 M, ALTURA INTERNA = 3,5 M, ÁREA DE INFILTRAÇÃO: 38,4 M² </t>
  </si>
  <si>
    <t>8.4</t>
  </si>
  <si>
    <t>8.7</t>
  </si>
  <si>
    <t>CP-ESQ-04</t>
  </si>
  <si>
    <t>PORTA DE FERRO, DE ABRIR, TIPO CHAPA CORRUGADA, COM GUARNICOES (0,80 X 2,10)M</t>
  </si>
  <si>
    <t>CP-ESQ-05</t>
  </si>
  <si>
    <t>PORTAO DE CORRER EM CHAPA TIPO PAINEL LAMBRIL QUADRADO, COM PORTA SOCIAL COMPLETA INCLUIDA, COM REQUADRO, ACABAMENTO NATURAL, COM TRILHOS E ROLDANAS. FORNECIMENTO E INSTALAÇÃO.</t>
  </si>
  <si>
    <t>FECHAMENTO EM ALVENARIA</t>
  </si>
  <si>
    <t xml:space="preserve">ONDE HAVERÁ DEMOLIÇÃO DO MURO E RETIRADA DE GRADIL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</si>
  <si>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</si>
  <si>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</si>
  <si>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</si>
  <si>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</si>
  <si>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</si>
  <si>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</si>
  <si>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</si>
  <si>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</si>
  <si>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</si>
  <si>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</si>
  <si>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</si>
  <si>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</si>
  <si>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</si>
  <si>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</si>
  <si>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</si>
  <si>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</si>
  <si>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</si>
  <si>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</si>
  <si>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</si>
  <si>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</si>
  <si>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</si>
  <si>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</si>
  <si>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</si>
  <si>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</si>
  <si>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</si>
  <si>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</si>
  <si>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</si>
  <si>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</si>
  <si>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</si>
  <si>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</si>
  <si>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</si>
  <si>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</si>
  <si>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</si>
  <si>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</si>
  <si>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</si>
  <si>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</si>
  <si>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</si>
  <si>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</si>
  <si>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</si>
  <si>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</si>
  <si>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</si>
  <si>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</si>
  <si>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</si>
  <si>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</si>
  <si>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</si>
  <si>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</si>
  <si>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</si>
  <si>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</si>
  <si>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</si>
  <si>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</si>
  <si>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</si>
  <si>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</si>
  <si>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</si>
  <si>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</si>
  <si>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</si>
  <si>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</si>
  <si>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</si>
  <si>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</si>
  <si>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</si>
  <si>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</si>
  <si>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</si>
  <si>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</si>
  <si>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</si>
  <si>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</si>
  <si>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</si>
  <si>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</si>
  <si>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</si>
  <si>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</si>
  <si>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</si>
  <si>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</si>
  <si>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</si>
  <si>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</si>
  <si>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</si>
  <si>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</si>
  <si>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</si>
  <si>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</si>
  <si>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</si>
  <si>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</si>
  <si>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</si>
  <si>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</si>
  <si>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</si>
  <si>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</si>
  <si>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</si>
  <si>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</si>
  <si>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</si>
  <si>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</si>
  <si>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</si>
  <si>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</si>
  <si>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</si>
  <si>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</si>
  <si>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</si>
  <si>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</si>
  <si>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</si>
  <si>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</si>
  <si>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</si>
  <si>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</si>
  <si>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</si>
  <si>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</si>
  <si>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</si>
  <si>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</si>
  <si>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</si>
  <si>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</si>
  <si>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</si>
  <si>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</si>
  <si>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</si>
  <si>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</si>
  <si>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</si>
  <si>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CP- COB-01</t>
  </si>
  <si>
    <t>CP-ESQ-06</t>
  </si>
  <si>
    <t>METRO LINEAR</t>
  </si>
  <si>
    <t>PEITORIL EM TODAS ESQUADRIAS</t>
  </si>
  <si>
    <t>PISOS E CALÇAMENTOS</t>
  </si>
  <si>
    <t>PORTAO DE ABRIR EM CHAPA TIPO PAINEL LAMBRIL QUADRADO MEIA ALTURA, COM GRADE SUPERIOR, COMPLETA COM REQUADRO, ACABAMENTO NATURAL, COM FEICHOS E TRINCOS FORNECIMENTO E INSTALAÇÃO.</t>
  </si>
  <si>
    <t>emp.</t>
  </si>
  <si>
    <t>ESTRIBO PILARES</t>
  </si>
  <si>
    <t>ESTRIBO VIGAS</t>
  </si>
  <si>
    <t>ÁGUAS PLUVIAIS</t>
  </si>
  <si>
    <t xml:space="preserve">DRENAGEM ÁGUA PÁTIO </t>
  </si>
  <si>
    <t>APICOAMENTO MECANIZADO EM CONCRETO/ALVENARIA</t>
  </si>
  <si>
    <t>LÂMPADA LED 40W</t>
  </si>
  <si>
    <t>CP-ELE-10</t>
  </si>
  <si>
    <t>4.1.1.1</t>
  </si>
  <si>
    <t>4.1.1.2</t>
  </si>
  <si>
    <t>4.1.1.3</t>
  </si>
  <si>
    <t>4.1.1.4</t>
  </si>
  <si>
    <t>4.1.1.5</t>
  </si>
  <si>
    <t>4.1.1.6</t>
  </si>
  <si>
    <t>4.1.1.7</t>
  </si>
  <si>
    <t>4.1.1.8</t>
  </si>
  <si>
    <t>4.2.1.1</t>
  </si>
  <si>
    <t>4.1.2.7</t>
  </si>
  <si>
    <t>5.1.1.1</t>
  </si>
  <si>
    <t>5.1.1.2</t>
  </si>
  <si>
    <t>5.1.1.3</t>
  </si>
  <si>
    <t>5.1.1.4</t>
  </si>
  <si>
    <t>5.1.2.1</t>
  </si>
  <si>
    <t>5.1.2.2</t>
  </si>
  <si>
    <t>5.1.2.3</t>
  </si>
  <si>
    <t>5.1.2.4</t>
  </si>
  <si>
    <t>5.1.2.5</t>
  </si>
  <si>
    <t>5.2.1.1</t>
  </si>
  <si>
    <t>5.2.1.2</t>
  </si>
  <si>
    <t>5.2.1.3</t>
  </si>
  <si>
    <t>5.2.1.4</t>
  </si>
  <si>
    <t>5.2.2.1</t>
  </si>
  <si>
    <t>5.2.2.2</t>
  </si>
  <si>
    <t>5.2.2.3</t>
  </si>
  <si>
    <t>5.2.2.4</t>
  </si>
  <si>
    <t>5.2.2.5</t>
  </si>
  <si>
    <t>SERVIÇOS COMPLEMENTARES</t>
  </si>
  <si>
    <t>DIVERSOS</t>
  </si>
  <si>
    <t>13.2</t>
  </si>
  <si>
    <t>15.1.1</t>
  </si>
  <si>
    <t>15.1.2</t>
  </si>
  <si>
    <t>15.1.3</t>
  </si>
  <si>
    <t>15.1.4</t>
  </si>
  <si>
    <t>15.2.1</t>
  </si>
  <si>
    <t>15.2.2</t>
  </si>
  <si>
    <t>15.2.3</t>
  </si>
  <si>
    <t>15.2.4</t>
  </si>
  <si>
    <t>15.2.5</t>
  </si>
  <si>
    <t>15.2.6</t>
  </si>
  <si>
    <t>15.3.1</t>
  </si>
  <si>
    <t>15.3.2</t>
  </si>
  <si>
    <t>15.3.3</t>
  </si>
  <si>
    <t>15.3.4</t>
  </si>
  <si>
    <t>15.3.5</t>
  </si>
  <si>
    <t>15.3.6</t>
  </si>
  <si>
    <t>15.3.7</t>
  </si>
  <si>
    <t>15.3.8</t>
  </si>
  <si>
    <t>15.3.9</t>
  </si>
  <si>
    <t>15.3.10</t>
  </si>
  <si>
    <t>15.3.11</t>
  </si>
  <si>
    <t>15.3.12</t>
  </si>
  <si>
    <t>9.1.1</t>
  </si>
  <si>
    <t>9.1.2</t>
  </si>
  <si>
    <t>9.1.3</t>
  </si>
  <si>
    <t>9.1.4</t>
  </si>
  <si>
    <t>9.1.5</t>
  </si>
  <si>
    <t>9.1.6</t>
  </si>
  <si>
    <t>9.1.7</t>
  </si>
  <si>
    <t>9.1.8</t>
  </si>
  <si>
    <t>9.2.1</t>
  </si>
  <si>
    <t>9.2.2</t>
  </si>
  <si>
    <t>10.4</t>
  </si>
  <si>
    <t>10.5</t>
  </si>
  <si>
    <t>11.4</t>
  </si>
  <si>
    <t>13.2.1</t>
  </si>
  <si>
    <t>13.2.2</t>
  </si>
  <si>
    <t>14.1.1</t>
  </si>
  <si>
    <t>14.1.2</t>
  </si>
  <si>
    <t>14.1.3</t>
  </si>
  <si>
    <t>14.1.4</t>
  </si>
  <si>
    <t>14.1.5</t>
  </si>
  <si>
    <t>14.2.1</t>
  </si>
  <si>
    <t>14.2.2</t>
  </si>
  <si>
    <t>14.2.3</t>
  </si>
  <si>
    <t>14.2.4</t>
  </si>
  <si>
    <t>15.1.5</t>
  </si>
  <si>
    <t>15.1.6</t>
  </si>
  <si>
    <t>15.1.7</t>
  </si>
  <si>
    <t>15.1.8</t>
  </si>
  <si>
    <t>15.2.7</t>
  </si>
  <si>
    <t>15.2.8</t>
  </si>
  <si>
    <t>15.2.9</t>
  </si>
  <si>
    <t>15.2.10</t>
  </si>
  <si>
    <t>15.2.11</t>
  </si>
  <si>
    <t>15.2.12</t>
  </si>
  <si>
    <t>15.2.13</t>
  </si>
  <si>
    <t>15.2.14</t>
  </si>
  <si>
    <t>15.2.15</t>
  </si>
  <si>
    <t>15.2.16</t>
  </si>
  <si>
    <t>15.3.13</t>
  </si>
  <si>
    <t>16.6</t>
  </si>
  <si>
    <t>16.7</t>
  </si>
  <si>
    <t>16.8</t>
  </si>
  <si>
    <t>16.9</t>
  </si>
  <si>
    <t>VITOR GUSTAVO VERHALEN</t>
  </si>
  <si>
    <t>ENGENHEIRO CIVIL</t>
  </si>
  <si>
    <t>CREA MT 49989</t>
  </si>
  <si>
    <t>MUNICÍPIO: VÁRZEA GRANDE - MT</t>
  </si>
  <si>
    <t>BEIRAL METALICO EM CHAPA DE AÇO DOBRADO #16 E=1,50MM, INCLUSIVE 2 DEMÃO DE PINTURA ESMALTE SOBRE 2 DEMÃO DE FUNDO ANTICORROSIVO (ZARCÃO) - FORNECIMENTO E INSTALAÇÃO (L= 20 CM)</t>
  </si>
  <si>
    <t>FECHAMENTOS EM ALVENARIA (SALAS E MURO)</t>
  </si>
  <si>
    <t>PINTURA TINTA DE ACABAMENTO (PIGMENTADA) ESMALTE BRILHANTE BASE B2, 2 DEMÃOS.</t>
  </si>
  <si>
    <t>18.1.1</t>
  </si>
  <si>
    <t>18.1.2</t>
  </si>
  <si>
    <t>18.1.3</t>
  </si>
  <si>
    <t>18.1.4</t>
  </si>
  <si>
    <t>18.1.5</t>
  </si>
  <si>
    <t>18.2.1</t>
  </si>
  <si>
    <t>PORTAO DE ACESSO VEICULOS</t>
  </si>
  <si>
    <t>MURO INTERNO E EXTERNO TODO PERIMETRO</t>
  </si>
  <si>
    <t>2.2</t>
  </si>
  <si>
    <t>3.2</t>
  </si>
  <si>
    <t>3.3</t>
  </si>
  <si>
    <t>3.4</t>
  </si>
  <si>
    <t>CJ</t>
  </si>
  <si>
    <t xml:space="preserve">ADMINISTRAÇÃO DE OBRA </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</si>
  <si>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</si>
  <si>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</si>
  <si>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</si>
  <si>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</si>
  <si>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</si>
  <si>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</si>
  <si>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</si>
  <si>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</si>
  <si>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</si>
  <si>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</si>
  <si>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</si>
  <si>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</si>
  <si>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</si>
  <si>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</si>
  <si>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</si>
  <si>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</si>
  <si>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</si>
  <si>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</si>
  <si>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</si>
  <si>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</si>
  <si>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</si>
  <si>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</si>
  <si>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</si>
  <si>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</si>
  <si>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</si>
  <si>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</si>
  <si>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</si>
  <si>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</si>
  <si>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</si>
  <si>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</si>
  <si>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</si>
  <si>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</si>
  <si>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</si>
  <si>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</si>
  <si>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</si>
  <si>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</si>
  <si>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</si>
  <si>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</si>
  <si>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</si>
  <si>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</si>
  <si>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</si>
  <si>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</si>
  <si>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</si>
  <si>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</si>
  <si>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</si>
  <si>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</si>
  <si>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</si>
  <si>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</si>
  <si>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</si>
  <si>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</si>
  <si>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</si>
  <si>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</si>
  <si>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</si>
  <si>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</si>
  <si>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</si>
  <si>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</si>
  <si>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</si>
  <si>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</si>
  <si>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</si>
  <si>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</si>
  <si>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</si>
  <si>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</si>
  <si>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</si>
  <si>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</si>
  <si>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</si>
  <si>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</si>
  <si>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</si>
  <si>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</si>
  <si>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</si>
  <si>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</si>
  <si>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</si>
  <si>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</si>
  <si>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</si>
  <si>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</si>
  <si>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</si>
  <si>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</si>
  <si>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</si>
  <si>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</si>
  <si>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</si>
  <si>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</si>
  <si>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</si>
  <si>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</si>
  <si>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</si>
  <si>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</si>
  <si>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</si>
  <si>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</si>
  <si>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</si>
  <si>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</si>
  <si>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</si>
  <si>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</si>
  <si>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</si>
  <si>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</si>
  <si>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</si>
  <si>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</si>
  <si>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</si>
  <si>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</si>
  <si>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</si>
  <si>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</si>
  <si>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</si>
  <si>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</si>
  <si>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</si>
  <si>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</si>
  <si>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</si>
  <si>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</si>
  <si>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</si>
  <si>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</si>
  <si>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</si>
  <si>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</si>
  <si>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</si>
  <si>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</si>
  <si>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</si>
  <si>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</si>
  <si>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</si>
  <si>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</si>
  <si>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</si>
  <si>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</si>
  <si>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</si>
  <si>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</si>
  <si>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</si>
  <si>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</si>
  <si>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</si>
  <si>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</si>
  <si>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</si>
  <si>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</si>
  <si>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</si>
  <si>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</si>
  <si>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</si>
  <si>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</si>
  <si>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</si>
  <si>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</si>
  <si>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</si>
  <si>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</si>
  <si>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</si>
  <si>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</si>
  <si>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</si>
  <si>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</si>
  <si>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</si>
  <si>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</si>
  <si>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</si>
  <si>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</si>
  <si>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</si>
  <si>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</si>
  <si>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</si>
  <si>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</si>
  <si>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LOCAL: EMEB ALINO FERREIRA DE MAGALHÃES</t>
  </si>
  <si>
    <t>TODO PERIMETRO DO MURO QUE FOR DEMOLIDO</t>
  </si>
  <si>
    <t>VIGA BALDRAME</t>
  </si>
  <si>
    <t>EXECUÇÃO DE RADIER, ESPESSURA DE 40 CM, FCK = 30 MPA, COM USO DE FORMAS EM MADEIRA SERRADA.</t>
  </si>
  <si>
    <t>CP-RAD-01</t>
  </si>
  <si>
    <t>UM</t>
  </si>
  <si>
    <t>FUNDAÇÃO E BASE DE CONCRETO PARA FIXAÇÃO DE RESERVATORIO METÁLICO DE 40.000 LITROS DE ÁGUA. SEMI ENTERRADA</t>
  </si>
  <si>
    <t>ESCADA TIPO MARINHEIRO ALTURA TOTAL 13 METROS EXTERNO E 5 METROS INTERNO COM GUARDA CORPO EXTERNO</t>
  </si>
  <si>
    <t>FORNECIMENTO E MONTAGEM DE RESERVATÓRIO METALICO TIPO TAÇA; CAP. 40.000L, COM AS SEGUINTES DIMENSÕES: -COLUNA SECA: Ø 1,45 X 7,50M; -RESERVA: Ø 2,90M x 6,00M; -CONE: 0,45M DE ALTURA; -ALTURA TOTAL: 13,95M;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 E SPDA.</t>
  </si>
  <si>
    <t>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t>
  </si>
  <si>
    <t>CP-RES-02</t>
  </si>
  <si>
    <t>CP-RES-01</t>
  </si>
  <si>
    <t>CP-RES-03</t>
  </si>
  <si>
    <t>PILAR</t>
  </si>
  <si>
    <t>VIGA</t>
  </si>
  <si>
    <t>COBERTURA</t>
  </si>
  <si>
    <t>PILARES PARA PLATIBANDA ALTURA 1,5M</t>
  </si>
  <si>
    <t>PILARES - PLATIBANDA</t>
  </si>
  <si>
    <t>CX02 0,80X0,80X0,80</t>
  </si>
  <si>
    <t>CX03 0,60x0,60x0,60</t>
  </si>
  <si>
    <t>CX01 0,8X0,50X0,70</t>
  </si>
  <si>
    <t>CX04 0,80X0,80X0,90</t>
  </si>
  <si>
    <t>CX05 0,80X0,80X1,00</t>
  </si>
  <si>
    <t>CX06 0,80X0,80X1,20</t>
  </si>
  <si>
    <t>CX07 0,80X0,80X1,40</t>
  </si>
  <si>
    <t>TODAS AS CAIXAS COM TAMPA PERFURADAS</t>
  </si>
  <si>
    <t>quant. Caixas para chegar na altura do projeto (de acordo com a composição)</t>
  </si>
  <si>
    <t>CX01 0,8X0,50X0,70 / CX02 0,80X0,80X0,80 / CX04 0,80X0,80X0,90 / CX05 0,80X0,80X1,00 / CX06 0,80X0,80X1,20 / CX07 0,80X0,80X1,40</t>
  </si>
  <si>
    <t>ESCAVAÇÃO DE TODA TUBULAÇÃO DE ÁGUAS PLUVIAIS INCLUSIVE GRELHA DO PROJETO.</t>
  </si>
  <si>
    <t>DRENO DO AR</t>
  </si>
  <si>
    <t>CAIXA DRENO DO AR C/ FUNDO AREIA OU BRITA</t>
  </si>
  <si>
    <t>CP-GRE-01</t>
  </si>
  <si>
    <t>CANALETA TIPO MEIA CANA D= 80CM COM GRELHA EM CONCRETO ARMADO PERFURADO PARA DRENAGEM DE ÁGUA, FORNECIMENTO E INSTALAÇÃO.</t>
  </si>
  <si>
    <t>perim.(m) ou área (m2)</t>
  </si>
  <si>
    <t>altura</t>
  </si>
  <si>
    <t>vão porta</t>
  </si>
  <si>
    <t>vão janelas</t>
  </si>
  <si>
    <t>negativo</t>
  </si>
  <si>
    <t>dml</t>
  </si>
  <si>
    <t xml:space="preserve">mat e fisica </t>
  </si>
  <si>
    <t>mat equipamentosw</t>
  </si>
  <si>
    <t>eta 2</t>
  </si>
  <si>
    <t>eta 1</t>
  </si>
  <si>
    <t>uso multiplo</t>
  </si>
  <si>
    <t>atendimento especiais</t>
  </si>
  <si>
    <t>informatica</t>
  </si>
  <si>
    <t xml:space="preserve">diretoria </t>
  </si>
  <si>
    <t>secretaria</t>
  </si>
  <si>
    <t>coordenação</t>
  </si>
  <si>
    <t xml:space="preserve">sala dos professores </t>
  </si>
  <si>
    <t>material  didatico</t>
  </si>
  <si>
    <t>circulação</t>
  </si>
  <si>
    <t>reunião</t>
  </si>
  <si>
    <t>funcionario feminino</t>
  </si>
  <si>
    <t>funcionario masculino</t>
  </si>
  <si>
    <t>copa</t>
  </si>
  <si>
    <t xml:space="preserve">cozinha </t>
  </si>
  <si>
    <t>despensa</t>
  </si>
  <si>
    <t>vestiario feminino</t>
  </si>
  <si>
    <t>pne  feminino</t>
  </si>
  <si>
    <t>vestiario masculino</t>
  </si>
  <si>
    <t>pne  masculino</t>
  </si>
  <si>
    <t>AREA TOTAL INFERIOR</t>
  </si>
  <si>
    <t>area total</t>
  </si>
  <si>
    <t>sala 01</t>
  </si>
  <si>
    <t>sala 02</t>
  </si>
  <si>
    <t>sala 03</t>
  </si>
  <si>
    <t>sala 04</t>
  </si>
  <si>
    <t>sala 05</t>
  </si>
  <si>
    <t>audiovisual</t>
  </si>
  <si>
    <t>biblioteca</t>
  </si>
  <si>
    <t>sala 6</t>
  </si>
  <si>
    <t>sala 7</t>
  </si>
  <si>
    <t>sala 8</t>
  </si>
  <si>
    <t>sala 9</t>
  </si>
  <si>
    <t>sala 10</t>
  </si>
  <si>
    <t>wc infantil masculino</t>
  </si>
  <si>
    <t xml:space="preserve">pne masculino </t>
  </si>
  <si>
    <t>wc  masculino</t>
  </si>
  <si>
    <t>wc infantil feminino</t>
  </si>
  <si>
    <t>pne feminino</t>
  </si>
  <si>
    <t>wc  feminino</t>
  </si>
  <si>
    <t>AREA TOTAL SUPERIOR</t>
  </si>
  <si>
    <t>AREA PAVIMENTO (OUTROS)</t>
  </si>
  <si>
    <t>AREA PAVIMENTO (SUPERIOR)</t>
  </si>
  <si>
    <t>AREA PAVIMENTO (INFERIOR)</t>
  </si>
  <si>
    <t>arco frontal inferior</t>
  </si>
  <si>
    <t>arco frontal superior</t>
  </si>
  <si>
    <t>arco frontal platibanda</t>
  </si>
  <si>
    <t xml:space="preserve">platibanda esquerdo </t>
  </si>
  <si>
    <t>platibanda direita</t>
  </si>
  <si>
    <t>gas</t>
  </si>
  <si>
    <t>lixo</t>
  </si>
  <si>
    <t>rampa</t>
  </si>
  <si>
    <t>vão janelas (X2)</t>
  </si>
  <si>
    <t>TOTAL DE VÃOS</t>
  </si>
  <si>
    <t>IMPERMEABILIZAÇÃO</t>
  </si>
  <si>
    <t>Impermeabilização de toda laje da cobertura, todos os banheiros, lixeira, casa de gás e marquise.</t>
  </si>
  <si>
    <t>SISTEMA DE COBERTURA</t>
  </si>
  <si>
    <t>INCLUSO COBERTURA DA RAMPA</t>
  </si>
  <si>
    <t>COBERTURA DE TODA UNIDADE ESCOLAR</t>
  </si>
  <si>
    <t>ESCOLA</t>
  </si>
  <si>
    <t>TODA LAJE COBERTURA INCLUSIVE MARQUISE</t>
  </si>
  <si>
    <t xml:space="preserve">SERÁ UTILIZADO COMO CUMEEIRA NO TELHADO TERMOACUSTICO </t>
  </si>
  <si>
    <t>CONFORME PROJETO ELETRICO ATUALIZADO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</si>
  <si>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</si>
  <si>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</si>
  <si>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</si>
  <si>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</si>
  <si>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</si>
  <si>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</si>
  <si>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</si>
  <si>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PINTURA DE TODA ESTRUTURA METÁLICA</t>
  </si>
  <si>
    <t>QUADRA</t>
  </si>
  <si>
    <t>INCLUSO CALHA DA QUADRA</t>
  </si>
  <si>
    <t>peitoril</t>
  </si>
  <si>
    <t>j1</t>
  </si>
  <si>
    <t>j3</t>
  </si>
  <si>
    <t>J4</t>
  </si>
  <si>
    <t>J5</t>
  </si>
  <si>
    <t>J6</t>
  </si>
  <si>
    <t>VIDRO FIXO COM ABERTURA MEIA LUA PARA ATENDIMENTO (GUICHÊ) J-02</t>
  </si>
  <si>
    <t>JANELA DE DE ENROLAR,  FIXAÇÃO COM ARGAMASSA, PADRONIZADA INCLUSO PEITORIL EM GRANILITE 60CM (ABERTURA NA VERTICAL "PASSA PRATO" - FORNECIMENTO E INSTALAÇÃO</t>
  </si>
  <si>
    <t>J07</t>
  </si>
  <si>
    <t>J08</t>
  </si>
  <si>
    <t>CP-ESQ-07</t>
  </si>
  <si>
    <t>BRISE METALICO PARA PROTEÇÃO COM REQUADRO SOLDADO E CHUMBADO EM ALVENARIA COM ACABAMENTO EM PINTURA ESMALTE SOBRE FUNDO (TIPO ZARCÃO) 2 DEMÃOS - FORNECIMENTO E INSTALAÇÃO</t>
  </si>
  <si>
    <t>SOMENTE NAS JANELAS LATERAIS DO PAVIMENTO SUPERIOR COM VISTA PARA PARTE EXTERNA DA ESCOLA.</t>
  </si>
  <si>
    <t xml:space="preserve">DIVISÓRIAS </t>
  </si>
  <si>
    <t>BANCO EM GRANITO CINZA POLIDO E=3CM, ASSENTADO COM ARGAMASSA COLANTE AC III-E, INCLUSIVE FERRAGENS - FORNECIMENTO E INSTALAÇÃO.</t>
  </si>
  <si>
    <t>banheiro infantil masc. e fem. Pav. Superior</t>
  </si>
  <si>
    <t>banheiro fem. e masc. Pav. Terreo</t>
  </si>
  <si>
    <t>wc func. Masc. Fem. Pav. Terreo</t>
  </si>
  <si>
    <t>wc func. Fem. Pav. Terreo</t>
  </si>
  <si>
    <t>wc. Fem. Pav. Superior</t>
  </si>
  <si>
    <t>wc. Fem. Masc. Pav. Superior</t>
  </si>
  <si>
    <t>CP-GRN-01</t>
  </si>
  <si>
    <t>CP-GRN-02</t>
  </si>
  <si>
    <t>banheiro infantil fem. Pav. Superior</t>
  </si>
  <si>
    <t>BANCOS EXISTENTES NOS BANHEIROS CONFORME PROJETO</t>
  </si>
  <si>
    <t>Divisória em granito nos banheiros conforme projeto.</t>
  </si>
  <si>
    <t>cozinha inclusive soco</t>
  </si>
  <si>
    <t>BANHEIROS E COZINHA</t>
  </si>
  <si>
    <t>PILARES E VIGAS</t>
  </si>
  <si>
    <t>BANCADA EM GRANITO CINZA, POLIDO, TIPO ANDORINHA/ QUARTZ/ CASTELO/ CORUMBA OU OUTROS EQUIVALENTES DA REGIAO, E=  *2,5* CM, INCLUSIVE FERRAGENS, FRONTÃO E SAIA COM 10 CM - FORNECIMENTO E INSTALAÇÃO</t>
  </si>
  <si>
    <t>CHAPISCO A SER APLICADO EM TODA ALVENARIA INCLUSIVE PILARES E VIGAS</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</si>
  <si>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</si>
  <si>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</si>
  <si>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</si>
  <si>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</si>
  <si>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</si>
  <si>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</si>
  <si>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</si>
  <si>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</si>
  <si>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</si>
  <si>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</si>
  <si>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</si>
  <si>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</si>
  <si>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</si>
  <si>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</si>
  <si>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</si>
  <si>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</si>
  <si>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</si>
  <si>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</si>
  <si>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</si>
  <si>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</si>
  <si>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</si>
  <si>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</si>
  <si>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</si>
  <si>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</si>
  <si>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</si>
  <si>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</si>
  <si>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</si>
  <si>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</si>
  <si>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</si>
  <si>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</si>
  <si>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</si>
  <si>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</si>
  <si>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</si>
  <si>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</si>
  <si>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</si>
  <si>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</si>
  <si>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</si>
  <si>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PAVIMENTO SUPERIOR</t>
  </si>
  <si>
    <t>PAVIMENTO TÉRREO</t>
  </si>
  <si>
    <t>altura (m)</t>
  </si>
  <si>
    <t>salas com alvenaria até o teto somente na parede do fundo</t>
  </si>
  <si>
    <t>AREA DE CIRCULAÇÃO</t>
  </si>
  <si>
    <t>FACHADA INCLUSIVE MARQUISE</t>
  </si>
  <si>
    <t>circulação bloco separado</t>
  </si>
  <si>
    <t>refeitório</t>
  </si>
  <si>
    <t>gás</t>
  </si>
  <si>
    <t>AREA TOTAL</t>
  </si>
  <si>
    <t>AREA DE OUTROS PAVIMENTOS</t>
  </si>
  <si>
    <t>PISO FULGET (GRANITO LAVADO) MOLDADO IN LOCO FORNECIMENTO E INSTALAÇÃO.</t>
  </si>
  <si>
    <t>PISO DA CALÇADA EXTERNA FRENTE E LATERAL</t>
  </si>
  <si>
    <t>RECUO PARA VEICULOS - EMBARQUE E DESEMBARQUE DE ALUNOS</t>
  </si>
  <si>
    <t>PISO EM BORRA DO PÁTIO AO LADO DA RAMPA COM INCLINAÇÃO PARA ESCOAMENTO DA AGUA NAS GRELHAS</t>
  </si>
  <si>
    <t>pátio intero</t>
  </si>
  <si>
    <t>NÃO INCLUI RAMPAS DE ACESSIBILIDADE</t>
  </si>
  <si>
    <t>IMPERMEABILIZAÇÃO DE TODO PISO GRANILITE</t>
  </si>
  <si>
    <t>CONFORME PROJETO DE PAGINAÇÃO DE PISO</t>
  </si>
  <si>
    <t xml:space="preserve">PITURA DE TODO TELHADO INCLUSIVE TESOURAS E PILARES METALICOS - ( DEFINIR CORES COM EQUIPE DE FISCALIZAÇÃO) </t>
  </si>
  <si>
    <t>PISO INTERNO PROXIMO AO REFEITORIO E PLAYGROUND E QUADRA</t>
  </si>
  <si>
    <t>LIXAMENTO DE TODO PISO DA QUADRA PARA RECEBIMENTO DE PINTURA</t>
  </si>
  <si>
    <t>PISO DE DEMARCAÇÃO DE JOGO CONFORME PROJETO</t>
  </si>
  <si>
    <t>PISO EXTERNO INCLUSIVE TODAS AS FACES DA ARQUIBANCADA - CONFORME PROJETO</t>
  </si>
  <si>
    <t>FAIXAS DE DEMARCAÇÃO DE JOGO (FUTSAL=164,70M) (VOLEI=81,00M) (BASQUETE=148,15)</t>
  </si>
  <si>
    <t>CONFORME PROJETO DO MURO</t>
  </si>
  <si>
    <t>P3 - CONFORME PROJETO</t>
  </si>
  <si>
    <t>CONFORME PROJETO DE PAGINAÇÃO DE PISO INTERNO E EXTERNO</t>
  </si>
  <si>
    <t>ATENTAR-SE PARA EXECUÇÃO COM IMPERMEABILIZANTE PREVISTO NA COMPOSIÇÃO DO ITEM</t>
  </si>
  <si>
    <t>INCLUSO PERIMETRO EXTERNO  DA ESCOLA COM ALTURA 7 METROS SEM REVESTIMENTO</t>
  </si>
  <si>
    <t>elemento vazado (cobogó)</t>
  </si>
  <si>
    <t>MURO INTERNO E EXTERNO TODO PERIMETRO - INCLUSIVE COBOGÓS</t>
  </si>
  <si>
    <t>MURO INTERNO E EXTERNO TODO PERIMETRO - NÃO INCLUI COBOGÓ</t>
  </si>
  <si>
    <t>LETRA CAIXA ALTA PARA NOMENCLATURA E LOGOMARCA SEM RELEVO (CONFORME PROJETO) - FORNECIMENTO E INSTALAÇÃO</t>
  </si>
  <si>
    <t>LETREIRO EM CAIXA ALTA CONFORME PROJETO DE CORTES COM ALTURA E TAMANHOS.</t>
  </si>
  <si>
    <t>PISO DA RAMPA DO PATIO E ESCADAS</t>
  </si>
  <si>
    <t>COBERTURA DA RAMPA - VERIFICAR  COR COM EQUIPE TECNICA DE FISCALIZAÇÃO (TIPO ARCO CURVADA)</t>
  </si>
  <si>
    <t>COMPOSIÇÕES PARA COBERTURA</t>
  </si>
  <si>
    <t xml:space="preserve">COMPOSIÇÃO  RADIER </t>
  </si>
  <si>
    <t>COMPOSIÇÕES PARA INFRAESTRUTURAS E SUPERESTRUTURAS</t>
  </si>
  <si>
    <t>CP-LAJ-01</t>
  </si>
  <si>
    <t>ARQUIBANCADA</t>
  </si>
  <si>
    <t>ARQUIBANCADAS</t>
  </si>
  <si>
    <t>MURO EXISTENTE TODO PERIMETRO</t>
  </si>
  <si>
    <t>DEMOLIÇÃO PARCIAL PISO DA QUADRA PARA EXECUÇÃO DE RADIER DA ARQUIBANCADA</t>
  </si>
  <si>
    <t>ARQUIBANCADA E POSSIVEIS VALAS OU REGULARIZAÇÃO DO TERRENO</t>
  </si>
  <si>
    <t xml:space="preserve">LAJE PRÉ-MOLDADA UNIDIRECIONAL, BIAPOIADA, PARA PISO, ENCHIMENTO EM CERÂMICA, VIGOTA CONVENCIONAL, ALTURA TOTAL DA LAJE (ENCHIMENTO+CAPA) = (8+4) VÃO ATÉ 6,00 M </t>
  </si>
  <si>
    <t>Perimetro (m)</t>
  </si>
  <si>
    <t>TODO PERIMETRO EXTERNO DA CALÇADA INCLUSIVE SARJETA</t>
  </si>
  <si>
    <t>CALÇADA DA FRENTE (RUA PRINCIPAL)</t>
  </si>
  <si>
    <t>CALÇADA LATERAL (RUA S/ SAIDA)</t>
  </si>
  <si>
    <t>FUNDAÇÃO E BASE DE CONCRETO PARA FIXAÇÃO DE RESERVATORIO METÁLICO DE 20.000 LITROS DE ÁGUA.</t>
  </si>
  <si>
    <t>CP-HID-01</t>
  </si>
  <si>
    <t>MICTÓRIO COLETIVO ACO INOX (AISI 304), E = 0,8 MM, DE *100 X 50 X 35* CM (C X A X P), ENGATE FLEXIVEL EM INOX E SIFÃO CROMADO TIPO GARRAFA - FORNECIMENTO E INSTALAÇÃO</t>
  </si>
  <si>
    <t>CP-HID-02</t>
  </si>
  <si>
    <t>ASSENTO SANITÁRIO ELEVADO PARA PNE- FORNECIMENTO E INSTALAÇÃO</t>
  </si>
  <si>
    <t>ASSENTO ELEVADO PNE</t>
  </si>
  <si>
    <t>BEBEDOURO INDUSTRIAL SUSPENSO EM INOX  127V OU 220V</t>
  </si>
  <si>
    <t>CUBA INDUSTRIAL PARA BEBEDOURO COM 4 TORNEIRAS</t>
  </si>
  <si>
    <t>BEBEDOURO INDUSTRIAL SUSPENSO EM INOX E CUBA DE INOX COM 4 TORNEIRAS - FORNECIMENTO E INSTALAÇÃO</t>
  </si>
  <si>
    <t>FIXADA NAS PAREDES</t>
  </si>
  <si>
    <t>FIXADA NAS PORTAS</t>
  </si>
  <si>
    <t>RESRVATORIO BAIXO H=3,00M</t>
  </si>
  <si>
    <t>TIPO TAÇA H= 13,95M</t>
  </si>
  <si>
    <t>SISTEMA DE BOMBA - CAIXA D'AGUA</t>
  </si>
  <si>
    <t>SISTEMA DE BOMBA - INCENDIO</t>
  </si>
  <si>
    <t>Painel Estrela Triângulo 10cv Caixa: 40x30x20 COMPLETO Caixa: 40x30x20
Adesivo Frontal;Led Verde Comando Ligado e Monitoramento ( Tensão e Corrente );Led Amarelo Sobrecarga;Botão Duplo;Parada de Emergência;Disjuntor Geral;Relé Falta de Fase
Relé Estrela triângulo;Barramento estrela Triangulo;Contatores CWB;Relé Térmico RW27</t>
  </si>
  <si>
    <t>FORNECIMENTO E INSTALAÇÃO DE CASA DE BOMBA (HIDRANTES/RESERVATÓRIO) DE 2,00X1,50 INCLUSIVE BOMBAS COM PAINEL DE CONTROLE - FORNECIMENTO E INSTALAÇÃO</t>
  </si>
  <si>
    <t>CP-IP-01</t>
  </si>
  <si>
    <t>ENTRADA PROVISÓRIA DE ENERGIA - FORNECIMENTO E INSTALAÇÃO</t>
  </si>
  <si>
    <t>TODAS AS RAMPAS INTERNAS E EXTERNAS DE ACESSIBILIDADE (INTERNAS SOMENTE RAMPAS DE ACESSO A QUADRA) E CALÇADA NO ENTORNO DA ESCOLA ONDE NÃO CONTEM PAVER</t>
  </si>
  <si>
    <t xml:space="preserve"> ,,</t>
  </si>
  <si>
    <t>QUADRO DE VIDRO, FUNDO BRANCO 4,00X1,20 COM REQUADRO E ACABAMENTO.</t>
  </si>
  <si>
    <t xml:space="preserve">INSTALAÇÕES ESPECIAIS </t>
  </si>
  <si>
    <t>INSTALAÇÃO DE GÁS</t>
  </si>
  <si>
    <t>INSTALAÇÕES ELÉTRICAS</t>
  </si>
  <si>
    <t>PORTAO DE ENTRADA (FACHADA) E CORREDORES DO FUNDO (ACESSO A QUADRA) E PORTA DA LIXEIRA E CASA DE GÁS</t>
  </si>
  <si>
    <t>DIVISORIAS, BANCADAS E PEITORIS</t>
  </si>
  <si>
    <t>m3</t>
  </si>
  <si>
    <t>distancia (até 30km)</t>
  </si>
  <si>
    <t>CABOS</t>
  </si>
  <si>
    <t>INSTALAÇÕES ELÉTRICAS BAIXA TENSÃO</t>
  </si>
  <si>
    <t>INTERRUPTOR E TOMADA</t>
  </si>
  <si>
    <t>CP-ELE-07</t>
  </si>
  <si>
    <t>CP-ELE-11</t>
  </si>
  <si>
    <t>PLACA CEGA COM FURO CENTRAL 9,5MM - FORNECIMENTO E INSTALAÇÃO</t>
  </si>
  <si>
    <t>CP-ELE-01</t>
  </si>
  <si>
    <t xml:space="preserve">COMPOSIÇÃO </t>
  </si>
  <si>
    <t>CP-ELE-02</t>
  </si>
  <si>
    <t>CAIXA DE PASSAGEM PARA ELÉTRICA 20X20X10CM (SOBREPOR), FORNECIMENTO E INSTALAÇÃO</t>
  </si>
  <si>
    <t>CP-ELE-03</t>
  </si>
  <si>
    <t>DISPOSITIVO DPS CLASSE II, 1 POLO, TENSAO MAXIMA DE 175 V, CORRENTE MAXIMA DE *45* KA (TIPO AC) - FORNECIMENTO E INSTALAÇÃO</t>
  </si>
  <si>
    <t>CP-ELE-04</t>
  </si>
  <si>
    <t>DISPOSITIVO DR, 4 POLOS, SENSIBILIDADE DE 30 MA, CORRENTE DE 100 A, TIPO AC - FORNECIMENTO E INSTALAÇÃO</t>
  </si>
  <si>
    <t>CP-ELE-05</t>
  </si>
  <si>
    <t>DISPOSITIVO DR, 4 POLOS, SENSIBILIDADE DE 30 MA, CORRENTE DE 63 A, TIPO AC - FORNECIMENTO E INSTALAÇÃO</t>
  </si>
  <si>
    <t>CP-ELE-06</t>
  </si>
  <si>
    <t>DISPOSITIVO DR, 4 POLOS, SENSIBILIDADE DE 30 MA, CORRENTE DE 40 A, TIPO AC - FORNECIMENTO E INSTALAÇÃO</t>
  </si>
  <si>
    <t>PLACA CEGA COM FURO CENTRAL 9,5MM</t>
  </si>
  <si>
    <t>CP-ELE-08</t>
  </si>
  <si>
    <t>REFLETOR DE LED, COM SUPORTE E ALÇA - 200 W - FORNECIMENTO E INSTALAÇÃO</t>
  </si>
  <si>
    <t>REFLETOR DE LED, COM SUPORTE E ALÇA - 200 W</t>
  </si>
  <si>
    <t>CP-ELE-09</t>
  </si>
  <si>
    <t>LUMINÁRIA TIPO PLAFON EM PLÁSTICO, DE SOBREPOR, COM 1 LÂMPADA LED DE 40 W - FORNECIMENTO E INSTALAÇÃO</t>
  </si>
  <si>
    <t>RASGO EM ALVENARIA PARA ELETRODUTOS COM DIAMETROS MENORES OU IGUAIS A 100MM</t>
  </si>
  <si>
    <t>VENTILADOR DE TETO - FORNECIMENTO E INSTALAÇÃO</t>
  </si>
  <si>
    <t xml:space="preserve">VENTILADOR DE TETO </t>
  </si>
  <si>
    <t>CP-ELE-12</t>
  </si>
  <si>
    <t>LUMINÁRIA Á PROVA DE EXPLOSÃO - FORNECIMENTO E INSTALAÇÃO</t>
  </si>
  <si>
    <t>LUMINÁRIA Á PROVA DE EXPLOSÃO</t>
  </si>
  <si>
    <t>CP-PTR-01</t>
  </si>
  <si>
    <t>POSTE DE CONCRETO DT 11/600 DAN COM BASE CONCRETADA - FORNECIMENTO E INSTALAÇÃO</t>
  </si>
  <si>
    <t>POSTE DE CONCRETO DUPLO T, 600 DAN, H=11M</t>
  </si>
  <si>
    <t>CP-PTR-02</t>
  </si>
  <si>
    <t>PARA RAIO BAIXA TENSÃO PRBT, REDE ISOLADA</t>
  </si>
  <si>
    <t>PARA RAIO PRBT RDS ATE 440V 10KA REDE ISOLADA</t>
  </si>
  <si>
    <t>CONECTOR DERIVAÇÃO CUNHA</t>
  </si>
  <si>
    <t>CONECTOR DERIVAÇÃO PERFURANTE</t>
  </si>
  <si>
    <t>CP-PTR-03</t>
  </si>
  <si>
    <t>SAPATILHA EM AÇO GALVANIZADO - FORNECIMENTO E INSTALAÇÃO</t>
  </si>
  <si>
    <t>CP-PTR-04</t>
  </si>
  <si>
    <t>OLHAL PARA PARAFUSO - FORNECIMENTO E INSTALAÇÃO</t>
  </si>
  <si>
    <t>CP-PTR-05</t>
  </si>
  <si>
    <t>ISOLADOR DE ANCORAGEM TIPO BASTÃO POLIMÉRICO 15KV - FORNECIMENTO E INSTALAÇÃO</t>
  </si>
  <si>
    <t>ISOLADOR POLIMÉRICO TIPO SUSPENSÃO 15KV PARA ANCORAGEM</t>
  </si>
  <si>
    <t>CP-PTR-06</t>
  </si>
  <si>
    <t>MANILHA SAPATILHA - FORNECIMENTO E INSTALAÇÃO</t>
  </si>
  <si>
    <t>MANILHA SAPATILHA 110MM ZINCADO</t>
  </si>
  <si>
    <t>CP-PTR-07</t>
  </si>
  <si>
    <t>GANCHO OLHAL - FORNECIMENTO E INSTALAÇÃO</t>
  </si>
  <si>
    <t>CP-PTR-08</t>
  </si>
  <si>
    <t>PERFIL U - FORNECIMENTO E INSTALAÇÃO</t>
  </si>
  <si>
    <t>PERFIL U PARA REDE COMPACTA</t>
  </si>
  <si>
    <t>CP-PTR-09</t>
  </si>
  <si>
    <t>FIXADOR DE PERFIL U - FORNECIMENTO E INSTALAÇÃO</t>
  </si>
  <si>
    <t>FIXADOR DE PERFIL U PARA REDE COMPACTA</t>
  </si>
  <si>
    <t>CP-PTR-10</t>
  </si>
  <si>
    <t>PARA RAIO POLIMÉRICO DE DISTRIBUIÇÃO 15KV 10KA - FORNECIMENTO E INSTALAÇÃO</t>
  </si>
  <si>
    <t>CP-PTR-11</t>
  </si>
  <si>
    <t>CRUZETA DE CONCRETO 250 DAN RETANGULAR - FORNECIMENTO E INSTALAÇÃO</t>
  </si>
  <si>
    <t>CP-PTR-12</t>
  </si>
  <si>
    <t>GRAMPO DE ANCORAGEM 15KV - 50MM² - FORNECIMENTO E INSTALAÇÃO</t>
  </si>
  <si>
    <t>CP-PTR-13</t>
  </si>
  <si>
    <t>MÃO FRANCESA 619MM - FORNECIMENTO E INSTALAÇÃO</t>
  </si>
  <si>
    <t>MÃO FRACESA PLANA 710X32X5MM AÇO GALV. A FOGO</t>
  </si>
  <si>
    <t>CP-PTR-14</t>
  </si>
  <si>
    <t>POSTE DE CONCRETO DT 11/300 DAN COM BASE CONCRETADA - FORNECIMENTO E INSTALAÇÃO</t>
  </si>
  <si>
    <t>POSTE DE CONCRETO DUPLO T 11/300 Dan</t>
  </si>
  <si>
    <t>CP-PTR-15</t>
  </si>
  <si>
    <t>ARRUELA QUADRADA EM ACO GALVANIZADO - FORNECIMENTO E INSTALAÇÃO</t>
  </si>
  <si>
    <t>CP-PTR-16</t>
  </si>
  <si>
    <t>PARAFUSO CABECA QUADRADA DE 100MM - FORNECIMENTO E INSTALAÇÃO</t>
  </si>
  <si>
    <t>CP-PTR-17</t>
  </si>
  <si>
    <t>PARAFUSO CABECA QUADRADA DE 125MM - FORNECIMENTO E INSTALAÇÃO</t>
  </si>
  <si>
    <t>CP-PTR-18</t>
  </si>
  <si>
    <t>PARAFUSO CABECA QUADRADA DE 200MM - FORNECIMENTO E INSTALAÇÃO</t>
  </si>
  <si>
    <t>CP-PTR-19</t>
  </si>
  <si>
    <t>PARAFUSO CABECA QUADRADA DE 250MM - FORNECIMENTO E INSTALAÇÃO</t>
  </si>
  <si>
    <t>CP-PTR-20</t>
  </si>
  <si>
    <t>PARAFUSO CABECA QUADRADA DE 300MM - FORNECIMENTO E INSTALAÇÃO</t>
  </si>
  <si>
    <t>CP-PTR-21</t>
  </si>
  <si>
    <t>PROTETOR DE BUCHA DE AT DE TRANSFORMADOR 15KV - FORNECIMENTO E INSTALAÇÃO</t>
  </si>
  <si>
    <t>PROTETOR DE BUCHA DE AT 15KV</t>
  </si>
  <si>
    <t>CP-PTR-22</t>
  </si>
  <si>
    <t xml:space="preserve">ISOLADOR DE PINO POLIMÉRICO COM ANEL DE AMARRAÇÃO - 15KV - FORNECIMENTO E INSTALAÇÃO </t>
  </si>
  <si>
    <t>ISOLADOR DE PINO POLIMÉRICO 15KV</t>
  </si>
  <si>
    <t>ANEL DE AMARRAÇÃO ESPAÇADOR SILICONE 15KV</t>
  </si>
  <si>
    <t>CP-PTR-23</t>
  </si>
  <si>
    <t>PINO CURTO PARA ISOLADOR DE PINO 15KV - FORNECIMENTO E INSTALAÇÃO</t>
  </si>
  <si>
    <t>PINO RETO 15KV M16X294MM (CABEÇA DE CHUMBO) AÇO GALVANIZADO</t>
  </si>
  <si>
    <t>CP-PTR-24</t>
  </si>
  <si>
    <t>CABO DE COBRE SINGELO XLPE - 15KV - 16MM² - FORNECIMENTO E INSTALAÇÃO</t>
  </si>
  <si>
    <t>CABO DE COBRE SINGELO XLPE 16MM - 15KV</t>
  </si>
  <si>
    <t>CP-PTR-25</t>
  </si>
  <si>
    <t>CABEÇOTE PARA ENTRADA DE LINHA DE ALIMENTAÇÃO PARA ELETRODUTO DE Ø4'' COM ACABAMENTO ANTI CORRESIVO - FORNECIMENTO E INSTALAÇÃO</t>
  </si>
  <si>
    <t>CP-PTR-26</t>
  </si>
  <si>
    <t>MURETA EM ALVENARIA 2 VEZ DIM 2,20X2,20 METROS COM COBERTURA DE 5% DE INCLINAÇÃO</t>
  </si>
  <si>
    <t>MALHA COM TELA DE AÇO NERVURADO COM BITOLA 5MM COM ESPAÇAMENTO DE 10X10CM</t>
  </si>
  <si>
    <t>MURETA</t>
  </si>
  <si>
    <t>CP-PTR-27</t>
  </si>
  <si>
    <t>ARMARIO DE MEDIÇÃO DIRETA 800A E PROTEÇÃO ENERGISA-MT - NDU 002 - FORNECIMENTO E INSTALAÇÃO</t>
  </si>
  <si>
    <t>CAIXA METÁLICA EM CHAPA N°18, USG COM DIMENSÃO 600X1600MM, COM COMPARTIMENTO PARA DISJUNTOR, TC`S, CHAVE DE AFERIÇÃO E MEDIDOR, CONFORME PADRÃO ENERGISA-MT</t>
  </si>
  <si>
    <t>CP-PTR-28</t>
  </si>
  <si>
    <t>DISJUNTOR TERMOMAGNETICO TRIPOLAR 300 A - 600 V - FORNECIMENTO E INSTALAÇÃO</t>
  </si>
  <si>
    <t>CP-PTR-29</t>
  </si>
  <si>
    <t>ELETRODUTO AÇO CARBONO COM COSTURA GALVANIZADO A FOGO Ø100MM - FORNECIMENTO E INSTALAÇÃO</t>
  </si>
  <si>
    <t>ELETRODUTO AÇO CARBONO COM COSTURA GALVANIZADO A FOGO Ø100MM</t>
  </si>
  <si>
    <t>CP-PTR-30</t>
  </si>
  <si>
    <t>TERMINAL METALICO A PRESSAO PARA 1 CABO DE 185 MM2, COM 1 FURO DE FIXACAO - FORNECIMENTO E INSTALAÇÃO</t>
  </si>
  <si>
    <t>CP-PTR-31</t>
  </si>
  <si>
    <t>TERMINAL METALICO A PRESSAO PARA 1 CABO DE 95 MM2, COM 1 FURO DE FIXACAO - FORNECIMENTO E INSTALAÇÃO</t>
  </si>
  <si>
    <t>REDE DE DISTRIBUIÇÃO DE MÉDIA TENSÃO</t>
  </si>
  <si>
    <t>CP-PTR-32</t>
  </si>
  <si>
    <t>CABO DE ALUMINIO PROTEGIDO 50MM² - 15KV - XLPE - FORNECIMENTO E INSTALAÇÃO</t>
  </si>
  <si>
    <t>CABO DE ALUMINIO PROTEGIDO 50MM² - 15KV - XLPE</t>
  </si>
  <si>
    <t>CP-PTR-33</t>
  </si>
  <si>
    <t>CABO DE ACO GALVANIZADO 9,5MM - FORNECIMENTO E INSTALAÇÃO</t>
  </si>
  <si>
    <t>SINAPI (ATUAL)</t>
  </si>
  <si>
    <t>CP-PTR-34</t>
  </si>
  <si>
    <t>ESPAÇADOR LOSANGULAR POLIMÉRICO PARA CABO DE ALUMÍNIO - 15KV - FORNECIMENTO E INSTALAÇÃO</t>
  </si>
  <si>
    <t>ESPAÇADOR LOSANGULAR POLIMÉRICO PARA CABO DE ALUMÍNIO C/ TRAVA - 15KV</t>
  </si>
  <si>
    <t>CP-PTR-35</t>
  </si>
  <si>
    <t>SERVIÇO DE CAMINHÃO DE LINHA VIVA PARA DE CONEXÃO EM REDE DE MÉDIA TENSÃO - 13,8KV</t>
  </si>
  <si>
    <t>ATERRAMENTO</t>
  </si>
  <si>
    <t>CP-PTR-36</t>
  </si>
  <si>
    <t>ARAME DE AÇO GALVANIZADO 14 BWG - FORNECIMENTO E INSTALAÇÃO</t>
  </si>
  <si>
    <t>CP-PTR-37</t>
  </si>
  <si>
    <t>CONECTOR DE DERIVAÇÃO CUNHA - FORNECIMENTO E INSTALAÇÃO</t>
  </si>
  <si>
    <t>CONECTOR DE DERIVAÇÃO CUNHA</t>
  </si>
  <si>
    <t>CP-PTR-38</t>
  </si>
  <si>
    <t>HASTE DE ATERRAMENTO EM ACO COM 3,00 M DE COMPRIMENTO E DN = 5/8", REVESTIDA COM BAIXA CAMADA DE COBRE, COM CONECTOR TIPO GRAMPO</t>
  </si>
  <si>
    <t>N1 - CE3U - Cfu</t>
  </si>
  <si>
    <t>CP-PTR-40</t>
  </si>
  <si>
    <t>CHAVE FUSIVEL PARA REDES DE DISTRIBUICAO - 15,0 KV - 100 A - 10,00 KA, COM SUPORTE - FORNECIMENTO E INSTALAÇÃO</t>
  </si>
  <si>
    <t>SUPORTE TIPO "Z" GALVANIZADO A FOGO</t>
  </si>
  <si>
    <t>CP-PTR-41</t>
  </si>
  <si>
    <t>CONECTOR CUNHA TIPO ESTRIBO DE ALUMÍNIO COM CAPA - 50MM² - FORNECIMENTO E INSTALAÇÃO</t>
  </si>
  <si>
    <t>CONECTOR CUNHA TIPO ESTRIBO DE ALUMÍNIO - 50MM²</t>
  </si>
  <si>
    <t>CAPA PARA CONECTOR ESTRIBO DE ALUMÍNIO - 50MM²</t>
  </si>
  <si>
    <t>CP-PTR-42</t>
  </si>
  <si>
    <t>GRAMPO LINHA VIVA - FORNECIMENTO E INSTALAÇÃO</t>
  </si>
  <si>
    <t>CP-PTR-43</t>
  </si>
  <si>
    <t>ISOLADOR PILAR 110KV - FORNECIMENTO E INSTALAÇÃO</t>
  </si>
  <si>
    <t>ISOLADOR PILAR 110KV</t>
  </si>
  <si>
    <t>CP-PTR-44</t>
  </si>
  <si>
    <t>PINO AUTO TRAVANTE PARA ISOLADOR PILAR - 140 MM - FORNECIMENTO E INSTALAÇÃO</t>
  </si>
  <si>
    <t>PINO AUTO TRAVANTE P ISOL PILAR 140 MM</t>
  </si>
  <si>
    <t>SI-1</t>
  </si>
  <si>
    <t>CP-PTR-45</t>
  </si>
  <si>
    <t>ARMAÇÃO SECUNDÁRIA OU REX COMPLETA PARA DUAS LINHAS COM ISOLADOR DE PORCELANA TIPO ROLDANA - FORNECIMENTO E INSTALAÇÃO</t>
  </si>
  <si>
    <t>CP-PTR-46</t>
  </si>
  <si>
    <t>CONECTOR PERFURAÇÃO CDP 95 16-120 X 4-35MM - FORNECIMENTO E INSTALAÇÃO</t>
  </si>
  <si>
    <t>CONECTOR PERFURAÇÃO CDP 95 16-120 X 4-35MM</t>
  </si>
  <si>
    <t>INTERLIGAÇÃO DO POSTO DE TRANSFORMAÇÃO AO QGBT PROJETADO</t>
  </si>
  <si>
    <t>CP-PTR-51</t>
  </si>
  <si>
    <t>BUCHA EM ALUMINIO, COM ROSCA, DE 4", PARA ELETRODUTO - FORNECIMENTO E INSTALAÇÃO</t>
  </si>
  <si>
    <t>CP-PTR-52</t>
  </si>
  <si>
    <t>QUADRO DE DISTRIBUIÇÃO GERAL TIPO QUADRO DE COMANDO (QGBT) METÁLICO DE 600X1000X200CM - FORNECIMENTO E INSTALAÇÃO</t>
  </si>
  <si>
    <t>QUADRO DE DISTRIBUIÇÃO GERAL TIPO QUADRO DE COMANDO (QGBT) METÁLICO DE 600X1000X200CM</t>
  </si>
  <si>
    <t>CP-PTR-53</t>
  </si>
  <si>
    <t>MURETA  EM ALVENARIA 1 VEZ DIM 2,20X1,00 METROS COM COBERTURA DE 5% INCLINAÇÃO - QGBT</t>
  </si>
  <si>
    <t>CP-PTR-54</t>
  </si>
  <si>
    <t>BARRAMENTO DE COBRE PARA 400A - FORNECIMENTO E INSTALAÇÃO</t>
  </si>
  <si>
    <t>BARRA CHATA DE COBRE ELETROLÍTICO 2" X 1/8"</t>
  </si>
  <si>
    <t>CP-PTR-55</t>
  </si>
  <si>
    <t>BARRAMENTO DE COBRE PARA 200A - FORNECIMENTO E INSTALAÇÃO</t>
  </si>
  <si>
    <t>BARRA CHATA DE COBRE ELETROLÍTICO 1" X 1/8"</t>
  </si>
  <si>
    <t>CP-PTR-56</t>
  </si>
  <si>
    <t>ISOLADOR POXI 3/4" - FORNECIMENTO E INSTALAÇÃO</t>
  </si>
  <si>
    <t>ISOLADOR POXI 3/4"</t>
  </si>
  <si>
    <t>CP-PTR-57</t>
  </si>
  <si>
    <t>CHAPA ACRÍLICA TRANSPARENTE - FORNECIMENTO E INSTALAÇÃO</t>
  </si>
  <si>
    <t>CP-PTR-58</t>
  </si>
  <si>
    <t>DISJUNTOR TERMOMAGNETICO CAIXA MOLDADA TRIPOLAR 150A - FORNECIMENTO E INSTALAÇÃO</t>
  </si>
  <si>
    <t>CP-PTR-59</t>
  </si>
  <si>
    <t>DISJUNTOR TERMOMAGNÉTICO DIN TRIPOLAR 100A - FORNECIMENTO E INSTALAÇÃO</t>
  </si>
  <si>
    <t>CP-PTR-60</t>
  </si>
  <si>
    <t>DISJUNTOR TERMOMAGNÉTICO DIN TRIPOLAR 63A - FORNECIMENTO E INSTALAÇÃO</t>
  </si>
  <si>
    <t>CP-PTR-61</t>
  </si>
  <si>
    <t>PARAFUSO SEXTAVADO INOXIDÁVEL DE Ø5/16"</t>
  </si>
  <si>
    <t>PARAFUSO SEXTAVADO ROSCA INTEIRA INOX 304 - M5-0,80 X 40</t>
  </si>
  <si>
    <t>CP-PTR-62</t>
  </si>
  <si>
    <t>PARAFUSO COBREADO DE Ø3/8"</t>
  </si>
  <si>
    <t>PÇ</t>
  </si>
  <si>
    <t>DISPOSITIVO DE PROTEÇÃO</t>
  </si>
  <si>
    <t>ELETRODUTOS E ELETROCALHAS</t>
  </si>
  <si>
    <t>LUMINÁRIAS</t>
  </si>
  <si>
    <t>ENTRADA DE SERVIÇOS</t>
  </si>
  <si>
    <t>ACESSÓRIOS PARA ELETRODUTOS</t>
  </si>
  <si>
    <t>AR CONDICIONADO</t>
  </si>
  <si>
    <t>POSTO DE TRANSFORMAÇÃO 112,5kVA - 13,8kV E EXTENSÃO DE REDE EM MÉDIA TENSÃO 13,8 Kv</t>
  </si>
  <si>
    <t>POSTO DE TRANSFORMAÇÃO 112,5kVA - 13,8kV</t>
  </si>
  <si>
    <t>REDE DE DISTRIBUIÇÃO DE MÉDIA TENSÃO - 13,8 Kv</t>
  </si>
  <si>
    <t>INTERLIGAÇÃO DO POSTO DE TRANSFORMAÇÃO AO QGBT</t>
  </si>
  <si>
    <t>FORNECIMENTO E INSTALAÇÃO DE CASA DE GÁS MODELO PADRÃO DE 2,20X1,00</t>
  </si>
  <si>
    <t>PREVENÇÃO E COMBATE A INCÊNDIO</t>
  </si>
  <si>
    <t>INSTALAÇÃO DE HIDRANTES</t>
  </si>
  <si>
    <t>CP-INC-01</t>
  </si>
  <si>
    <t>TAMPAO FOFO ARTICULADO, CLASSE B125 CARGA MAX 12,5 T, REDONDO TAMPA 600 MM, REDE PLUVIAL/ESGOTO, P = CHAMINE CX AREIA / POCO VISITA ASSENTADO COM ARG CIM/AREIA 1:4, FORNECIMENTO E ASSENTAMENTO</t>
  </si>
  <si>
    <t>INCÊNDIO</t>
  </si>
  <si>
    <t>CP-INC-02</t>
  </si>
  <si>
    <t>PLACA DE SINALIZACAO DE SEGURANCA CONTRA INCENDIO, FOTOLUMINESCENTE, RETANGULAR, *20 X 40* CM, EM PVC *2* MM ANTI-CHAMAS (SIMBOLOS, CORES E PICTOGRAMAS CONFORME NBR 13434) - FORNECIMENTO E INSTALAÇÃO</t>
  </si>
  <si>
    <t>EXTINTORES</t>
  </si>
  <si>
    <t>SISTEMA DE ALARME</t>
  </si>
  <si>
    <t>ILUMINAÇÃO DE EMERGÊNCIA</t>
  </si>
  <si>
    <t>CABEAMENTO ESTRUTURADO</t>
  </si>
  <si>
    <t>ACESSÓRIOS CABEAMENTO</t>
  </si>
  <si>
    <t>REDE ESTRUTURADA</t>
  </si>
  <si>
    <t>CP-RED-01</t>
  </si>
  <si>
    <t>PLUGUE 110 IDC - 4 PARES</t>
  </si>
  <si>
    <t>PLUGUE 110 IDC - 4 PARES - FORNECIMENTO E INSTALAÇÃO</t>
  </si>
  <si>
    <t>CP-RED-02</t>
  </si>
  <si>
    <t>SWITCH 24 PORTAS (10/100) BASETX/POE</t>
  </si>
  <si>
    <t>SWITCH 24 PORTAS (10/100) BASETX/POE - FORNECIMENTO E INSTALAÇÃO</t>
  </si>
  <si>
    <t>VOICE PANEL 30 PORTAS RJ 45</t>
  </si>
  <si>
    <t>CP-RED-03</t>
  </si>
  <si>
    <t>ACESSÓRIOS CABEAMENTO  - RACK</t>
  </si>
  <si>
    <t>CP-RED-04</t>
  </si>
  <si>
    <t>RACK ABERTO 19" - FORNECIMENTO E INSTALAÇÃO</t>
  </si>
  <si>
    <t xml:space="preserve">RACK ABERTO 19" </t>
  </si>
  <si>
    <t>CP-RED-05</t>
  </si>
  <si>
    <t>RACK ABERTO PADRÃO 19" 12U - FORNECIMENTO E INSTALAÇÃO</t>
  </si>
  <si>
    <t>RACK ABERTO PADRÃO 19" 12U</t>
  </si>
  <si>
    <t>CABEAMENTO ESTRUTURADO -METÁLICO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</si>
  <si>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</si>
  <si>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</si>
  <si>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</si>
  <si>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</si>
  <si>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</si>
  <si>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</si>
  <si>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</si>
  <si>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</si>
  <si>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</si>
  <si>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</si>
  <si>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</si>
  <si>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</si>
  <si>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</si>
  <si>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</si>
  <si>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</si>
  <si>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</si>
  <si>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</si>
  <si>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</si>
  <si>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</si>
  <si>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</si>
  <si>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</si>
  <si>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</si>
  <si>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</si>
  <si>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</si>
  <si>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</si>
  <si>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</si>
  <si>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</si>
  <si>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</si>
  <si>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</si>
  <si>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</si>
  <si>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</si>
  <si>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</si>
  <si>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</si>
  <si>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</si>
  <si>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</si>
  <si>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</si>
  <si>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</si>
  <si>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</si>
  <si>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</si>
  <si>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</si>
  <si>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</si>
  <si>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</si>
  <si>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</si>
  <si>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</si>
  <si>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</si>
  <si>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</si>
  <si>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</si>
  <si>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</si>
  <si>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</si>
  <si>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</si>
  <si>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</si>
  <si>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</si>
  <si>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</si>
  <si>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</si>
  <si>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</si>
  <si>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</si>
  <si>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</si>
  <si>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</si>
  <si>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</si>
  <si>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</si>
  <si>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</si>
  <si>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</si>
  <si>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</si>
  <si>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</si>
  <si>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</si>
  <si>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</si>
  <si>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</si>
  <si>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</si>
  <si>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</si>
  <si>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</si>
  <si>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</si>
  <si>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</si>
  <si>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</si>
  <si>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</si>
  <si>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</si>
  <si>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</si>
  <si>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</si>
  <si>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</si>
  <si>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</si>
  <si>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</si>
  <si>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</si>
  <si>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</si>
  <si>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</si>
  <si>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</si>
  <si>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</si>
  <si>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</si>
  <si>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</si>
  <si>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</si>
  <si>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</si>
  <si>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</si>
  <si>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</si>
  <si>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</si>
  <si>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</si>
  <si>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</si>
  <si>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</si>
  <si>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</si>
  <si>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</si>
  <si>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</si>
  <si>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</si>
  <si>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</si>
  <si>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</si>
  <si>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</si>
  <si>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</si>
  <si>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</si>
  <si>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</si>
  <si>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</si>
  <si>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</si>
  <si>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</si>
  <si>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</si>
  <si>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</si>
  <si>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</si>
  <si>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</si>
  <si>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</si>
  <si>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</si>
  <si>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</si>
  <si>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</si>
  <si>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</si>
  <si>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</si>
  <si>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</si>
  <si>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</si>
  <si>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</si>
  <si>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</si>
  <si>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</si>
  <si>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</si>
  <si>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</si>
  <si>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</si>
  <si>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</si>
  <si>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</si>
  <si>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</si>
  <si>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</si>
  <si>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</si>
  <si>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</si>
  <si>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</si>
  <si>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</si>
  <si>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</si>
  <si>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</si>
  <si>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</si>
  <si>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</si>
  <si>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</si>
  <si>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</si>
  <si>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</si>
  <si>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</si>
  <si>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</si>
  <si>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</si>
  <si>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</si>
  <si>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</si>
  <si>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</si>
  <si>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</si>
  <si>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</si>
  <si>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</si>
  <si>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</si>
  <si>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</si>
  <si>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</si>
  <si>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</si>
  <si>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</si>
  <si>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</si>
  <si>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</si>
  <si>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</si>
  <si>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</si>
  <si>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</si>
  <si>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</si>
  <si>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</si>
  <si>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</si>
  <si>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</si>
  <si>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</si>
  <si>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</si>
  <si>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</si>
  <si>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</si>
  <si>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</si>
  <si>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</si>
  <si>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</si>
  <si>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</si>
  <si>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</si>
  <si>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</si>
  <si>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</si>
  <si>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</si>
  <si>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</si>
  <si>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</si>
  <si>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</si>
  <si>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</si>
  <si>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</si>
  <si>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</si>
  <si>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</si>
  <si>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</si>
  <si>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</si>
  <si>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</si>
  <si>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</si>
  <si>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</si>
  <si>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</si>
  <si>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</si>
  <si>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</si>
  <si>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</si>
  <si>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</si>
  <si>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</si>
  <si>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</si>
  <si>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</si>
  <si>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</si>
  <si>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</si>
  <si>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</si>
  <si>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</si>
  <si>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</si>
  <si>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</si>
  <si>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</si>
  <si>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</si>
  <si>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</si>
  <si>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</si>
  <si>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</si>
  <si>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</si>
  <si>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</si>
  <si>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</si>
  <si>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</si>
  <si>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</si>
  <si>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</si>
  <si>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</si>
  <si>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</si>
  <si>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</si>
  <si>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</si>
  <si>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</si>
  <si>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</si>
  <si>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</si>
  <si>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</si>
  <si>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</si>
  <si>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</si>
  <si>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</si>
  <si>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</si>
  <si>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</si>
  <si>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</si>
  <si>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</si>
  <si>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</si>
  <si>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</si>
  <si>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</si>
  <si>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</si>
  <si>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</si>
  <si>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</si>
  <si>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</si>
  <si>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</si>
  <si>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</si>
  <si>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</si>
  <si>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</si>
  <si>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</si>
  <si>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</si>
  <si>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</si>
  <si>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</si>
  <si>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</si>
  <si>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</si>
  <si>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</si>
  <si>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</si>
  <si>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</si>
  <si>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</si>
  <si>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</si>
  <si>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</si>
  <si>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</si>
  <si>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</si>
  <si>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</si>
  <si>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</si>
  <si>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</si>
  <si>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</si>
  <si>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</si>
  <si>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</si>
  <si>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</si>
  <si>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</si>
  <si>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</si>
  <si>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</si>
  <si>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</si>
  <si>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</si>
  <si>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</si>
  <si>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</si>
  <si>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</si>
  <si>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</si>
  <si>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</si>
  <si>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</si>
  <si>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</si>
  <si>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</si>
  <si>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</si>
  <si>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</si>
  <si>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</si>
  <si>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</si>
  <si>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</si>
  <si>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</si>
  <si>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</si>
  <si>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</si>
  <si>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</si>
  <si>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</si>
  <si>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</si>
  <si>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</si>
  <si>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</si>
  <si>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</si>
  <si>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</si>
  <si>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</si>
  <si>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</si>
  <si>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</si>
  <si>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</si>
  <si>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</si>
  <si>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</si>
  <si>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</si>
  <si>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</si>
  <si>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</si>
  <si>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</si>
  <si>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</si>
  <si>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</si>
  <si>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</si>
  <si>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</si>
  <si>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</si>
  <si>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</si>
  <si>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</si>
  <si>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</si>
  <si>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</si>
  <si>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</si>
  <si>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</si>
  <si>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</si>
  <si>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</si>
  <si>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</si>
  <si>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</si>
  <si>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</si>
  <si>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</si>
  <si>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</si>
  <si>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</si>
  <si>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</si>
  <si>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</si>
  <si>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</si>
  <si>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</si>
  <si>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</si>
  <si>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</si>
  <si>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</si>
  <si>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</si>
  <si>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</si>
  <si>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</si>
  <si>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</si>
  <si>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</si>
  <si>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</si>
  <si>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</si>
  <si>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</si>
  <si>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</si>
  <si>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</si>
  <si>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</si>
  <si>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</si>
  <si>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</si>
  <si>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</si>
  <si>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</si>
  <si>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</si>
  <si>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</si>
  <si>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</si>
  <si>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</si>
  <si>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</si>
  <si>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</si>
  <si>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</si>
  <si>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</si>
  <si>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</si>
  <si>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</si>
  <si>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</si>
  <si>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</si>
  <si>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</si>
  <si>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</si>
  <si>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</si>
  <si>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</si>
  <si>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</si>
  <si>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</si>
  <si>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</si>
  <si>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</si>
  <si>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</si>
  <si>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</si>
  <si>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</si>
  <si>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</si>
  <si>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</si>
  <si>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</si>
  <si>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</si>
  <si>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</si>
  <si>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</si>
  <si>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</si>
  <si>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</si>
  <si>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</si>
  <si>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</si>
  <si>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</si>
  <si>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</si>
  <si>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</si>
  <si>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</si>
  <si>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</si>
  <si>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</si>
  <si>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</si>
  <si>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</si>
  <si>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</si>
  <si>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</si>
  <si>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</si>
  <si>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</si>
  <si>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</si>
  <si>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</si>
  <si>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</si>
  <si>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</si>
  <si>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</si>
  <si>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</si>
  <si>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</si>
  <si>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</si>
  <si>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</si>
  <si>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</si>
  <si>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</si>
  <si>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</si>
  <si>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</si>
  <si>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</si>
  <si>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</si>
  <si>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</si>
  <si>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</si>
  <si>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</si>
  <si>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</si>
  <si>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</si>
  <si>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</si>
  <si>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</si>
  <si>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</si>
  <si>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</si>
  <si>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</si>
  <si>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</si>
  <si>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</si>
  <si>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</si>
  <si>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</si>
  <si>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</si>
  <si>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</si>
  <si>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</si>
  <si>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</si>
  <si>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</si>
  <si>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</si>
  <si>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</si>
  <si>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</si>
  <si>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</si>
  <si>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</si>
  <si>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</si>
  <si>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</si>
  <si>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</si>
  <si>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</si>
  <si>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</si>
  <si>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</si>
  <si>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</si>
  <si>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</si>
  <si>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</si>
  <si>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</si>
  <si>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</si>
  <si>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</si>
  <si>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</si>
  <si>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</si>
  <si>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</si>
  <si>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</si>
  <si>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</si>
  <si>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</si>
  <si>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</si>
  <si>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</si>
  <si>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</si>
  <si>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</si>
  <si>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</si>
  <si>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</si>
  <si>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</si>
  <si>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</si>
  <si>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</si>
  <si>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</si>
  <si>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</si>
  <si>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</si>
  <si>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</si>
  <si>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</si>
  <si>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</si>
  <si>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</si>
  <si>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</si>
  <si>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</si>
  <si>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</si>
  <si>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</si>
  <si>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</si>
  <si>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</si>
  <si>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</si>
  <si>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</si>
  <si>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</si>
  <si>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</si>
  <si>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</si>
  <si>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</si>
  <si>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</si>
  <si>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</si>
  <si>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</si>
  <si>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</si>
  <si>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</si>
  <si>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</si>
  <si>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</si>
  <si>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</si>
  <si>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</si>
  <si>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</si>
  <si>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</si>
  <si>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</si>
  <si>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</si>
  <si>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</si>
  <si>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</si>
  <si>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</si>
  <si>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</si>
  <si>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</si>
  <si>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</si>
  <si>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</si>
  <si>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</si>
  <si>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</si>
  <si>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</si>
  <si>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</si>
  <si>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</si>
  <si>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</si>
  <si>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</si>
  <si>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</si>
  <si>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</si>
  <si>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</si>
  <si>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</si>
  <si>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</si>
  <si>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</si>
  <si>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</si>
  <si>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</si>
  <si>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</si>
  <si>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</si>
  <si>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</si>
  <si>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</si>
  <si>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</si>
  <si>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</si>
  <si>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</si>
  <si>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</si>
  <si>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</si>
  <si>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</si>
  <si>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</si>
  <si>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</si>
  <si>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</si>
  <si>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</si>
  <si>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</si>
  <si>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</si>
  <si>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</si>
  <si>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</si>
  <si>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</si>
  <si>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</si>
  <si>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</si>
  <si>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</si>
  <si>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</si>
  <si>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</si>
  <si>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</si>
  <si>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</si>
  <si>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</si>
  <si>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</si>
  <si>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</si>
  <si>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</si>
  <si>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</si>
  <si>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</si>
  <si>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</si>
  <si>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</si>
  <si>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</si>
  <si>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</si>
  <si>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</si>
  <si>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</si>
  <si>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</si>
  <si>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</si>
  <si>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</si>
  <si>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</si>
  <si>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</si>
  <si>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</si>
  <si>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</si>
  <si>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</si>
  <si>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</si>
  <si>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</si>
  <si>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</si>
  <si>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</si>
  <si>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</si>
  <si>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</si>
  <si>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</si>
  <si>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</si>
  <si>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</si>
  <si>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</si>
  <si>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</si>
  <si>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</si>
  <si>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</si>
  <si>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</si>
  <si>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</si>
  <si>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</si>
  <si>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</si>
  <si>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</si>
  <si>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</si>
  <si>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</si>
  <si>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</si>
  <si>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</si>
  <si>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</si>
  <si>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</si>
  <si>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</si>
  <si>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</si>
  <si>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</si>
  <si>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</si>
  <si>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</si>
  <si>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</si>
  <si>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</si>
  <si>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</si>
  <si>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</si>
  <si>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</si>
  <si>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</si>
  <si>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</si>
  <si>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</si>
  <si>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</si>
  <si>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</si>
  <si>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</si>
  <si>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</si>
  <si>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</si>
  <si>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</si>
  <si>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</si>
  <si>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</si>
  <si>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</si>
  <si>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</si>
  <si>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</si>
  <si>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</si>
  <si>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</si>
  <si>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</si>
  <si>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</si>
  <si>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</si>
  <si>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</si>
  <si>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</si>
  <si>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</si>
  <si>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</si>
  <si>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</si>
  <si>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</si>
  <si>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</si>
  <si>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</si>
  <si>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</si>
  <si>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</si>
  <si>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</si>
  <si>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</si>
  <si>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</si>
  <si>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</si>
  <si>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</si>
  <si>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</si>
  <si>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</si>
  <si>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</si>
  <si>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</si>
  <si>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</si>
  <si>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</si>
  <si>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</si>
  <si>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</si>
  <si>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</si>
  <si>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</si>
  <si>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</si>
  <si>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</si>
  <si>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</si>
  <si>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</si>
  <si>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</si>
  <si>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</si>
  <si>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</si>
  <si>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</si>
  <si>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</si>
  <si>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</si>
  <si>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</si>
  <si>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</si>
  <si>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</si>
  <si>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</si>
  <si>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</si>
  <si>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</si>
  <si>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</si>
  <si>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</si>
  <si>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</si>
  <si>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</si>
  <si>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</si>
  <si>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</si>
  <si>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</si>
  <si>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</si>
  <si>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</si>
  <si>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</si>
  <si>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</si>
  <si>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</si>
  <si>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</si>
  <si>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</si>
  <si>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</si>
  <si>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</si>
  <si>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</si>
  <si>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</si>
  <si>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</si>
  <si>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</si>
  <si>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</si>
  <si>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</si>
  <si>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</si>
  <si>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</si>
  <si>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</si>
  <si>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</si>
  <si>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</si>
  <si>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</si>
  <si>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</si>
  <si>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</si>
  <si>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</si>
  <si>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</si>
  <si>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</si>
  <si>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</si>
  <si>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</si>
  <si>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</si>
  <si>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</si>
  <si>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</si>
  <si>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</si>
  <si>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</si>
  <si>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</si>
  <si>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</si>
  <si>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</si>
  <si>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</si>
  <si>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</si>
  <si>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</si>
  <si>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</si>
  <si>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</si>
  <si>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</si>
  <si>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</si>
  <si>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</si>
  <si>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</si>
  <si>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</si>
  <si>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</si>
  <si>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</si>
  <si>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</si>
  <si>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</si>
  <si>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</si>
  <si>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</si>
  <si>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</si>
  <si>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</si>
  <si>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</si>
  <si>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</si>
  <si>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</si>
  <si>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</si>
  <si>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</si>
  <si>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</si>
  <si>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</si>
  <si>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</si>
  <si>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</si>
  <si>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</si>
  <si>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</si>
  <si>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</si>
  <si>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</si>
  <si>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</si>
  <si>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</si>
  <si>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</si>
  <si>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</si>
  <si>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</si>
  <si>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</si>
  <si>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</si>
  <si>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</si>
  <si>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</si>
  <si>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</si>
  <si>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</si>
  <si>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</si>
  <si>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</si>
  <si>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</si>
  <si>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</si>
  <si>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</si>
  <si>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</si>
  <si>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</si>
  <si>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</si>
  <si>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</si>
  <si>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</si>
  <si>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</si>
  <si>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</si>
  <si>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</si>
  <si>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</si>
  <si>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</si>
  <si>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</si>
  <si>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</si>
  <si>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</si>
  <si>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</si>
  <si>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</si>
  <si>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</si>
  <si>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</si>
  <si>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</si>
  <si>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</si>
  <si>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</si>
  <si>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</si>
  <si>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</si>
  <si>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</si>
  <si>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</si>
  <si>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</si>
  <si>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</si>
  <si>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</si>
  <si>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</si>
  <si>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</si>
  <si>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</si>
  <si>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</si>
  <si>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</si>
  <si>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</si>
  <si>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</si>
  <si>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</si>
  <si>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</si>
  <si>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</si>
  <si>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</si>
  <si>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</si>
  <si>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</si>
  <si>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</si>
  <si>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</si>
  <si>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</si>
  <si>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</si>
  <si>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</si>
  <si>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</si>
  <si>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</si>
  <si>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</si>
  <si>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</si>
  <si>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</si>
  <si>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</si>
  <si>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</si>
  <si>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</si>
  <si>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</si>
  <si>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</si>
  <si>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</si>
  <si>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</si>
  <si>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</si>
  <si>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</si>
  <si>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</si>
  <si>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</si>
  <si>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</si>
  <si>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</si>
  <si>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</si>
  <si>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</si>
  <si>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</si>
  <si>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</si>
  <si>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</si>
  <si>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</si>
  <si>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</si>
  <si>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</si>
  <si>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</si>
  <si>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</si>
  <si>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</si>
  <si>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</si>
  <si>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</si>
  <si>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</si>
  <si>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</si>
  <si>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</si>
  <si>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</si>
  <si>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</si>
  <si>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</si>
  <si>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</si>
  <si>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</si>
  <si>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</si>
  <si>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</si>
  <si>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</si>
  <si>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</si>
  <si>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</si>
  <si>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</si>
  <si>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</si>
  <si>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</si>
  <si>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</si>
  <si>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</si>
  <si>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</si>
  <si>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</si>
  <si>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</si>
  <si>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</si>
  <si>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</si>
  <si>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</si>
  <si>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</si>
  <si>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</si>
  <si>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</si>
  <si>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</si>
  <si>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</si>
  <si>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</si>
  <si>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</si>
  <si>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</si>
  <si>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</si>
  <si>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</si>
  <si>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</si>
  <si>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</si>
  <si>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</si>
  <si>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</si>
  <si>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</si>
  <si>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</si>
  <si>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</si>
  <si>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</si>
  <si>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</si>
  <si>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</si>
  <si>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</si>
  <si>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</si>
  <si>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</si>
  <si>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</si>
  <si>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</si>
  <si>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</si>
  <si>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</si>
  <si>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</si>
  <si>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</si>
  <si>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</si>
  <si>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</si>
  <si>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</si>
  <si>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</si>
  <si>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</si>
  <si>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</si>
  <si>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</si>
  <si>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</si>
  <si>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</si>
  <si>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</si>
  <si>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</si>
  <si>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</si>
  <si>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</si>
  <si>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</si>
  <si>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</si>
  <si>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</si>
  <si>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</si>
  <si>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</si>
  <si>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</si>
  <si>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</si>
  <si>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</si>
  <si>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</si>
  <si>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</si>
  <si>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</si>
  <si>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</si>
  <si>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</si>
  <si>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</si>
  <si>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</si>
  <si>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</si>
  <si>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</si>
  <si>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</si>
  <si>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</si>
  <si>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</si>
  <si>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</si>
  <si>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</si>
  <si>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</si>
  <si>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</si>
  <si>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</si>
  <si>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</si>
  <si>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</si>
  <si>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</si>
  <si>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</si>
  <si>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</si>
  <si>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</si>
  <si>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</si>
  <si>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</si>
  <si>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</si>
  <si>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</si>
  <si>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</si>
  <si>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</si>
  <si>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</si>
  <si>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</si>
  <si>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</si>
  <si>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</si>
  <si>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</si>
  <si>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</si>
  <si>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</si>
  <si>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</si>
  <si>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</si>
  <si>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</si>
  <si>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</si>
  <si>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</si>
  <si>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</si>
  <si>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</si>
  <si>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</si>
  <si>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</si>
  <si>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</si>
  <si>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</si>
  <si>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</si>
  <si>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</si>
  <si>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</si>
  <si>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</si>
  <si>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</si>
  <si>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</si>
  <si>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</si>
  <si>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</si>
  <si>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</si>
  <si>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</si>
  <si>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</si>
  <si>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</si>
  <si>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</si>
  <si>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</si>
  <si>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</si>
  <si>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</si>
  <si>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</si>
  <si>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</si>
  <si>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</si>
  <si>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</si>
  <si>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</si>
  <si>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</si>
  <si>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</si>
  <si>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</si>
  <si>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</si>
  <si>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</si>
  <si>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</si>
  <si>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</si>
  <si>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</si>
  <si>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</si>
  <si>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</si>
  <si>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</si>
  <si>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</si>
  <si>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</si>
  <si>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</si>
  <si>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</si>
  <si>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</si>
  <si>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</si>
  <si>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</si>
  <si>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</si>
  <si>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</si>
  <si>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</si>
  <si>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</si>
  <si>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</si>
  <si>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</si>
  <si>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</si>
  <si>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</si>
  <si>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</si>
  <si>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</si>
  <si>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</si>
  <si>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</si>
  <si>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</si>
  <si>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</si>
  <si>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</si>
  <si>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</si>
  <si>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</si>
  <si>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</si>
  <si>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</si>
  <si>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</si>
  <si>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</si>
  <si>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</si>
  <si>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</si>
  <si>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</si>
  <si>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</si>
  <si>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</si>
  <si>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</si>
  <si>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</si>
  <si>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</si>
  <si>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</si>
  <si>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</si>
  <si>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</si>
  <si>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</si>
  <si>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</si>
  <si>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</si>
  <si>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</si>
  <si>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</si>
  <si>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</si>
  <si>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</si>
  <si>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</si>
  <si>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</si>
  <si>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</si>
  <si>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</si>
  <si>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</si>
  <si>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</si>
  <si>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</si>
  <si>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</si>
  <si>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</si>
  <si>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</si>
  <si>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</si>
  <si>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</si>
  <si>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</si>
  <si>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</si>
  <si>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</si>
  <si>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</si>
  <si>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</si>
  <si>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</si>
  <si>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</si>
  <si>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</si>
  <si>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</si>
  <si>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</si>
  <si>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</si>
  <si>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</si>
  <si>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</si>
  <si>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</si>
  <si>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</si>
  <si>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</si>
  <si>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</si>
  <si>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</si>
  <si>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</si>
  <si>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</si>
  <si>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</si>
  <si>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</si>
  <si>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</si>
  <si>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</si>
  <si>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</si>
  <si>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</si>
  <si>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</si>
  <si>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</si>
  <si>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</si>
  <si>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</si>
  <si>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</si>
  <si>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</si>
  <si>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</si>
  <si>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</si>
  <si>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</si>
  <si>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</si>
  <si>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</si>
  <si>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</si>
  <si>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</si>
  <si>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</si>
  <si>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</si>
  <si>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</si>
  <si>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</si>
  <si>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</si>
  <si>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</si>
  <si>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</si>
  <si>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</si>
  <si>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</si>
  <si>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</si>
  <si>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</si>
  <si>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</si>
  <si>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</si>
  <si>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</si>
  <si>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</si>
  <si>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</si>
  <si>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</si>
  <si>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</si>
  <si>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</si>
  <si>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</si>
  <si>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</si>
  <si>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</si>
  <si>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</si>
  <si>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</si>
  <si>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</si>
  <si>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</si>
  <si>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</si>
  <si>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</si>
  <si>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</si>
  <si>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</si>
  <si>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</si>
  <si>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</si>
  <si>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</si>
  <si>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</si>
  <si>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</si>
  <si>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</si>
  <si>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</si>
  <si>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</si>
  <si>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</si>
  <si>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</si>
  <si>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</si>
  <si>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</si>
  <si>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</si>
  <si>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</si>
  <si>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</si>
  <si>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</si>
  <si>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</si>
  <si>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</si>
  <si>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</si>
  <si>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</si>
  <si>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</si>
  <si>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</si>
  <si>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</si>
  <si>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</si>
  <si>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</si>
  <si>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</si>
  <si>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</si>
  <si>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</si>
  <si>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</si>
  <si>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</si>
  <si>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</si>
  <si>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</si>
  <si>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</si>
  <si>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</si>
  <si>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</si>
  <si>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</si>
  <si>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</si>
  <si>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</si>
  <si>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</si>
  <si>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</si>
  <si>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</si>
  <si>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</si>
  <si>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</si>
  <si>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</si>
  <si>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</si>
  <si>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</si>
  <si>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</si>
  <si>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</si>
  <si>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</si>
  <si>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</si>
  <si>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</si>
  <si>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</si>
  <si>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</si>
  <si>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</si>
  <si>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</si>
  <si>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</si>
  <si>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</si>
  <si>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</si>
  <si>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</si>
  <si>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</si>
  <si>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</si>
  <si>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</si>
  <si>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</si>
  <si>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</si>
  <si>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</si>
  <si>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</si>
  <si>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</si>
  <si>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</si>
  <si>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</si>
  <si>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</si>
  <si>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</si>
  <si>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</si>
  <si>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</si>
  <si>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</si>
  <si>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</si>
  <si>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</si>
  <si>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</si>
  <si>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</si>
  <si>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</si>
  <si>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</si>
  <si>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</si>
  <si>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</si>
  <si>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</si>
  <si>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</si>
  <si>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</si>
  <si>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</si>
  <si>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</si>
  <si>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</si>
  <si>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</si>
  <si>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</si>
  <si>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</si>
  <si>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</si>
  <si>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</si>
  <si>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</si>
  <si>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</si>
  <si>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</si>
  <si>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</si>
  <si>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</si>
  <si>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</si>
  <si>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</si>
  <si>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</si>
  <si>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</si>
  <si>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</si>
  <si>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</si>
  <si>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</si>
  <si>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</si>
  <si>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</si>
  <si>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</si>
  <si>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</si>
  <si>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</si>
  <si>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</si>
  <si>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</si>
  <si>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</si>
  <si>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</si>
  <si>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</si>
  <si>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</si>
  <si>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</si>
  <si>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</si>
  <si>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</si>
  <si>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</si>
  <si>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</si>
  <si>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</si>
  <si>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</si>
  <si>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</si>
  <si>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</si>
  <si>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</si>
  <si>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</si>
  <si>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</si>
  <si>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</si>
  <si>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</si>
  <si>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</si>
  <si>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</si>
  <si>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</si>
  <si>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</si>
  <si>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</si>
  <si>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</si>
  <si>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</si>
  <si>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</si>
  <si>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</si>
  <si>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</si>
  <si>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</si>
  <si>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</si>
  <si>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</si>
  <si>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</si>
  <si>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</si>
  <si>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</si>
  <si>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</si>
  <si>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</si>
  <si>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</si>
  <si>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</si>
  <si>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</si>
  <si>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</si>
  <si>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</si>
  <si>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</si>
  <si>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</si>
  <si>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</si>
  <si>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</si>
  <si>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</si>
  <si>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</si>
  <si>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</si>
  <si>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</si>
  <si>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</si>
  <si>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</si>
  <si>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</si>
  <si>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</si>
  <si>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</si>
  <si>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</si>
  <si>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</si>
  <si>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</si>
  <si>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</si>
  <si>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</si>
  <si>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</si>
  <si>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</si>
  <si>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</si>
  <si>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</si>
  <si>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</si>
  <si>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</si>
  <si>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</si>
  <si>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</si>
  <si>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</si>
  <si>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</si>
  <si>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</si>
  <si>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</si>
  <si>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</si>
  <si>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</si>
  <si>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</si>
  <si>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</si>
  <si>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</si>
  <si>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</si>
  <si>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</si>
  <si>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</si>
  <si>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</si>
  <si>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</si>
  <si>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</si>
  <si>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</si>
  <si>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</si>
  <si>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</si>
  <si>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</si>
  <si>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</si>
  <si>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</si>
  <si>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</si>
  <si>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</si>
  <si>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</si>
  <si>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</si>
  <si>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</si>
  <si>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</si>
  <si>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</si>
  <si>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</si>
  <si>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</si>
  <si>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</si>
  <si>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</si>
  <si>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</si>
  <si>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</si>
  <si>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</si>
  <si>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</si>
  <si>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</si>
  <si>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</si>
  <si>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</si>
  <si>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</si>
  <si>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</si>
  <si>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</si>
  <si>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</si>
  <si>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</si>
  <si>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</si>
  <si>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</si>
  <si>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</si>
  <si>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</si>
  <si>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</si>
  <si>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</si>
  <si>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</si>
  <si>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</si>
  <si>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</si>
  <si>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</si>
  <si>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</si>
  <si>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</si>
  <si>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</si>
  <si>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</si>
  <si>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</si>
  <si>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</si>
  <si>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</si>
  <si>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</si>
  <si>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</si>
  <si>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</si>
  <si>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</si>
  <si>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</si>
  <si>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</si>
  <si>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</si>
  <si>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</si>
  <si>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</si>
  <si>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</si>
  <si>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</si>
  <si>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</si>
  <si>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</si>
  <si>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</si>
  <si>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</si>
  <si>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</si>
  <si>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</si>
  <si>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</si>
  <si>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</si>
  <si>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</si>
  <si>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</si>
  <si>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</si>
  <si>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</si>
  <si>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</si>
  <si>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</si>
  <si>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</si>
  <si>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</si>
  <si>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</si>
  <si>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</si>
  <si>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</si>
  <si>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</si>
  <si>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</si>
  <si>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</si>
  <si>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</si>
  <si>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</si>
  <si>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</si>
  <si>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</si>
  <si>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</si>
  <si>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</si>
  <si>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</si>
  <si>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</si>
  <si>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</si>
  <si>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</si>
  <si>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</si>
  <si>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</si>
  <si>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</si>
  <si>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</si>
  <si>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</si>
  <si>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</si>
  <si>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</si>
  <si>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</si>
  <si>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</si>
  <si>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</si>
  <si>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</si>
  <si>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</si>
  <si>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</si>
  <si>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</si>
  <si>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</si>
  <si>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</si>
  <si>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</si>
  <si>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</si>
  <si>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</si>
  <si>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</si>
  <si>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</si>
  <si>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</si>
  <si>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</si>
  <si>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</si>
  <si>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</si>
  <si>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</si>
  <si>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</si>
  <si>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</si>
  <si>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</si>
  <si>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</si>
  <si>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</si>
  <si>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</si>
  <si>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</si>
  <si>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</si>
  <si>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</si>
  <si>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</si>
  <si>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</si>
  <si>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</si>
  <si>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</si>
  <si>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</si>
  <si>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</si>
  <si>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</si>
  <si>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</si>
  <si>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</si>
  <si>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</si>
  <si>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</si>
  <si>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</si>
  <si>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</si>
  <si>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</si>
  <si>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</si>
  <si>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</si>
  <si>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</si>
  <si>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</si>
  <si>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</si>
  <si>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</si>
  <si>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</si>
  <si>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</si>
  <si>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</si>
  <si>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</si>
  <si>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</si>
  <si>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</si>
  <si>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</si>
  <si>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</si>
  <si>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</si>
  <si>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</si>
  <si>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</si>
  <si>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</si>
  <si>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</si>
  <si>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</si>
  <si>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</si>
  <si>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</si>
  <si>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</si>
  <si>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</si>
  <si>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</si>
  <si>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</si>
  <si>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</si>
  <si>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</si>
  <si>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</si>
  <si>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</si>
  <si>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</si>
  <si>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</si>
  <si>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</si>
  <si>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</si>
  <si>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</si>
  <si>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</si>
  <si>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</si>
  <si>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</si>
  <si>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</si>
  <si>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</si>
  <si>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</si>
  <si>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</si>
  <si>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</si>
  <si>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</si>
  <si>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</si>
  <si>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</si>
  <si>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</si>
  <si>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</si>
  <si>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</si>
  <si>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</si>
  <si>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</si>
  <si>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</si>
  <si>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</si>
  <si>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</si>
  <si>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</si>
  <si>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</si>
  <si>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</si>
  <si>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</si>
  <si>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</si>
  <si>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</si>
  <si>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</si>
  <si>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</si>
  <si>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</si>
  <si>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</si>
  <si>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</si>
  <si>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</si>
  <si>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</si>
  <si>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</si>
  <si>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</si>
  <si>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</si>
  <si>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</si>
  <si>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</si>
  <si>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</si>
  <si>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</si>
  <si>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</si>
  <si>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</si>
  <si>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</si>
  <si>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</si>
  <si>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</si>
  <si>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</si>
  <si>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</si>
  <si>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</si>
  <si>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</si>
  <si>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</si>
  <si>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</si>
  <si>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</si>
  <si>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</si>
  <si>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</si>
  <si>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</si>
  <si>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</si>
  <si>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</si>
  <si>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</si>
  <si>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</si>
  <si>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</si>
  <si>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</si>
  <si>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</si>
  <si>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</si>
  <si>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</si>
  <si>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</si>
  <si>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</si>
  <si>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</si>
  <si>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</si>
  <si>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</si>
  <si>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</si>
  <si>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</si>
  <si>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</si>
  <si>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</si>
  <si>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</si>
  <si>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</si>
  <si>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</si>
  <si>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</si>
  <si>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</si>
  <si>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</si>
  <si>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</si>
  <si>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</si>
  <si>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</si>
  <si>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</si>
  <si>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</si>
  <si>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</si>
  <si>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</si>
  <si>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</si>
  <si>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</si>
  <si>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</si>
  <si>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</si>
  <si>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</si>
  <si>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</si>
  <si>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</si>
  <si>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</si>
  <si>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</si>
  <si>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</si>
  <si>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</si>
  <si>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</si>
  <si>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</si>
  <si>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</si>
  <si>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</si>
  <si>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</si>
  <si>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</si>
  <si>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</si>
  <si>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</si>
  <si>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</si>
  <si>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</si>
  <si>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</si>
  <si>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</si>
  <si>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</si>
  <si>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</si>
  <si>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</si>
  <si>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</si>
  <si>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</si>
  <si>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</si>
  <si>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</si>
  <si>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</si>
  <si>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</si>
  <si>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</si>
  <si>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</si>
  <si>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</si>
  <si>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</si>
  <si>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</si>
  <si>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</si>
  <si>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</si>
  <si>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</si>
  <si>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</si>
  <si>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</si>
  <si>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</si>
  <si>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</si>
  <si>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</si>
  <si>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</si>
  <si>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</si>
  <si>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</si>
  <si>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</si>
  <si>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</si>
  <si>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</si>
  <si>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</si>
  <si>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</si>
  <si>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</si>
  <si>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</si>
  <si>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</si>
  <si>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</si>
  <si>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</si>
  <si>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</si>
  <si>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</si>
  <si>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</si>
  <si>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</si>
  <si>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</si>
  <si>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</si>
  <si>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</si>
  <si>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</si>
  <si>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</si>
  <si>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</si>
  <si>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</si>
  <si>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</si>
  <si>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</si>
  <si>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</si>
  <si>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</si>
  <si>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</si>
  <si>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</si>
  <si>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</si>
  <si>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</si>
  <si>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</si>
  <si>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</si>
  <si>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</si>
  <si>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</si>
  <si>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</si>
  <si>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</si>
  <si>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</si>
  <si>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</si>
  <si>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</si>
  <si>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</si>
  <si>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</si>
  <si>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</si>
  <si>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</si>
  <si>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</si>
  <si>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</si>
  <si>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</si>
  <si>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</si>
  <si>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</si>
  <si>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</si>
  <si>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</si>
  <si>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</si>
  <si>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</si>
  <si>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</si>
  <si>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</si>
  <si>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</si>
  <si>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</si>
  <si>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</si>
  <si>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</si>
  <si>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</si>
  <si>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</si>
  <si>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</si>
  <si>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</si>
  <si>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</si>
  <si>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</si>
  <si>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</si>
  <si>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</si>
  <si>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</si>
  <si>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</si>
  <si>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</si>
  <si>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</si>
  <si>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</si>
  <si>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</si>
  <si>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</si>
  <si>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</si>
  <si>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</si>
  <si>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</si>
  <si>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</si>
  <si>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</si>
  <si>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</si>
  <si>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</si>
  <si>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</si>
  <si>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</si>
  <si>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</si>
  <si>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</si>
  <si>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</si>
  <si>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</si>
  <si>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</si>
  <si>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</si>
  <si>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</si>
  <si>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</si>
  <si>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</si>
  <si>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</si>
  <si>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</si>
  <si>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</si>
  <si>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</si>
  <si>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</si>
  <si>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</si>
  <si>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</si>
  <si>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</si>
  <si>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</si>
  <si>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</si>
  <si>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</si>
  <si>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</si>
  <si>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</si>
  <si>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</si>
  <si>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</si>
  <si>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</si>
  <si>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</si>
  <si>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</si>
  <si>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</si>
  <si>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</si>
  <si>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</si>
  <si>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</si>
  <si>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</si>
  <si>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</si>
  <si>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</si>
  <si>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</si>
  <si>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</si>
  <si>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</si>
  <si>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</si>
  <si>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</si>
  <si>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</si>
  <si>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</si>
  <si>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</si>
  <si>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</si>
  <si>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</si>
  <si>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</si>
  <si>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</si>
  <si>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</si>
  <si>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</si>
  <si>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</si>
  <si>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</si>
  <si>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</si>
  <si>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</si>
  <si>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</si>
  <si>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</si>
  <si>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</si>
  <si>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</si>
  <si>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</si>
  <si>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</si>
  <si>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</si>
  <si>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</si>
  <si>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</si>
  <si>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</si>
  <si>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</si>
  <si>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</si>
  <si>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</si>
  <si>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</si>
  <si>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</si>
  <si>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</si>
  <si>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</si>
  <si>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</si>
  <si>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</si>
  <si>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</si>
  <si>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</si>
  <si>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</si>
  <si>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</si>
  <si>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</si>
  <si>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</si>
  <si>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</si>
  <si>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</si>
  <si>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</si>
  <si>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</si>
  <si>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</si>
  <si>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</si>
  <si>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</si>
  <si>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</si>
  <si>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</si>
  <si>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</si>
  <si>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</si>
  <si>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</si>
  <si>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</si>
  <si>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</si>
  <si>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</si>
  <si>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</si>
  <si>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</si>
  <si>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</si>
  <si>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</si>
  <si>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</si>
  <si>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</si>
  <si>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</si>
  <si>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</si>
  <si>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</si>
  <si>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</si>
  <si>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</si>
  <si>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</si>
  <si>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</si>
  <si>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</si>
  <si>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</si>
  <si>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</si>
  <si>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</si>
  <si>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</si>
  <si>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</si>
  <si>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</si>
  <si>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</si>
  <si>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</si>
  <si>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</si>
  <si>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</si>
  <si>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</si>
  <si>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</si>
  <si>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</si>
  <si>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</si>
  <si>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</si>
  <si>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</si>
  <si>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</si>
  <si>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</si>
  <si>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</si>
  <si>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</si>
  <si>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</si>
  <si>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</si>
  <si>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</si>
  <si>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</si>
  <si>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</si>
  <si>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</si>
  <si>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</si>
  <si>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</si>
  <si>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</si>
  <si>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</si>
  <si>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</si>
  <si>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</si>
  <si>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</si>
  <si>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</si>
  <si>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</si>
  <si>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</si>
  <si>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</si>
  <si>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</si>
  <si>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</si>
  <si>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</si>
  <si>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</si>
  <si>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</si>
  <si>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</si>
  <si>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</si>
  <si>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</si>
  <si>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</si>
  <si>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</si>
  <si>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</si>
  <si>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</si>
  <si>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</si>
  <si>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</si>
  <si>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</si>
  <si>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</si>
  <si>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</si>
  <si>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</si>
  <si>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</si>
  <si>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</si>
  <si>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</si>
  <si>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</si>
  <si>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</si>
  <si>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</si>
  <si>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</si>
  <si>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</si>
  <si>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</si>
  <si>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</si>
  <si>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</si>
  <si>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</si>
  <si>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</si>
  <si>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</si>
  <si>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</si>
  <si>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</si>
  <si>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</si>
  <si>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</si>
  <si>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</si>
  <si>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</si>
  <si>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</si>
  <si>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</si>
  <si>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</si>
  <si>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</si>
  <si>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</si>
  <si>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</si>
  <si>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</si>
  <si>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</si>
  <si>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</si>
  <si>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</si>
  <si>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</si>
  <si>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</si>
  <si>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</si>
  <si>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</si>
  <si>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</si>
  <si>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</si>
  <si>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</si>
  <si>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</si>
  <si>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</si>
  <si>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</si>
  <si>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</si>
  <si>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</si>
  <si>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</si>
  <si>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</si>
  <si>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</si>
  <si>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</si>
  <si>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</si>
  <si>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</si>
  <si>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</si>
  <si>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</si>
  <si>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</si>
  <si>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</si>
  <si>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</si>
  <si>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</si>
  <si>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</si>
  <si>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</si>
  <si>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</si>
  <si>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</si>
  <si>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</si>
  <si>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</si>
  <si>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</si>
  <si>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</si>
  <si>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</si>
  <si>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</si>
  <si>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</si>
  <si>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</si>
  <si>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</si>
  <si>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</si>
  <si>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</si>
  <si>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</si>
  <si>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</si>
  <si>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</si>
  <si>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</si>
  <si>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</si>
  <si>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</si>
  <si>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</si>
  <si>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</si>
  <si>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</si>
  <si>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</si>
  <si>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</si>
  <si>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</si>
  <si>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</si>
  <si>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</si>
  <si>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</si>
  <si>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</si>
  <si>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</si>
  <si>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</si>
  <si>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</si>
  <si>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</si>
  <si>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</si>
  <si>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</si>
  <si>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</si>
  <si>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</si>
  <si>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</si>
  <si>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</si>
  <si>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</si>
  <si>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</si>
  <si>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</si>
  <si>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</si>
  <si>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</si>
  <si>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</si>
  <si>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</si>
  <si>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</si>
  <si>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</si>
  <si>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</si>
  <si>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</si>
  <si>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</si>
  <si>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</si>
  <si>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</si>
  <si>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</si>
  <si>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</si>
  <si>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</si>
  <si>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</si>
  <si>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</si>
  <si>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</si>
  <si>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</si>
  <si>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</si>
  <si>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</si>
  <si>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</si>
  <si>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</si>
  <si>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</si>
  <si>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</si>
  <si>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</si>
  <si>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</si>
  <si>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</si>
  <si>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</si>
  <si>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</si>
  <si>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</si>
  <si>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</si>
  <si>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</si>
  <si>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</si>
  <si>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</si>
  <si>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</si>
  <si>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</si>
  <si>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</si>
  <si>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</si>
  <si>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</si>
  <si>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</si>
  <si>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</si>
  <si>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</si>
  <si>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</si>
  <si>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</si>
  <si>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</si>
  <si>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</si>
  <si>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</si>
  <si>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</si>
  <si>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</si>
  <si>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</si>
  <si>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</si>
  <si>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</si>
  <si>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</si>
  <si>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</si>
  <si>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</si>
  <si>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</si>
  <si>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</si>
  <si>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</si>
  <si>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</si>
  <si>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</si>
  <si>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</si>
  <si>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</si>
  <si>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</si>
  <si>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</si>
  <si>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</si>
  <si>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</si>
  <si>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</si>
  <si>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</si>
  <si>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</si>
  <si>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</si>
  <si>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</si>
  <si>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</si>
  <si>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</si>
  <si>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</si>
  <si>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</si>
  <si>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</si>
  <si>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</si>
  <si>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</si>
  <si>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</si>
  <si>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</si>
  <si>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</si>
  <si>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</si>
  <si>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</si>
  <si>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</si>
  <si>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</si>
  <si>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</si>
  <si>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</si>
  <si>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</si>
  <si>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</si>
  <si>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</si>
  <si>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</si>
  <si>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</si>
  <si>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</si>
  <si>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</si>
  <si>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</si>
  <si>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</si>
  <si>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</si>
  <si>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</si>
  <si>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</si>
  <si>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</si>
  <si>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</si>
  <si>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</si>
  <si>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</si>
  <si>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</si>
  <si>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</si>
  <si>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</si>
  <si>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</si>
  <si>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</si>
  <si>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</si>
  <si>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</si>
  <si>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</si>
  <si>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</si>
  <si>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</si>
  <si>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</si>
  <si>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</si>
  <si>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</si>
  <si>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</si>
  <si>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</si>
  <si>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</si>
  <si>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</si>
  <si>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</si>
  <si>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</si>
  <si>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</si>
  <si>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</si>
  <si>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</si>
  <si>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</si>
  <si>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</si>
  <si>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</si>
  <si>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</si>
  <si>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</si>
  <si>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</si>
  <si>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</si>
  <si>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</si>
  <si>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</si>
  <si>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</si>
  <si>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</si>
  <si>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</si>
  <si>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</si>
  <si>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</si>
  <si>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</si>
  <si>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</si>
  <si>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</si>
  <si>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</si>
  <si>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</si>
  <si>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</si>
  <si>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</si>
  <si>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</si>
  <si>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</si>
  <si>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</si>
  <si>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</si>
  <si>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</si>
  <si>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</si>
  <si>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</si>
  <si>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</si>
  <si>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</si>
  <si>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</si>
  <si>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</si>
  <si>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</si>
  <si>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</si>
  <si>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</si>
  <si>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</si>
  <si>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</si>
  <si>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</si>
  <si>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</si>
  <si>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</si>
  <si>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</si>
  <si>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</si>
  <si>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</si>
  <si>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</si>
  <si>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</si>
  <si>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</si>
  <si>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</si>
  <si>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</si>
  <si>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</si>
  <si>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</si>
  <si>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</si>
  <si>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</si>
  <si>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</si>
  <si>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</si>
  <si>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</si>
  <si>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</si>
  <si>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</si>
  <si>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</si>
  <si>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</si>
  <si>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</si>
  <si>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</si>
  <si>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</si>
  <si>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</si>
  <si>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</si>
  <si>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</si>
  <si>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</si>
  <si>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</si>
  <si>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</si>
  <si>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</si>
  <si>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</si>
  <si>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</si>
  <si>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</si>
  <si>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</si>
  <si>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</si>
  <si>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</si>
  <si>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</si>
  <si>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</si>
  <si>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</si>
  <si>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</si>
  <si>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</si>
  <si>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</si>
  <si>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</si>
  <si>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</si>
  <si>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</si>
  <si>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</si>
  <si>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</si>
  <si>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</si>
  <si>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</si>
  <si>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</si>
  <si>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</si>
  <si>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</si>
  <si>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</si>
  <si>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</si>
  <si>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</si>
  <si>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</si>
  <si>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</si>
  <si>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</si>
  <si>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</si>
  <si>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</si>
  <si>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</si>
  <si>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</si>
  <si>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</si>
  <si>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</si>
  <si>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</si>
  <si>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</si>
  <si>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</si>
  <si>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</si>
  <si>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</si>
  <si>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</si>
  <si>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</si>
  <si>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</si>
  <si>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</si>
  <si>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</si>
  <si>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</si>
  <si>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</si>
  <si>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</si>
  <si>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</si>
  <si>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</si>
  <si>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</si>
  <si>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</si>
  <si>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</si>
  <si>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</si>
  <si>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</si>
  <si>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</si>
  <si>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</si>
  <si>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</si>
  <si>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</si>
  <si>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</si>
  <si>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</si>
  <si>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</si>
  <si>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</si>
  <si>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</si>
  <si>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</si>
  <si>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</si>
  <si>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</si>
  <si>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</si>
  <si>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</si>
  <si>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</si>
  <si>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</si>
  <si>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</si>
  <si>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</si>
  <si>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</si>
  <si>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</si>
  <si>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</si>
  <si>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</si>
  <si>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</si>
  <si>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</si>
  <si>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</si>
  <si>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</si>
  <si>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</si>
  <si>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</si>
  <si>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</si>
  <si>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</si>
  <si>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</si>
  <si>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</si>
  <si>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</si>
  <si>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</si>
  <si>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</si>
  <si>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</si>
  <si>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</si>
  <si>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</si>
  <si>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</si>
  <si>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</si>
  <si>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</si>
  <si>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</si>
  <si>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</si>
  <si>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</si>
  <si>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</si>
  <si>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</si>
  <si>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</si>
  <si>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</si>
  <si>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</si>
  <si>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</si>
  <si>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</si>
  <si>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</si>
  <si>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</si>
  <si>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</si>
  <si>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</si>
  <si>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</si>
  <si>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</si>
  <si>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</si>
  <si>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</si>
  <si>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</si>
  <si>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</si>
  <si>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</si>
  <si>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</si>
  <si>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</si>
  <si>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</si>
  <si>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</si>
  <si>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</si>
  <si>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</si>
  <si>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</si>
  <si>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</si>
  <si>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</si>
  <si>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</si>
  <si>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</si>
  <si>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</si>
  <si>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</si>
  <si>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</si>
  <si>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</si>
  <si>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</si>
  <si>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</si>
  <si>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</si>
  <si>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</si>
  <si>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</si>
  <si>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</si>
  <si>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</si>
  <si>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</si>
  <si>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</si>
  <si>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</si>
  <si>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</si>
  <si>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</si>
  <si>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</si>
  <si>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</si>
  <si>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</si>
  <si>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</si>
  <si>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</si>
  <si>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</si>
  <si>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</si>
  <si>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</si>
  <si>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</si>
  <si>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</si>
  <si>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</si>
  <si>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</si>
  <si>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</si>
  <si>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</si>
  <si>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</si>
  <si>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</si>
  <si>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</si>
  <si>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</si>
  <si>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</si>
  <si>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</si>
  <si>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</si>
  <si>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</si>
  <si>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</si>
  <si>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</si>
  <si>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</si>
  <si>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</si>
  <si>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</si>
  <si>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</si>
  <si>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</si>
  <si>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</si>
  <si>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</si>
  <si>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</si>
  <si>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</si>
  <si>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</si>
  <si>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</si>
  <si>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</si>
  <si>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</si>
  <si>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</si>
  <si>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</si>
  <si>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</si>
  <si>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</si>
  <si>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</si>
  <si>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</si>
  <si>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</si>
  <si>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</si>
  <si>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</si>
  <si>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</si>
  <si>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</si>
  <si>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</si>
  <si>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</si>
  <si>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</si>
  <si>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</si>
  <si>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</si>
  <si>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</si>
  <si>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</si>
  <si>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</si>
  <si>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</si>
  <si>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</si>
  <si>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</si>
  <si>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</si>
  <si>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</si>
  <si>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</si>
  <si>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</si>
  <si>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</si>
  <si>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</si>
  <si>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</si>
  <si>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</si>
  <si>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</si>
  <si>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</si>
  <si>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</si>
  <si>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</si>
  <si>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</si>
  <si>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</si>
  <si>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</si>
  <si>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</si>
  <si>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</si>
  <si>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</si>
  <si>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</si>
  <si>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</si>
  <si>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</si>
  <si>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</si>
  <si>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</si>
  <si>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</si>
  <si>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</si>
  <si>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</si>
  <si>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</si>
  <si>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</si>
  <si>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</si>
  <si>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</si>
  <si>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</si>
  <si>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</si>
  <si>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</si>
  <si>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</si>
  <si>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</si>
  <si>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</si>
  <si>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</si>
  <si>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</si>
  <si>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</si>
  <si>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</si>
  <si>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</si>
  <si>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</si>
  <si>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</si>
  <si>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</si>
  <si>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</si>
  <si>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</si>
  <si>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</si>
  <si>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</si>
  <si>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</si>
  <si>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</si>
  <si>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</si>
  <si>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</si>
  <si>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</si>
  <si>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</si>
  <si>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</si>
  <si>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</si>
  <si>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</si>
  <si>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</si>
  <si>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</si>
  <si>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</si>
  <si>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</si>
  <si>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</si>
  <si>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</si>
  <si>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</si>
  <si>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</si>
  <si>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</si>
  <si>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</si>
  <si>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</si>
  <si>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</si>
  <si>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</si>
  <si>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</si>
  <si>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</si>
  <si>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</si>
  <si>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</si>
  <si>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</si>
  <si>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</si>
  <si>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</si>
  <si>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</si>
  <si>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</si>
  <si>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</si>
  <si>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</si>
  <si>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</si>
  <si>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</si>
  <si>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</si>
  <si>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</si>
  <si>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</si>
  <si>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</si>
  <si>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</si>
  <si>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</si>
  <si>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</si>
  <si>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</si>
  <si>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</si>
  <si>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</si>
  <si>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</si>
  <si>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</si>
  <si>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</si>
  <si>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</si>
  <si>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</si>
  <si>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</si>
  <si>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</si>
  <si>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</si>
  <si>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</si>
  <si>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</si>
  <si>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</si>
  <si>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</si>
  <si>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</si>
  <si>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</si>
  <si>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</si>
  <si>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</si>
  <si>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</si>
  <si>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</si>
  <si>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</si>
  <si>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</si>
  <si>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</si>
  <si>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</si>
  <si>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</si>
  <si>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</si>
  <si>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</si>
  <si>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</si>
  <si>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</si>
  <si>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</si>
  <si>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</si>
  <si>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</si>
  <si>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</si>
  <si>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</si>
  <si>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</si>
  <si>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</si>
  <si>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</si>
  <si>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</si>
  <si>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</si>
  <si>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</si>
  <si>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</si>
  <si>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</si>
  <si>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</si>
  <si>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</si>
  <si>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</si>
  <si>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</si>
  <si>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</si>
  <si>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</si>
  <si>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</si>
  <si>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</si>
  <si>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</si>
  <si>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</si>
  <si>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</si>
  <si>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</si>
  <si>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</si>
  <si>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</si>
  <si>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</si>
  <si>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</si>
  <si>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</si>
  <si>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</si>
  <si>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</si>
  <si>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</si>
  <si>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</si>
  <si>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</si>
  <si>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</si>
  <si>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</si>
  <si>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</si>
  <si>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</si>
  <si>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</si>
  <si>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</si>
  <si>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</si>
  <si>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</si>
  <si>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</si>
  <si>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</si>
  <si>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</si>
  <si>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</si>
  <si>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</si>
  <si>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</si>
  <si>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</si>
  <si>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</si>
  <si>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</si>
  <si>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</si>
  <si>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</si>
  <si>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</si>
  <si>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</si>
  <si>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</si>
  <si>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</si>
  <si>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</si>
  <si>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</si>
  <si>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</si>
  <si>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</si>
  <si>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</si>
  <si>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</si>
  <si>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</si>
  <si>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</si>
  <si>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</si>
  <si>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</si>
  <si>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</si>
  <si>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</si>
  <si>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</si>
  <si>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</si>
  <si>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</si>
  <si>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</si>
  <si>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</si>
  <si>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</si>
  <si>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</si>
  <si>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</si>
  <si>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</si>
  <si>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</si>
  <si>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</si>
  <si>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</si>
  <si>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</si>
  <si>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</si>
  <si>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</si>
  <si>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</si>
  <si>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</si>
  <si>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</si>
  <si>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</si>
  <si>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</si>
  <si>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</si>
  <si>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</si>
  <si>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</si>
  <si>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</si>
  <si>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</si>
  <si>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</si>
  <si>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</si>
  <si>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</si>
  <si>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</si>
  <si>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</si>
  <si>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</si>
  <si>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</si>
  <si>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</si>
  <si>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</si>
  <si>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</si>
  <si>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</si>
  <si>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</si>
  <si>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</si>
  <si>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</si>
  <si>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</si>
  <si>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</si>
  <si>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</si>
  <si>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</si>
  <si>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</si>
  <si>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</si>
  <si>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</si>
  <si>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</si>
  <si>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</si>
  <si>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</si>
  <si>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</si>
  <si>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</si>
  <si>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</si>
  <si>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</si>
  <si>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</si>
  <si>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</si>
  <si>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</si>
  <si>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</si>
  <si>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</si>
  <si>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</si>
  <si>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</si>
  <si>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</si>
  <si>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</si>
  <si>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</si>
  <si>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</si>
  <si>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</si>
  <si>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</si>
  <si>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</si>
  <si>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</si>
  <si>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</si>
  <si>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</si>
  <si>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</si>
  <si>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</si>
  <si>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</si>
  <si>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</si>
  <si>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</si>
  <si>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</si>
  <si>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</si>
  <si>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</si>
  <si>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</si>
  <si>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</si>
  <si>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</si>
  <si>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</si>
  <si>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</si>
  <si>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</si>
  <si>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</si>
  <si>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</si>
  <si>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</si>
  <si>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</si>
  <si>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</si>
  <si>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</si>
  <si>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</si>
  <si>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</si>
  <si>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</si>
  <si>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</si>
  <si>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</si>
  <si>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</si>
  <si>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</si>
  <si>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</si>
  <si>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</si>
  <si>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</si>
  <si>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</si>
  <si>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</si>
  <si>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</si>
  <si>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</si>
  <si>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</si>
  <si>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</si>
  <si>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</si>
  <si>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</si>
  <si>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</si>
  <si>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</si>
  <si>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</si>
  <si>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</si>
  <si>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</si>
  <si>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</si>
  <si>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</si>
  <si>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</si>
  <si>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</si>
  <si>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</si>
  <si>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</si>
  <si>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</si>
  <si>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</si>
  <si>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</si>
  <si>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</si>
  <si>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</si>
  <si>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</si>
  <si>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</si>
  <si>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</si>
  <si>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</si>
  <si>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</si>
  <si>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</si>
  <si>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</si>
  <si>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</si>
  <si>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</si>
  <si>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</si>
  <si>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</si>
  <si>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</si>
  <si>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</si>
  <si>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</si>
  <si>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</si>
  <si>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</si>
  <si>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</si>
  <si>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</si>
  <si>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</si>
  <si>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</si>
  <si>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</si>
  <si>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</si>
  <si>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</si>
  <si>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</si>
  <si>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</si>
  <si>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</si>
  <si>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</si>
  <si>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</si>
  <si>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</si>
  <si>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</si>
  <si>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</si>
  <si>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</si>
  <si>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</si>
  <si>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</si>
  <si>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</si>
  <si>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</si>
  <si>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</si>
  <si>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</si>
  <si>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</si>
  <si>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</si>
  <si>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</si>
  <si>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</si>
  <si>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</si>
  <si>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</si>
  <si>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</si>
  <si>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</si>
  <si>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</si>
  <si>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</si>
  <si>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</si>
  <si>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</si>
  <si>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</si>
  <si>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</si>
  <si>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</si>
  <si>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</si>
  <si>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</si>
  <si>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</si>
  <si>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</si>
  <si>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</si>
  <si>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</si>
  <si>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</si>
  <si>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</si>
  <si>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</si>
  <si>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</si>
  <si>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</si>
  <si>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</si>
  <si>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</si>
  <si>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</si>
  <si>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</si>
  <si>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</si>
  <si>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</si>
  <si>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</si>
  <si>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</si>
  <si>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</si>
  <si>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</si>
  <si>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</si>
  <si>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</si>
  <si>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</si>
  <si>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</si>
  <si>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</si>
  <si>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</si>
  <si>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</si>
  <si>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</si>
  <si>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</si>
  <si>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</si>
  <si>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</si>
  <si>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</si>
  <si>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</si>
  <si>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</si>
  <si>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</si>
  <si>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</si>
  <si>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</si>
  <si>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</si>
  <si>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</si>
  <si>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</si>
  <si>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</si>
  <si>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</si>
  <si>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</si>
  <si>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</si>
  <si>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</si>
  <si>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</si>
  <si>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</si>
  <si>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</si>
  <si>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</si>
  <si>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</si>
  <si>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</si>
  <si>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</si>
  <si>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</si>
  <si>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</si>
  <si>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</si>
  <si>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</si>
  <si>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</si>
  <si>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</si>
  <si>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</si>
  <si>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</si>
  <si>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</si>
  <si>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</si>
  <si>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</si>
  <si>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</si>
  <si>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</si>
  <si>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</si>
  <si>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</si>
  <si>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</si>
  <si>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</si>
  <si>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</si>
  <si>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</si>
  <si>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</si>
  <si>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</si>
  <si>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</si>
  <si>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</si>
  <si>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</si>
  <si>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</si>
  <si>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</si>
  <si>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</si>
  <si>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</si>
  <si>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</si>
  <si>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</si>
  <si>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</si>
  <si>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</si>
  <si>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</si>
  <si>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</si>
  <si>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</si>
  <si>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</si>
  <si>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</si>
  <si>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</si>
  <si>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</si>
  <si>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</si>
  <si>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</si>
  <si>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</si>
  <si>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</si>
  <si>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</si>
  <si>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</si>
  <si>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</si>
  <si>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</si>
  <si>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</si>
  <si>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</si>
  <si>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</si>
  <si>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</si>
  <si>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</si>
  <si>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</si>
  <si>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</si>
  <si>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</si>
  <si>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</si>
  <si>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</si>
  <si>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</si>
  <si>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</si>
  <si>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</si>
  <si>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</si>
  <si>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</si>
  <si>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</si>
  <si>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</si>
  <si>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</si>
  <si>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</si>
  <si>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</si>
  <si>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</si>
  <si>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</si>
  <si>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</si>
  <si>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</si>
  <si>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</si>
  <si>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</si>
  <si>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</si>
  <si>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</si>
  <si>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</si>
  <si>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</si>
  <si>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</si>
  <si>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</si>
  <si>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</si>
  <si>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</si>
  <si>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</si>
  <si>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</si>
  <si>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</si>
  <si>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</si>
  <si>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</si>
  <si>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</si>
  <si>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</si>
  <si>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</si>
  <si>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</si>
  <si>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</si>
  <si>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</si>
  <si>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</si>
  <si>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</si>
  <si>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</si>
  <si>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</si>
  <si>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</si>
  <si>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</si>
  <si>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</si>
  <si>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</si>
  <si>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</si>
  <si>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</si>
  <si>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</si>
  <si>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</si>
  <si>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</si>
  <si>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</si>
  <si>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</si>
  <si>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</si>
  <si>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</si>
  <si>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</si>
  <si>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</si>
  <si>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</si>
  <si>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</si>
  <si>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</si>
  <si>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</si>
  <si>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</si>
  <si>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</si>
  <si>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</si>
  <si>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</si>
  <si>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</si>
  <si>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</si>
  <si>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</si>
  <si>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</si>
  <si>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</si>
  <si>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</si>
  <si>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</si>
  <si>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</si>
  <si>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</si>
  <si>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</si>
  <si>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</si>
  <si>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</si>
  <si>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</si>
  <si>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</si>
  <si>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</si>
  <si>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</si>
  <si>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</si>
  <si>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</si>
  <si>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</si>
  <si>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</si>
  <si>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</si>
  <si>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</si>
  <si>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</si>
  <si>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</si>
  <si>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</si>
  <si>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</si>
  <si>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</si>
  <si>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</si>
  <si>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</si>
  <si>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</si>
  <si>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</si>
  <si>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</si>
  <si>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</si>
  <si>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</si>
  <si>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</si>
  <si>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</si>
  <si>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</si>
  <si>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</si>
  <si>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</si>
  <si>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</si>
  <si>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</si>
  <si>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</si>
  <si>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</si>
  <si>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</si>
  <si>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</si>
  <si>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</si>
  <si>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</si>
  <si>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</si>
  <si>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</si>
  <si>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</si>
  <si>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</si>
  <si>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</si>
  <si>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</si>
  <si>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</si>
  <si>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</si>
  <si>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</si>
  <si>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</si>
  <si>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</si>
  <si>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</si>
  <si>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</si>
  <si>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</si>
  <si>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</si>
  <si>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</si>
  <si>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</si>
  <si>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</si>
  <si>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</si>
  <si>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</si>
  <si>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</si>
  <si>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</si>
  <si>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</si>
  <si>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</si>
  <si>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</si>
  <si>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</si>
  <si>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</si>
  <si>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</si>
  <si>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</si>
  <si>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</si>
  <si>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</si>
  <si>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</si>
  <si>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</si>
  <si>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</si>
  <si>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</si>
  <si>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</si>
  <si>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</si>
  <si>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</si>
  <si>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</si>
  <si>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</si>
  <si>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</si>
  <si>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</si>
  <si>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</si>
  <si>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</si>
  <si>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</si>
  <si>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</si>
  <si>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</si>
  <si>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</si>
  <si>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</si>
  <si>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</si>
  <si>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</si>
  <si>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</si>
  <si>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</si>
  <si>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</si>
  <si>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</si>
  <si>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</si>
  <si>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</si>
  <si>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</si>
  <si>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</si>
  <si>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</si>
  <si>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</si>
  <si>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</si>
  <si>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</si>
  <si>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</si>
  <si>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</si>
  <si>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</si>
  <si>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</si>
  <si>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</si>
  <si>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</si>
  <si>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</si>
  <si>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</si>
  <si>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</si>
  <si>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</si>
  <si>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</si>
  <si>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</si>
  <si>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</si>
  <si>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</si>
  <si>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</si>
  <si>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</si>
  <si>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</si>
  <si>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</si>
  <si>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</si>
  <si>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</si>
  <si>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</si>
  <si>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</si>
  <si>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</si>
  <si>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</si>
  <si>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</si>
  <si>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</si>
  <si>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</si>
  <si>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</si>
  <si>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</si>
  <si>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</si>
  <si>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</si>
  <si>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</si>
  <si>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</si>
  <si>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</si>
  <si>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</si>
  <si>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</si>
  <si>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</si>
  <si>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</si>
  <si>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</si>
  <si>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</si>
  <si>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</si>
  <si>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</si>
  <si>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</si>
  <si>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</si>
  <si>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</si>
  <si>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</si>
  <si>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</si>
  <si>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</si>
  <si>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</si>
  <si>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</si>
  <si>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</si>
  <si>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</si>
  <si>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</si>
  <si>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</si>
  <si>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</si>
  <si>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</si>
  <si>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</si>
  <si>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</si>
  <si>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</si>
  <si>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</si>
  <si>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</si>
  <si>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</si>
  <si>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</si>
  <si>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</si>
  <si>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</si>
  <si>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</si>
  <si>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</si>
  <si>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</si>
  <si>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</si>
  <si>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</si>
  <si>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</si>
  <si>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</si>
  <si>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</si>
  <si>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</si>
  <si>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</si>
  <si>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</si>
  <si>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</si>
  <si>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</si>
  <si>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</si>
  <si>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</si>
  <si>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</si>
  <si>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</si>
  <si>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</si>
  <si>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</si>
  <si>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</si>
  <si>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</si>
  <si>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</si>
  <si>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</si>
  <si>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</si>
  <si>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</si>
  <si>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</si>
  <si>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</si>
  <si>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</si>
  <si>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</si>
  <si>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</si>
  <si>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</si>
  <si>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</si>
  <si>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</si>
  <si>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</si>
  <si>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</si>
  <si>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</si>
  <si>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</si>
  <si>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</si>
  <si>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</si>
  <si>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</si>
  <si>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</si>
  <si>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</si>
  <si>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</si>
  <si>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</si>
  <si>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</si>
  <si>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</si>
  <si>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</si>
  <si>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</si>
  <si>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</si>
  <si>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</si>
  <si>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</si>
  <si>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</si>
  <si>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</si>
  <si>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</si>
  <si>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</si>
  <si>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</si>
  <si>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</si>
  <si>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</si>
  <si>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</si>
  <si>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</si>
  <si>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</si>
  <si>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</si>
  <si>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</si>
  <si>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</si>
  <si>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</si>
  <si>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</si>
  <si>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</si>
  <si>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</si>
  <si>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</si>
  <si>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</si>
  <si>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</si>
  <si>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</si>
  <si>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</si>
  <si>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</si>
  <si>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</si>
  <si>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</si>
  <si>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</si>
  <si>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</si>
  <si>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</si>
  <si>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</si>
  <si>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</si>
  <si>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</si>
  <si>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</si>
  <si>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</si>
  <si>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</si>
  <si>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</si>
  <si>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</si>
  <si>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</si>
  <si>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</si>
  <si>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</si>
  <si>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</si>
  <si>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</si>
  <si>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</si>
  <si>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</si>
  <si>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</si>
  <si>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</si>
  <si>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</si>
  <si>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</si>
  <si>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</si>
  <si>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</si>
  <si>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</si>
  <si>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</si>
  <si>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</si>
  <si>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</si>
  <si>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</si>
  <si>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</si>
  <si>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</si>
  <si>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</si>
  <si>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</si>
  <si>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</si>
  <si>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</si>
  <si>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</si>
  <si>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</si>
  <si>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</si>
  <si>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</si>
  <si>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</si>
  <si>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</si>
  <si>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</si>
  <si>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</si>
  <si>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</si>
  <si>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</si>
  <si>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</si>
  <si>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</si>
  <si>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</si>
  <si>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</si>
  <si>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</si>
  <si>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</si>
  <si>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</si>
  <si>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</si>
  <si>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</si>
  <si>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</si>
  <si>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</si>
  <si>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</si>
  <si>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</si>
  <si>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</si>
  <si>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</si>
  <si>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</si>
  <si>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</si>
  <si>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</si>
  <si>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</si>
  <si>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</si>
  <si>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</si>
  <si>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</si>
  <si>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</si>
  <si>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</si>
  <si>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</si>
  <si>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</si>
  <si>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</si>
  <si>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</si>
  <si>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</si>
  <si>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</si>
  <si>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</si>
  <si>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</si>
  <si>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</si>
  <si>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</si>
  <si>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</si>
  <si>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</si>
  <si>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</si>
  <si>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</si>
  <si>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</si>
  <si>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</si>
  <si>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</si>
  <si>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</si>
  <si>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</si>
  <si>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</si>
  <si>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</si>
  <si>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</si>
  <si>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</si>
  <si>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</si>
  <si>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</si>
  <si>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</si>
  <si>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</si>
  <si>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</si>
  <si>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</si>
  <si>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</si>
  <si>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</si>
  <si>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</si>
  <si>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</si>
  <si>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</si>
  <si>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</si>
  <si>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</si>
  <si>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</si>
  <si>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</si>
  <si>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</si>
  <si>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</si>
  <si>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</si>
  <si>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</si>
  <si>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</si>
  <si>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</si>
  <si>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</si>
  <si>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</si>
  <si>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</si>
  <si>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</si>
  <si>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</si>
  <si>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</si>
  <si>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</si>
  <si>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</si>
  <si>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</si>
  <si>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</si>
  <si>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</si>
  <si>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</si>
  <si>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</si>
  <si>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</si>
  <si>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</si>
  <si>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</si>
  <si>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</si>
  <si>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</si>
  <si>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</si>
  <si>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</si>
  <si>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</si>
  <si>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</si>
  <si>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</si>
  <si>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</si>
  <si>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</si>
  <si>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</si>
  <si>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</si>
  <si>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</si>
  <si>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</si>
  <si>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</si>
  <si>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</si>
  <si>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</si>
  <si>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</si>
  <si>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</si>
  <si>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</si>
  <si>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</si>
  <si>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</si>
  <si>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</si>
  <si>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</si>
  <si>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</si>
  <si>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</si>
  <si>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</si>
  <si>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</si>
  <si>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</si>
  <si>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</si>
  <si>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</si>
  <si>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</si>
  <si>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</si>
  <si>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</si>
  <si>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</si>
  <si>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</si>
  <si>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</si>
  <si>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</si>
  <si>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</si>
  <si>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</si>
  <si>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</si>
  <si>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</si>
  <si>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</si>
  <si>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</si>
  <si>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</si>
  <si>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</si>
  <si>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</si>
  <si>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</si>
  <si>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</si>
  <si>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</si>
  <si>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</si>
  <si>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</si>
  <si>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</si>
  <si>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</si>
  <si>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</si>
  <si>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</si>
  <si>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</si>
  <si>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</si>
  <si>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</si>
  <si>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</si>
  <si>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</si>
  <si>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</si>
  <si>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</si>
  <si>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</si>
  <si>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</si>
  <si>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</si>
  <si>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</si>
  <si>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</si>
  <si>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</si>
  <si>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</si>
  <si>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</si>
  <si>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</si>
  <si>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</si>
  <si>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</si>
  <si>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</si>
  <si>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</si>
  <si>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</si>
  <si>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</si>
  <si>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</si>
  <si>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</si>
  <si>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</si>
  <si>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</si>
  <si>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</si>
  <si>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</si>
  <si>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</si>
  <si>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</si>
  <si>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</si>
  <si>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</si>
  <si>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</si>
  <si>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</si>
  <si>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</si>
  <si>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</si>
  <si>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</si>
  <si>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</si>
  <si>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</si>
  <si>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</si>
  <si>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</si>
  <si>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</si>
  <si>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</si>
  <si>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</si>
  <si>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</si>
  <si>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</si>
  <si>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</si>
  <si>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</si>
  <si>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</si>
  <si>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</si>
  <si>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</si>
  <si>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</si>
  <si>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</si>
  <si>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</si>
  <si>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</si>
  <si>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</si>
  <si>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</si>
  <si>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</si>
  <si>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</si>
  <si>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</si>
  <si>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</si>
  <si>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</si>
  <si>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</si>
  <si>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</si>
  <si>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</si>
  <si>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</si>
  <si>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</si>
  <si>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</si>
  <si>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</si>
  <si>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</si>
  <si>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</si>
  <si>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</si>
  <si>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</si>
  <si>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</si>
  <si>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</si>
  <si>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</si>
  <si>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</si>
  <si>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</si>
  <si>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</si>
  <si>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</si>
  <si>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</si>
  <si>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</si>
  <si>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</si>
  <si>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</si>
  <si>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</si>
  <si>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</si>
  <si>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</si>
  <si>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</si>
  <si>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</si>
  <si>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</si>
  <si>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</si>
  <si>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</si>
  <si>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</si>
  <si>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</si>
  <si>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</si>
  <si>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</si>
  <si>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</si>
  <si>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</si>
  <si>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</si>
  <si>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</si>
  <si>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</si>
  <si>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</si>
  <si>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</si>
  <si>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</si>
  <si>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</si>
  <si>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</si>
  <si>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</si>
  <si>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</si>
  <si>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</si>
  <si>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</si>
  <si>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</si>
  <si>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</si>
  <si>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</si>
  <si>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</si>
  <si>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</si>
  <si>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</si>
  <si>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</si>
  <si>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</si>
  <si>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</si>
  <si>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</si>
  <si>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</si>
  <si>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</si>
  <si>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</si>
  <si>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</si>
  <si>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</si>
  <si>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</si>
  <si>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</si>
  <si>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</si>
  <si>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</si>
  <si>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</si>
  <si>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</si>
  <si>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</si>
  <si>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</si>
  <si>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</si>
  <si>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</si>
  <si>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</si>
  <si>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</si>
  <si>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</si>
  <si>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</si>
  <si>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</si>
  <si>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</si>
  <si>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</si>
  <si>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</si>
  <si>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</si>
  <si>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</si>
  <si>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</si>
  <si>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</si>
  <si>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</si>
  <si>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</si>
  <si>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</si>
  <si>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</si>
  <si>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</si>
  <si>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</si>
  <si>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</si>
  <si>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</si>
  <si>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</si>
  <si>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</si>
  <si>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</si>
  <si>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</si>
  <si>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</si>
  <si>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</si>
  <si>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</si>
  <si>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</si>
  <si>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</si>
  <si>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</si>
  <si>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</si>
  <si>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</si>
  <si>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</si>
  <si>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</si>
  <si>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</si>
  <si>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</si>
  <si>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</si>
  <si>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</si>
  <si>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</si>
  <si>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</si>
  <si>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</si>
  <si>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</si>
  <si>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</si>
  <si>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</si>
  <si>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</si>
  <si>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</si>
  <si>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</si>
  <si>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</si>
  <si>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</si>
  <si>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</si>
  <si>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</si>
  <si>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</si>
  <si>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</si>
  <si>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</si>
  <si>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</si>
  <si>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</si>
  <si>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</si>
  <si>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</si>
  <si>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</si>
  <si>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</si>
  <si>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</si>
  <si>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</si>
  <si>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</si>
  <si>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</si>
  <si>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</si>
  <si>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</si>
  <si>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</si>
  <si>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</si>
  <si>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</si>
  <si>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</si>
  <si>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</si>
  <si>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</si>
  <si>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</si>
  <si>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</si>
  <si>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</si>
  <si>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</si>
  <si>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</si>
  <si>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</si>
  <si>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</si>
  <si>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</si>
  <si>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</si>
  <si>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</si>
  <si>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</si>
  <si>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</si>
  <si>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</si>
  <si>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</si>
  <si>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</si>
  <si>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</si>
  <si>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</si>
  <si>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</si>
  <si>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</si>
  <si>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</si>
  <si>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</si>
  <si>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</si>
  <si>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</si>
  <si>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</si>
  <si>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</si>
  <si>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</si>
  <si>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</si>
  <si>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</si>
  <si>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</si>
  <si>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</si>
  <si>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</si>
  <si>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</si>
  <si>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</si>
  <si>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</si>
  <si>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</si>
  <si>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</si>
  <si>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</si>
  <si>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</si>
  <si>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</si>
  <si>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</si>
  <si>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</si>
  <si>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</si>
  <si>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</si>
  <si>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</si>
  <si>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</si>
  <si>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</si>
  <si>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</si>
  <si>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</si>
  <si>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</si>
  <si>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</si>
  <si>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</si>
  <si>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</si>
  <si>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</si>
  <si>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</si>
  <si>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</si>
  <si>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</si>
  <si>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</si>
  <si>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</si>
  <si>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</si>
  <si>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</si>
  <si>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</si>
  <si>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</si>
  <si>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</si>
  <si>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</si>
  <si>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</si>
  <si>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</si>
  <si>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</si>
  <si>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</si>
  <si>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</si>
  <si>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</si>
  <si>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</si>
  <si>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</si>
  <si>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</si>
  <si>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</si>
  <si>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</si>
  <si>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</si>
  <si>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</si>
  <si>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</si>
  <si>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</si>
  <si>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</si>
  <si>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</si>
  <si>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</si>
  <si>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</si>
  <si>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</si>
  <si>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</si>
  <si>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</si>
  <si>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</si>
  <si>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</si>
  <si>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</si>
  <si>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</si>
  <si>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</si>
  <si>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</si>
  <si>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</si>
  <si>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</si>
  <si>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</si>
  <si>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</si>
  <si>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</si>
  <si>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</si>
  <si>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</si>
  <si>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</si>
  <si>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</si>
  <si>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</si>
  <si>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</si>
  <si>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</si>
  <si>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</si>
  <si>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</si>
  <si>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</si>
  <si>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</si>
  <si>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</si>
  <si>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</si>
  <si>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</si>
  <si>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</si>
  <si>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</si>
  <si>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</si>
  <si>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</si>
  <si>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</si>
  <si>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</si>
  <si>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</si>
  <si>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</si>
  <si>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</si>
  <si>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</si>
  <si>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</si>
  <si>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</si>
  <si>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</si>
  <si>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</si>
  <si>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</si>
  <si>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</si>
  <si>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</si>
  <si>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</si>
  <si>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</si>
  <si>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</si>
  <si>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</si>
  <si>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</si>
  <si>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</si>
  <si>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</si>
  <si>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</si>
  <si>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</si>
  <si>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</si>
  <si>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</si>
  <si>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</si>
  <si>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</si>
  <si>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</si>
  <si>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</si>
  <si>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</si>
  <si>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</si>
  <si>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</si>
  <si>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</si>
  <si>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</si>
  <si>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</si>
  <si>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</si>
  <si>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</si>
  <si>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</si>
  <si>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</si>
  <si>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</si>
  <si>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</si>
  <si>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</si>
  <si>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</si>
  <si>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</si>
  <si>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</si>
  <si>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</si>
  <si>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</si>
  <si>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</si>
  <si>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</si>
  <si>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</si>
  <si>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</si>
  <si>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</si>
  <si>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</si>
  <si>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</si>
  <si>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</si>
  <si>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</si>
  <si>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</si>
  <si>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</si>
  <si>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</si>
  <si>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</si>
  <si>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</si>
  <si>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</si>
  <si>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</si>
  <si>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</si>
  <si>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</si>
  <si>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</si>
  <si>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</si>
  <si>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</si>
  <si>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</si>
  <si>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</si>
  <si>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</si>
  <si>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</si>
  <si>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</si>
  <si>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</si>
  <si>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</si>
  <si>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</si>
  <si>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</si>
  <si>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</si>
  <si>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</si>
  <si>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</si>
  <si>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</si>
  <si>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</si>
  <si>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</si>
  <si>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</si>
  <si>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</si>
  <si>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</si>
  <si>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</si>
  <si>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</si>
  <si>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</si>
  <si>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</si>
  <si>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</si>
  <si>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</si>
  <si>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</si>
  <si>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</si>
  <si>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</si>
  <si>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</si>
  <si>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</si>
  <si>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</si>
  <si>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</si>
  <si>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</si>
  <si>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</si>
  <si>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</si>
  <si>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</si>
  <si>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</si>
  <si>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</si>
  <si>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</si>
  <si>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</si>
  <si>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</si>
  <si>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</si>
  <si>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</si>
  <si>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</si>
  <si>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</si>
  <si>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</si>
  <si>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</si>
  <si>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</si>
  <si>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</si>
  <si>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</si>
  <si>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</si>
  <si>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</si>
  <si>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</si>
  <si>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</si>
  <si>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</si>
  <si>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</si>
  <si>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</si>
  <si>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</si>
  <si>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</si>
  <si>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</si>
  <si>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</si>
  <si>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</si>
  <si>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</si>
  <si>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</si>
  <si>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</si>
  <si>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</si>
  <si>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</si>
  <si>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</si>
  <si>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</si>
  <si>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</si>
  <si>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</si>
  <si>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</si>
  <si>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</si>
  <si>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</si>
  <si>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</si>
  <si>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</si>
  <si>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</si>
  <si>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</si>
  <si>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</si>
  <si>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</si>
  <si>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</si>
  <si>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</si>
  <si>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</si>
  <si>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</si>
  <si>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</si>
  <si>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</si>
  <si>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</si>
  <si>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</si>
  <si>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</si>
  <si>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</si>
  <si>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</si>
  <si>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</si>
  <si>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</si>
  <si>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</si>
  <si>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</si>
  <si>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</si>
  <si>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</si>
  <si>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</si>
  <si>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</si>
  <si>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</si>
  <si>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</si>
  <si>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</si>
  <si>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</si>
  <si>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</si>
  <si>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</si>
  <si>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</si>
  <si>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</si>
  <si>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</si>
  <si>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</si>
  <si>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</si>
  <si>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</si>
  <si>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</si>
  <si>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</si>
  <si>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</si>
  <si>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</si>
  <si>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</si>
  <si>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</si>
  <si>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</si>
  <si>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</si>
  <si>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</si>
  <si>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</si>
  <si>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</si>
  <si>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</si>
  <si>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</si>
  <si>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</si>
  <si>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</si>
  <si>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</si>
  <si>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</si>
  <si>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</si>
  <si>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</si>
  <si>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</si>
  <si>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</si>
  <si>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</si>
  <si>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</si>
  <si>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</si>
  <si>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</si>
  <si>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</si>
  <si>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</si>
  <si>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</si>
  <si>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</si>
  <si>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</si>
  <si>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</si>
  <si>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</si>
  <si>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</si>
  <si>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</si>
  <si>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</si>
  <si>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</si>
  <si>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</si>
  <si>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</si>
  <si>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</si>
  <si>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</si>
  <si>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</si>
  <si>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</si>
  <si>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</si>
  <si>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</si>
  <si>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</si>
  <si>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</si>
  <si>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</si>
  <si>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</si>
  <si>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</si>
  <si>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</si>
  <si>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</si>
  <si>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</si>
  <si>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</si>
  <si>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</si>
  <si>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</si>
  <si>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</si>
  <si>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</si>
  <si>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</si>
  <si>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</si>
  <si>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</si>
  <si>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</si>
  <si>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</si>
  <si>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</si>
  <si>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</si>
  <si>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</si>
  <si>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</si>
  <si>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</si>
  <si>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</si>
  <si>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</si>
  <si>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</si>
  <si>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</si>
  <si>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</si>
  <si>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</si>
  <si>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</si>
  <si>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</si>
  <si>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</si>
  <si>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</si>
  <si>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</si>
  <si>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</si>
  <si>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</si>
  <si>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</si>
  <si>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</si>
  <si>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</si>
  <si>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</si>
  <si>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</si>
  <si>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</si>
  <si>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</si>
  <si>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</si>
  <si>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</si>
  <si>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</si>
  <si>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</si>
  <si>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</si>
  <si>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</si>
  <si>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</si>
  <si>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</si>
  <si>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</si>
  <si>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</si>
  <si>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</si>
  <si>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</si>
  <si>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</si>
  <si>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</si>
  <si>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</si>
  <si>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</si>
  <si>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</si>
  <si>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</si>
  <si>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</si>
  <si>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</si>
  <si>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</si>
  <si>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</si>
  <si>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</si>
  <si>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</si>
  <si>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</si>
  <si>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</si>
  <si>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</si>
  <si>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</si>
  <si>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</si>
  <si>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</si>
  <si>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</si>
  <si>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</si>
  <si>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</si>
  <si>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</si>
  <si>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</si>
  <si>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</si>
  <si>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</si>
  <si>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</si>
  <si>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</si>
  <si>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</si>
  <si>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</si>
  <si>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</si>
  <si>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</si>
  <si>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</si>
  <si>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</si>
  <si>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</si>
  <si>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</si>
  <si>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</si>
  <si>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</si>
  <si>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</si>
  <si>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</si>
  <si>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</si>
  <si>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</si>
  <si>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</si>
  <si>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</si>
  <si>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</si>
  <si>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</si>
  <si>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</si>
  <si>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</si>
  <si>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</si>
  <si>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</si>
  <si>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</si>
  <si>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</si>
  <si>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</si>
  <si>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</si>
  <si>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</si>
  <si>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</si>
  <si>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</si>
  <si>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</si>
  <si>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</si>
  <si>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</si>
  <si>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</si>
  <si>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</si>
  <si>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</si>
  <si>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</si>
  <si>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</si>
  <si>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</si>
  <si>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</si>
  <si>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</si>
  <si>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</si>
  <si>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</si>
  <si>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</si>
  <si>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</si>
  <si>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</si>
  <si>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</si>
  <si>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</si>
  <si>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</si>
  <si>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</si>
  <si>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</si>
  <si>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</si>
  <si>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</si>
  <si>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</si>
  <si>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</si>
  <si>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</si>
  <si>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</si>
  <si>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</si>
  <si>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</si>
  <si>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</si>
  <si>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</si>
  <si>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</si>
  <si>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</si>
  <si>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</si>
  <si>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</si>
  <si>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</si>
  <si>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</si>
  <si>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</si>
  <si>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</si>
  <si>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</si>
  <si>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</si>
  <si>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</si>
  <si>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</si>
  <si>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</si>
  <si>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</si>
  <si>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</si>
  <si>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</si>
  <si>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</si>
  <si>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</si>
  <si>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</si>
  <si>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</si>
  <si>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</si>
  <si>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</si>
  <si>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</si>
  <si>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</si>
  <si>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</si>
  <si>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</si>
  <si>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</si>
  <si>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</si>
  <si>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</si>
  <si>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</si>
  <si>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</si>
  <si>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</si>
  <si>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</si>
  <si>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</si>
  <si>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</si>
  <si>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</si>
  <si>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</si>
  <si>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</si>
  <si>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</si>
  <si>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</si>
  <si>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</si>
  <si>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</si>
  <si>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</si>
  <si>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</si>
  <si>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</si>
  <si>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</si>
  <si>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</si>
  <si>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</si>
  <si>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</si>
  <si>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</si>
  <si>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</si>
  <si>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</si>
  <si>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</si>
  <si>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</si>
  <si>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</si>
  <si>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</si>
  <si>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</si>
  <si>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</si>
  <si>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</si>
  <si>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</si>
  <si>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</si>
  <si>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</si>
  <si>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</si>
  <si>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</si>
  <si>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</si>
  <si>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</si>
  <si>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</si>
  <si>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</si>
  <si>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</si>
  <si>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</si>
  <si>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</si>
  <si>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</si>
  <si>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</si>
  <si>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</si>
  <si>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</si>
  <si>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</si>
  <si>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</si>
  <si>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</si>
  <si>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</si>
  <si>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</si>
  <si>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</si>
  <si>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</si>
  <si>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</si>
  <si>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</si>
  <si>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</si>
  <si>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</si>
  <si>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</si>
  <si>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</si>
  <si>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</si>
  <si>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</si>
  <si>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</si>
  <si>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</si>
  <si>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</si>
  <si>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</si>
  <si>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</si>
  <si>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</si>
  <si>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</si>
  <si>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</si>
  <si>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</si>
  <si>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</si>
  <si>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</si>
  <si>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</si>
  <si>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</si>
  <si>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</si>
  <si>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</si>
  <si>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</si>
  <si>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</si>
  <si>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</si>
  <si>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</si>
  <si>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</si>
  <si>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</si>
  <si>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</si>
  <si>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</si>
  <si>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</si>
  <si>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</si>
  <si>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</si>
  <si>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</si>
  <si>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</si>
  <si>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</si>
  <si>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</si>
  <si>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</si>
  <si>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</si>
  <si>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</si>
  <si>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</si>
  <si>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</si>
  <si>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</si>
  <si>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</si>
  <si>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</si>
  <si>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</si>
  <si>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</si>
  <si>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</si>
  <si>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</si>
  <si>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</si>
  <si>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</si>
  <si>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</si>
  <si>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</si>
  <si>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</si>
  <si>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</si>
  <si>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</si>
  <si>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</si>
  <si>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</si>
  <si>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</si>
  <si>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</si>
  <si>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</si>
  <si>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</si>
  <si>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</si>
  <si>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</si>
  <si>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</si>
  <si>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</si>
  <si>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</si>
  <si>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</si>
  <si>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</si>
  <si>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</si>
  <si>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</si>
  <si>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</si>
  <si>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</si>
  <si>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</si>
  <si>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</si>
  <si>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</si>
  <si>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</si>
  <si>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</si>
  <si>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</si>
  <si>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</si>
  <si>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</si>
  <si>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</si>
  <si>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</si>
  <si>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</si>
  <si>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</si>
  <si>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</si>
  <si>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</si>
  <si>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</si>
  <si>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</si>
  <si>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</si>
  <si>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</si>
  <si>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</si>
  <si>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</si>
  <si>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</si>
  <si>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</si>
  <si>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</si>
  <si>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</si>
  <si>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</si>
  <si>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</si>
  <si>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</si>
  <si>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</si>
  <si>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</si>
  <si>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</si>
  <si>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</si>
  <si>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</si>
  <si>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</si>
  <si>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</si>
  <si>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</si>
  <si>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</si>
  <si>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</si>
  <si>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</si>
  <si>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</si>
  <si>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</si>
  <si>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</si>
  <si>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</si>
  <si>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</si>
  <si>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</si>
  <si>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</si>
  <si>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</si>
  <si>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</si>
  <si>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</si>
  <si>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</si>
  <si>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</si>
  <si>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</si>
  <si>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</si>
  <si>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</si>
  <si>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</si>
  <si>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</si>
  <si>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</si>
  <si>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</si>
  <si>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</si>
  <si>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</si>
  <si>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</si>
  <si>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</si>
  <si>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</si>
  <si>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</si>
  <si>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</si>
  <si>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</si>
  <si>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</si>
  <si>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</si>
  <si>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</si>
  <si>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</si>
  <si>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</si>
  <si>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</si>
  <si>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</si>
  <si>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</si>
  <si>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</si>
  <si>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</si>
  <si>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</si>
  <si>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</si>
  <si>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</si>
  <si>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</si>
  <si>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</si>
  <si>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</si>
  <si>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</si>
  <si>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</si>
  <si>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</si>
  <si>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</si>
  <si>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</si>
  <si>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</si>
  <si>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</si>
  <si>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</si>
  <si>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</si>
  <si>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</si>
  <si>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</si>
  <si>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</si>
  <si>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</si>
  <si>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</si>
  <si>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</si>
  <si>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</si>
  <si>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</si>
  <si>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</si>
  <si>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</si>
  <si>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</si>
  <si>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</si>
  <si>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</si>
  <si>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</si>
  <si>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</si>
  <si>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</si>
  <si>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</si>
  <si>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</si>
  <si>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</si>
  <si>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</si>
  <si>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</si>
  <si>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</si>
  <si>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</si>
  <si>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</si>
  <si>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</si>
  <si>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</si>
  <si>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</si>
  <si>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</si>
  <si>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</si>
  <si>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</si>
  <si>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</si>
  <si>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</si>
  <si>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</si>
  <si>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</si>
  <si>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</si>
  <si>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</si>
  <si>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</si>
  <si>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</si>
  <si>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</si>
  <si>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</si>
  <si>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</si>
  <si>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</si>
  <si>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</si>
  <si>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</si>
  <si>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</si>
  <si>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</si>
  <si>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</si>
  <si>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</si>
  <si>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</si>
  <si>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</si>
  <si>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</si>
  <si>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</si>
  <si>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</si>
  <si>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</si>
  <si>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</si>
  <si>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</si>
  <si>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</si>
  <si>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</si>
  <si>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</si>
  <si>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</si>
  <si>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</si>
  <si>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</si>
  <si>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</si>
  <si>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</si>
  <si>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</si>
  <si>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</si>
  <si>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</si>
  <si>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</si>
  <si>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</si>
  <si>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</si>
  <si>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</si>
  <si>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</si>
  <si>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</si>
  <si>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</si>
  <si>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</si>
  <si>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</si>
  <si>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</si>
  <si>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</si>
  <si>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</si>
  <si>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</si>
  <si>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</si>
  <si>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</si>
  <si>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</si>
  <si>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</si>
  <si>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</si>
  <si>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</si>
  <si>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</si>
  <si>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</si>
  <si>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</si>
  <si>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</si>
  <si>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</si>
  <si>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</si>
  <si>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</si>
  <si>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</si>
  <si>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</si>
  <si>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</si>
  <si>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</si>
  <si>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</si>
  <si>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</si>
  <si>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</si>
  <si>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</si>
  <si>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</si>
  <si>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</si>
  <si>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</si>
  <si>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</si>
  <si>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</si>
  <si>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</si>
  <si>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</si>
  <si>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</si>
  <si>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</si>
  <si>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</si>
  <si>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</si>
  <si>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</si>
  <si>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</si>
  <si>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</si>
  <si>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</si>
  <si>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</si>
  <si>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</si>
  <si>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</si>
  <si>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</si>
  <si>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</si>
  <si>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</si>
  <si>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</si>
  <si>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</si>
  <si>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</si>
  <si>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</si>
  <si>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</si>
  <si>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</si>
  <si>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</si>
  <si>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</si>
  <si>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</si>
  <si>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</si>
  <si>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</si>
  <si>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</si>
  <si>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</si>
  <si>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</si>
  <si>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</si>
  <si>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</si>
  <si>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</si>
  <si>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</si>
  <si>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</si>
  <si>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</si>
  <si>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</si>
  <si>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</si>
  <si>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</si>
  <si>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</si>
  <si>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</si>
  <si>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</si>
  <si>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</si>
  <si>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</si>
  <si>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</si>
  <si>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</si>
  <si>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</si>
  <si>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</si>
  <si>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</si>
  <si>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</si>
  <si>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</si>
  <si>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</si>
  <si>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</si>
  <si>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</si>
  <si>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</si>
  <si>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</si>
  <si>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</si>
  <si>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</si>
  <si>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</si>
  <si>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</si>
  <si>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</si>
  <si>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</si>
  <si>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</si>
  <si>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</si>
  <si>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</si>
  <si>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</si>
  <si>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</si>
  <si>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</si>
  <si>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</si>
  <si>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</si>
  <si>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</si>
  <si>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</si>
  <si>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</si>
  <si>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</si>
  <si>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</si>
  <si>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</si>
  <si>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</si>
  <si>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</si>
  <si>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</si>
  <si>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</si>
  <si>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</si>
  <si>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</si>
  <si>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</si>
  <si>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</si>
  <si>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</si>
  <si>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</si>
  <si>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</si>
  <si>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</si>
  <si>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</si>
  <si>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</si>
  <si>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</si>
  <si>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</si>
  <si>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</si>
  <si>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</si>
  <si>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</si>
  <si>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</si>
  <si>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</si>
  <si>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</si>
  <si>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</si>
  <si>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</si>
  <si>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</si>
  <si>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</si>
  <si>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</si>
  <si>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</si>
  <si>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</si>
  <si>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</si>
  <si>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</si>
  <si>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</si>
  <si>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</si>
  <si>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</si>
  <si>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</si>
  <si>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</si>
  <si>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</si>
  <si>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</si>
  <si>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</si>
  <si>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</si>
  <si>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</si>
  <si>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</si>
  <si>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</si>
  <si>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</si>
  <si>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</si>
  <si>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</si>
  <si>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</si>
  <si>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</si>
  <si>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</si>
  <si>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</si>
  <si>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</si>
  <si>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</si>
  <si>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</si>
  <si>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</si>
  <si>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</si>
  <si>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</si>
  <si>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</si>
  <si>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</si>
  <si>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</si>
  <si>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</si>
  <si>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</si>
  <si>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</si>
  <si>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</si>
  <si>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</si>
  <si>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</si>
  <si>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</si>
  <si>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</si>
  <si>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</si>
  <si>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</si>
  <si>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</si>
  <si>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</si>
  <si>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</si>
  <si>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</si>
  <si>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</si>
  <si>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</si>
  <si>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</si>
  <si>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</si>
  <si>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</si>
  <si>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</si>
  <si>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</si>
  <si>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</si>
  <si>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</si>
  <si>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</si>
  <si>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</si>
  <si>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</si>
  <si>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</si>
  <si>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</si>
  <si>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</si>
  <si>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</si>
  <si>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</si>
  <si>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</si>
  <si>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</si>
  <si>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</si>
  <si>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</si>
  <si>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</si>
  <si>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</si>
  <si>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</si>
  <si>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</si>
  <si>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</si>
  <si>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</si>
  <si>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</si>
  <si>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</si>
  <si>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</si>
  <si>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</si>
  <si>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</si>
  <si>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</si>
  <si>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</si>
  <si>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</si>
  <si>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</si>
  <si>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</si>
  <si>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</si>
  <si>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</si>
  <si>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</si>
  <si>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</si>
  <si>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</si>
  <si>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</si>
  <si>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</si>
  <si>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</si>
  <si>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</si>
  <si>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</si>
  <si>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</si>
  <si>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</si>
  <si>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</si>
  <si>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</si>
  <si>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</si>
  <si>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</si>
  <si>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</si>
  <si>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</si>
  <si>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</si>
  <si>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</si>
  <si>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</si>
  <si>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</si>
  <si>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</si>
  <si>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</si>
  <si>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</si>
  <si>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</si>
  <si>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</si>
  <si>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</si>
  <si>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</si>
  <si>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</si>
  <si>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</si>
  <si>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</si>
  <si>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</si>
  <si>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</si>
  <si>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</si>
  <si>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</si>
  <si>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</si>
  <si>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</si>
  <si>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</si>
  <si>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</si>
  <si>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</si>
  <si>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</si>
  <si>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</si>
  <si>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</si>
  <si>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</si>
  <si>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</si>
  <si>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</si>
  <si>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</si>
  <si>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</si>
  <si>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</si>
  <si>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</si>
  <si>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</si>
  <si>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</si>
  <si>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</si>
  <si>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</si>
  <si>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</si>
  <si>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</si>
  <si>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</si>
  <si>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</si>
  <si>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</si>
  <si>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</si>
  <si>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</si>
  <si>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</si>
  <si>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</si>
  <si>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</si>
  <si>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</si>
  <si>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</si>
  <si>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</si>
  <si>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</si>
  <si>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</si>
  <si>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</si>
  <si>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</si>
  <si>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</si>
  <si>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</si>
  <si>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</si>
  <si>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</si>
  <si>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</si>
  <si>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</si>
  <si>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</si>
  <si>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</si>
  <si>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</si>
  <si>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</si>
  <si>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</si>
  <si>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</si>
  <si>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</si>
  <si>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</si>
  <si>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</si>
  <si>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</si>
  <si>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</si>
  <si>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</si>
  <si>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</si>
  <si>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</si>
  <si>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</si>
  <si>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</si>
  <si>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</si>
  <si>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</si>
  <si>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</si>
  <si>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</si>
  <si>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</si>
  <si>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</si>
  <si>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</si>
  <si>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</si>
  <si>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</si>
  <si>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</si>
  <si>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</si>
  <si>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</si>
  <si>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</si>
  <si>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</si>
  <si>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</si>
  <si>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</si>
  <si>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</si>
  <si>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</si>
  <si>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</si>
  <si>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</si>
  <si>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</si>
  <si>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</si>
  <si>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</si>
  <si>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</si>
  <si>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</si>
  <si>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</si>
  <si>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</si>
  <si>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</si>
  <si>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</si>
  <si>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</si>
  <si>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</si>
  <si>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</si>
  <si>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</si>
  <si>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</si>
  <si>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</si>
  <si>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</si>
  <si>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</si>
  <si>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</si>
  <si>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</si>
  <si>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</si>
  <si>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</si>
  <si>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</si>
  <si>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</si>
  <si>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</si>
  <si>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</si>
  <si>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</si>
  <si>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</si>
  <si>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</si>
  <si>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</si>
  <si>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</si>
  <si>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</si>
  <si>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</si>
  <si>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</si>
  <si>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</si>
  <si>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</si>
  <si>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</si>
  <si>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</si>
  <si>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</si>
  <si>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</si>
  <si>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</si>
  <si>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</si>
  <si>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</si>
  <si>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</si>
  <si>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</si>
  <si>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</si>
  <si>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</si>
  <si>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</si>
  <si>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</si>
  <si>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</si>
  <si>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</si>
  <si>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</si>
  <si>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</si>
  <si>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</si>
  <si>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</si>
  <si>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</si>
  <si>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</si>
  <si>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</si>
  <si>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</si>
  <si>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</si>
  <si>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</si>
  <si>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</si>
  <si>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</si>
  <si>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</si>
  <si>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</si>
  <si>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</si>
  <si>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</si>
  <si>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</si>
  <si>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</si>
  <si>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</si>
  <si>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</si>
  <si>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</si>
  <si>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</si>
  <si>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</si>
  <si>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</si>
  <si>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</si>
  <si>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</si>
  <si>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</si>
  <si>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</si>
  <si>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</si>
  <si>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</si>
  <si>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</si>
  <si>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</si>
  <si>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</si>
  <si>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</si>
  <si>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</si>
  <si>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</si>
  <si>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</si>
  <si>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</si>
  <si>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</si>
  <si>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</si>
  <si>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</si>
  <si>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</si>
  <si>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</si>
  <si>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</si>
  <si>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</si>
  <si>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</si>
  <si>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</si>
  <si>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</si>
  <si>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</si>
  <si>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</si>
  <si>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</si>
  <si>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</si>
  <si>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</si>
  <si>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</si>
  <si>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</si>
  <si>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</si>
  <si>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</si>
  <si>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</si>
  <si>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</si>
  <si>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</si>
  <si>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</si>
  <si>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</si>
  <si>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</si>
  <si>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</si>
  <si>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</si>
  <si>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</si>
  <si>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</si>
  <si>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</si>
  <si>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</si>
  <si>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</si>
  <si>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</si>
  <si>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</si>
  <si>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</si>
  <si>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</si>
  <si>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</si>
  <si>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</si>
  <si>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</si>
  <si>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</si>
  <si>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</si>
  <si>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</si>
  <si>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</si>
  <si>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</si>
  <si>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</si>
  <si>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</si>
  <si>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</si>
  <si>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</si>
  <si>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</si>
  <si>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</si>
  <si>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</si>
  <si>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</si>
  <si>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</si>
  <si>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</si>
  <si>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</si>
  <si>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</si>
  <si>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</si>
  <si>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</si>
  <si>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</si>
  <si>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</si>
  <si>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</si>
  <si>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</si>
  <si>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</si>
  <si>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</si>
  <si>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</si>
  <si>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</si>
  <si>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</si>
  <si>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</si>
  <si>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</si>
  <si>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</si>
  <si>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</si>
  <si>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</si>
  <si>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</si>
  <si>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</si>
  <si>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</si>
  <si>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</si>
  <si>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</si>
  <si>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</si>
  <si>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</si>
  <si>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</si>
  <si>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</si>
  <si>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</si>
  <si>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</si>
  <si>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</si>
  <si>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</si>
  <si>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</si>
  <si>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</si>
  <si>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</si>
  <si>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</si>
  <si>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</si>
  <si>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</si>
  <si>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</si>
  <si>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</si>
  <si>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</si>
  <si>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</si>
  <si>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</si>
  <si>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</si>
  <si>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</si>
  <si>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</si>
  <si>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</si>
  <si>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</si>
  <si>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</si>
  <si>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</si>
  <si>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</si>
  <si>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</si>
  <si>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</si>
  <si>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</si>
  <si>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</si>
  <si>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</si>
  <si>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</si>
  <si>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</si>
  <si>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</si>
  <si>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</si>
  <si>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</si>
  <si>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</si>
  <si>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</si>
  <si>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</si>
  <si>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</si>
  <si>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</si>
  <si>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</si>
  <si>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</si>
  <si>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</si>
  <si>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</si>
  <si>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</si>
  <si>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</si>
  <si>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</si>
  <si>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</si>
  <si>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</si>
  <si>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</si>
  <si>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</si>
  <si>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</si>
  <si>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</si>
  <si>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</si>
  <si>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</si>
  <si>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</si>
  <si>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</si>
  <si>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</si>
  <si>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</si>
  <si>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</si>
  <si>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</si>
  <si>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</si>
  <si>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</si>
  <si>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</si>
  <si>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</si>
  <si>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</si>
  <si>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</si>
  <si>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</si>
  <si>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</si>
  <si>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</si>
  <si>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</si>
  <si>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</si>
  <si>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</si>
  <si>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</si>
  <si>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</si>
  <si>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</si>
  <si>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</si>
  <si>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</si>
  <si>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</si>
  <si>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</si>
  <si>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</si>
  <si>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</si>
  <si>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</si>
  <si>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</si>
  <si>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</si>
  <si>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</si>
  <si>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</si>
  <si>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</si>
  <si>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</si>
  <si>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</si>
  <si>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</si>
  <si>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</si>
  <si>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</si>
  <si>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</si>
  <si>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</si>
  <si>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</si>
  <si>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</si>
  <si>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</si>
  <si>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</si>
  <si>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</si>
  <si>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</si>
  <si>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</si>
  <si>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</si>
  <si>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</si>
  <si>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</si>
  <si>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</si>
  <si>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</si>
  <si>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</si>
  <si>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</si>
  <si>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</si>
  <si>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</si>
  <si>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</si>
  <si>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</si>
  <si>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</si>
  <si>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</si>
  <si>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</si>
  <si>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</si>
  <si>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</si>
  <si>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</si>
  <si>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</si>
  <si>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</si>
  <si>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</si>
  <si>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</si>
  <si>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</si>
  <si>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</si>
  <si>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</si>
  <si>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</si>
  <si>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</si>
  <si>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</si>
  <si>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</si>
  <si>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</si>
  <si>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</si>
  <si>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</si>
  <si>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</si>
  <si>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</si>
  <si>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</si>
  <si>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</si>
  <si>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</si>
  <si>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</si>
  <si>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</si>
  <si>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</si>
  <si>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</si>
  <si>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</si>
  <si>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</si>
  <si>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</si>
  <si>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</si>
  <si>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</si>
  <si>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</si>
  <si>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</si>
  <si>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</si>
  <si>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</si>
  <si>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</si>
  <si>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</si>
  <si>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</si>
  <si>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</si>
  <si>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</si>
  <si>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</si>
  <si>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</si>
  <si>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</si>
  <si>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</si>
  <si>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</si>
  <si>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</si>
  <si>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</si>
  <si>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</si>
  <si>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</si>
  <si>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</si>
  <si>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</si>
  <si>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</si>
  <si>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</si>
  <si>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</si>
  <si>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</si>
  <si>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</si>
  <si>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</si>
  <si>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</si>
  <si>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</si>
  <si>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</si>
  <si>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</si>
  <si>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</si>
  <si>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</si>
  <si>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</si>
  <si>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</si>
  <si>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</si>
  <si>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</si>
  <si>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</si>
  <si>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</si>
  <si>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</si>
  <si>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</si>
  <si>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</si>
  <si>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</si>
  <si>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</si>
  <si>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</si>
  <si>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</si>
  <si>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</si>
  <si>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</si>
  <si>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</si>
  <si>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</si>
  <si>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</si>
  <si>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</si>
  <si>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</si>
  <si>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</si>
  <si>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</si>
  <si>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</si>
  <si>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</si>
  <si>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</si>
  <si>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</si>
  <si>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</si>
  <si>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</si>
  <si>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</si>
  <si>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</si>
  <si>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</si>
  <si>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</si>
  <si>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</si>
  <si>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</si>
  <si>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</si>
  <si>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</si>
  <si>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</si>
  <si>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</si>
  <si>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</si>
  <si>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</si>
  <si>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</si>
  <si>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</si>
  <si>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</si>
  <si>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</si>
  <si>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</si>
  <si>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</si>
  <si>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</si>
  <si>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</si>
  <si>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</si>
  <si>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</si>
  <si>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</si>
  <si>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</si>
  <si>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</si>
  <si>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</si>
  <si>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</si>
  <si>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</si>
  <si>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</si>
  <si>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</si>
  <si>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</si>
  <si>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</si>
  <si>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</si>
  <si>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</si>
  <si>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</si>
  <si>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</si>
  <si>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</si>
  <si>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</si>
  <si>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</si>
  <si>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</si>
  <si>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</si>
  <si>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</si>
  <si>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</si>
  <si>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</si>
  <si>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</si>
  <si>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</si>
  <si>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</si>
  <si>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</si>
  <si>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</si>
  <si>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</si>
  <si>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</si>
  <si>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</si>
  <si>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</si>
  <si>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</si>
  <si>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</si>
  <si>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</si>
  <si>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</si>
  <si>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</si>
  <si>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</si>
  <si>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</si>
  <si>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</si>
  <si>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</si>
  <si>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</si>
  <si>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</si>
  <si>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</si>
  <si>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</si>
  <si>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</si>
  <si>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</si>
  <si>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</si>
  <si>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</si>
  <si>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</si>
  <si>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</si>
  <si>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</si>
  <si>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</si>
  <si>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</si>
  <si>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</si>
  <si>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</si>
  <si>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</si>
  <si>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</si>
  <si>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</si>
  <si>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</si>
  <si>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</si>
  <si>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</si>
  <si>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</si>
  <si>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</si>
  <si>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</si>
  <si>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</si>
  <si>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</si>
  <si>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</si>
  <si>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</si>
  <si>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</si>
  <si>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</si>
  <si>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</si>
  <si>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</si>
  <si>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</si>
  <si>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</si>
  <si>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</si>
  <si>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</si>
  <si>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</si>
  <si>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</si>
  <si>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</si>
  <si>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</si>
  <si>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</si>
  <si>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</si>
  <si>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</si>
  <si>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</si>
  <si>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</si>
  <si>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</si>
  <si>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</si>
  <si>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</si>
  <si>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</si>
  <si>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</si>
  <si>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</si>
  <si>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</si>
  <si>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</si>
  <si>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</si>
  <si>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</si>
  <si>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</si>
  <si>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</si>
  <si>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</si>
  <si>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</si>
  <si>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</si>
  <si>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</si>
  <si>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</si>
  <si>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</si>
  <si>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</si>
  <si>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</si>
  <si>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</si>
  <si>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</si>
  <si>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</si>
  <si>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</si>
  <si>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</si>
  <si>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</si>
  <si>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</si>
  <si>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</si>
  <si>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</si>
  <si>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</si>
  <si>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</si>
  <si>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</si>
  <si>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</si>
  <si>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</si>
  <si>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</si>
  <si>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</si>
  <si>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</si>
  <si>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</si>
  <si>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</si>
  <si>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</si>
  <si>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</si>
  <si>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</si>
  <si>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</si>
  <si>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</si>
  <si>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</si>
  <si>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</si>
  <si>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</si>
  <si>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</si>
  <si>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</si>
  <si>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</si>
  <si>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</si>
  <si>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</si>
  <si>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</si>
  <si>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</si>
  <si>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</si>
  <si>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</si>
  <si>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</si>
  <si>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</si>
  <si>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</si>
  <si>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</si>
  <si>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</si>
  <si>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</si>
  <si>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</si>
  <si>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</si>
  <si>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</si>
  <si>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</si>
  <si>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</si>
  <si>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</si>
  <si>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</si>
  <si>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</si>
  <si>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</si>
  <si>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</si>
  <si>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</si>
  <si>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</si>
  <si>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</si>
  <si>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</si>
  <si>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</si>
  <si>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</si>
  <si>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</si>
  <si>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</si>
  <si>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</si>
  <si>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</si>
  <si>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</si>
  <si>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</si>
  <si>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</si>
  <si>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</si>
  <si>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</si>
  <si>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</si>
  <si>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</si>
  <si>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</si>
  <si>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</si>
  <si>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</si>
  <si>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</si>
  <si>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</si>
  <si>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</si>
  <si>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</si>
  <si>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</si>
  <si>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</si>
  <si>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</si>
  <si>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</si>
  <si>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</si>
  <si>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</si>
  <si>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</si>
  <si>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</si>
  <si>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</si>
  <si>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</si>
  <si>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</si>
  <si>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</si>
  <si>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</si>
  <si>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</si>
  <si>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</si>
  <si>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</si>
  <si>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</si>
  <si>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</si>
  <si>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</si>
  <si>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</si>
  <si>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</si>
  <si>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</si>
  <si>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</si>
  <si>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</si>
  <si>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</si>
  <si>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</si>
  <si>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</si>
  <si>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</si>
  <si>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</si>
  <si>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</si>
  <si>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</si>
  <si>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</si>
  <si>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</si>
  <si>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</si>
  <si>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</si>
  <si>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</si>
  <si>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</si>
  <si>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</si>
  <si>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</si>
  <si>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</si>
  <si>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</si>
  <si>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</si>
  <si>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</si>
  <si>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</si>
  <si>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</si>
  <si>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</si>
  <si>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</si>
  <si>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</si>
  <si>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</si>
  <si>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</si>
  <si>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</si>
  <si>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</si>
  <si>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</si>
  <si>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</si>
  <si>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</si>
  <si>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</si>
  <si>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</si>
  <si>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</si>
  <si>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</si>
  <si>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</si>
  <si>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</si>
  <si>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</si>
  <si>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</si>
  <si>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</si>
  <si>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</si>
  <si>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</si>
  <si>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</si>
  <si>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</si>
  <si>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</si>
  <si>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</si>
  <si>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</si>
  <si>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</si>
  <si>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</si>
  <si>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</si>
  <si>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</si>
  <si>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</si>
  <si>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</si>
  <si>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</si>
  <si>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</si>
  <si>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</si>
  <si>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</si>
  <si>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</si>
  <si>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</si>
  <si>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</si>
  <si>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</si>
  <si>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</si>
  <si>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</si>
  <si>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</si>
  <si>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</si>
  <si>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</si>
  <si>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</si>
  <si>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</si>
  <si>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</si>
  <si>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</si>
  <si>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</si>
  <si>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</si>
  <si>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</si>
  <si>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</si>
  <si>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</si>
  <si>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</si>
  <si>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</si>
  <si>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</si>
  <si>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</si>
  <si>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</si>
  <si>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</si>
  <si>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</si>
  <si>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</si>
  <si>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</si>
  <si>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</si>
  <si>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</si>
  <si>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</si>
  <si>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</si>
  <si>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</si>
  <si>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</si>
  <si>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</si>
  <si>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</si>
  <si>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</si>
  <si>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</si>
  <si>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</si>
  <si>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</si>
  <si>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</si>
  <si>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</si>
  <si>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</si>
  <si>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</si>
  <si>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</si>
  <si>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</si>
  <si>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</si>
  <si>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</si>
  <si>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</si>
  <si>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</si>
  <si>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</si>
  <si>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</si>
  <si>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CP-RED-06</t>
  </si>
  <si>
    <t>ELETROCALHA PERFURADA TIPO C 50X50 MM CHAPA 18</t>
  </si>
  <si>
    <t>CP-RED-07</t>
  </si>
  <si>
    <t>ELETROCALHA PERFURADA TIPO C 50X75 MM CHAPA 18</t>
  </si>
  <si>
    <t>CP-RED-08</t>
  </si>
  <si>
    <t>ELETROCALHA PERFURADA TIPO C 50X150 MM CHAPA 18</t>
  </si>
  <si>
    <t>ELETROCALHA PERFURADA TIPO C 75X75 MM CHAPA 18</t>
  </si>
  <si>
    <t>CP-RED-09</t>
  </si>
  <si>
    <t>CP-RED-10</t>
  </si>
  <si>
    <t xml:space="preserve">ELETROCALHA PERFURADA TIPO C 75X150 MM CHAPA 18 INCLUSIVE CONEXÕES, TAMPAS  E SUPORTE   </t>
  </si>
  <si>
    <t>ELETROCALHA PERFURADA TIPO C 75X150 MM CHAPA 18 - INCLUSIVE CONEXÕES, TAMPAS  E SUPORTE - FORNECIMENTO E INSTALAÇÃO</t>
  </si>
  <si>
    <t>ELETROCALHA PERFURADA TIPO C 75X75 MM CHAPA 18 - INCLUSIVE CONEXÕES, TAMPAS  E SUPORTE - FORNECIMENTO E INSTALAÇÃO</t>
  </si>
  <si>
    <t>ELETROCALHA PERFURADA TIPO C 50X150 MM CHAPA 18 -INCLUSIVE CONEXÕES, TAMPAS  E SUPORTE - FORNECIMENTO E INSTALAÇÃO</t>
  </si>
  <si>
    <t>ELETROCALHA PERFURADA TIPO C 50X75 MM CHAPA 18 - INCLUSIVE CONEXÕES, TAMPAS  E SUPORTE - FORNECIMENTO E INSTALAÇÃO</t>
  </si>
  <si>
    <t>ELETROCALHA PERFURADA TIPO C 50X50 MM CHAPA 18 - INCLUSIVE CONEXÕES, TAMPAS  E SUPORTE - FORNECIMENTO E INSTALAÇÃO</t>
  </si>
  <si>
    <t>ELETROCALHAS E ELETRODUTOS</t>
  </si>
  <si>
    <t>CP-INC-03</t>
  </si>
  <si>
    <t>CP-INC-04</t>
  </si>
  <si>
    <t>BOTOEIRA CHAVE COM MARTELINHO</t>
  </si>
  <si>
    <t>BOTOEIRA CHAVE COM MARTELINHO - FORNECIMENTO E INSTALAÇÃO</t>
  </si>
  <si>
    <t>BOTOEIRA QUEBRA VIDRO - FORNECIMENTO E INSTALAÇÃO</t>
  </si>
  <si>
    <t>BOTOEIRA QUEBRA VIDRO</t>
  </si>
  <si>
    <t>CENTRAL DE ALARME DE INCÊNDIO ENDEREÇAVEL</t>
  </si>
  <si>
    <t>CENTRAL DE ALARME DE INCÊNDIO ENDEREÇAVEL - FORNECIMENTO E INSTALAÇÃO</t>
  </si>
  <si>
    <t>CP-PLA-01</t>
  </si>
  <si>
    <t>CP-INC-05</t>
  </si>
  <si>
    <t>AVISADOR SONORO</t>
  </si>
  <si>
    <t>AVISADOR SONORO - FORNECIMENTO E INSTALAÇÃO</t>
  </si>
  <si>
    <t>SISTEMA DE PROTEÇÃO CONTRA DESCARGAS ATMOSFÉRICAS</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</si>
  <si>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</si>
  <si>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</si>
  <si>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</si>
  <si>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</si>
  <si>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</si>
  <si>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</si>
  <si>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</si>
  <si>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</si>
  <si>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</si>
  <si>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</si>
  <si>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</si>
  <si>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CP-SPDA-05</t>
  </si>
  <si>
    <t>SPDA CAIXA DÁGUA - FORNECIMENTO E INSTALAÇÃO</t>
  </si>
  <si>
    <t>CP-SPDA-06</t>
  </si>
  <si>
    <t>FIXADOR UNIVERSAL DE SPDA</t>
  </si>
  <si>
    <t>CP-SPDA-07</t>
  </si>
  <si>
    <t>TERMINAL AÉREO COM BRAÇADEIRA DE FIXAÇÃO</t>
  </si>
  <si>
    <t>CP-SPDA-08</t>
  </si>
  <si>
    <t>CORDOALHA DE COBRE NU 35 MM², ENTERRADA, SEM ISOLADOR - FORNECIMENTO E INSTALAÇÃO.</t>
  </si>
  <si>
    <t>SERVIÇOS DIVERSOS</t>
  </si>
  <si>
    <t>CP-SD- 01</t>
  </si>
  <si>
    <t>PLACA DE INAUGURAÇÃO</t>
  </si>
  <si>
    <t>rampas</t>
  </si>
  <si>
    <t>FORNECIMENTO E INSTALAÇÃO QUADRO DE VIDRO, FUNDO BRANCO 4,00X1,20 COM REQUADRO E ACABAMENTO EM ALUMINIO.</t>
  </si>
  <si>
    <t>CP-SD- 02</t>
  </si>
  <si>
    <t>CP-SD- 03</t>
  </si>
  <si>
    <t>CP-SD- 04</t>
  </si>
  <si>
    <t>ACESSÓRIOS DA QUADRA</t>
  </si>
  <si>
    <t>Estrutura Pé Direito Com Reforço, Para Cesta De Basquete</t>
  </si>
  <si>
    <t>PAR</t>
  </si>
  <si>
    <t>CONJUNTO PARA FUTSAL COM TRAVES OFICIAIS DE 3,00 X 2,00 M EM TUBO DE ACO GALVANIZADO 3" COM REQUADRO EM TUBO DE 1", PINTURA EM PRIMER COM TINTA ESMALTE SINTETICO E REDES DE POLIETILENO FIO 4 MM  - FORNECIMENTO E INSTALAÇÃO</t>
  </si>
  <si>
    <t xml:space="preserve">CONJUNTO PARA QUADRA DE  VOLEI COM POSTES EM TUBO DE ACO GALVANIZADO 3", H = *255* CM, PINTURA EM TINTA ESMALTE SINTETICO, REDE DE NYLON COM 2 MM, MALHA 10 X 10 CM E ANTENAS OFICIAIS EM FIBRA DE VIDRO - FORNECIMENTO E INSTALAÇÃO                                                                                                                                                                                                                                                                                                </t>
  </si>
  <si>
    <t xml:space="preserve">PAR DE TABELAS DE BASQUETE EM COMPENSADO NAVAL DE *1,80 X 1,20* M, COM ARO DE METAL E REDE (COM SUPORTE DE FIXACAO E ESTRUTURA COM PÉ DIREITO 3 METROS DE ALTURA) - FORNECIMENTO E INSTALAÇÃO                                                                                                                                                                                                                                                                                                                                                                                      </t>
  </si>
  <si>
    <t>CP-IP-03</t>
  </si>
  <si>
    <t>LOCAÇÃO DE 3 CONTAINERS - 1 CONTAINER PARA ESCRITÓRIO COM SANITÁRIO, 1 CONTAINER PARA ALMOXARIFE E 1 CONTAINER PARA BANHEIRO COM BACIAS E LAVATORIOS</t>
  </si>
  <si>
    <t>MÊS</t>
  </si>
  <si>
    <t>CP-PIS-02</t>
  </si>
  <si>
    <t>PISO GRANILITE MOLDADO IN LOCO - FORNECIMENTO E INSTALAÇÃO</t>
  </si>
  <si>
    <t>2.3</t>
  </si>
  <si>
    <t>2.4</t>
  </si>
  <si>
    <t>2.5</t>
  </si>
  <si>
    <t>SAPATAS E ESTACAS</t>
  </si>
  <si>
    <t>4.1.1.9</t>
  </si>
  <si>
    <t>4.1.1.10</t>
  </si>
  <si>
    <t>4.1.1.11</t>
  </si>
  <si>
    <t>4.1.2.1</t>
  </si>
  <si>
    <t>4.1.2.2</t>
  </si>
  <si>
    <t>4.1.2.3</t>
  </si>
  <si>
    <t>4.1.2.4</t>
  </si>
  <si>
    <t>4.1.2.5</t>
  </si>
  <si>
    <t>4.1.2.6</t>
  </si>
  <si>
    <t>5.2.1.5</t>
  </si>
  <si>
    <t>5.2.1.6</t>
  </si>
  <si>
    <t>5.2.2.6</t>
  </si>
  <si>
    <t>5.2.2.7</t>
  </si>
  <si>
    <t>5.2.2.8</t>
  </si>
  <si>
    <t>5.2.2.9</t>
  </si>
  <si>
    <t>5.2.3</t>
  </si>
  <si>
    <t>5.2.3.1</t>
  </si>
  <si>
    <t>5.2.3.2</t>
  </si>
  <si>
    <t>5.2.3.3</t>
  </si>
  <si>
    <t>5.2.3.4</t>
  </si>
  <si>
    <t>5.2.3.5</t>
  </si>
  <si>
    <t>5.2.3.6</t>
  </si>
  <si>
    <t>5.2.4</t>
  </si>
  <si>
    <t>5.2.4.1</t>
  </si>
  <si>
    <t>5.2.4.2</t>
  </si>
  <si>
    <t>5.2.4.3</t>
  </si>
  <si>
    <t>5.2.4.4</t>
  </si>
  <si>
    <t>5.2.4.5</t>
  </si>
  <si>
    <t>5.3</t>
  </si>
  <si>
    <t>5.3.1</t>
  </si>
  <si>
    <t>DRENAGEM DO PÁTIO E TUBOS DE DECIDAS DO TELHADO</t>
  </si>
  <si>
    <t>6.1.1</t>
  </si>
  <si>
    <t>6.1.2</t>
  </si>
  <si>
    <t>6.1.3</t>
  </si>
  <si>
    <t>6.1.4</t>
  </si>
  <si>
    <t>6.1.5</t>
  </si>
  <si>
    <t>6.1.6</t>
  </si>
  <si>
    <t>6.1.7</t>
  </si>
  <si>
    <t>6.1.8</t>
  </si>
  <si>
    <t>6.1.9</t>
  </si>
  <si>
    <t>6.1.10</t>
  </si>
  <si>
    <t>6.2.1</t>
  </si>
  <si>
    <t>6.2.2</t>
  </si>
  <si>
    <t>6.2.3</t>
  </si>
  <si>
    <t>6.2.4</t>
  </si>
  <si>
    <t>6.2.5</t>
  </si>
  <si>
    <t>6.2.6</t>
  </si>
  <si>
    <t>6.2.7</t>
  </si>
  <si>
    <t>6.2.8</t>
  </si>
  <si>
    <t>9.1.9</t>
  </si>
  <si>
    <t>9.1.10</t>
  </si>
  <si>
    <t>9.1.11</t>
  </si>
  <si>
    <t>9.1.12</t>
  </si>
  <si>
    <t>9.1.13</t>
  </si>
  <si>
    <t>9.1.14</t>
  </si>
  <si>
    <t>9.1.15</t>
  </si>
  <si>
    <t>10.6</t>
  </si>
  <si>
    <t>10.7</t>
  </si>
  <si>
    <t>10.8</t>
  </si>
  <si>
    <t>10.9</t>
  </si>
  <si>
    <t>10.10</t>
  </si>
  <si>
    <t>10.11</t>
  </si>
  <si>
    <t>TELA DE PROTEÇÃO DE FIBRA DE VIDRO ANTI CHAMAS COM REQUADRO EM ALUMINIO</t>
  </si>
  <si>
    <t>TELA DE PROTEÇÃO DE FIBRA DE VIDRO ANTI CHAMAS COM REQUADRO EM ALUMINIO - FORNECIMENTO E INSTALAÇÃO</t>
  </si>
  <si>
    <t>PORTA DE FERRO, DE ABRIR, TIPO CHAPA CORRUGADA (0,90 X 2,10)M, COM GUARNICOES (FECHADURA, REQUADRO BATENTES E ALIZAR) - FORNECIMENTO E INSTALAÇÃO</t>
  </si>
  <si>
    <t>12.4</t>
  </si>
  <si>
    <t>12.5</t>
  </si>
  <si>
    <t>12.6</t>
  </si>
  <si>
    <t>13.1.35</t>
  </si>
  <si>
    <t>13.1.60</t>
  </si>
  <si>
    <t>13.1.61</t>
  </si>
  <si>
    <t>13.1.62</t>
  </si>
  <si>
    <t>13.1.67</t>
  </si>
  <si>
    <t>13.1.68</t>
  </si>
  <si>
    <t>13.1.69</t>
  </si>
  <si>
    <t>13.1.70</t>
  </si>
  <si>
    <t>13.1.74</t>
  </si>
  <si>
    <t>13.1.75</t>
  </si>
  <si>
    <t>13.1.76</t>
  </si>
  <si>
    <t>13.2.3</t>
  </si>
  <si>
    <t>13.2.4</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</si>
  <si>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</si>
  <si>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</si>
  <si>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</si>
  <si>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</si>
  <si>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</si>
  <si>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</si>
  <si>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</si>
  <si>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</si>
  <si>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</si>
  <si>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</si>
  <si>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</si>
  <si>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</si>
  <si>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</si>
  <si>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</si>
  <si>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</si>
  <si>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</si>
  <si>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</si>
  <si>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</si>
  <si>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</si>
  <si>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</si>
  <si>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</si>
  <si>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</si>
  <si>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</si>
  <si>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</si>
  <si>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</si>
  <si>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</si>
  <si>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</si>
  <si>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</si>
  <si>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</si>
  <si>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</si>
  <si>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</si>
  <si>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</si>
  <si>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</si>
  <si>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</si>
  <si>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</si>
  <si>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</si>
  <si>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</si>
  <si>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</si>
  <si>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</si>
  <si>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</si>
  <si>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</si>
  <si>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</si>
  <si>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</si>
  <si>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</si>
  <si>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</si>
  <si>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</si>
  <si>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</si>
  <si>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</si>
  <si>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</si>
  <si>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</si>
  <si>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</si>
  <si>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</si>
  <si>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</si>
  <si>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</si>
  <si>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</si>
  <si>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</si>
  <si>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</si>
  <si>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</si>
  <si>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</si>
  <si>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</si>
  <si>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</si>
  <si>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</si>
  <si>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</si>
  <si>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</si>
  <si>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15.3.14</t>
  </si>
  <si>
    <t>15.3.15</t>
  </si>
  <si>
    <t>15.3.16</t>
  </si>
  <si>
    <t>15.3.17</t>
  </si>
  <si>
    <t>15.3.18</t>
  </si>
  <si>
    <t>15.3.19</t>
  </si>
  <si>
    <t>15.3.20</t>
  </si>
  <si>
    <t>15.3.21</t>
  </si>
  <si>
    <t>15.3.22</t>
  </si>
  <si>
    <t>15.3.23</t>
  </si>
  <si>
    <t>15.3.24</t>
  </si>
  <si>
    <t>15.3.25</t>
  </si>
  <si>
    <t>16.1.1</t>
  </si>
  <si>
    <t>16.1.2</t>
  </si>
  <si>
    <t>16.1.3</t>
  </si>
  <si>
    <t>16.1.4</t>
  </si>
  <si>
    <t>16.1.5</t>
  </si>
  <si>
    <t>16.1.6</t>
  </si>
  <si>
    <t>16.1.7</t>
  </si>
  <si>
    <t>16.1.8</t>
  </si>
  <si>
    <t>16.1.9</t>
  </si>
  <si>
    <t>16.2.1</t>
  </si>
  <si>
    <t>16.2.2</t>
  </si>
  <si>
    <t>16.2.3</t>
  </si>
  <si>
    <t>16.2.4</t>
  </si>
  <si>
    <t>16.2.5</t>
  </si>
  <si>
    <t>16.2.6</t>
  </si>
  <si>
    <t>16.2.7</t>
  </si>
  <si>
    <t>16.2.8</t>
  </si>
  <si>
    <t>16.2.9</t>
  </si>
  <si>
    <t>16.2.10</t>
  </si>
  <si>
    <t>16.2.11</t>
  </si>
  <si>
    <t>16.2.12</t>
  </si>
  <si>
    <t>16.3.1</t>
  </si>
  <si>
    <t>16.3.2</t>
  </si>
  <si>
    <t>16.3.3</t>
  </si>
  <si>
    <t>16.3.4</t>
  </si>
  <si>
    <t>16.3.5</t>
  </si>
  <si>
    <t>16.3.6</t>
  </si>
  <si>
    <t>16.3.7</t>
  </si>
  <si>
    <t>16.3.8</t>
  </si>
  <si>
    <t>16.3.9</t>
  </si>
  <si>
    <t>16.3.10</t>
  </si>
  <si>
    <t>16.3.11</t>
  </si>
  <si>
    <t>16.3.12</t>
  </si>
  <si>
    <t>16.3.13</t>
  </si>
  <si>
    <t>16.3.14</t>
  </si>
  <si>
    <t>16.3.15</t>
  </si>
  <si>
    <t>16.4.1</t>
  </si>
  <si>
    <t>16.4.2</t>
  </si>
  <si>
    <t>16.4.3</t>
  </si>
  <si>
    <t>16.4.4</t>
  </si>
  <si>
    <t>16.4.5</t>
  </si>
  <si>
    <t>16.4.6</t>
  </si>
  <si>
    <t>16.4.7</t>
  </si>
  <si>
    <t>16.4.8</t>
  </si>
  <si>
    <t>16.5.1</t>
  </si>
  <si>
    <t>16.5.2</t>
  </si>
  <si>
    <t>16.5.3</t>
  </si>
  <si>
    <t>16.5.4</t>
  </si>
  <si>
    <t>16.6.1</t>
  </si>
  <si>
    <t>16.6.2</t>
  </si>
  <si>
    <t>16.6.3</t>
  </si>
  <si>
    <t>16.7.1</t>
  </si>
  <si>
    <t>16.7.2</t>
  </si>
  <si>
    <t>16.7.3</t>
  </si>
  <si>
    <t>16.7.4</t>
  </si>
  <si>
    <t>16.8.1</t>
  </si>
  <si>
    <t>16.8.2</t>
  </si>
  <si>
    <t>16.8.3</t>
  </si>
  <si>
    <t>16.8.4</t>
  </si>
  <si>
    <t>16.8.5</t>
  </si>
  <si>
    <t>16.8.6</t>
  </si>
  <si>
    <t>16.8.7</t>
  </si>
  <si>
    <t>16.8.8</t>
  </si>
  <si>
    <t>16.8.9</t>
  </si>
  <si>
    <t>16.9.1</t>
  </si>
  <si>
    <t>16.9.2</t>
  </si>
  <si>
    <t>16.9.3</t>
  </si>
  <si>
    <t>16.9.4</t>
  </si>
  <si>
    <t>16.9.5</t>
  </si>
  <si>
    <t>16.9.6</t>
  </si>
  <si>
    <t>16.9.7</t>
  </si>
  <si>
    <t>16.9.8</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</si>
  <si>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</si>
  <si>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</si>
  <si>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</si>
  <si>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</si>
  <si>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</si>
  <si>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</si>
  <si>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</si>
  <si>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</si>
  <si>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</si>
  <si>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</si>
  <si>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</si>
  <si>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</si>
  <si>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</si>
  <si>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</si>
  <si>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</si>
  <si>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</si>
  <si>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</si>
  <si>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</si>
  <si>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</si>
  <si>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</si>
  <si>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</si>
  <si>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</si>
  <si>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</si>
  <si>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</si>
  <si>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</si>
  <si>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</si>
  <si>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</si>
  <si>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</si>
  <si>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</si>
  <si>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</si>
  <si>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</si>
  <si>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</si>
  <si>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</si>
  <si>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</si>
  <si>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17.2.1</t>
  </si>
  <si>
    <t>17.2.2</t>
  </si>
  <si>
    <t>17.2.3</t>
  </si>
  <si>
    <t>17.2.4</t>
  </si>
  <si>
    <t>17.3.1</t>
  </si>
  <si>
    <t>17.3.2</t>
  </si>
  <si>
    <t>17.3.3</t>
  </si>
  <si>
    <t>17.3.4</t>
  </si>
  <si>
    <t>17.3.5</t>
  </si>
  <si>
    <t>17.3.6</t>
  </si>
  <si>
    <t>17.4.1</t>
  </si>
  <si>
    <t>17.4.2</t>
  </si>
  <si>
    <t>17.4.3</t>
  </si>
  <si>
    <t>17.4.4</t>
  </si>
  <si>
    <t>17.4.5</t>
  </si>
  <si>
    <t>17.4.6</t>
  </si>
  <si>
    <t>17.4.7</t>
  </si>
  <si>
    <t>17.4.8</t>
  </si>
  <si>
    <t>17.4.9</t>
  </si>
  <si>
    <t>17.4.10</t>
  </si>
  <si>
    <t>17.4.11</t>
  </si>
  <si>
    <t>17.4.12</t>
  </si>
  <si>
    <t>17.4.13</t>
  </si>
  <si>
    <t>17.4.14</t>
  </si>
  <si>
    <t>17.4.15</t>
  </si>
  <si>
    <t>17.4.16</t>
  </si>
  <si>
    <t>17.4.17</t>
  </si>
  <si>
    <t>17.4.18</t>
  </si>
  <si>
    <t>17.4.19</t>
  </si>
  <si>
    <t>17.4.20</t>
  </si>
  <si>
    <t>17.4.21</t>
  </si>
  <si>
    <t>17.4.22</t>
  </si>
  <si>
    <t>17.4.23</t>
  </si>
  <si>
    <t>17.5.1</t>
  </si>
  <si>
    <t>17.5.2</t>
  </si>
  <si>
    <t>17.5.3</t>
  </si>
  <si>
    <t>17.5.4</t>
  </si>
  <si>
    <t>17.6.1</t>
  </si>
  <si>
    <t>17.6.2</t>
  </si>
  <si>
    <t>17.6.3</t>
  </si>
  <si>
    <t>17.6.4</t>
  </si>
  <si>
    <t>17.6.5</t>
  </si>
  <si>
    <t>17.6.6</t>
  </si>
  <si>
    <t>17.6.7</t>
  </si>
  <si>
    <t>17.6.8</t>
  </si>
  <si>
    <t>17.6.9</t>
  </si>
  <si>
    <t>17.6.10</t>
  </si>
  <si>
    <t>17.6.11</t>
  </si>
  <si>
    <t>17.6.12</t>
  </si>
  <si>
    <t>17.6.13</t>
  </si>
  <si>
    <t>17.6.14</t>
  </si>
  <si>
    <t>17.6.15</t>
  </si>
  <si>
    <t>17.6.16</t>
  </si>
  <si>
    <t>17.6.17</t>
  </si>
  <si>
    <t>17.6.18</t>
  </si>
  <si>
    <t>17.6.19</t>
  </si>
  <si>
    <t>17.6.20</t>
  </si>
  <si>
    <t>17.6.21</t>
  </si>
  <si>
    <t>17.6.22</t>
  </si>
  <si>
    <t>18.3</t>
  </si>
  <si>
    <t>18.3.1</t>
  </si>
  <si>
    <t>18.3.2</t>
  </si>
  <si>
    <t>18.4</t>
  </si>
  <si>
    <t>18.4.1</t>
  </si>
  <si>
    <t>18.4.2</t>
  </si>
  <si>
    <t>18.5</t>
  </si>
  <si>
    <t>18.5.1</t>
  </si>
  <si>
    <t>18.5.2</t>
  </si>
  <si>
    <t>18.5.3</t>
  </si>
  <si>
    <t>18.5.4</t>
  </si>
  <si>
    <t>18.5.5</t>
  </si>
  <si>
    <t>18.5.6</t>
  </si>
  <si>
    <t>19.1.1</t>
  </si>
  <si>
    <t>19.1.2</t>
  </si>
  <si>
    <t>19.1.3</t>
  </si>
  <si>
    <t>19.1.4</t>
  </si>
  <si>
    <t>19.1.5</t>
  </si>
  <si>
    <t>19.1.6</t>
  </si>
  <si>
    <t>19.2.1</t>
  </si>
  <si>
    <t>19.2.1.1</t>
  </si>
  <si>
    <t>19.2.2</t>
  </si>
  <si>
    <t>19.2.2.1</t>
  </si>
  <si>
    <t>19.2.2.2</t>
  </si>
  <si>
    <t>19.2.2.3</t>
  </si>
  <si>
    <t>19.2.3</t>
  </si>
  <si>
    <t>19.2.3.1</t>
  </si>
  <si>
    <t>19.2.1.2</t>
  </si>
  <si>
    <t>19.2.1.3</t>
  </si>
  <si>
    <t>19.2.1.4</t>
  </si>
  <si>
    <t>19.2.1.5</t>
  </si>
  <si>
    <t>19.2.1.6</t>
  </si>
  <si>
    <t>19.2.1.7</t>
  </si>
  <si>
    <t>19.2.1.8</t>
  </si>
  <si>
    <t>19.2.1.9</t>
  </si>
  <si>
    <t>19.2.1.10</t>
  </si>
  <si>
    <t>19.2.1.11</t>
  </si>
  <si>
    <t>19.2.1.12</t>
  </si>
  <si>
    <t>19.2.1.13</t>
  </si>
  <si>
    <t>19.2.1.14</t>
  </si>
  <si>
    <t>19.2.1.15</t>
  </si>
  <si>
    <t>19.2.3.2</t>
  </si>
  <si>
    <t>19.2.3.3</t>
  </si>
  <si>
    <t>19.2.3.4</t>
  </si>
  <si>
    <t>19.2.4</t>
  </si>
  <si>
    <t>19.2.4.1</t>
  </si>
  <si>
    <t>19.2.4.2</t>
  </si>
  <si>
    <t>19.2.5.2</t>
  </si>
  <si>
    <t>19.2.5.3</t>
  </si>
  <si>
    <t>19.2.5.4</t>
  </si>
  <si>
    <t>19.2.5.5</t>
  </si>
  <si>
    <t>19.2.5.6</t>
  </si>
  <si>
    <t>19.2.5.7</t>
  </si>
  <si>
    <t>19.2.5.8</t>
  </si>
  <si>
    <t>19.2.5.9</t>
  </si>
  <si>
    <t>19.2.5.10</t>
  </si>
  <si>
    <t>19.2.5.11</t>
  </si>
  <si>
    <t>19.2.5.12</t>
  </si>
  <si>
    <t>19.3.1</t>
  </si>
  <si>
    <t>19.2.5.13</t>
  </si>
  <si>
    <t>19.2.5.14</t>
  </si>
  <si>
    <t>20.0</t>
  </si>
  <si>
    <t>20.1</t>
  </si>
  <si>
    <t>20.1.1</t>
  </si>
  <si>
    <t>20.1.2</t>
  </si>
  <si>
    <t>20.1.3</t>
  </si>
  <si>
    <t>20.2</t>
  </si>
  <si>
    <t>20.2.1</t>
  </si>
  <si>
    <t>20.2.2</t>
  </si>
  <si>
    <t>20.2.3</t>
  </si>
  <si>
    <t>21.0</t>
  </si>
  <si>
    <t>21.1</t>
  </si>
  <si>
    <t>21.2</t>
  </si>
  <si>
    <t>21.3</t>
  </si>
  <si>
    <t>PAISAGISMO</t>
  </si>
  <si>
    <t>CP-CF- 04</t>
  </si>
  <si>
    <t xml:space="preserve">COIFA INDUSTRIAL EM INOX (1,30X2,75X0,5) COM EXAUSTORES, DUTOS, CURVAS E CHAPÉUS DE 300MM(30 CM) EM INOX CONFORME PROJETO - FORNECIMENTO E INSTALAÇÃO </t>
  </si>
  <si>
    <t>20.1.4</t>
  </si>
  <si>
    <t>20.3</t>
  </si>
  <si>
    <t>20.3.1</t>
  </si>
  <si>
    <t>20.3.2</t>
  </si>
  <si>
    <t>20.3.3</t>
  </si>
  <si>
    <t>20.2.4</t>
  </si>
  <si>
    <t>CP-SD- 05</t>
  </si>
  <si>
    <t xml:space="preserve">LIXEIRA DUPLA, COM CAPACIDADE VOLUMETRICA DE 60L*, FABRICADA EM TUBO DE ACO CARBONO, CESTOS EM CHAPA DE ACO E PINTURA NO PROCESSO ELETROSTATICO - FORNECIMENTO E INSTALAÇÃO                                                                                                                                                                                                                                                                                  </t>
  </si>
  <si>
    <t>MÊS 01</t>
  </si>
  <si>
    <t>MÊS 02</t>
  </si>
  <si>
    <t>MÊS 03</t>
  </si>
  <si>
    <t>MÊS 04</t>
  </si>
  <si>
    <t>MÊS 05</t>
  </si>
  <si>
    <t>MÊS 06</t>
  </si>
  <si>
    <t>MÊS 07</t>
  </si>
  <si>
    <t>MÊS 08</t>
  </si>
  <si>
    <t>ESQUADRIAS</t>
  </si>
  <si>
    <t>ENDEREÇO: AVENIDA VERDÃO, ESQUINA COM RUA B, BAIRRO ALTO DA BOA VISTA - CRISTO REI, CEP 78120-550</t>
  </si>
  <si>
    <t>DATA BASE: SINAPI-MT JULHO/COM DESONERAÇÃO/2021 - BDI - 28,24%</t>
  </si>
  <si>
    <t>VIGAS - PAVIMENTO SUPERIOR</t>
  </si>
  <si>
    <t>VIGAS  - COBERTURA (RESPALDO)</t>
  </si>
  <si>
    <t>LAJES - ESCOLA</t>
  </si>
  <si>
    <t>LAJE - ARQUIBANCADA</t>
  </si>
  <si>
    <t>Valor com BDI =&gt;</t>
  </si>
  <si>
    <t>Valor do BDI =&gt;</t>
  </si>
  <si>
    <t>MO com LS =&gt;</t>
  </si>
  <si>
    <t>LS =&gt;</t>
  </si>
  <si>
    <t>MO sem LS =&gt;</t>
  </si>
  <si>
    <t>Material</t>
  </si>
  <si>
    <t>VALVULA EM METAL CROMADO PARA PIA AMERICANA 3.1/2 X 1.1/2 "</t>
  </si>
  <si>
    <t xml:space="preserve"> 00006157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</si>
  <si>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</si>
  <si>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</si>
  <si>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</si>
  <si>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</si>
  <si>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</si>
  <si>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</si>
  <si>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</si>
  <si>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</si>
  <si>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86878 </t>
  </si>
  <si>
    <t>Composição</t>
  </si>
  <si>
    <t>Total</t>
  </si>
  <si>
    <t>Valor Unit</t>
  </si>
  <si>
    <t>Quant.</t>
  </si>
  <si>
    <t>Und</t>
  </si>
  <si>
    <t>Tipo</t>
  </si>
  <si>
    <t>Descrição</t>
  </si>
  <si>
    <t>Banco</t>
  </si>
  <si>
    <t>Código</t>
  </si>
  <si>
    <t>VALVULA EM METAL CROMADO PARA TANQUE, 1.1/2 " SEM LADRAO</t>
  </si>
  <si>
    <t xml:space="preserve"> 00037588 </t>
  </si>
  <si>
    <t xml:space="preserve"> 86877 </t>
  </si>
  <si>
    <t>KW/H</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</si>
  <si>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</si>
  <si>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</si>
  <si>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</si>
  <si>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</si>
  <si>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</si>
  <si>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</si>
  <si>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</si>
  <si>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</si>
  <si>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</si>
  <si>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</si>
  <si>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</si>
  <si>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</si>
  <si>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VEDACAO PVC, 100 MM, PARA SAIDA VASO SANITARIO</t>
  </si>
  <si>
    <t xml:space="preserve"> 00006138 </t>
  </si>
  <si>
    <t>REJUNTE EPOXI, QUALQUER COR</t>
  </si>
  <si>
    <t xml:space="preserve"> 00037329 </t>
  </si>
  <si>
    <t>PARAFUSO NIQUELADO COM ACABAMENTO CROMADO PARA FIXAR PECA SANITARIA, INCLUI PORCA CEGA, ARRUELA E BUCHA DE NYLON TAMANHO S-10</t>
  </si>
  <si>
    <t xml:space="preserve"> 00004384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</si>
  <si>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</si>
  <si>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</si>
  <si>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</si>
  <si>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</si>
  <si>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</si>
  <si>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</si>
  <si>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</si>
  <si>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</si>
  <si>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</si>
  <si>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</si>
  <si>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</si>
  <si>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TE SOLDAVEL, PVC, 90 GRAUS, 25 MM, PARA AGUA FRIA PREDIAL (NBR 5648)</t>
  </si>
  <si>
    <t xml:space="preserve"> 00007139 </t>
  </si>
  <si>
    <t>SOLUCAO LIMPADORA PARA PVC, FRASCO COM 1000 CM3</t>
  </si>
  <si>
    <t xml:space="preserve"> 00020083 </t>
  </si>
  <si>
    <t>LIXA D'AGUA EM FOLHA, GRAO 100</t>
  </si>
  <si>
    <t xml:space="preserve"> 00038383 </t>
  </si>
  <si>
    <t>ADESIVO PLASTICO PARA PVC, FRASCO COM 175 GR</t>
  </si>
  <si>
    <t xml:space="preserve"> 00020080 </t>
  </si>
  <si>
    <t xml:space="preserve"> 88248 </t>
  </si>
  <si>
    <t xml:space="preserve"> 94688 </t>
  </si>
  <si>
    <t>TUBO PVC, SOLDAVEL, DN 25 MM, AGUA FRIA (NBR-5648)</t>
  </si>
  <si>
    <t xml:space="preserve"> 00009868 </t>
  </si>
  <si>
    <t xml:space="preserve"> 94648 </t>
  </si>
  <si>
    <t>TORNEIRA DE BOIA CONVENCIONAL PARA CAIXA D'AGUA, 3/4", COM HASTE E TORNEIRA METALICOS E BALAO PLASTICO</t>
  </si>
  <si>
    <t xml:space="preserve"> 00011830 </t>
  </si>
  <si>
    <t>FITA VEDA ROSCA EM ROLOS DE 18 MM X 50 M (L X C)</t>
  </si>
  <si>
    <t xml:space="preserve"> 00003148 </t>
  </si>
  <si>
    <t xml:space="preserve"> 94796 </t>
  </si>
  <si>
    <t>TOMADA 2P+T 10A, 250V  (APENAS MODULO)</t>
  </si>
  <si>
    <t xml:space="preserve"> 00038101 </t>
  </si>
  <si>
    <t xml:space="preserve"> 88247 </t>
  </si>
  <si>
    <t xml:space="preserve"> 88264 </t>
  </si>
  <si>
    <t>INEL - INSTALAÇÃO ELÉTRICA/ELETRIFICAÇÃO E ILUMINAÇÃO EXTERNA</t>
  </si>
  <si>
    <t xml:space="preserve"> 91994 </t>
  </si>
  <si>
    <t xml:space="preserve"> 92006 </t>
  </si>
  <si>
    <t xml:space="preserve"> 91998 </t>
  </si>
  <si>
    <t xml:space="preserve"> 91990 </t>
  </si>
  <si>
    <t>Serviços</t>
  </si>
  <si>
    <t>TRANSPORTE - HORISTA (COLETADO CAIXA)</t>
  </si>
  <si>
    <t xml:space="preserve"> 00037371 </t>
  </si>
  <si>
    <t>Mão de Obra</t>
  </si>
  <si>
    <t>TELHADOR</t>
  </si>
  <si>
    <t xml:space="preserve"> 00012869 </t>
  </si>
  <si>
    <t>Taxas</t>
  </si>
  <si>
    <t>SEGURO - HORISTA (COLETADO CAIXA)</t>
  </si>
  <si>
    <t xml:space="preserve"> 00037373 </t>
  </si>
  <si>
    <t>FERRAMENTAS - FAMILIA CARPINTEIRO DE FORMAS - HORISTA (ENCARGOS COMPLEMENTARES - COLETADO CAIXA)</t>
  </si>
  <si>
    <t xml:space="preserve"> 00043459 </t>
  </si>
  <si>
    <t>Outros</t>
  </si>
  <si>
    <t>EXAMES - HORISTA (COLETADO CAIXA)</t>
  </si>
  <si>
    <t xml:space="preserve"> 00037372 </t>
  </si>
  <si>
    <t>EPI - FAMILIA CARPINTEIRO DE FORMAS - HORISTA (ENCARGOS COMPLEMENTARES - COLETADO CAIXA)</t>
  </si>
  <si>
    <t xml:space="preserve"> 00043483 </t>
  </si>
  <si>
    <t>ALIMENTACAO - HORISTA (COLETADO CAIXA)</t>
  </si>
  <si>
    <t xml:space="preserve"> 00037370 </t>
  </si>
  <si>
    <t xml:space="preserve"> 95385 </t>
  </si>
  <si>
    <t xml:space="preserve"> 88323 </t>
  </si>
  <si>
    <t>TANQUE DE LOUCA BRANCA, COM COLUNA, *30* L</t>
  </si>
  <si>
    <t xml:space="preserve"> 00020271 </t>
  </si>
  <si>
    <t>PARAFUSO NIQUELADO 3 1/2" COM ACABAMENTO CROMADO PARA FIXAR PECA SANITARIA, INCLUI PORCA CEGA, ARRUELA E BUCHA DE NYLON TAMANHO S-8</t>
  </si>
  <si>
    <t xml:space="preserve"> 00004351 </t>
  </si>
  <si>
    <t xml:space="preserve"> 86872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</si>
  <si>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</si>
  <si>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</si>
  <si>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</si>
  <si>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</si>
  <si>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</si>
  <si>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</si>
  <si>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</si>
  <si>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</si>
  <si>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</si>
  <si>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</si>
  <si>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</si>
  <si>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</si>
  <si>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</si>
  <si>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</si>
  <si>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</si>
  <si>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</si>
  <si>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</si>
  <si>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REGISTRO GAVETA BRUTO EM LATAO FORJADO, BITOLA 3/4 " (REF 1509)</t>
  </si>
  <si>
    <t xml:space="preserve"> 00006016 </t>
  </si>
  <si>
    <t xml:space="preserve"> 89353 </t>
  </si>
  <si>
    <t xml:space="preserve"> 88427 </t>
  </si>
  <si>
    <t>PROJETOR DE ARGAMASSA, CAPACIDADE DE PROJECAO 1,5 M3/H, ALCANCE DA PROJECAO 30 ATE 60 M, MOTOR ELETRICO TRIFASICO</t>
  </si>
  <si>
    <t xml:space="preserve"> 00037540 </t>
  </si>
  <si>
    <t xml:space="preserve"> 88425 </t>
  </si>
  <si>
    <t xml:space="preserve"> 88422 </t>
  </si>
  <si>
    <t xml:space="preserve"> 88419 </t>
  </si>
  <si>
    <t xml:space="preserve"> 88418 </t>
  </si>
  <si>
    <t xml:space="preserve"> 88430 </t>
  </si>
  <si>
    <t>PEDRA BRITADA N. 0, OU PEDRISCO (4,8 A 9,5 MM) POSTO PEDREIRA/FORNECEDOR, SEM FRETE</t>
  </si>
  <si>
    <t xml:space="preserve"> 00004720 </t>
  </si>
  <si>
    <t xml:space="preserve"> 88309 </t>
  </si>
  <si>
    <t xml:space="preserve"> 91534 </t>
  </si>
  <si>
    <t xml:space="preserve"> 5679 </t>
  </si>
  <si>
    <t xml:space="preserve"> 91533 </t>
  </si>
  <si>
    <t xml:space="preserve"> 5678 </t>
  </si>
  <si>
    <t xml:space="preserve"> 101623 </t>
  </si>
  <si>
    <t xml:space="preserve"> 101619 </t>
  </si>
  <si>
    <t>AREIA MEDIA - POSTO JAZIDA/FORNECEDOR (RETIRADO NA JAZIDA, SEM TRANSPORTE)</t>
  </si>
  <si>
    <t xml:space="preserve"> 00000370 </t>
  </si>
  <si>
    <t xml:space="preserve"> 101618 </t>
  </si>
  <si>
    <t>m²</t>
  </si>
  <si>
    <t xml:space="preserve"> 101616 </t>
  </si>
  <si>
    <t xml:space="preserve"> 95275 </t>
  </si>
  <si>
    <t>POLIDORA DE PISO (POLITRIZ) ELETRICA, MOTOR MONOFASICO DE 4 HP, PESO DE 100 KG, DIAMETRO DO TRABALHO DE 450 MM</t>
  </si>
  <si>
    <t xml:space="preserve"> 00013954 </t>
  </si>
  <si>
    <t xml:space="preserve"> 95274 </t>
  </si>
  <si>
    <t xml:space="preserve"> 95273 </t>
  </si>
  <si>
    <t xml:space="preserve"> 95272 </t>
  </si>
  <si>
    <t xml:space="preserve"> 95276 </t>
  </si>
  <si>
    <t xml:space="preserve"> 95277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</si>
  <si>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</si>
  <si>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</si>
  <si>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</si>
  <si>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</si>
  <si>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</si>
  <si>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</si>
  <si>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</si>
  <si>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</si>
  <si>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</si>
  <si>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</si>
  <si>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PINTOR PARA TINTA EPOXI</t>
  </si>
  <si>
    <t xml:space="preserve"> 00004785 </t>
  </si>
  <si>
    <t>FERRAMENTAS - FAMILIA PINTOR - HORISTA (ENCARGOS COMPLEMENTARES - COLETADO CAIXA)</t>
  </si>
  <si>
    <t xml:space="preserve"> 00043466 </t>
  </si>
  <si>
    <t>EPI - FAMILIA PINTOR - HORISTA (ENCARGOS COMPLEMENTARES - COLETADO CAIXA)</t>
  </si>
  <si>
    <t xml:space="preserve"> 00043490 </t>
  </si>
  <si>
    <t xml:space="preserve"> 95374 </t>
  </si>
  <si>
    <t xml:space="preserve"> 88312 </t>
  </si>
  <si>
    <t>PREGO DE ACO POLIDO COM CABECA 15 X 15 (1 1/4 X 13)</t>
  </si>
  <si>
    <t xml:space="preserve"> 00020247 </t>
  </si>
  <si>
    <t>DESMOLDANTE PROTETOR PARA FORMAS DE MADEIRA, DE BASE OLEOSA EMULSIONADA EM AGUA</t>
  </si>
  <si>
    <t xml:space="preserve"> 00002692 </t>
  </si>
  <si>
    <t>CHAPA DE MADEIRA COMPENSADA RESINADA PARA FORMA DE CONCRETO, DE *2,2 X 1,1* M, E = 17 MM</t>
  </si>
  <si>
    <t xml:space="preserve"> 00001358 </t>
  </si>
  <si>
    <t xml:space="preserve"> 88239 </t>
  </si>
  <si>
    <t xml:space="preserve"> 88261 </t>
  </si>
  <si>
    <t>FUES - FUNDAÇÕES E ESTRUTURAS</t>
  </si>
  <si>
    <t xml:space="preserve"> 94971 </t>
  </si>
  <si>
    <t xml:space="preserve"> 92783 </t>
  </si>
  <si>
    <t xml:space="preserve"> 97733 </t>
  </si>
  <si>
    <t>SARRAFO *2,5 X 7,5* CM EM PINUS, MISTA OU EQUIVALENTE DA REGIAO - BRUTA</t>
  </si>
  <si>
    <t xml:space="preserve"> 00004517 </t>
  </si>
  <si>
    <t xml:space="preserve"> 94972 </t>
  </si>
  <si>
    <t xml:space="preserve"> 97735 </t>
  </si>
  <si>
    <t xml:space="preserve"> 97734 </t>
  </si>
  <si>
    <t>PERFURATRIZ PNEUMATICA MANUAL DE PESO MEDIO, 18KG, COMPRIMENTO DE CURSO DE 6 M, DIAMETRO DO PISTAO DE 5,5 CM</t>
  </si>
  <si>
    <t xml:space="preserve"> 00011651 </t>
  </si>
  <si>
    <t xml:space="preserve"> 95619 </t>
  </si>
  <si>
    <t xml:space="preserve"> 95618 </t>
  </si>
  <si>
    <t xml:space="preserve"> 95617 </t>
  </si>
  <si>
    <t>OPERADOR DE JATO ABRASIVO OU JATISTA</t>
  </si>
  <si>
    <t xml:space="preserve"> 00004251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</si>
  <si>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</si>
  <si>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</si>
  <si>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</si>
  <si>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</si>
  <si>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95368 </t>
  </si>
  <si>
    <t xml:space="preserve"> 88306 </t>
  </si>
  <si>
    <t>OPERADOR DE MAQUINAS E TRATORES DIVERSOS (TERRAPLANAGEM)</t>
  </si>
  <si>
    <t xml:space="preserve"> 00004230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</si>
  <si>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</si>
  <si>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</si>
  <si>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</si>
  <si>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</si>
  <si>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</si>
  <si>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</si>
  <si>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</si>
  <si>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</si>
  <si>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</si>
  <si>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</si>
  <si>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</si>
  <si>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</si>
  <si>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</si>
  <si>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</si>
  <si>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</si>
  <si>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</si>
  <si>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 xml:space="preserve"> 88294 </t>
  </si>
  <si>
    <t>OPERADOR DE BETONEIRA ESTACIONARIA / MISTURADOR</t>
  </si>
  <si>
    <t xml:space="preserve"> 00037666 </t>
  </si>
  <si>
    <t xml:space="preserve"> 95389 </t>
  </si>
  <si>
    <t xml:space="preserve"> 88377 </t>
  </si>
  <si>
    <t xml:space="preserve"> 93407 </t>
  </si>
  <si>
    <t>MAQUINA TIPO VASO/TANQUE/JATO DE PRESSAO PORTATIL PARA JATEAMENTO, CONTROLE AUTOMATICO E REMOTO, CAMARA DE 1 SAIDA, 280 L, DIAM. *670* MM, BICO JATO CURTO VENTURI DE 5/16", MANGUEIRA DE 1" DE 10 M, COMPLETA (VALVULAS POP UP E DOSADORA, FUNDO CONICO ETC)</t>
  </si>
  <si>
    <t xml:space="preserve"> 00039813 </t>
  </si>
  <si>
    <t>COMPRESSOR DE AR REBOCAVEL, VAZAO 189 PCM, PRESSAO EFETIVA DE TRABALHO 102 PSI, MOTOR DIESEL, POTENCIA 63 CV</t>
  </si>
  <si>
    <t xml:space="preserve"> 00036522 </t>
  </si>
  <si>
    <t xml:space="preserve"> 93406 </t>
  </si>
  <si>
    <t xml:space="preserve"> 93405 </t>
  </si>
  <si>
    <t xml:space="preserve"> 93404 </t>
  </si>
  <si>
    <t xml:space="preserve"> 93408 </t>
  </si>
  <si>
    <t xml:space="preserve"> 93409 </t>
  </si>
  <si>
    <t xml:space="preserve"> 92959 </t>
  </si>
  <si>
    <t>MAQUINA EXTRUSORA DE CONCRETO PARA GUIAS E SARJETAS, COM MOTOR A DIESEL DE 14 CV</t>
  </si>
  <si>
    <t xml:space="preserve"> 00013836 </t>
  </si>
  <si>
    <t xml:space="preserve"> 92958 </t>
  </si>
  <si>
    <t xml:space="preserve"> 92957 </t>
  </si>
  <si>
    <t xml:space="preserve"> 92956 </t>
  </si>
  <si>
    <t xml:space="preserve"> 92960 </t>
  </si>
  <si>
    <t xml:space="preserve"> 92961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</si>
  <si>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</si>
  <si>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</si>
  <si>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</si>
  <si>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</si>
  <si>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</si>
  <si>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</si>
  <si>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</si>
  <si>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</si>
  <si>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</si>
  <si>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</si>
  <si>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</si>
  <si>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</si>
  <si>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ARAME RECOZIDO 16 BWG, D = 1,65 MM (0,016 KG/M) OU 18 BWG, D = 1,25 MM (0,01 KG/M)</t>
  </si>
  <si>
    <t xml:space="preserve"> 00043132 </t>
  </si>
  <si>
    <t xml:space="preserve"> 88238 </t>
  </si>
  <si>
    <t xml:space="preserve"> 88245 </t>
  </si>
  <si>
    <t xml:space="preserve"> 95445 </t>
  </si>
  <si>
    <t xml:space="preserve"> 95583 </t>
  </si>
  <si>
    <t xml:space="preserve"> 92795 </t>
  </si>
  <si>
    <t xml:space="preserve"> 95578 </t>
  </si>
  <si>
    <t>LUVA EM PVC RIGIDO ROSCAVEL, DE 1 1/4", PARA ELETRODUTO</t>
  </si>
  <si>
    <t xml:space="preserve"> 00001902 </t>
  </si>
  <si>
    <t xml:space="preserve"> 91886 </t>
  </si>
  <si>
    <t>LUVA PARA ELETRODUTO, EM ACO GALVANIZADO ELETROLITICO, DIAMETRO DE 20 MM (3/4")</t>
  </si>
  <si>
    <t xml:space="preserve"> 00002637 </t>
  </si>
  <si>
    <t xml:space="preserve"> 95757 </t>
  </si>
  <si>
    <t>LAVATORIO DE LOUCA BRANCA, COM COLUNA, DIMENSOES *44 X 35* CM (L X C)</t>
  </si>
  <si>
    <t xml:space="preserve"> 00036794 </t>
  </si>
  <si>
    <t xml:space="preserve"> 86902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</si>
  <si>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</si>
  <si>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</si>
  <si>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</si>
  <si>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</si>
  <si>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</si>
  <si>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</si>
  <si>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</si>
  <si>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 xml:space="preserve"> 89383 </t>
  </si>
  <si>
    <t xml:space="preserve"> 89972 </t>
  </si>
  <si>
    <t>JARDINEIRO</t>
  </si>
  <si>
    <t xml:space="preserve"> 00025964 </t>
  </si>
  <si>
    <t>FERRAMENTAS - FAMILIA PEDREIRO - HORISTA (ENCARGOS COMPLEMENTARES - COLETADO CAIXA)</t>
  </si>
  <si>
    <t xml:space="preserve"> 00043465 </t>
  </si>
  <si>
    <t>EPI - FAMILIA PEDREIRO - HORISTA (ENCARGOS COMPLEMENTARES - COLETADO CAIXA)</t>
  </si>
  <si>
    <t xml:space="preserve"> 00043489 </t>
  </si>
  <si>
    <t xml:space="preserve"> 95390 </t>
  </si>
  <si>
    <t xml:space="preserve"> 88441 </t>
  </si>
  <si>
    <t>INTERRUPTOR SIMPLES 10A, 250V (APENAS MODULO)</t>
  </si>
  <si>
    <t xml:space="preserve"> 00038112 </t>
  </si>
  <si>
    <t xml:space="preserve"> 91966 </t>
  </si>
  <si>
    <t xml:space="preserve"> 91958 </t>
  </si>
  <si>
    <t xml:space="preserve"> 92026 </t>
  </si>
  <si>
    <t xml:space="preserve"> 91952 </t>
  </si>
  <si>
    <t xml:space="preserve"> 92022 </t>
  </si>
  <si>
    <t>INTERRUPTOR PARALELO 10A, 250V (APENAS MODULO)</t>
  </si>
  <si>
    <t xml:space="preserve"> 00038113 </t>
  </si>
  <si>
    <t xml:space="preserve"> 91954 </t>
  </si>
  <si>
    <t>PARAFUSO DE ACO TIPO CHUMBADOR PARABOLT, DIAMETRO 3/8", COMPRIMENTO 75 MM</t>
  </si>
  <si>
    <t xml:space="preserve"> 00011964 </t>
  </si>
  <si>
    <t xml:space="preserve"> 88278 </t>
  </si>
  <si>
    <t xml:space="preserve"> 93288 </t>
  </si>
  <si>
    <t xml:space="preserve"> 93287 </t>
  </si>
  <si>
    <t>COBE - COBERTURA</t>
  </si>
  <si>
    <t xml:space="preserve"> 92257 </t>
  </si>
  <si>
    <t xml:space="preserve"> 92256 </t>
  </si>
  <si>
    <t xml:space="preserve"> 92255 </t>
  </si>
  <si>
    <t xml:space="preserve"> 92258 </t>
  </si>
  <si>
    <t>IMPERMEABILIZADOR</t>
  </si>
  <si>
    <t xml:space="preserve"> 00012873 </t>
  </si>
  <si>
    <t xml:space="preserve"> 95338 </t>
  </si>
  <si>
    <t xml:space="preserve"> 88270 </t>
  </si>
  <si>
    <t>!EM PROCESSO DE DESATIVACAO! HASTE DE ATERRAMENTO EM ACO COM 3,00 M DE COMPRIMENTO E DN = 3/4", REVESTIDA COM BAIXA CAMADA DE COBRE, SEM CONECTOR</t>
  </si>
  <si>
    <t xml:space="preserve"> 00003378 </t>
  </si>
  <si>
    <t xml:space="preserve"> 96986 </t>
  </si>
  <si>
    <t xml:space="preserve"> 91633 </t>
  </si>
  <si>
    <t>GUINDAUTO HIDRAULICO, CAPACIDADE MAXIMA DE CARGA 3300 KG, MOMENTO MAXIMO DE CARGA 5,8 TM , ALCANCE MAXIMO HORIZONTAL  7,60 M, PARA MONTAGEM SOBRE CHASSI DE CAMINHAO PBT MINIMO 8000 KG (INCLUI MONTAGEM, NAO INCLUI CAMINHAO)</t>
  </si>
  <si>
    <t xml:space="preserve"> 00010712 </t>
  </si>
  <si>
    <t>CAMINHAO TOCO, PESO BRUTO TOTAL 9700 KG, CARGA UTIL MAXIMA 6360 KG, DISTANCIA ENTRE EIXOS 4,30 M, POTENCIA 160 CV (INCLUI CABINE E CHASSI, NAO INCLUI CARROCERIA)</t>
  </si>
  <si>
    <t xml:space="preserve"> 00037756 </t>
  </si>
  <si>
    <t xml:space="preserve"> 91632 </t>
  </si>
  <si>
    <t xml:space="preserve"> 91630 </t>
  </si>
  <si>
    <t xml:space="preserve"> 91631 </t>
  </si>
  <si>
    <t xml:space="preserve"> 91629 </t>
  </si>
  <si>
    <t xml:space="preserve"> 91634 </t>
  </si>
  <si>
    <t xml:space="preserve"> 91635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</si>
  <si>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</si>
  <si>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</si>
  <si>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</si>
  <si>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</si>
  <si>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</si>
  <si>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</si>
  <si>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</si>
  <si>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</si>
  <si>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</si>
  <si>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 xml:space="preserve"> 5928 </t>
  </si>
  <si>
    <t xml:space="preserve"> 93286 </t>
  </si>
  <si>
    <t>GUINDASTE HIDRAULICO AUTOPROPELIDO, COM LANCA TELESCOPICA 40 M, CAPACIDADE MAXIMA 60 T, POTENCIA 260 KW, TRACAO 6 X 6</t>
  </si>
  <si>
    <t xml:space="preserve"> 00025954 </t>
  </si>
  <si>
    <t xml:space="preserve"> 93285 </t>
  </si>
  <si>
    <t xml:space="preserve"> 93284 </t>
  </si>
  <si>
    <t xml:space="preserve"> 93296 </t>
  </si>
  <si>
    <t xml:space="preserve"> 93283 </t>
  </si>
  <si>
    <t xml:space="preserve"> 89271 </t>
  </si>
  <si>
    <t>GUINDASTE HIDRAULICO AUTOPROPELIDO, COM LANCA TELESCOPICA 28,80 M, CAPACIDADE MAXIMA 30 T, POTENCIA 97 KW, TRACAO 4 X 4</t>
  </si>
  <si>
    <t xml:space="preserve"> 00025952 </t>
  </si>
  <si>
    <t xml:space="preserve"> 89270 </t>
  </si>
  <si>
    <t xml:space="preserve"> 89268 </t>
  </si>
  <si>
    <t xml:space="preserve"> 89269 </t>
  </si>
  <si>
    <t xml:space="preserve"> 89267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</si>
  <si>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</si>
  <si>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</si>
  <si>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</si>
  <si>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</si>
  <si>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</si>
  <si>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</si>
  <si>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93281 </t>
  </si>
  <si>
    <t xml:space="preserve"> 93282 </t>
  </si>
  <si>
    <t>ABRACADEIRA EM ACO PARA AMARRACAO DE ELETRODUTOS, TIPO D, COM 1/2" E PARAFUSO DE FIXACAO</t>
  </si>
  <si>
    <t xml:space="preserve"> 00000392 </t>
  </si>
  <si>
    <t xml:space="preserve"> 91173 </t>
  </si>
  <si>
    <t xml:space="preserve"> 91170 </t>
  </si>
  <si>
    <t>TABUA NAO APARELHADA *2,5 X 30* CM, EM MACARANDUBA, ANGELIM OU EQUIVALENTE DA REGIAO - BRUTA</t>
  </si>
  <si>
    <t xml:space="preserve"> 00006189 </t>
  </si>
  <si>
    <t>PREGO DE ACO POLIDO COM CABECA 17 X 21 (2 X 11)</t>
  </si>
  <si>
    <t xml:space="preserve"> 00005068 </t>
  </si>
  <si>
    <t xml:space="preserve"> 88262 </t>
  </si>
  <si>
    <t xml:space="preserve"> 92270 </t>
  </si>
  <si>
    <t>PONTALETE *7,5 X 7,5* CM EM PINUS, MISTA OU EQUIVALENTE DA REGIAO - BRUTA</t>
  </si>
  <si>
    <t xml:space="preserve"> 00004491 </t>
  </si>
  <si>
    <t xml:space="preserve"> 92263 </t>
  </si>
  <si>
    <t>CHAPA DE MADEIRA COMPENSADA PLASTIFICADA PARA FORMA DE CONCRETO, DE 2,20 x 1,10 M, E = 18 MM</t>
  </si>
  <si>
    <t xml:space="preserve"> 00001345 </t>
  </si>
  <si>
    <t xml:space="preserve"> 92272 </t>
  </si>
  <si>
    <t>TABUA APARELHADA *2,5 X 15* CM, EM MACARANDUBA, ANGELIM OU EQUIVALENTE DA REGIAO</t>
  </si>
  <si>
    <t xml:space="preserve"> 00003993 </t>
  </si>
  <si>
    <t>TABUA APARELHADA *2,5 X 30* CM, EM MACARANDUBA, ANGELIM OU EQUIVALENTE DA REGIAO</t>
  </si>
  <si>
    <t xml:space="preserve"> 00003992 </t>
  </si>
  <si>
    <t>PREGO DE ACO POLIDO COM CABECA 18 X 27 (2 1/2 X 10)</t>
  </si>
  <si>
    <t xml:space="preserve"> 00005061 </t>
  </si>
  <si>
    <t>MOURAO ROLICO DE MADEIRA TRATADA, D = 8 A 11 CM, H = 2,20 M, EM EUCALIPTO OU EQUIVALENTE DA REGIAO (PARA CERCA)</t>
  </si>
  <si>
    <t xml:space="preserve"> 00021138 </t>
  </si>
  <si>
    <t>CONCRETO USINADO BOMBEAVEL, CLASSE DE RESISTENCIA C20, COM BRITA 0 E 1, SLUMP = 100 +/- 20 MM, EXCLUI SERVICO DE BOMBEAMENTO (NBR 8953)</t>
  </si>
  <si>
    <t xml:space="preserve"> 00034492 </t>
  </si>
  <si>
    <t>CAIBRO NAO APARELHADO  *7,5 X 7,5* CM, EM MACARANDUBA, ANGELIM OU EQUIVALENTE DA REGIAO -  BRUTA</t>
  </si>
  <si>
    <t xml:space="preserve"> 00004433 </t>
  </si>
  <si>
    <t>!EM PROCESSO DE DESATIVACAO! CHAPA DE MADEIRA COMPENSADA RESINADA PARA FORMA DE CONCRETO, DE *2,2 X 1,1* M, E = 10 MM</t>
  </si>
  <si>
    <t xml:space="preserve"> 00001350 </t>
  </si>
  <si>
    <t>CANT - CANTEIRO DE OBRAS</t>
  </si>
  <si>
    <t xml:space="preserve"> 98462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</si>
  <si>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</si>
  <si>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</si>
  <si>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</si>
  <si>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</si>
  <si>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</si>
  <si>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</si>
  <si>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</si>
  <si>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</si>
  <si>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ELETRODUTO DE PVC RIGIDO ROSCAVEL DE 1 1/4 ", SEM LUVA</t>
  </si>
  <si>
    <t xml:space="preserve"> 00002684 </t>
  </si>
  <si>
    <t xml:space="preserve"> 91873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</si>
  <si>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</si>
  <si>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</si>
  <si>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</si>
  <si>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</si>
  <si>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</si>
  <si>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 xml:space="preserve"> 95281 </t>
  </si>
  <si>
    <t>ALISADORA DE CONCRETO COM MOTOR A GASOLINA DE 5,5 HP, PESO COM MOTOR DE 78 KG, 4 PAS</t>
  </si>
  <si>
    <t xml:space="preserve"> 00010658 </t>
  </si>
  <si>
    <t xml:space="preserve"> 95280 </t>
  </si>
  <si>
    <t xml:space="preserve"> 95279 </t>
  </si>
  <si>
    <t xml:space="preserve"> 95278 </t>
  </si>
  <si>
    <t xml:space="preserve"> 95282 </t>
  </si>
  <si>
    <t>CURVA 90 GRAUS, LONGA, DE PVC RIGIDO ROSCAVEL, DE 1 1/4", PARA ELETRODUTO</t>
  </si>
  <si>
    <t xml:space="preserve"> 00001874 </t>
  </si>
  <si>
    <t xml:space="preserve"> 91920 </t>
  </si>
  <si>
    <t>CURVA 180 GRAUS, DE PVC RIGIDO ROSCAVEL, DE 1 1/4", PARA ELETRODUTO</t>
  </si>
  <si>
    <t xml:space="preserve"> 00040408 </t>
  </si>
  <si>
    <t xml:space="preserve"> 91922 </t>
  </si>
  <si>
    <t>VIGIA NOTURNO, HORA EFETIVAMENTE TRABALHADA DE 22 H AS 5 H (COM ADICIONAL NOTURNO)</t>
  </si>
  <si>
    <t xml:space="preserve"> 00041776 </t>
  </si>
  <si>
    <t xml:space="preserve"> 95388 </t>
  </si>
  <si>
    <t>VIGIA DIURNO (MENSALISTA)</t>
  </si>
  <si>
    <t xml:space="preserve"> 00041096 </t>
  </si>
  <si>
    <t xml:space="preserve"> 101372 </t>
  </si>
  <si>
    <t>SOLDADOR</t>
  </si>
  <si>
    <t xml:space="preserve"> 00006160 </t>
  </si>
  <si>
    <t xml:space="preserve"> 95379 </t>
  </si>
  <si>
    <t>SERVENTE DE OBRAS</t>
  </si>
  <si>
    <t xml:space="preserve"> 00006111 </t>
  </si>
  <si>
    <t xml:space="preserve"> 95378 </t>
  </si>
  <si>
    <t>SERRALHEIRO</t>
  </si>
  <si>
    <t xml:space="preserve"> 00006110 </t>
  </si>
  <si>
    <t xml:space="preserve"> 95377 </t>
  </si>
  <si>
    <t>PINTOR</t>
  </si>
  <si>
    <t xml:space="preserve"> 00004783 </t>
  </si>
  <si>
    <t xml:space="preserve"> 95372 </t>
  </si>
  <si>
    <t>PEDREIRO</t>
  </si>
  <si>
    <t xml:space="preserve"> 00004750 </t>
  </si>
  <si>
    <t xml:space="preserve"> 95371 </t>
  </si>
  <si>
    <t>MONTADOR DE ESTRUTURAS METALICAS</t>
  </si>
  <si>
    <t xml:space="preserve"> 00025957 </t>
  </si>
  <si>
    <t xml:space="preserve"> 95344 </t>
  </si>
  <si>
    <t>MARMORISTA / GRANITEIRO</t>
  </si>
  <si>
    <t xml:space="preserve"> 00004755 </t>
  </si>
  <si>
    <t xml:space="preserve"> 95341 </t>
  </si>
  <si>
    <t>ENGENHEIRO CIVIL DE OBRA JUNIOR</t>
  </si>
  <si>
    <t xml:space="preserve"> 00002706 </t>
  </si>
  <si>
    <t xml:space="preserve"> 95402 </t>
  </si>
  <si>
    <t>ENCARREGADO GERAL DE OBRAS</t>
  </si>
  <si>
    <t xml:space="preserve"> 00004083 </t>
  </si>
  <si>
    <t xml:space="preserve"> 95401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</si>
  <si>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</si>
  <si>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</si>
  <si>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</si>
  <si>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</si>
  <si>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</si>
  <si>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</si>
  <si>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</si>
  <si>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</si>
  <si>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</si>
  <si>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</si>
  <si>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</si>
  <si>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</si>
  <si>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CALCETEIRO</t>
  </si>
  <si>
    <t xml:space="preserve"> 00004759 </t>
  </si>
  <si>
    <t xml:space="preserve"> 95328 </t>
  </si>
  <si>
    <t>AZULEJISTA OU LADRILHEIRO</t>
  </si>
  <si>
    <t xml:space="preserve"> 00004760 </t>
  </si>
  <si>
    <t xml:space="preserve"> 95324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</si>
  <si>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</si>
  <si>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</si>
  <si>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</si>
  <si>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</si>
  <si>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</si>
  <si>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</si>
  <si>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</si>
  <si>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</si>
  <si>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</si>
  <si>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ASSENTADOR DE MANILHAS</t>
  </si>
  <si>
    <t xml:space="preserve"> 00040331 </t>
  </si>
  <si>
    <t xml:space="preserve"> 95315 </t>
  </si>
  <si>
    <t>ARMADOR</t>
  </si>
  <si>
    <t xml:space="preserve"> 00000378 </t>
  </si>
  <si>
    <t xml:space="preserve"> 95314 </t>
  </si>
  <si>
    <t>AJUDANTE ESPECIALIZADO</t>
  </si>
  <si>
    <t xml:space="preserve"> 00000242 </t>
  </si>
  <si>
    <t xml:space="preserve"> 95313 </t>
  </si>
  <si>
    <t>CARPINTEIRO AUXILIAR</t>
  </si>
  <si>
    <t xml:space="preserve"> 00006117 </t>
  </si>
  <si>
    <t xml:space="preserve"> 95309 </t>
  </si>
  <si>
    <t>AJUDANTE DE ARMADOR</t>
  </si>
  <si>
    <t xml:space="preserve"> 00006114 </t>
  </si>
  <si>
    <t xml:space="preserve"> 95308 </t>
  </si>
  <si>
    <t>MASSA PLASTICA PARA MARMORE/GRANITO</t>
  </si>
  <si>
    <t xml:space="preserve"> 00004823 </t>
  </si>
  <si>
    <t>CUBA ACO INOX (AISI 304) DE EMBUTIR COM VALVULA 3 1/2 ", DE *46 X 30 X 12* CM</t>
  </si>
  <si>
    <t xml:space="preserve"> 00001743 </t>
  </si>
  <si>
    <t xml:space="preserve"> 88274 </t>
  </si>
  <si>
    <t xml:space="preserve"> 86900 </t>
  </si>
  <si>
    <t>LAVATORIO / CUBA DE EMBUTIR, OVAL, DE LOUCA BRANCA, SEM LADRAO, DIMENSOES *50 X 35* CM (L X C)</t>
  </si>
  <si>
    <t xml:space="preserve"> 00020269 </t>
  </si>
  <si>
    <t xml:space="preserve"> 86901 </t>
  </si>
  <si>
    <t>ACO CA-60, 4,2 MM, OU 5,0 MM, OU 6,0 MM, OU 7,0 MM, VERGALHAO</t>
  </si>
  <si>
    <t xml:space="preserve"> 00043059 </t>
  </si>
  <si>
    <t xml:space="preserve"> 92800 </t>
  </si>
  <si>
    <t xml:space="preserve"> 92791 </t>
  </si>
  <si>
    <t xml:space="preserve"> 92799 </t>
  </si>
  <si>
    <t>ACO CA-50, 8,0 MM, VERGALHAO</t>
  </si>
  <si>
    <t xml:space="preserve"> 00000033 </t>
  </si>
  <si>
    <t xml:space="preserve"> 92793 </t>
  </si>
  <si>
    <t>ACO CA-50, 12,5 MM OU 16,0 MM, VERGALHAO</t>
  </si>
  <si>
    <t xml:space="preserve"> 00043055 </t>
  </si>
  <si>
    <t xml:space="preserve"> 92796 </t>
  </si>
  <si>
    <t>ACO CA-50, 10,0 MM, VERGALHAO</t>
  </si>
  <si>
    <t xml:space="preserve"> 00000034 </t>
  </si>
  <si>
    <t xml:space="preserve"> 92794 </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</si>
  <si>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</si>
  <si>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</si>
  <si>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</si>
  <si>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</si>
  <si>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</si>
  <si>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 xml:space="preserve"> 91281 </t>
  </si>
  <si>
    <t xml:space="preserve"> 91280 </t>
  </si>
  <si>
    <t xml:space="preserve"> 91279 </t>
  </si>
  <si>
    <t xml:space="preserve"> 91283 </t>
  </si>
  <si>
    <t xml:space="preserve"> 91285 </t>
  </si>
  <si>
    <t>PEDRA BRITADA N. 1 (9,5 a 19 MM) POSTO PEDREIRA/FORNECEDOR, SEM FRETE</t>
  </si>
  <si>
    <t xml:space="preserve"> 00004721 </t>
  </si>
  <si>
    <t>CIMENTO PORTLAND COMPOSTO CP II-32</t>
  </si>
  <si>
    <t xml:space="preserve"> 00001379 </t>
  </si>
  <si>
    <t xml:space="preserve"> 89226 </t>
  </si>
  <si>
    <t xml:space="preserve"> 89225 </t>
  </si>
  <si>
    <t xml:space="preserve"> 94968 </t>
  </si>
  <si>
    <t xml:space="preserve"> 94974 </t>
  </si>
  <si>
    <t xml:space="preserve"> 94970 </t>
  </si>
  <si>
    <t xml:space="preserve"> 95263 </t>
  </si>
  <si>
    <t>MARTELO DEMOLIDOR PNEUMATICO MANUAL, PADRAO, PESO DE 32 KG</t>
  </si>
  <si>
    <t xml:space="preserve"> 00011616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</si>
  <si>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</si>
  <si>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</si>
  <si>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</si>
  <si>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</si>
  <si>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</si>
  <si>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95264 </t>
  </si>
  <si>
    <t xml:space="preserve"> 95265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</si>
  <si>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</si>
  <si>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</si>
  <si>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</si>
  <si>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</si>
  <si>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</si>
  <si>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</si>
  <si>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</si>
  <si>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</si>
  <si>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</si>
  <si>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</si>
  <si>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</si>
  <si>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</si>
  <si>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</si>
  <si>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</si>
  <si>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</si>
  <si>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</si>
  <si>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</si>
  <si>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</si>
  <si>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</si>
  <si>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</si>
  <si>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</si>
  <si>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</si>
  <si>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</si>
  <si>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</si>
  <si>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67826 </t>
  </si>
  <si>
    <t xml:space="preserve"> 67827 </t>
  </si>
  <si>
    <t xml:space="preserve"> 91384 </t>
  </si>
  <si>
    <t>CACAMBA METALICA BASCULANTE COM CAPACIDADE DE 10 M3 (INCLUI MONTAGEM, NAO INCLUI CAMINHAO)</t>
  </si>
  <si>
    <t xml:space="preserve"> 00037734 </t>
  </si>
  <si>
    <t xml:space="preserve"> 91383 </t>
  </si>
  <si>
    <t xml:space="preserve"> 91381 </t>
  </si>
  <si>
    <t xml:space="preserve"> 91382 </t>
  </si>
  <si>
    <t xml:space="preserve"> 91380 </t>
  </si>
  <si>
    <t xml:space="preserve"> 91386 </t>
  </si>
  <si>
    <t xml:space="preserve"> 91387 </t>
  </si>
  <si>
    <t xml:space="preserve"> 88260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</si>
  <si>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</si>
  <si>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</si>
  <si>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</si>
  <si>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</si>
  <si>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</si>
  <si>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</si>
  <si>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</si>
  <si>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</si>
  <si>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</si>
  <si>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</si>
  <si>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</si>
  <si>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</si>
  <si>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88830 </t>
  </si>
  <si>
    <t xml:space="preserve"> 88831 </t>
  </si>
  <si>
    <t xml:space="preserve"> 88256 </t>
  </si>
  <si>
    <t>CABO DE COBRE NU 35 MM2 MEIO-DURO</t>
  </si>
  <si>
    <t xml:space="preserve"> 00000863 </t>
  </si>
  <si>
    <t xml:space="preserve"> 100578 </t>
  </si>
  <si>
    <t xml:space="preserve"> 88246 </t>
  </si>
  <si>
    <t>TRELICA NERVURADA (ESPACADOR), ALTURA = 120,0 MM, DIAMETRO DOS BANZOS INFERIORES E SUPERIOR = 6,0 MM, DIAMETRO DA DIAGONAL = 4,2 MM</t>
  </si>
  <si>
    <t xml:space="preserve"> 00042407 </t>
  </si>
  <si>
    <t>TELA DE ACO SOLDADA NERVURADA, CA-60, Q-196, (3,11 KG/M2), DIAMETRO DO FIO = 5,0 MM, LARGURA = 2,45 M, ESPACAMENTO DA MALHA = 10 X 10 CM</t>
  </si>
  <si>
    <t xml:space="preserve"> 00007156 </t>
  </si>
  <si>
    <t xml:space="preserve"> 97092 </t>
  </si>
  <si>
    <t>ESPACADOR / DISTANCIADOR CIRCULAR COM ENTRADA LATERAL, EM PLASTICO, PARA VERGALHAO *4,2 A 12,5* MM, COBRIMENTO 20 MM</t>
  </si>
  <si>
    <t xml:space="preserve"> 00039017 </t>
  </si>
  <si>
    <t xml:space="preserve"> 92784 </t>
  </si>
  <si>
    <t>ADITIVO PLASTIFICANTE E ESTABILIZADOR PARA ARGAMASSAS DE ASSENTAMENTO E REBOCO, LIQUIDO E ISENTO DE CLORETOS</t>
  </si>
  <si>
    <t xml:space="preserve"> 00043617 </t>
  </si>
  <si>
    <t xml:space="preserve"> 87283 </t>
  </si>
  <si>
    <t xml:space="preserve"> 87301 </t>
  </si>
  <si>
    <t xml:space="preserve"> 100489 </t>
  </si>
  <si>
    <t xml:space="preserve"> 87298 </t>
  </si>
  <si>
    <t>AREIA GROSSA - POSTO JAZIDA/FORNECEDOR (RETIRADO NA JAZIDA, SEM TRANSPORTE)</t>
  </si>
  <si>
    <t xml:space="preserve"> 00000367 </t>
  </si>
  <si>
    <t xml:space="preserve"> 87313 </t>
  </si>
  <si>
    <t xml:space="preserve"> 87377 </t>
  </si>
  <si>
    <t>CAL HIDRATADA CH-I PARA ARGAMASSAS</t>
  </si>
  <si>
    <t xml:space="preserve"> 00001106 </t>
  </si>
  <si>
    <t xml:space="preserve"> 87294 </t>
  </si>
  <si>
    <t xml:space="preserve"> 87292 </t>
  </si>
  <si>
    <t xml:space="preserve"> 87369 </t>
  </si>
  <si>
    <t xml:space="preserve"> 87286 </t>
  </si>
  <si>
    <t xml:space="preserve"> 87367 </t>
  </si>
  <si>
    <t xml:space="preserve"> 88626 </t>
  </si>
  <si>
    <t>ARGAMASSA INDUSTRIALIZADA MULTIUSO, PARA REVESTIMENTO INTERNO E EXTERNO E ASSENTAMENTO DE BLOCOS DIVERSOS</t>
  </si>
  <si>
    <t xml:space="preserve"> 00000371 </t>
  </si>
  <si>
    <t xml:space="preserve"> 87407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</si>
  <si>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</si>
  <si>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</si>
  <si>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</si>
  <si>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</si>
  <si>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</si>
  <si>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ADAPTADOR PVC SOLDAVEL, COM FLANGE E ANEL DE VEDACAO, 25 MM X 3/4", PARA CAIXA D'AGUA</t>
  </si>
  <si>
    <t xml:space="preserve"> 00000096 </t>
  </si>
  <si>
    <t xml:space="preserve"> 94703 </t>
  </si>
  <si>
    <t>Composições Auxiliares</t>
  </si>
  <si>
    <t>FERRAMENTAS - FAMILIA SOLDADOR - HORISTA (ENCARGOS COMPLEMENTARES - COLETADO CAIXA)</t>
  </si>
  <si>
    <t xml:space="preserve"> 00043468 </t>
  </si>
  <si>
    <t>EPI - FAMILIA SOLDADOR - HORISTA (ENCARGOS COMPLEMENTARES - COLETADO CAIXA)</t>
  </si>
  <si>
    <t xml:space="preserve"> 00043492 </t>
  </si>
  <si>
    <t xml:space="preserve"> 88317 </t>
  </si>
  <si>
    <t xml:space="preserve"> COMPOSIÇÃO </t>
  </si>
  <si>
    <t xml:space="preserve"> 88251 </t>
  </si>
  <si>
    <t>TRAN - TRANSPORTES, CARGAS E DESCARGAS</t>
  </si>
  <si>
    <t xml:space="preserve"> 93588 </t>
  </si>
  <si>
    <t xml:space="preserve"> 88631 </t>
  </si>
  <si>
    <t xml:space="preserve"> 88627 </t>
  </si>
  <si>
    <t xml:space="preserve"> 88628 </t>
  </si>
  <si>
    <t xml:space="preserve"> 88629 </t>
  </si>
  <si>
    <t>ADITIVO IMPERMEABILIZANTE DE PEGA NORMAL PARA ARGAMASSAS E CONCRETOS SEM ARMACAO, LIQUIDO E ISENTO DE CLORETOS</t>
  </si>
  <si>
    <t xml:space="preserve"> 00000123 </t>
  </si>
  <si>
    <t xml:space="preserve"> 100475 </t>
  </si>
  <si>
    <t>REVE - REVESTIMENTO E TRATAMENTO DE SUPERFÍCIES</t>
  </si>
  <si>
    <t xml:space="preserve"> 87556 </t>
  </si>
  <si>
    <t xml:space="preserve"> 87905 </t>
  </si>
  <si>
    <t xml:space="preserve"> 87878 </t>
  </si>
  <si>
    <t>TINTA EPOXI BASE AGUA PREMIUM, BRANCA</t>
  </si>
  <si>
    <t xml:space="preserve"> 00007304 </t>
  </si>
  <si>
    <t>DILUENTE EPOXI</t>
  </si>
  <si>
    <t xml:space="preserve"> 00005330 </t>
  </si>
  <si>
    <t>PINT - PINTURAS</t>
  </si>
  <si>
    <t xml:space="preserve"> 100751 </t>
  </si>
  <si>
    <t>ENDURECEDOR MINERAL DE BASE CIMENTICIA PARA PISO DE CONCRETO</t>
  </si>
  <si>
    <t xml:space="preserve"> 00043146 </t>
  </si>
  <si>
    <t>PISO - PISOS</t>
  </si>
  <si>
    <t xml:space="preserve"> 101747 </t>
  </si>
  <si>
    <t>TINTA ESMALTE SINTETICO PREMIUM BRILHANTE</t>
  </si>
  <si>
    <t xml:space="preserve"> 00007292 </t>
  </si>
  <si>
    <t>SOLVENTE DILUENTE A BASE DE AGUARRAS</t>
  </si>
  <si>
    <t xml:space="preserve"> 00005318 </t>
  </si>
  <si>
    <t xml:space="preserve"> 88310 </t>
  </si>
  <si>
    <t xml:space="preserve"> 100743 </t>
  </si>
  <si>
    <t>GL</t>
  </si>
  <si>
    <t>PRIMER EPOXI</t>
  </si>
  <si>
    <t xml:space="preserve"> 00011149 </t>
  </si>
  <si>
    <t xml:space="preserve"> 100727 </t>
  </si>
  <si>
    <t>TINTA ACRILICA PREMIUM, COR BRANCO FOSCO</t>
  </si>
  <si>
    <t xml:space="preserve"> 00007356 </t>
  </si>
  <si>
    <t xml:space="preserve"> 88489 </t>
  </si>
  <si>
    <t>TELA DE ACO SOLDADA GALVANIZADA/ZINCADA PARA ALVENARIA, FIO D = *1,20 A 1,70* MM, MALHA 15 X 15 MM, (C X L) *50 X 10,5* CM</t>
  </si>
  <si>
    <t xml:space="preserve"> 00034558 </t>
  </si>
  <si>
    <t>CENTO</t>
  </si>
  <si>
    <t>PINO DE ACO COM FURO, HASTE = 27 MM (ACAO DIRETA)</t>
  </si>
  <si>
    <t xml:space="preserve"> 00037395 </t>
  </si>
  <si>
    <t>BLOCO CERAMICO DE VEDACAO COM FUROS NA HORIZONTAL, 11,5 X 19 X 19 CM - 4,5 MPA (NBR 15270)</t>
  </si>
  <si>
    <t xml:space="preserve"> 00038783 </t>
  </si>
  <si>
    <t>PARE - PAREDES/PAINEIS</t>
  </si>
  <si>
    <t xml:space="preserve"> 87497 </t>
  </si>
  <si>
    <t>TELA DE ACO SOLDADA GALVANIZADA/ZINCADA PARA ALVENARIA, FIO D = *1,20 A 1,70* MM, MALHA 15 X 15 MM, (C X L) *50 X 7,5* CM</t>
  </si>
  <si>
    <t xml:space="preserve"> 00034557 </t>
  </si>
  <si>
    <t>BLOCO DE VEDACAO DE CONCRETO, 9 X 19 X 39 CM (CLASSE C - NBR 6136)</t>
  </si>
  <si>
    <t xml:space="preserve"> 00000650 </t>
  </si>
  <si>
    <t xml:space="preserve"> 87453 </t>
  </si>
  <si>
    <t>TELA DE ACO SOLDADA GALVANIZADA/ZINCADA PARA ALVENARIA, FIO  D = *1,20 A 1,70* MM, MALHA 15 X 15 MM, (C X L) *50 X 12* CM</t>
  </si>
  <si>
    <t xml:space="preserve"> 00034547 </t>
  </si>
  <si>
    <t>MEIO BLOCO ESTRUTURAL CERAMICO 14 X 19 X 14 CM, 6,0 MPA (NBR 15270)</t>
  </si>
  <si>
    <t xml:space="preserve"> 00034788 </t>
  </si>
  <si>
    <t>CANALETA ESTRUTURAL CERAMICA, 14 X 19 X 29 CM, 6,0 MPA (NBR 15270)</t>
  </si>
  <si>
    <t xml:space="preserve"> 00034649 </t>
  </si>
  <si>
    <t>BLOCO ESTRUTURAL CERAMICO 14 X 19 X 29 CM, 6,0 MPA (NBR 15270)</t>
  </si>
  <si>
    <t xml:space="preserve"> 00034586 </t>
  </si>
  <si>
    <t xml:space="preserve"> 89312 </t>
  </si>
  <si>
    <t xml:space="preserve"> 101625 </t>
  </si>
  <si>
    <t xml:space="preserve"> 90084 </t>
  </si>
  <si>
    <t>VERGALHAO ZINCADO ROSCA TOTAL, 1/4 " (6,3 MM)</t>
  </si>
  <si>
    <t xml:space="preserve"> 00039996 </t>
  </si>
  <si>
    <t>PORCA ZINCADA, SEXTAVADA, DIAMETRO 1/4"</t>
  </si>
  <si>
    <t xml:space="preserve"> 00039997 </t>
  </si>
  <si>
    <t>ARRUELA LISA, REDONDA, DE LATAO POLIDO, DIAMETRO NOMINAL 5/8", DIAMETRO EXTERNO = 34 MM, DIAMETRO DO FURO = 17 MM, ESPESSURA = *2,5* MM</t>
  </si>
  <si>
    <t xml:space="preserve"> 00011267 </t>
  </si>
  <si>
    <t xml:space="preserve"> 102117 </t>
  </si>
  <si>
    <t xml:space="preserve"> 102123 </t>
  </si>
  <si>
    <t>VALVULA DE RETENCAO VERTICAL, DE BRONZE (PN-16), 1", 200 PSI, EXTREMIDADES COM ROSCA</t>
  </si>
  <si>
    <t xml:space="preserve"> 00010418 </t>
  </si>
  <si>
    <t>VALVULA DE RETENCAO DE BRONZE, PE COM CRIVOS, EXTREMIDADE COM ROSCA, DE 1 1/4", PARA FUNDO DE POCO</t>
  </si>
  <si>
    <t xml:space="preserve"> 00010233 </t>
  </si>
  <si>
    <t>UNIAO DE FERRO GALVANIZADO, COM ROSCA BSP, COM ASSENTO PLANO, DE 3/4"</t>
  </si>
  <si>
    <t xml:space="preserve"> 00009885 </t>
  </si>
  <si>
    <t>UNIAO DE FERRO GALVANIZADO, COM ROSCA BSP, COM ASSENTO PLANO, DE 1 1/4"</t>
  </si>
  <si>
    <t xml:space="preserve"> 00009888 </t>
  </si>
  <si>
    <t>TUBO ACO GALVANIZADO COM COSTURA, CLASSE MEDIA, DN 1.1/4", E = *3,25* MM, PESO *3,14* KG/M (NBR 5580)</t>
  </si>
  <si>
    <t xml:space="preserve"> 00007698 </t>
  </si>
  <si>
    <t>TUBO ACO GALVANIZADO COM COSTURA, CLASSE LEVE, DN 25 MM ( 1"),  E = 2,65 MM,  *2,11* KG/M (NBR 5580)</t>
  </si>
  <si>
    <t xml:space="preserve"> 00021010 </t>
  </si>
  <si>
    <t>REGISTRO GAVETA BRUTO EM LATAO FORJADO, BITOLA 1 1/4 " (REF 1509)</t>
  </si>
  <si>
    <t xml:space="preserve"> 00006017 </t>
  </si>
  <si>
    <t>REGISTRO GAVETA BRUTO EM LATAO FORJADO, BITOLA 1 " (REF 1509)</t>
  </si>
  <si>
    <t xml:space="preserve"> 00006019 </t>
  </si>
  <si>
    <t>NIPLE DE REDUCAO DE FERRO GALVANIZADO, COM ROSCA BSP, DE 1" X 3/4"</t>
  </si>
  <si>
    <t xml:space="preserve"> 00004189 </t>
  </si>
  <si>
    <t>NIPLE DE REDUCAO DE FERRO GALVANIZADO, COM ROSCA BSP, DE 1 1/4" X 1"</t>
  </si>
  <si>
    <t xml:space="preserve"> 00004206 </t>
  </si>
  <si>
    <t>NIPLE DE FERRO GALVANIZADO, COM ROSCA BSP, DE 1"</t>
  </si>
  <si>
    <t xml:space="preserve"> 00004179 </t>
  </si>
  <si>
    <t>NIPLE DE FERRO GALVANIZADO, COM ROSCA BSP, DE 3/4"</t>
  </si>
  <si>
    <t xml:space="preserve"> 00004178 </t>
  </si>
  <si>
    <t>NIPLE DE FERRO GALVANIZADO, COM ROSCA BSP, DE 1 1/4"</t>
  </si>
  <si>
    <t xml:space="preserve"> 00004180 </t>
  </si>
  <si>
    <t>FUNDO ANTICORROSIVO PARA METAIS FERROSOS (ZARCAO)</t>
  </si>
  <si>
    <t xml:space="preserve"> 00007307 </t>
  </si>
  <si>
    <t>COTOVELO 90 GRAUS DE FERRO GALVANIZADO, COM ROSCA BSP, DE 1 1/4"</t>
  </si>
  <si>
    <t xml:space="preserve"> 00003457 </t>
  </si>
  <si>
    <t>COTOVELO 90 GRAUS DE FERRO GALVANIZADO, COM ROSCA BSP, DE 1"</t>
  </si>
  <si>
    <t xml:space="preserve"> 00003472 </t>
  </si>
  <si>
    <t xml:space="preserve"> 94483 </t>
  </si>
  <si>
    <t>BOMBA CENTRIFUGA,  MOTOR ELETRICO TRIFASICO 1,48HP  DIAMETRO DE SUCCAO X ELEVACAO 1 1/2" X 1", DIAMETRO DO ROTOR 117 MM, HM/Q: 10 M / 21,9 M3/H A 24 M / 6,1 M3/H</t>
  </si>
  <si>
    <t xml:space="preserve"> 00000734 </t>
  </si>
  <si>
    <t xml:space="preserve"> 102116 </t>
  </si>
  <si>
    <t>BOMBA CENTRIFUGA MOTOR ELETRICO TRIFASICO 9,86 DIAMETRO DE SUCCAO X ELEVACAO 1" X 1", 4 ESTAGIOS, DIAMETRO DOS ROTORES 4 X 146 MM, HM/Q: 85 M / 14,9 M3/H A 140 M / 4,2 M3/H</t>
  </si>
  <si>
    <t xml:space="preserve"> 00000740 </t>
  </si>
  <si>
    <t xml:space="preserve"> 102122 </t>
  </si>
  <si>
    <t>CAIXA INSPECAO EM POLIETILENO PARA ATERRAMENTO E PARA RAIOS DIAMETRO = 300 MM</t>
  </si>
  <si>
    <t xml:space="preserve"> 00034643 </t>
  </si>
  <si>
    <t xml:space="preserve"> 98111 </t>
  </si>
  <si>
    <t>SIFAO EM METAL CROMADO PARA PIA OU LAVATORIO, 1 X 1.1/2 "</t>
  </si>
  <si>
    <t xml:space="preserve"> 00006136 </t>
  </si>
  <si>
    <t xml:space="preserve"> 86881 </t>
  </si>
  <si>
    <t>ENGATE / RABICHO FLEXIVEL INOX 1/2 " X 40 CM</t>
  </si>
  <si>
    <t xml:space="preserve"> 00011684 </t>
  </si>
  <si>
    <t xml:space="preserve"> 86887 </t>
  </si>
  <si>
    <t xml:space="preserve"> 94962 </t>
  </si>
  <si>
    <t xml:space="preserve"> 100610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</si>
  <si>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</si>
  <si>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</si>
  <si>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</si>
  <si>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</si>
  <si>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</si>
  <si>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MASTRO SIMPLES GALVANIZADO DIAMETRO NOMINAL 1 1/2", COMPRIMENTO 3 M</t>
  </si>
  <si>
    <t xml:space="preserve"> 00012357 </t>
  </si>
  <si>
    <t xml:space="preserve"> 96988 </t>
  </si>
  <si>
    <t>BASE PARA MASTRO DE PARA-RAIOS DIAMETRO NOMINAL 1 1/2"</t>
  </si>
  <si>
    <t xml:space="preserve"> 00038060 </t>
  </si>
  <si>
    <t xml:space="preserve"> 96987 </t>
  </si>
  <si>
    <t>PARA-RAIOS TIPO FRANKLIN 350 MM, EM LATAO CROMADO, DUAS DESCIDAS, PARA PROTECAO DE EDIFICACOES CONTRA DESCARGAS ATMOSFERICAS</t>
  </si>
  <si>
    <t xml:space="preserve"> 00004274 </t>
  </si>
  <si>
    <t xml:space="preserve"> 96989 </t>
  </si>
  <si>
    <t xml:space="preserve"> 100612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</si>
  <si>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</si>
  <si>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</si>
  <si>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</si>
  <si>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</si>
  <si>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91946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</si>
  <si>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</si>
  <si>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</si>
  <si>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</si>
  <si>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</si>
  <si>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</si>
  <si>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</si>
  <si>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</si>
  <si>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</si>
  <si>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CAIXA PARA MEDIDOR POLIFASICO, EM POLICARBONATO / TERMOPLASTICO, PARA ALOJAR 1 DISJUNTOR (PADRAO DA CONCESSIONARIA LOCAL)</t>
  </si>
  <si>
    <t xml:space="preserve"> 00039809 </t>
  </si>
  <si>
    <t>BUCHA DE NYLON SEM ABA S6, COM PARAFUSO DE 4,20 X 40 MM EM ACO ZINCADO COM ROSCA SOBERBA, CABECA CHATA E FENDA PHILLIPS</t>
  </si>
  <si>
    <t xml:space="preserve"> 00011950 </t>
  </si>
  <si>
    <t>ARMACAO VERTICAL COM HASTE E CONTRA-PINO, EM CHAPA DE ACO GALVANIZADO 3/16", COM 1 ESTRIBO, SEM ISOLADOR</t>
  </si>
  <si>
    <t xml:space="preserve"> 00001094 </t>
  </si>
  <si>
    <t xml:space="preserve"> 96977 </t>
  </si>
  <si>
    <t xml:space="preserve"> 92986 </t>
  </si>
  <si>
    <t xml:space="preserve"> 101508 </t>
  </si>
  <si>
    <t>FITA ISOLANTE ADESIVA ANTICHAMA, USO ATE 750 V, EM ROLO DE 19 MM X 5 M</t>
  </si>
  <si>
    <t xml:space="preserve"> 00021127 </t>
  </si>
  <si>
    <t>CABO DE COBRE, FLEXIVEL, CLASSE 4 OU 5, ISOLACAO EM PVC/A, ANTICHAMA BWF-B, COBERTURA PVC-ST1, ANTICHAMA BWF-B, 1 CONDUTOR, 0,6/1 KV, SECAO NOMINAL 16 MM2</t>
  </si>
  <si>
    <t xml:space="preserve"> 00000995 </t>
  </si>
  <si>
    <t xml:space="preserve"> 91935 </t>
  </si>
  <si>
    <t>MEMBRANA IMPERMEABILIZANTE A BASE DE POLIURETANO</t>
  </si>
  <si>
    <t xml:space="preserve"> 00043148 </t>
  </si>
  <si>
    <t>IMPE - IMPERMEABILIZAÇÕES E PROTEÇÕES DIVERSAS</t>
  </si>
  <si>
    <t xml:space="preserve"> 98553 </t>
  </si>
  <si>
    <t>POLIESTIRENO EXPANDIDO/EPS (ISOPOR), TIPO 2F, BLOCO</t>
  </si>
  <si>
    <t xml:space="preserve"> 00039995 </t>
  </si>
  <si>
    <t>PREGO DE ACO POLIDO COM CABECA 17 X 24 (2 1/4 X 11)</t>
  </si>
  <si>
    <t xml:space="preserve"> 00005073 </t>
  </si>
  <si>
    <t>!EM PROCESSO DE DESATIVACAO! CHAPA DE MADEIRA COMPENSADA RESINADA PARA FORMA DE CONCRETO, DE *2,2 X 1,1* M, E = 6 MM</t>
  </si>
  <si>
    <t xml:space="preserve"> 00001351 </t>
  </si>
  <si>
    <t xml:space="preserve"> 97740 </t>
  </si>
  <si>
    <t>FIBRA DE ACO PARA REFORCO DO CONCRETO, SOLTA, TIPO A-I, FATOR DE FORMA *50* L / D, COMPRIMENTO DE *30* MM E RESISTENCIA A TRACAO DO ACO MAIOR 1000 MPA</t>
  </si>
  <si>
    <t xml:space="preserve"> 00039014 </t>
  </si>
  <si>
    <t>!EM PROCESSO DE DESATIVACAO! CHAPA DE MADEIRA COMPENSADA RESINADA PARA FORMA DE CONCRETO, DE *2,2 X 1,1* M, E = 20 MM</t>
  </si>
  <si>
    <t xml:space="preserve"> 00001359 </t>
  </si>
  <si>
    <t xml:space="preserve"> 97738 </t>
  </si>
  <si>
    <t>TABUA  NAO  APARELHADA  *2,5 X 20* CM, EM MACARANDUBA, ANGELIM OU EQUIVALENTE DA REGIAO - BRUTA</t>
  </si>
  <si>
    <t xml:space="preserve"> 00006193 </t>
  </si>
  <si>
    <t>PREGO DE ACO POLIDO COM CABECA DUPLA 17 X 27 (2 1/2 X 11)</t>
  </si>
  <si>
    <t xml:space="preserve"> 00040304 </t>
  </si>
  <si>
    <t>LAJE PRE-MOLDADA CONVENCIONAL (LAJOTAS + VIGOTAS) PARA FORRO, UNIDIRECIONAL, SOBRECARGA DE 100 KG/M2, VAO ATE 4,00 M (SEM COLOCACAO)</t>
  </si>
  <si>
    <t xml:space="preserve"> 00003736 </t>
  </si>
  <si>
    <t xml:space="preserve"> 92723 </t>
  </si>
  <si>
    <t xml:space="preserve"> 92273 </t>
  </si>
  <si>
    <t xml:space="preserve"> 101964 </t>
  </si>
  <si>
    <t>CONCRETO USINADO BOMBEAVEL, CLASSE DE RESISTENCIA C20, COM BRITA 0 E 1, SLUMP = 100 +/- 20 MM, INCLUI SERVICO DE BOMBEAMENTO (NBR 8953)</t>
  </si>
  <si>
    <t xml:space="preserve"> 00001524 </t>
  </si>
  <si>
    <t>ACO CA-50, 6,3 MM, VERGALHAO</t>
  </si>
  <si>
    <t xml:space="preserve"> 00000032 </t>
  </si>
  <si>
    <t xml:space="preserve"> 92792 </t>
  </si>
  <si>
    <t>ACO CA-50, 20,0 MM OU 25,0 MM, VERGALHAO</t>
  </si>
  <si>
    <t xml:space="preserve"> 00043056 </t>
  </si>
  <si>
    <t xml:space="preserve"> 92798 </t>
  </si>
  <si>
    <t>CONCRETO USINADO BOMBEAVEL, CLASSE DE RESISTENCIA C30, COM BRITA 0 E 1, SLUMP = 100 +/- 20 MM, INCLUI SERVICO DE BOMBEAMENTO (NBR 8953)</t>
  </si>
  <si>
    <t xml:space="preserve"> 00001525 </t>
  </si>
  <si>
    <t xml:space="preserve"> 97095 </t>
  </si>
  <si>
    <t>TELA DE ACO SOLDADA NERVURADA, CA-60, Q-283 (4,48 KG/M2), DIAMETRO DO FIO = 6,0 MM, LARGURA = 2,45 X 6,00 M DE COMPRIMENTO, ESPACAMENTO DA MALHA = 10 X 10 CM</t>
  </si>
  <si>
    <t xml:space="preserve"> 00043127 </t>
  </si>
  <si>
    <t xml:space="preserve"> 97093 </t>
  </si>
  <si>
    <t xml:space="preserve"> 97094 </t>
  </si>
  <si>
    <t xml:space="preserve"> 97082 </t>
  </si>
  <si>
    <t xml:space="preserve"> 95240 </t>
  </si>
  <si>
    <t>LONA PLASTICA EXTRA FORTE PRETA, E = 200 MICRA</t>
  </si>
  <si>
    <t xml:space="preserve"> 00042408 </t>
  </si>
  <si>
    <t xml:space="preserve"> 97087 </t>
  </si>
  <si>
    <t xml:space="preserve"> 97083 </t>
  </si>
  <si>
    <t xml:space="preserve"> 97086 </t>
  </si>
  <si>
    <t xml:space="preserve"> 97096 </t>
  </si>
  <si>
    <t>PEDRA BRITADA N. 2 (19 A 38 MM) POSTO PEDREIRA/FORNECEDOR, SEM FRETE</t>
  </si>
  <si>
    <t xml:space="preserve"> 00004718 </t>
  </si>
  <si>
    <t xml:space="preserve"> 96624 </t>
  </si>
  <si>
    <t xml:space="preserve"> 92105 </t>
  </si>
  <si>
    <t>ASTU - ASSENTAMENTO DE TUBOS E PECAS</t>
  </si>
  <si>
    <t xml:space="preserve"> 92813 </t>
  </si>
  <si>
    <t xml:space="preserve"> COMPOSICAO </t>
  </si>
  <si>
    <t xml:space="preserve"> 88315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</si>
  <si>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</si>
  <si>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</si>
  <si>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</si>
  <si>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</si>
  <si>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</si>
  <si>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</si>
  <si>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</si>
  <si>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</si>
  <si>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 xml:space="preserve"> 100759 </t>
  </si>
  <si>
    <t>PERFILADO PERFURADO DUPLO 38 X 76 MM, CHAPA 22</t>
  </si>
  <si>
    <t xml:space="preserve"> 00039029 </t>
  </si>
  <si>
    <t>CHUMBADOR, DIAMETRO 1/4" COM PARAFUSO 1/4" X 40 MM</t>
  </si>
  <si>
    <t xml:space="preserve"> 00011976 </t>
  </si>
  <si>
    <t xml:space="preserve"> 96562 </t>
  </si>
  <si>
    <t xml:space="preserve"> INSUMO </t>
  </si>
  <si>
    <t xml:space="preserve"> 87316 </t>
  </si>
  <si>
    <t xml:space="preserve"> 100719 </t>
  </si>
  <si>
    <t>GRANALHA DE ACO, ANGULAR (GRIT), PARA JATEAMENTO, PENEIRA 1,41 A 1,19 MM (SAE G16)</t>
  </si>
  <si>
    <t xml:space="preserve"> 00036785 </t>
  </si>
  <si>
    <t xml:space="preserve"> 100716 </t>
  </si>
  <si>
    <t>SUPORTE MAO-FRANCESA EM ACO, ABAS IGUAIS 40 CM, CAPACIDADE MINIMA 70 KG, BRANCO</t>
  </si>
  <si>
    <t xml:space="preserve"> 00037591 </t>
  </si>
  <si>
    <t>GRANITO PARA BANCADA, POLIDO, TIPO ANDORINHA/ QUARTZ/ CASTELO/ CORUMBA OU OUTROS EQUIVALENTES DA REGIAO, E=  *2,5* CM</t>
  </si>
  <si>
    <t xml:space="preserve"> 00011795 </t>
  </si>
  <si>
    <t>BUCHA DE NYLON SEM ABA S10, COM PARAFUSO DE 6,10 X 65 MM EM ACO ZINCADO COM ROSCA SOBERBA, CABECA CHATA E FENDA PHILLIPS</t>
  </si>
  <si>
    <t xml:space="preserve"> 00007568 </t>
  </si>
  <si>
    <t xml:space="preserve"> 86889 </t>
  </si>
  <si>
    <t>ELETRODO REVESTIDO AWS - E-6010, DIAMETRO IGUAL A 4,00 MM</t>
  </si>
  <si>
    <t xml:space="preserve"> 00010998 </t>
  </si>
  <si>
    <t xml:space="preserve"> 98746 </t>
  </si>
  <si>
    <t xml:space="preserve"> 97736 </t>
  </si>
  <si>
    <t>DOBRADICA EM ACO/FERRO, 3" X 2 1/2", E= 1,9 A 2 MM, SEM ANEL,  CROMADO OU ZINCADO, TAMPA BOLA, COM PARAFUSOS</t>
  </si>
  <si>
    <t xml:space="preserve"> 00002420 </t>
  </si>
  <si>
    <t>ESQV - ESQUADRIAS/FERRAGENS/VIDROS</t>
  </si>
  <si>
    <t xml:space="preserve"> 100709 </t>
  </si>
  <si>
    <t>TUBO ACO GALVANIZADO COM COSTURA, CLASSE LEVE, DN 40 MM ( 1 1/2"),  E = 3,00 MM,  *3,48* KG/M (NBR 5580)</t>
  </si>
  <si>
    <t xml:space="preserve"> 00021012 </t>
  </si>
  <si>
    <t>TUBO ACO GALVANIZADO COM COSTURA, CLASSE LEVE, DN 50 MM ( 2"),  E = 3,00 MM,  *4,40* KG/M (NBR 5580)</t>
  </si>
  <si>
    <t xml:space="preserve"> 00021013 </t>
  </si>
  <si>
    <t>ELETRODO REVESTIDO AWS - E6013, DIAMETRO IGUAL A 2,50 MM</t>
  </si>
  <si>
    <t xml:space="preserve"> 00011002 </t>
  </si>
  <si>
    <t>CHAPA DE ACO GROSSA, ASTM A36, E = 3/8 " (9,53 MM) 74,69 KG/M2</t>
  </si>
  <si>
    <t xml:space="preserve"> 00001332 </t>
  </si>
  <si>
    <t>BARRA DE FERRO CHATA, RETANGULAR (QUALQUER BITOLA)</t>
  </si>
  <si>
    <t xml:space="preserve"> 00000546 </t>
  </si>
  <si>
    <t xml:space="preserve"> 99839 </t>
  </si>
  <si>
    <t xml:space="preserve"> 95621 </t>
  </si>
  <si>
    <t xml:space="preserve"> 89272 </t>
  </si>
  <si>
    <t xml:space="preserve"> 95620 </t>
  </si>
  <si>
    <t xml:space="preserve"> 99814 </t>
  </si>
  <si>
    <t xml:space="preserve"> 21.3 </t>
  </si>
  <si>
    <t xml:space="preserve"> 99806 </t>
  </si>
  <si>
    <t xml:space="preserve"> 21.2 </t>
  </si>
  <si>
    <t>MUDA DE ARBUSTO FOLHAGEM, SANSAO-DO-CAMPO OU EQUIVALENTE DA REGIAO, H= *50 A 70* CM</t>
  </si>
  <si>
    <t xml:space="preserve"> 00000365 </t>
  </si>
  <si>
    <t>URBA - URBANIZAÇÃO</t>
  </si>
  <si>
    <t xml:space="preserve"> 98509 </t>
  </si>
  <si>
    <t xml:space="preserve"> 20.2.4 </t>
  </si>
  <si>
    <t>MUDA DE RASTEIRA/FORRACAO, AMENDOIM RASTEIRO/ONZE HORAS/AZULZINHA/IMPATIENS OU EQUIVALENTE DA REGIAO</t>
  </si>
  <si>
    <t xml:space="preserve"> 00000360 </t>
  </si>
  <si>
    <t xml:space="preserve"> 98505 </t>
  </si>
  <si>
    <t xml:space="preserve"> 20.2.3 </t>
  </si>
  <si>
    <t>MUDA DE PALMEIRA, ARECA, H= *1,50* CM</t>
  </si>
  <si>
    <t xml:space="preserve"> 00038641 </t>
  </si>
  <si>
    <t xml:space="preserve"> 98516 </t>
  </si>
  <si>
    <t xml:space="preserve"> 20.2.2 </t>
  </si>
  <si>
    <t>MUDA DE ARVORE ORNAMENTAL, OITI/AROEIRA SALSA/ANGICO/IPE/JACARANDA OU EQUIVALENTE  DA REGIAO, H= *2* M</t>
  </si>
  <si>
    <t xml:space="preserve"> 00000359 </t>
  </si>
  <si>
    <t xml:space="preserve"> 98511 </t>
  </si>
  <si>
    <t xml:space="preserve"> 20.2.1 </t>
  </si>
  <si>
    <t>SUPORTE PARA CALHA DE 150 MM EM FERRO GALVANIZADO</t>
  </si>
  <si>
    <t xml:space="preserve"> 00011033 </t>
  </si>
  <si>
    <t>REBITE DE ALUMINIO VAZADO DE REPUXO, 3,2 X 8 MM (1KG = 1025 UNIDADES)</t>
  </si>
  <si>
    <t xml:space="preserve"> 00005104 </t>
  </si>
  <si>
    <t>PERFIL DE ALUMINIO ANODIZADO</t>
  </si>
  <si>
    <t xml:space="preserve"> 00034360 </t>
  </si>
  <si>
    <t xml:space="preserve"> 99857 </t>
  </si>
  <si>
    <t xml:space="preserve"> 20.1.1 </t>
  </si>
  <si>
    <t>ELETRODUTO DE PVC RIGIDO SOLDAVEL, CLASSE B, DE 40 MM</t>
  </si>
  <si>
    <t xml:space="preserve"> 00012070 </t>
  </si>
  <si>
    <t xml:space="preserve"> 96984 </t>
  </si>
  <si>
    <t xml:space="preserve"> 19.3.1 </t>
  </si>
  <si>
    <t xml:space="preserve"> 96973 </t>
  </si>
  <si>
    <t xml:space="preserve"> 19.2.5.7 </t>
  </si>
  <si>
    <t>!EM PROCESSO DE DESATIVACAO! HASTE DE ATERRAMENTO EM ACO COM 3,00 M DE COMPRIMENTO E DN = 5/8", REVESTIDA COM BAIXA CAMADA DE COBRE, SEM CONECTOR</t>
  </si>
  <si>
    <t xml:space="preserve"> 00003379 </t>
  </si>
  <si>
    <t xml:space="preserve"> 96985 </t>
  </si>
  <si>
    <t xml:space="preserve"> 19.2.5.2 </t>
  </si>
  <si>
    <t>CABO DE COBRE, FLEXIVEL, CLASSE 4 OU 5, ISOLACAO EM PVC/A, ANTICHAMA BWF-B, COBERTURA PVC-ST1, ANTICHAMA BWF-B, 1 CONDUTOR, 0,6/1 KV, SECAO NOMINAL 1,5 MM2</t>
  </si>
  <si>
    <t xml:space="preserve"> 00000993 </t>
  </si>
  <si>
    <t xml:space="preserve"> 91925 </t>
  </si>
  <si>
    <t xml:space="preserve"> 19.2.3.4 </t>
  </si>
  <si>
    <t>EXTINTOR DE INCENDIO PORTATIL COM CARGA DE AGUA PRESSURIZADA DE 10 L, CLASSE A</t>
  </si>
  <si>
    <t xml:space="preserve"> 00010886 </t>
  </si>
  <si>
    <t>BUCHA DE NYLON, DIAMETRO DO FURO 8 MM, COMPRIMENTO 40 MM, COM PARAFUSO DE ROSCA SOBERBA, CABECA CHATA, FENDA SIMPLES, 4,8 X 50 MM</t>
  </si>
  <si>
    <t xml:space="preserve"> 00004350 </t>
  </si>
  <si>
    <t>INES - INSTALAÇÕES ESPECIAIS</t>
  </si>
  <si>
    <t xml:space="preserve"> 101905 </t>
  </si>
  <si>
    <t xml:space="preserve"> 19.2.2.3 </t>
  </si>
  <si>
    <t>EXTINTOR DE INCENDIO PORTATIL COM CARGA DE GAS CARBONICO CO2 DE 6 KG, CLASSE BC</t>
  </si>
  <si>
    <t xml:space="preserve"> 00010889 </t>
  </si>
  <si>
    <t xml:space="preserve"> 101907 </t>
  </si>
  <si>
    <t xml:space="preserve"> 19.2.2.2 </t>
  </si>
  <si>
    <t>EXTINTOR DE INCENDIO PORTATIL COM CARGA DE PO QUIMICO SECO (PQS) DE 6 KG, CLASSE BC</t>
  </si>
  <si>
    <t xml:space="preserve"> 00010892 </t>
  </si>
  <si>
    <t xml:space="preserve"> 101909 </t>
  </si>
  <si>
    <t xml:space="preserve"> 19.2.2.1 </t>
  </si>
  <si>
    <t>HIDRANTE SUBTERRANEO, EM FERRO FUNDIDO, COM CURVA LONGA E CAIXA, DN 75 MM</t>
  </si>
  <si>
    <t xml:space="preserve"> 00010924 </t>
  </si>
  <si>
    <t xml:space="preserve"> 101916 </t>
  </si>
  <si>
    <t xml:space="preserve"> 19.2.1.14 </t>
  </si>
  <si>
    <t>SELADOR ACRILICO PAREDES INTERNAS/EXTERNAS</t>
  </si>
  <si>
    <t xml:space="preserve"> 00006085 </t>
  </si>
  <si>
    <t>LIXA EM FOLHA PARA PAREDE OU MADEIRA, NUMERO 120 (COR VERMELHA)</t>
  </si>
  <si>
    <t xml:space="preserve"> 00003767 </t>
  </si>
  <si>
    <t>FITA CREPE ROLO DE 25 MM X 50 M</t>
  </si>
  <si>
    <t xml:space="preserve"> 00012815 </t>
  </si>
  <si>
    <t xml:space="preserve"> 102520 </t>
  </si>
  <si>
    <t xml:space="preserve"> 19.2.1.13 </t>
  </si>
  <si>
    <t>VALVULA DE RETENCAO HORIZONTAL, DE BRONZE (PN-25), 2 1/2", 400 PSI, TAMPA DE PORCA DE UNIAO, EXTREMIDADES COM ROSCA</t>
  </si>
  <si>
    <t xml:space="preserve"> 00010405 </t>
  </si>
  <si>
    <t xml:space="preserve"> 99624 </t>
  </si>
  <si>
    <t xml:space="preserve"> 19.2.1.12 </t>
  </si>
  <si>
    <t>REGISTRO GAVETA BRUTO EM LATAO FORJADO, BITOLA 2 1/2 " (REF 1509)</t>
  </si>
  <si>
    <t xml:space="preserve"> 00006011 </t>
  </si>
  <si>
    <t xml:space="preserve"> 94499 </t>
  </si>
  <si>
    <t xml:space="preserve"> 19.2.1.10 </t>
  </si>
  <si>
    <t>REGISTRO OU VALVULA GLOBO ANGULAR EM LATAO, PARA HIDRANTES EM INSTALACAO PREDIAL DE INCENDIO, 45 GRAUS, DIAMETRO DE 2 1/2", COM VOLANTE, CLASSE DE PRESSAO DE ATE 200 PSI</t>
  </si>
  <si>
    <t xml:space="preserve"> 00010904 </t>
  </si>
  <si>
    <t>MANGUEIRA DE INCENDIO, TIPO 1, DE 1 1/2", COMPRIMENTO = 20 M, TECIDO EM FIO DE POLIESTER E TUBO INTERNO EM BORRACHA SINTETICA, COM UNIOES ENGATE RAPIDO</t>
  </si>
  <si>
    <t xml:space="preserve"> 00021030 </t>
  </si>
  <si>
    <t>ESGUICHO JATO REGULAVEL, TIPO ELKHART, ENGATE RAPIDO 2 1/2", PARA COMBATE A INCENDIO</t>
  </si>
  <si>
    <t xml:space="preserve"> 00037555 </t>
  </si>
  <si>
    <t>CHAVE DUPLA PARA CONEXOES TIPO STORZ, ENGATE RAPIDO 1 1/2" X 2 1/2", EM LATAO, PARA INSTALACAO PREDIAL COMBATE A INCENDIO</t>
  </si>
  <si>
    <t xml:space="preserve"> 00020971 </t>
  </si>
  <si>
    <t>CAIXA DE INCENDIO/ABRIGO PARA MANGUEIRA, DE SOBREPOR/EXTERNA, COM 90 X 60 X 17 CM, EM CHAPA DE ACO, PORTA COM VENTILACAO, VISOR COM A INSCRICAO "INCENDIO", SUPORTE/CESTA INTERNA PARA A MANGUEIRA, PINTURA ELETROSTATICA VERMELHA</t>
  </si>
  <si>
    <t xml:space="preserve"> 00020963 </t>
  </si>
  <si>
    <t>ADAPTADOR, EM LATAO, ENGATE RAPIDO 2 1/2" X ROSCA INTERNA 5 FIOS 2 1/2",  PARA INSTALACAO PREDIAL DE COMBATE A INCENDIO</t>
  </si>
  <si>
    <t xml:space="preserve"> 00010899 </t>
  </si>
  <si>
    <t xml:space="preserve"> 96765 </t>
  </si>
  <si>
    <t xml:space="preserve"> 19.2.1.9 </t>
  </si>
  <si>
    <t>UNIAO DE FERRO GALVANIZADO, COM ROSCA BSP, COM ASSENTO PLANO, DE 2 1/2"</t>
  </si>
  <si>
    <t xml:space="preserve"> 00009889 </t>
  </si>
  <si>
    <t xml:space="preserve"> 92896 </t>
  </si>
  <si>
    <t xml:space="preserve"> 19.2.1.8 </t>
  </si>
  <si>
    <t>TE DE FERRO GALVANIZADO, DE 2 1/2"</t>
  </si>
  <si>
    <t xml:space="preserve"> 00006299 </t>
  </si>
  <si>
    <t xml:space="preserve"> 92642 </t>
  </si>
  <si>
    <t xml:space="preserve"> 19.2.1.7 </t>
  </si>
  <si>
    <t>TUBO ACO GALVANIZADO COM COSTURA, CLASSE MEDIA, DN 2.1/2", E = *3,65* MM, PESO *6,51* KG/M (NBR 5580)</t>
  </si>
  <si>
    <t xml:space="preserve"> 00007701 </t>
  </si>
  <si>
    <t xml:space="preserve"> 92367 </t>
  </si>
  <si>
    <t xml:space="preserve"> 19.2.1.6 </t>
  </si>
  <si>
    <t>NIPLE DE FERRO GALVANIZADO, COM ROSCA BSP, DE 2 1/2"</t>
  </si>
  <si>
    <t xml:space="preserve"> 00004208 </t>
  </si>
  <si>
    <t xml:space="preserve"> 92377 </t>
  </si>
  <si>
    <t xml:space="preserve"> 19.2.1.5 </t>
  </si>
  <si>
    <t>LUVA DE FERRO GALVANIZADO, COM ROSCA BSP, DE 2 1/2"</t>
  </si>
  <si>
    <t xml:space="preserve"> 00003913 </t>
  </si>
  <si>
    <t xml:space="preserve"> 92378 </t>
  </si>
  <si>
    <t xml:space="preserve"> 19.2.1.4 </t>
  </si>
  <si>
    <t>CURVA 90 GRAUS EM ACO CARBONO, RAIO CURTO, SOLDAVEL, PRESSAO 3.000 LBS, DN 2 1/2"</t>
  </si>
  <si>
    <t xml:space="preserve"> 00040422 </t>
  </si>
  <si>
    <t xml:space="preserve"> 97488 </t>
  </si>
  <si>
    <t xml:space="preserve"> 19.2.1.3 </t>
  </si>
  <si>
    <t>COTOVELO 90 GRAUS DE FERRO GALVANIZADO, COM ROSCA BSP, DE 2 1/2"</t>
  </si>
  <si>
    <t xml:space="preserve"> 00003470 </t>
  </si>
  <si>
    <t xml:space="preserve"> 94473 </t>
  </si>
  <si>
    <t xml:space="preserve"> 19.2.1.2 </t>
  </si>
  <si>
    <t>ADAPTADOR PVC SOLDAVEL CURTO COM BOLSA E ROSCA, 110 MM X 4", PARA AGUA FRIA</t>
  </si>
  <si>
    <t xml:space="preserve"> 00000103 </t>
  </si>
  <si>
    <t xml:space="preserve"> 94670 </t>
  </si>
  <si>
    <t xml:space="preserve"> 19.2.1.1 </t>
  </si>
  <si>
    <t>TUBO MULTICAMADA PEX, DN 20 MM, PARA INSTALACOES A GAS (AMARELO)</t>
  </si>
  <si>
    <t xml:space="preserve"> 00038829 </t>
  </si>
  <si>
    <t xml:space="preserve"> 100808 </t>
  </si>
  <si>
    <t xml:space="preserve"> 19.1.6 </t>
  </si>
  <si>
    <t>VALVULA DE ESFERA BRUTA EM BRONZE, BITOLA 1/2 " (REF 1552-B)</t>
  </si>
  <si>
    <t xml:space="preserve"> 00011748 </t>
  </si>
  <si>
    <t>UNIAO DE FERRO GALVANIZADO, COM ROSCA BSP, COM ASSENTO PLANO, DE 1"</t>
  </si>
  <si>
    <t xml:space="preserve"> 00009886 </t>
  </si>
  <si>
    <t>VALVULA DE ESFERA BRUTA EM BRONZE, BITOLA 1 " (REF 1552-B)</t>
  </si>
  <si>
    <t xml:space="preserve"> 00011746 </t>
  </si>
  <si>
    <t>TUBO ACO GALVANIZADO COM COSTURA, CLASSE MEDIA, DN 1", E = 3,38 MM, PESO 2,50 KG/M (NBR 5580)</t>
  </si>
  <si>
    <t xml:space="preserve"> 00040626 </t>
  </si>
  <si>
    <t>TE DE REDUCAO DE FERRO GALVANIZADO, COM ROSCA BSP, DE 1" X 1/2"</t>
  </si>
  <si>
    <t xml:space="preserve"> 00006320 </t>
  </si>
  <si>
    <t>PLUG OU BUJAO DE FERRO GALVANIZADO, DE 1/2"</t>
  </si>
  <si>
    <t xml:space="preserve"> 00004888 </t>
  </si>
  <si>
    <t xml:space="preserve"> 100788 </t>
  </si>
  <si>
    <t xml:space="preserve"> 19.1.3 </t>
  </si>
  <si>
    <t>VALVULA DE ESFERA BRUTA EM BRONZE, BITOLA 1 1/2 " (REF 1552-B)</t>
  </si>
  <si>
    <t xml:space="preserve"> 00011751 </t>
  </si>
  <si>
    <t>TUBO ACO GALVANIZADO COM COSTURA, CLASSE MEDIA, DN 1.1/2", E = *3,25* MM, PESO *3,61* KG/M (NBR 5580)</t>
  </si>
  <si>
    <t xml:space="preserve"> 00007697 </t>
  </si>
  <si>
    <t>TE DE FERRO GALVANIZADO, DE 1 1/2"</t>
  </si>
  <si>
    <t xml:space="preserve"> 00006297 </t>
  </si>
  <si>
    <t>NIPLE DE FERRO GALVANIZADO, COM ROSCA BSP, DE 1 1/2"</t>
  </si>
  <si>
    <t xml:space="preserve"> 00004209 </t>
  </si>
  <si>
    <t>COTOVELO 90 GRAUS DE FERRO GALVANIZADO, COM ROSCA BSP, DE 1 1/2"</t>
  </si>
  <si>
    <t xml:space="preserve"> 00003458 </t>
  </si>
  <si>
    <t>CAP OU TAMPAO DE FERRO GALVANIZADO, COM ROSCA BSP, DE 1 1/2"</t>
  </si>
  <si>
    <t xml:space="preserve"> 00001165 </t>
  </si>
  <si>
    <t xml:space="preserve"> 101936 </t>
  </si>
  <si>
    <t xml:space="preserve"> 19.1.2 </t>
  </si>
  <si>
    <t>!EM PROCESSO DESATIVACAO! ELETRODUTO EM ACO GALVANIZADO ELETROLITICO, LEVE, DIAMETRO 3/4", PAREDE DE 0,90 MM</t>
  </si>
  <si>
    <t xml:space="preserve"> 00021128 </t>
  </si>
  <si>
    <t xml:space="preserve"> 95749 </t>
  </si>
  <si>
    <t xml:space="preserve"> 18.5.6 </t>
  </si>
  <si>
    <t>CABO DE PAR TRANCADO UTP, 4 PARES, CATEGORIA 6</t>
  </si>
  <si>
    <t xml:space="preserve"> 00039599 </t>
  </si>
  <si>
    <t xml:space="preserve"> 98297 </t>
  </si>
  <si>
    <t xml:space="preserve"> 18.4.2 </t>
  </si>
  <si>
    <t>CABO DE PAR TRANCADO UTP, 4 PARES, CATEGORIA 5E</t>
  </si>
  <si>
    <t xml:space="preserve"> 00039598 </t>
  </si>
  <si>
    <t xml:space="preserve"> 98295 </t>
  </si>
  <si>
    <t xml:space="preserve"> 18.4.1 </t>
  </si>
  <si>
    <t>PATCH PANEL, 24 PORTAS, CATEGORIA 6, COM RACKS DE 19" E 1 U DE ALTURA</t>
  </si>
  <si>
    <t xml:space="preserve"> 00039596 </t>
  </si>
  <si>
    <t xml:space="preserve"> 98302 </t>
  </si>
  <si>
    <t xml:space="preserve"> 18.1.2 </t>
  </si>
  <si>
    <t>TOMADA RJ45, 8 FIOS, CAT 5E, CONJUNTO MONTADO PARA EMBUTIR 4" X 2" (PLACA + SUPORTE + MODULO)</t>
  </si>
  <si>
    <t xml:space="preserve"> 00038083 </t>
  </si>
  <si>
    <t xml:space="preserve"> 98307 </t>
  </si>
  <si>
    <t xml:space="preserve"> 18.1.1 </t>
  </si>
  <si>
    <t>CABO DE COBRE NU 50 MM2 MEIO-DURO</t>
  </si>
  <si>
    <t xml:space="preserve"> 00000867 </t>
  </si>
  <si>
    <t xml:space="preserve"> 17.3.5 </t>
  </si>
  <si>
    <t>CABO DE COBRE, FLEXIVEL, CLASSE 4 OU 5, ISOLACAO EM PVC/A, ANTICHAMA BWF-B, COBERTURA PVC-ST1, ANTICHAMA BWF-B, 1 CONDUTOR, 0,6/1 KV, SECAO NOMINAL 10 MM2</t>
  </si>
  <si>
    <t xml:space="preserve"> 00001020 </t>
  </si>
  <si>
    <t xml:space="preserve"> 91933 </t>
  </si>
  <si>
    <t xml:space="preserve"> 17.3.2 </t>
  </si>
  <si>
    <t>CABO DE COBRE, FLEXIVEL, CLASSE 4 OU 5, ISOLACAO EM PVC/A, ANTICHAMA BWF-B, COBERTURA PVC-ST1, ANTICHAMA BWF-B, 1 CONDUTOR, 0,6/1 KV, SECAO NOMINAL 95 MM2</t>
  </si>
  <si>
    <t xml:space="preserve"> 00000998 </t>
  </si>
  <si>
    <t xml:space="preserve"> 92992 </t>
  </si>
  <si>
    <t xml:space="preserve"> 17.1.30 </t>
  </si>
  <si>
    <t>CABO DE COBRE, FLEXIVEL, CLASSE 4 OU 5, ISOLACAO EM PVC/A, ANTICHAMA BWF-B, COBERTURA PVC-ST1, ANTICHAMA BWF-B, 1 CONDUTOR, 0,6/1 KV, SECAO NOMINAL 185 MM2</t>
  </si>
  <si>
    <t xml:space="preserve"> 00001000 </t>
  </si>
  <si>
    <t xml:space="preserve"> 92998 </t>
  </si>
  <si>
    <t xml:space="preserve"> 17.1.29 </t>
  </si>
  <si>
    <t>ELETRODUTO DE PVC RIGIDO ROSCAVEL DE 1/2 ", SEM LUVA</t>
  </si>
  <si>
    <t xml:space="preserve"> 00002673 </t>
  </si>
  <si>
    <t xml:space="preserve"> 91862 </t>
  </si>
  <si>
    <t xml:space="preserve"> 17.1.25 </t>
  </si>
  <si>
    <t>TRANSFORMADOR TRIFASICO DE DISTRIBUICAO, POTENCIA DE 112,5 KVA, TENSAO NOMINAL DE 15 KV, TENSAO SECUNDARIA DE 220/127V, EM OLEO ISOLANTE TIPO MINERAL</t>
  </si>
  <si>
    <t xml:space="preserve"> 00007619 </t>
  </si>
  <si>
    <t xml:space="preserve"> 102105 </t>
  </si>
  <si>
    <t xml:space="preserve"> 17.1.22 </t>
  </si>
  <si>
    <t>SUPORTE EM ACO GALVANIZADO PARA TRANSFORMADOR PARA POSTE DUPLO T 185 X 95 MM, CHAPA DE 5/16"</t>
  </si>
  <si>
    <t xml:space="preserve"> 00007576 </t>
  </si>
  <si>
    <t xml:space="preserve"> 102110 </t>
  </si>
  <si>
    <t xml:space="preserve"> 17.1.14 </t>
  </si>
  <si>
    <t>ALCA PREFORMADA DE DISTRIBUICAO, EM ACO GALVANIZADO, PARA CONDUTORES DE ALUMINIO AWG 1/0 (CAA 6/1 OU CA 7 FIOS)</t>
  </si>
  <si>
    <t xml:space="preserve"> 00011273 </t>
  </si>
  <si>
    <t xml:space="preserve"> 101553 </t>
  </si>
  <si>
    <t xml:space="preserve"> 17.1.2 </t>
  </si>
  <si>
    <t>CONDULETE EM PVC, TIPO "LB", SEM TAMPA, DE 1"</t>
  </si>
  <si>
    <t xml:space="preserve"> 00012015 </t>
  </si>
  <si>
    <t xml:space="preserve"> 95812 </t>
  </si>
  <si>
    <t xml:space="preserve"> 16.8.9 </t>
  </si>
  <si>
    <t>CONDULETE EM PVC, TIPO "TB", SEM TAMPA, DE 1"</t>
  </si>
  <si>
    <t xml:space="preserve"> 00039342 </t>
  </si>
  <si>
    <t xml:space="preserve"> 95815 </t>
  </si>
  <si>
    <t xml:space="preserve"> 16.8.8 </t>
  </si>
  <si>
    <t>LUVA EM PVC RIGIDO ROSCAVEL, DE 1", PARA ELETRODUTO</t>
  </si>
  <si>
    <t xml:space="preserve"> 00001892 </t>
  </si>
  <si>
    <t xml:space="preserve"> 91885 </t>
  </si>
  <si>
    <t xml:space="preserve"> 16.8.6 </t>
  </si>
  <si>
    <t xml:space="preserve"> 90456 </t>
  </si>
  <si>
    <t xml:space="preserve"> 16.8.5 </t>
  </si>
  <si>
    <t>CAIXA DE PASSAGEM, EM PVC, DE 4" X 2", PARA ELETRODUTO FLEXIVEL CORRUGADO</t>
  </si>
  <si>
    <t xml:space="preserve"> 00001872 </t>
  </si>
  <si>
    <t xml:space="preserve"> 91941 </t>
  </si>
  <si>
    <t xml:space="preserve"> 16.8.4 </t>
  </si>
  <si>
    <t xml:space="preserve"> 91940 </t>
  </si>
  <si>
    <t xml:space="preserve"> 16.8.3 </t>
  </si>
  <si>
    <t xml:space="preserve"> 91939 </t>
  </si>
  <si>
    <t xml:space="preserve"> 16.8.2 </t>
  </si>
  <si>
    <t>CAIXA OCTOGONAL DE FUNDO MOVEL, EM PVC, DE 3" X 3", PARA ELETRODUTO FLEXIVEL CORRUGADO</t>
  </si>
  <si>
    <t xml:space="preserve"> 00001871 </t>
  </si>
  <si>
    <t xml:space="preserve"> 91937 </t>
  </si>
  <si>
    <t xml:space="preserve"> 16.8.1 </t>
  </si>
  <si>
    <t>QUADRO DE DISTRIBUICAO COM BARRAMENTO TRIFASICO, DE EMBUTIR, EM CHAPA DE ACO GALVANIZADO, PARA 40 DISJUNTORES DIN, 100 A</t>
  </si>
  <si>
    <t xml:space="preserve"> 00012042 </t>
  </si>
  <si>
    <t xml:space="preserve"> 101881 </t>
  </si>
  <si>
    <t xml:space="preserve"> 16.7.4 </t>
  </si>
  <si>
    <t>QUADRO DE DISTRIBUICAO COM BARRAMENTO TRIFASICO, DE EMBUTIR, EM CHAPA DE ACO GALVANIZADO, PARA 30 DISJUNTORES DIN, 150 A</t>
  </si>
  <si>
    <t xml:space="preserve"> 00012041 </t>
  </si>
  <si>
    <t xml:space="preserve"> 101880 </t>
  </si>
  <si>
    <t xml:space="preserve"> 16.7.3 </t>
  </si>
  <si>
    <t>QUADRO DE DISTRIBUICAO COM BARRAMENTO TRIFASICO, DE EMBUTIR, EM CHAPA DE ACO GALVANIZADO, PARA 24 DISJUNTORES DIN, 100 A</t>
  </si>
  <si>
    <t xml:space="preserve"> 00012039 </t>
  </si>
  <si>
    <t xml:space="preserve"> 101879 </t>
  </si>
  <si>
    <t xml:space="preserve"> 16.7.2 </t>
  </si>
  <si>
    <t>QUADRO DE DISTRIBUICAO COM BARRAMENTO TRIFASICO, DE EMBUTIR, EM CHAPA DE ACO GALVANIZADO, PARA 12 DISJUNTORES DIN, 100 A</t>
  </si>
  <si>
    <t xml:space="preserve"> 00013393 </t>
  </si>
  <si>
    <t xml:space="preserve"> 101875 </t>
  </si>
  <si>
    <t xml:space="preserve"> 16.7.1 </t>
  </si>
  <si>
    <t>CAIXA DE CONCRETO ARMADO PRE-MOLDADO, SEM FUNDO, QUADRADA, DIMENSOES DE 0,30 X 0,30 X 0,30 M</t>
  </si>
  <si>
    <t xml:space="preserve"> 00043429 </t>
  </si>
  <si>
    <t xml:space="preserve"> 97881 </t>
  </si>
  <si>
    <t xml:space="preserve"> 16.6.2 </t>
  </si>
  <si>
    <t xml:space="preserve"> 97892 </t>
  </si>
  <si>
    <t xml:space="preserve"> 16.6.1 </t>
  </si>
  <si>
    <t>LUMINARIA DE EMERGENCIA 30 LEDS, POTENCIA 2 W, BATERIA DE LITIO, AUTONOMIA DE 6 HORAS</t>
  </si>
  <si>
    <t xml:space="preserve"> 00038774 </t>
  </si>
  <si>
    <t xml:space="preserve"> 97599 </t>
  </si>
  <si>
    <t xml:space="preserve"> 16.5.3 </t>
  </si>
  <si>
    <t xml:space="preserve"> 96995 </t>
  </si>
  <si>
    <t xml:space="preserve"> 16.4.8 </t>
  </si>
  <si>
    <t>ELETRODUTODUTO PEAD FLEXIVEL PAREDE SIMPLES, CORRUGACAO HELICOIDAL, COR PRETA, SEM ROSCA, DE 4",  PARA CABEAMENTO SUBTERRANEO (NBR 15715)</t>
  </si>
  <si>
    <t xml:space="preserve"> 00039248 </t>
  </si>
  <si>
    <t xml:space="preserve"> 97670 </t>
  </si>
  <si>
    <t xml:space="preserve"> 16.4.6 </t>
  </si>
  <si>
    <t>ELETRODUTO/DUTO PEAD FLEXIVEL PAREDE SIMPLES, CORRUGACAO HELICOIDAL, COR PRETA, SEM ROSCA, DE 2",  PARA CABEAMENTO SUBTERRANEO (NBR 15715)</t>
  </si>
  <si>
    <t xml:space="preserve"> 00002446 </t>
  </si>
  <si>
    <t xml:space="preserve"> 97668 </t>
  </si>
  <si>
    <t xml:space="preserve"> 16.4.5 </t>
  </si>
  <si>
    <t>ELETRODUTODUTO PEAD FLEXIVEL PAREDE SIMPLES, CORRUGACAO HELICOIDAL, COR PRETA, SEM ROSCA, DE 1 1/2",  PARA CABEAMENTO SUBTERRANEO (NBR 15715)</t>
  </si>
  <si>
    <t xml:space="preserve"> 00039246 </t>
  </si>
  <si>
    <t xml:space="preserve"> 97667 </t>
  </si>
  <si>
    <t xml:space="preserve"> 16.4.4 </t>
  </si>
  <si>
    <t>ELETRODUTO PVC FLEXIVEL CORRUGADO, REFORCADO, COR LARANJA, DE 32 MM, PARA LAJES E PISOS</t>
  </si>
  <si>
    <t xml:space="preserve"> 00039245 </t>
  </si>
  <si>
    <t xml:space="preserve"> 91847 </t>
  </si>
  <si>
    <t xml:space="preserve"> 16.4.3 </t>
  </si>
  <si>
    <t>ELETRODUTO PVC FLEXIVEL CORRUGADO, REFORCADO, COR LARANJA, DE 25 MM, PARA LAJES E PISOS</t>
  </si>
  <si>
    <t xml:space="preserve"> 00039244 </t>
  </si>
  <si>
    <t xml:space="preserve"> 91845 </t>
  </si>
  <si>
    <t xml:space="preserve"> 16.4.2 </t>
  </si>
  <si>
    <t>ELETRODUTO DE PVC RIGIDO ROSCAVEL DE 1 ", SEM LUVA</t>
  </si>
  <si>
    <t xml:space="preserve"> 00002685 </t>
  </si>
  <si>
    <t xml:space="preserve"> 91868 </t>
  </si>
  <si>
    <t xml:space="preserve"> 16.4.1 </t>
  </si>
  <si>
    <t>TERMINAL A COMPRESSAO EM COBRE ESTANHADO PARA CABO 10 MM2, 1 FURO E 1 COMPRESSAO, PARA PARAFUSO DE FIXACAO M6</t>
  </si>
  <si>
    <t xml:space="preserve"> 00001574 </t>
  </si>
  <si>
    <t xml:space="preserve"> 93672 </t>
  </si>
  <si>
    <t xml:space="preserve"> 16.3.8 </t>
  </si>
  <si>
    <t>TERMINAL A COMPRESSAO EM COBRE ESTANHADO PARA CABO 6 MM2, 1 FURO E 1 COMPRESSAO, PARA PARAFUSO DE FIXACAO M6</t>
  </si>
  <si>
    <t xml:space="preserve"> 00001573 </t>
  </si>
  <si>
    <t xml:space="preserve"> 93671 </t>
  </si>
  <si>
    <t xml:space="preserve"> 16.3.7 </t>
  </si>
  <si>
    <t>TERMINAL A COMPRESSAO EM COBRE ESTANHADO PARA CABO 4 MM2, 1 FURO E 1 COMPRESSAO, PARA PARAFUSO DE FIXACAO M5</t>
  </si>
  <si>
    <t xml:space="preserve"> 00001571 </t>
  </si>
  <si>
    <t xml:space="preserve"> 93670 </t>
  </si>
  <si>
    <t xml:space="preserve"> 16.3.6 </t>
  </si>
  <si>
    <t>DISJUNTOR TIPO DIN/IEC, BIPOLAR DE 6 ATE 32A</t>
  </si>
  <si>
    <t xml:space="preserve"> 00034616 </t>
  </si>
  <si>
    <t xml:space="preserve"> 93664 </t>
  </si>
  <si>
    <t xml:space="preserve"> 16.3.5 </t>
  </si>
  <si>
    <t xml:space="preserve"> 93663 </t>
  </si>
  <si>
    <t xml:space="preserve"> 16.3.4 </t>
  </si>
  <si>
    <t>TERMINAL A COMPRESSAO EM COBRE ESTANHADO PARA CABO 2,5 MM2, 1 FURO E 1 COMPRESSAO, PARA PARAFUSO DE FIXACAO M5</t>
  </si>
  <si>
    <t xml:space="preserve"> 00001570 </t>
  </si>
  <si>
    <t xml:space="preserve"> 93661 </t>
  </si>
  <si>
    <t xml:space="preserve"> 16.3.3 </t>
  </si>
  <si>
    <t>DISJUNTOR TIPO DIN/IEC, MONOPOLAR DE 6  ATE  32A</t>
  </si>
  <si>
    <t xml:space="preserve"> 00034653 </t>
  </si>
  <si>
    <t xml:space="preserve"> 93655 </t>
  </si>
  <si>
    <t xml:space="preserve"> 16.3.2 </t>
  </si>
  <si>
    <t xml:space="preserve"> 93654 </t>
  </si>
  <si>
    <t xml:space="preserve"> 16.3.1 </t>
  </si>
  <si>
    <t xml:space="preserve"> 92008 </t>
  </si>
  <si>
    <t xml:space="preserve"> 16.2.10 </t>
  </si>
  <si>
    <t xml:space="preserve"> 92000 </t>
  </si>
  <si>
    <t xml:space="preserve"> 16.2.9 </t>
  </si>
  <si>
    <t xml:space="preserve"> 91996 </t>
  </si>
  <si>
    <t xml:space="preserve"> 16.2.8 </t>
  </si>
  <si>
    <t xml:space="preserve"> 91992 </t>
  </si>
  <si>
    <t xml:space="preserve"> 16.2.7 </t>
  </si>
  <si>
    <t xml:space="preserve"> 92027 </t>
  </si>
  <si>
    <t xml:space="preserve"> 16.2.6 </t>
  </si>
  <si>
    <t xml:space="preserve"> 92023 </t>
  </si>
  <si>
    <t xml:space="preserve"> 16.2.5 </t>
  </si>
  <si>
    <t xml:space="preserve"> 91967 </t>
  </si>
  <si>
    <t xml:space="preserve"> 16.2.4 </t>
  </si>
  <si>
    <t xml:space="preserve"> 91959 </t>
  </si>
  <si>
    <t xml:space="preserve"> 16.2.3 </t>
  </si>
  <si>
    <t xml:space="preserve"> 91953 </t>
  </si>
  <si>
    <t xml:space="preserve"> 16.2.2 </t>
  </si>
  <si>
    <t xml:space="preserve"> 91955 </t>
  </si>
  <si>
    <t xml:space="preserve"> 16.2.1 </t>
  </si>
  <si>
    <t>CABO DE COBRE, FLEXIVEL, CLASSE 4 OU 5, ISOLACAO EM PVC/A, ANTICHAMA BWF-B, COBERTURA PVC-ST1, ANTICHAMA BWF-B, 1 CONDUTOR, 0,6/1 KV, SECAO NOMINAL 50 MM2</t>
  </si>
  <si>
    <t xml:space="preserve"> 00001018 </t>
  </si>
  <si>
    <t xml:space="preserve"> 92988 </t>
  </si>
  <si>
    <t xml:space="preserve"> 16.1.9 </t>
  </si>
  <si>
    <t>CABO DE COBRE, FLEXIVEL, CLASSE 4 OU 5, ISOLACAO EM PVC/A, ANTICHAMA BWF-B, COBERTURA PVC-ST1, ANTICHAMA BWF-B, 1 CONDUTOR, 0,6/1 KV, SECAO NOMINAL 35 MM2</t>
  </si>
  <si>
    <t xml:space="preserve"> 00001019 </t>
  </si>
  <si>
    <t xml:space="preserve"> 16.1.8 </t>
  </si>
  <si>
    <t>CABO DE COBRE, FLEXIVEL, CLASSE 4 OU 5, ISOLACAO EM PVC/A, ANTICHAMA BWF-B, COBERTURA PVC-ST1, ANTICHAMA BWF-B, 1 CONDUTOR, 0,6/1 KV, SECAO NOMINAL 25 MM2</t>
  </si>
  <si>
    <t xml:space="preserve"> 00000996 </t>
  </si>
  <si>
    <t xml:space="preserve"> 92984 </t>
  </si>
  <si>
    <t xml:space="preserve"> 16.1.7 </t>
  </si>
  <si>
    <t xml:space="preserve"> 92982 </t>
  </si>
  <si>
    <t xml:space="preserve"> 16.1.6 </t>
  </si>
  <si>
    <t xml:space="preserve"> 92980 </t>
  </si>
  <si>
    <t xml:space="preserve"> 16.1.5 </t>
  </si>
  <si>
    <t>CABO DE COBRE, FLEXIVEL, CLASSE 4 OU 5, ISOLACAO EM PVC/A, ANTICHAMA BWF-B, 1 CONDUTOR, 450/750 V, SECAO NOMINAL 10 MM2</t>
  </si>
  <si>
    <t xml:space="preserve"> 00000980 </t>
  </si>
  <si>
    <t xml:space="preserve"> 91932 </t>
  </si>
  <si>
    <t xml:space="preserve"> 16.1.4 </t>
  </si>
  <si>
    <t>CABO DE COBRE, FLEXIVEL, CLASSE 4 OU 5, ISOLACAO EM PVC/A, ANTICHAMA BWF-B, 1 CONDUTOR, 450/750 V, SECAO NOMINAL 6 MM2</t>
  </si>
  <si>
    <t xml:space="preserve"> 00000982 </t>
  </si>
  <si>
    <t xml:space="preserve"> 91930 </t>
  </si>
  <si>
    <t xml:space="preserve"> 16.1.3 </t>
  </si>
  <si>
    <t>CABO DE COBRE, FLEXIVEL, CLASSE 4 OU 5, ISOLACAO EM PVC/A, ANTICHAMA BWF-B, 1 CONDUTOR, 450/750 V, SECAO NOMINAL 4 MM2</t>
  </si>
  <si>
    <t xml:space="preserve"> 00000981 </t>
  </si>
  <si>
    <t xml:space="preserve"> 91928 </t>
  </si>
  <si>
    <t xml:space="preserve"> 16.1.2 </t>
  </si>
  <si>
    <t>CABO DE COBRE, FLEXIVEL, CLASSE 4 OU 5, ISOLACAO EM PVC/A, ANTICHAMA BWF-B, 1 CONDUTOR, 450/750 V, SECAO NOMINAL 2,5 MM2</t>
  </si>
  <si>
    <t xml:space="preserve"> 00001014 </t>
  </si>
  <si>
    <t xml:space="preserve"> 91926 </t>
  </si>
  <si>
    <t xml:space="preserve"> 16.1.1 </t>
  </si>
  <si>
    <t>VALVULA EM PLASTICO CROMADO TIPO AMERICANA PARA PIA DE COZINHA 3.1/2 " X 1.1/2 ", SEM ADAPTADOR</t>
  </si>
  <si>
    <t xml:space="preserve"> 00006155 </t>
  </si>
  <si>
    <t xml:space="preserve"> 86880 </t>
  </si>
  <si>
    <t xml:space="preserve"> 15.3.25 </t>
  </si>
  <si>
    <t>VALVULA EM PLASTICO BRANCO PARA TANQUE OU LAVATORIO 1 ", SEM UNHO E SEM LADRAO</t>
  </si>
  <si>
    <t xml:space="preserve"> 00006153 </t>
  </si>
  <si>
    <t xml:space="preserve"> 86879 </t>
  </si>
  <si>
    <t xml:space="preserve"> 15.3.24 </t>
  </si>
  <si>
    <t>SIFAO PLASTICO FLEXIVEL SAIDA VERTICAL PARA COLUNA LAVATORIO, 1 X 1.1/2 "</t>
  </si>
  <si>
    <t xml:space="preserve"> 00006148 </t>
  </si>
  <si>
    <t xml:space="preserve"> 86883 </t>
  </si>
  <si>
    <t xml:space="preserve"> 15.3.23 </t>
  </si>
  <si>
    <t>SIFAO PLASTICO TIPO COPO PARA TANQUE, 1.1/4 X 1.1/2 "</t>
  </si>
  <si>
    <t xml:space="preserve"> 00006146 </t>
  </si>
  <si>
    <t xml:space="preserve"> 86882 </t>
  </si>
  <si>
    <t xml:space="preserve"> 15.3.22 </t>
  </si>
  <si>
    <t>RALO SIFONADO PVC CILINDRICO, 100 X 40 MM,  COM GRELHA REDONDA BRANCA</t>
  </si>
  <si>
    <t xml:space="preserve"> 00011741 </t>
  </si>
  <si>
    <t>ADESIVO PLASTICO PARA PVC, FRASCO COM 850 GR</t>
  </si>
  <si>
    <t xml:space="preserve"> 00000122 </t>
  </si>
  <si>
    <t xml:space="preserve"> 89709 </t>
  </si>
  <si>
    <t xml:space="preserve"> 15.3.21 </t>
  </si>
  <si>
    <t>ENGATE/RABICHO FLEXIVEL PLASTICO (PVC OU ABS) BRANCO 1/2 " X 30 CM</t>
  </si>
  <si>
    <t xml:space="preserve"> 00006141 </t>
  </si>
  <si>
    <t xml:space="preserve"> 86884 </t>
  </si>
  <si>
    <t xml:space="preserve"> 15.3.20 </t>
  </si>
  <si>
    <t>BARRA DE APOIO RETA, EM ACO INOX POLIDO, COMPRIMENTO 60CM, DIAMETRO MINIMO 3 CM</t>
  </si>
  <si>
    <t xml:space="preserve"> 00036204 </t>
  </si>
  <si>
    <t xml:space="preserve"> 100874 </t>
  </si>
  <si>
    <t xml:space="preserve"> 15.3.19 </t>
  </si>
  <si>
    <t>BARRA DE APOIO RETA, EM ACO INOX POLIDO, COMPRIMENTO 90 CM, DIAMETRO MINIMO 3 CM</t>
  </si>
  <si>
    <t xml:space="preserve"> 00036206 </t>
  </si>
  <si>
    <t xml:space="preserve"> 100869 </t>
  </si>
  <si>
    <t xml:space="preserve"> 15.3.18 </t>
  </si>
  <si>
    <t>PAPELEIRA DE PAREDE EM METAL CROMADO SEM TAMPA</t>
  </si>
  <si>
    <t xml:space="preserve"> 00011703 </t>
  </si>
  <si>
    <t xml:space="preserve"> 95544 </t>
  </si>
  <si>
    <t xml:space="preserve"> 15.3.16 </t>
  </si>
  <si>
    <t>TORNEIRA CROMADA DE PAREDE PARA COZINHA SEM AREJADOR, PADRAO POPULAR, 1/2 " OU 3/4 " (REF 1158)</t>
  </si>
  <si>
    <t xml:space="preserve"> 00013416 </t>
  </si>
  <si>
    <t xml:space="preserve"> 86911 </t>
  </si>
  <si>
    <t xml:space="preserve"> 15.3.15 </t>
  </si>
  <si>
    <t>TORNEIRA CROMADA DE MESA PARA LAVATORIO, PADRAO POPULAR, 1/2 " OU 3/4 " (REF 1193)</t>
  </si>
  <si>
    <t xml:space="preserve"> 00013415 </t>
  </si>
  <si>
    <t xml:space="preserve"> 86906 </t>
  </si>
  <si>
    <t xml:space="preserve"> 15.3.14 </t>
  </si>
  <si>
    <t>TORNEIRA CROMADA SEM BICO PARA TANQUE, PADRAO POPULAR, 1/2 " OU 3/4 " (REF 1126)</t>
  </si>
  <si>
    <t xml:space="preserve"> 00007604 </t>
  </si>
  <si>
    <t xml:space="preserve"> 86913 </t>
  </si>
  <si>
    <t xml:space="preserve"> 15.3.13 </t>
  </si>
  <si>
    <t xml:space="preserve"> 86939 </t>
  </si>
  <si>
    <t xml:space="preserve"> 15.3.12 </t>
  </si>
  <si>
    <t>ASSENTO  VASO SANITARIO INFANTIL EM PLASTICO BRANCO</t>
  </si>
  <si>
    <t xml:space="preserve"> 00011761 </t>
  </si>
  <si>
    <t xml:space="preserve"> 100851 </t>
  </si>
  <si>
    <t xml:space="preserve"> 15.3.11 </t>
  </si>
  <si>
    <t>BACIA SANITARIA (VASO) INFANTIL, SIFONADO, DE LOUCA BRANCA, (SEM ASSENTO)</t>
  </si>
  <si>
    <t xml:space="preserve"> 00011786 </t>
  </si>
  <si>
    <t xml:space="preserve"> 100848 </t>
  </si>
  <si>
    <t xml:space="preserve"> 15.3.10 </t>
  </si>
  <si>
    <t>ASSENTO SANITARIO DE PLASTICO, TIPO CONVENCIONAL</t>
  </si>
  <si>
    <t xml:space="preserve"> 00000377 </t>
  </si>
  <si>
    <t xml:space="preserve"> 100849 </t>
  </si>
  <si>
    <t xml:space="preserve"> 15.3.9 </t>
  </si>
  <si>
    <t>CONJUNTO DE LIGACAO PARA BACIA SANITARIA AJUSTAVEL, EM PLASTICO BRANCO, COM TUBO, CANOPLA E ESPUDE</t>
  </si>
  <si>
    <t xml:space="preserve"> 00006142 </t>
  </si>
  <si>
    <t xml:space="preserve"> 95470 </t>
  </si>
  <si>
    <t xml:space="preserve"> 15.3.8 </t>
  </si>
  <si>
    <t xml:space="preserve"> 95472 </t>
  </si>
  <si>
    <t xml:space="preserve"> 15.3.6 </t>
  </si>
  <si>
    <t xml:space="preserve"> 86936 </t>
  </si>
  <si>
    <t xml:space="preserve"> 15.3.4 </t>
  </si>
  <si>
    <t xml:space="preserve"> 86938 </t>
  </si>
  <si>
    <t xml:space="preserve"> 15.3.3 </t>
  </si>
  <si>
    <t xml:space="preserve"> 86920 </t>
  </si>
  <si>
    <t xml:space="preserve"> 15.3.2 </t>
  </si>
  <si>
    <t>CHUVEIRO COMUM EM PLASTICO BRANCO, COM CANO, 3 TEMPERATURAS, 5500 W (110/220 V)</t>
  </si>
  <si>
    <t xml:space="preserve"> 00001368 </t>
  </si>
  <si>
    <t xml:space="preserve"> 100860 </t>
  </si>
  <si>
    <t xml:space="preserve"> 15.3.1 </t>
  </si>
  <si>
    <t>CAIXA PARA HIDROMETRO CONCRETO PRE MOLDADO, *0,24 M X 0,45 M X 0,30* M (L X C X A)</t>
  </si>
  <si>
    <t xml:space="preserve"> 00011882 </t>
  </si>
  <si>
    <t xml:space="preserve"> 95676 </t>
  </si>
  <si>
    <t xml:space="preserve"> 15.2.49 </t>
  </si>
  <si>
    <t>UNIAO PVC, SOLDAVEL, 25 MM,  PARA AGUA FRIA PREDIAL</t>
  </si>
  <si>
    <t xml:space="preserve"> 00009906 </t>
  </si>
  <si>
    <t xml:space="preserve"> 89536 </t>
  </si>
  <si>
    <t xml:space="preserve"> 15.2.48 </t>
  </si>
  <si>
    <t>UNIAO PVC, SOLDAVEL, 50 MM,  PARA AGUA FRIA PREDIAL</t>
  </si>
  <si>
    <t xml:space="preserve"> 00009897 </t>
  </si>
  <si>
    <t xml:space="preserve"> 89594 </t>
  </si>
  <si>
    <t xml:space="preserve"> 15.2.47 </t>
  </si>
  <si>
    <t>TE DE REDUCAO, PVC, SOLDAVEL, 90 GRAUS, 85 MM X 60 MM, PARA AGUA FRIA PREDIAL</t>
  </si>
  <si>
    <t xml:space="preserve"> 00007133 </t>
  </si>
  <si>
    <t xml:space="preserve"> 94700 </t>
  </si>
  <si>
    <t xml:space="preserve"> 15.2.46 </t>
  </si>
  <si>
    <t>TE DE REDUCAO, PVC, SOLDAVEL, 90 GRAUS, 75 MM X 50 MM, PARA AGUA FRIA PREDIAL</t>
  </si>
  <si>
    <t xml:space="preserve"> 00007132 </t>
  </si>
  <si>
    <t xml:space="preserve"> 94698 </t>
  </si>
  <si>
    <t xml:space="preserve"> 15.2.45 </t>
  </si>
  <si>
    <t xml:space="preserve"> 89630 </t>
  </si>
  <si>
    <t xml:space="preserve"> 15.2.44 </t>
  </si>
  <si>
    <t>TE DE REDUCAO, PVC, SOLDAVEL, 90 GRAUS, 50 MM X 25 MM, PARA AGUA FRIA PREDIAL</t>
  </si>
  <si>
    <t xml:space="preserve"> 00007129 </t>
  </si>
  <si>
    <t xml:space="preserve"> 89627 </t>
  </si>
  <si>
    <t xml:space="preserve"> 15.2.43 </t>
  </si>
  <si>
    <t>TE SOLDAVEL, PVC, 90 GRAUS, 85 MM, PARA AGUA FRIA PREDIAL (NBR 5648)</t>
  </si>
  <si>
    <t xml:space="preserve"> 00007145 </t>
  </si>
  <si>
    <t xml:space="preserve"> 94699 </t>
  </si>
  <si>
    <t xml:space="preserve"> 15.2.42 </t>
  </si>
  <si>
    <t>TE SOLDAVEL, PVC, 90 GRAUS, 75 MM, PARA AGUA FRIA PREDIAL (NBR 5648)</t>
  </si>
  <si>
    <t xml:space="preserve"> 00007144 </t>
  </si>
  <si>
    <t xml:space="preserve"> 89629 </t>
  </si>
  <si>
    <t xml:space="preserve"> 15.2.41 </t>
  </si>
  <si>
    <t>TE SOLDAVEL, PVC, 90 GRAUS, 60 MM, PARA AGUA FRIA PREDIAL (NBR 5648)</t>
  </si>
  <si>
    <t xml:space="preserve"> 00007143 </t>
  </si>
  <si>
    <t xml:space="preserve"> 89628 </t>
  </si>
  <si>
    <t xml:space="preserve"> 15.2.39 </t>
  </si>
  <si>
    <t xml:space="preserve"> 89440 </t>
  </si>
  <si>
    <t xml:space="preserve"> 15.2.38 </t>
  </si>
  <si>
    <t>TUBO PVC, SOLDAVEL, DN 85 MM, AGUA FRIA (NBR-5648)</t>
  </si>
  <si>
    <t xml:space="preserve"> 00009872 </t>
  </si>
  <si>
    <t xml:space="preserve"> 89452 </t>
  </si>
  <si>
    <t xml:space="preserve"> 15.2.37 </t>
  </si>
  <si>
    <t>TUBO PVC, SOLDAVEL, DN 75 MM, AGUA FRIA (NBR-5648)</t>
  </si>
  <si>
    <t xml:space="preserve"> 00009871 </t>
  </si>
  <si>
    <t xml:space="preserve"> 89451 </t>
  </si>
  <si>
    <t xml:space="preserve"> 15.2.36 </t>
  </si>
  <si>
    <t>TUBO PVC, SOLDAVEL, DN 60 MM, AGUA FRIA (NBR-5648)</t>
  </si>
  <si>
    <t xml:space="preserve"> 00009873 </t>
  </si>
  <si>
    <t xml:space="preserve"> 89450 </t>
  </si>
  <si>
    <t xml:space="preserve"> 15.2.35 </t>
  </si>
  <si>
    <t>TUBO PVC, SOLDAVEL, DN 50 MM, PARA AGUA FRIA (NBR-5648)</t>
  </si>
  <si>
    <t xml:space="preserve"> 00009875 </t>
  </si>
  <si>
    <t xml:space="preserve"> 89449 </t>
  </si>
  <si>
    <t xml:space="preserve"> 15.2.34 </t>
  </si>
  <si>
    <t>TUBO PVC, SOLDAVEL, DN 40 MM, AGUA FRIA (NBR-5648)</t>
  </si>
  <si>
    <t xml:space="preserve"> 00009874 </t>
  </si>
  <si>
    <t xml:space="preserve"> 89448 </t>
  </si>
  <si>
    <t xml:space="preserve"> 15.2.33 </t>
  </si>
  <si>
    <t xml:space="preserve"> 89356 </t>
  </si>
  <si>
    <t xml:space="preserve"> 15.2.32 </t>
  </si>
  <si>
    <t>LUVA DE CORRER PARA TUBO SOLDAVEL, PVC, 25 MM, PARA AGUA FRIA PREDIAL</t>
  </si>
  <si>
    <t xml:space="preserve"> 00003873 </t>
  </si>
  <si>
    <t xml:space="preserve"> 89425 </t>
  </si>
  <si>
    <t xml:space="preserve"> 15.2.30 </t>
  </si>
  <si>
    <t>LUVA DE CORRER PARA TUBO SOLDAVEL, PVC, 50 MM, PARA AGUA FRIA PREDIAL</t>
  </si>
  <si>
    <t xml:space="preserve"> 00003847 </t>
  </si>
  <si>
    <t xml:space="preserve"> 89577 </t>
  </si>
  <si>
    <t xml:space="preserve"> 15.2.29 </t>
  </si>
  <si>
    <t>JOELHO, PVC SOLDAVEL, 90 GRAUS, 75 MM, PARA AGUA FRIA PREDIAL</t>
  </si>
  <si>
    <t xml:space="preserve"> 00003511 </t>
  </si>
  <si>
    <t xml:space="preserve"> 89513 </t>
  </si>
  <si>
    <t xml:space="preserve"> 15.2.28 </t>
  </si>
  <si>
    <t>JOELHO PVC, SOLDAVEL, 90 GRAUS, 50 MM, PARA AGUA FRIA PREDIAL</t>
  </si>
  <si>
    <t xml:space="preserve"> 00003540 </t>
  </si>
  <si>
    <t xml:space="preserve"> 89501 </t>
  </si>
  <si>
    <t xml:space="preserve"> 15.2.27 </t>
  </si>
  <si>
    <t>JOELHO PVC, SOLDAVEL, 90 GRAUS, 40 MM, PARA AGUA FRIA PREDIAL</t>
  </si>
  <si>
    <t xml:space="preserve"> 00003535 </t>
  </si>
  <si>
    <t xml:space="preserve"> 89497 </t>
  </si>
  <si>
    <t xml:space="preserve"> 15.2.26 </t>
  </si>
  <si>
    <t>JOELHO PVC, SOLDAVEL, 90 GRAUS, 25 MM, PARA AGUA FRIA PREDIAL</t>
  </si>
  <si>
    <t xml:space="preserve"> 00003529 </t>
  </si>
  <si>
    <t xml:space="preserve"> 89481 </t>
  </si>
  <si>
    <t xml:space="preserve"> 15.2.25 </t>
  </si>
  <si>
    <t>JOELHO PVC, SOLDAVEL, COM BUCHA DE LATAO, 90 GRAUS, 25 MM X 1/2", PARA AGUA FRIA PREDIAL</t>
  </si>
  <si>
    <t xml:space="preserve"> 00020147 </t>
  </si>
  <si>
    <t xml:space="preserve"> 90373 </t>
  </si>
  <si>
    <t xml:space="preserve"> 15.2.24 </t>
  </si>
  <si>
    <t>CURVA DE PVC 90 GRAUS, SOLDAVEL, 85 MM, PARA AGUA FRIA PREDIAL (NBR 5648)</t>
  </si>
  <si>
    <t xml:space="preserve"> 00001961 </t>
  </si>
  <si>
    <t xml:space="preserve"> 89525 </t>
  </si>
  <si>
    <t xml:space="preserve"> 15.2.23 </t>
  </si>
  <si>
    <t>LUVA DE REDUCAO, PVC, SOLDAVEL, 50 X 25 MM, PARA AGUA FRIA PREDIAL</t>
  </si>
  <si>
    <t xml:space="preserve"> 00038023 </t>
  </si>
  <si>
    <t xml:space="preserve"> 89579 </t>
  </si>
  <si>
    <t xml:space="preserve"> 15.2.22 </t>
  </si>
  <si>
    <t>LUVA DE REDUCAO SOLDAVEL, PVC, 60 MM X 50 MM, PARA AGUA FRIA PREDIAL</t>
  </si>
  <si>
    <t xml:space="preserve"> 00003850 </t>
  </si>
  <si>
    <t xml:space="preserve"> 89605 </t>
  </si>
  <si>
    <t xml:space="preserve"> 15.2.21 </t>
  </si>
  <si>
    <t>ADAPTADOR PVC SOLDAVEL CURTO COM BOLSA E ROSCA, 50 MM X 1 1/4", PARA AGUA FRIA</t>
  </si>
  <si>
    <t xml:space="preserve"> 00000111 </t>
  </si>
  <si>
    <t xml:space="preserve"> 89595 </t>
  </si>
  <si>
    <t xml:space="preserve"> 15.2.20 </t>
  </si>
  <si>
    <t>ADAPTADOR PVC SOLDAVEL CURTO COM BOLSA E ROSCA, 40 MM X 1 1/2", PARA AGUA FRIA</t>
  </si>
  <si>
    <t xml:space="preserve"> 00000110 </t>
  </si>
  <si>
    <t xml:space="preserve"> 89570 </t>
  </si>
  <si>
    <t xml:space="preserve"> 15.2.19 </t>
  </si>
  <si>
    <t>ADAPTADOR PVC SOLDAVEL CURTO COM BOLSA E ROSCA, 25 MM X 3/4", PARA AGUA FRIA</t>
  </si>
  <si>
    <t xml:space="preserve"> 00000065 </t>
  </si>
  <si>
    <t xml:space="preserve"> 15.2.18 </t>
  </si>
  <si>
    <t>ADAPTADOR PVC SOLDAVEL, COM FLANGES LIVRES, 85 MM X 3", PARA CAIXA D' AGUA</t>
  </si>
  <si>
    <t xml:space="preserve"> 00000074 </t>
  </si>
  <si>
    <t xml:space="preserve"> 94714 </t>
  </si>
  <si>
    <t xml:space="preserve"> 15.2.17 </t>
  </si>
  <si>
    <t>ADAPTADOR PVC SOLDAVEL, COM FLANGES LIVRES, 50 MM X 1  1/2", PARA CAIXA D' AGUA</t>
  </si>
  <si>
    <t xml:space="preserve"> 00000066 </t>
  </si>
  <si>
    <t xml:space="preserve"> 94711 </t>
  </si>
  <si>
    <t xml:space="preserve"> 15.2.16 </t>
  </si>
  <si>
    <t>ADAPTADOR PVC SOLDAVEL, COM FLANGES LIVRES, 40 MM X 1  1/4", PARA CAIXA D' AGUA</t>
  </si>
  <si>
    <t xml:space="preserve"> 00000086 </t>
  </si>
  <si>
    <t xml:space="preserve"> 94710 </t>
  </si>
  <si>
    <t xml:space="preserve"> 15.2.15 </t>
  </si>
  <si>
    <t>ADAPTADOR PVC SOLDAVEL, COM FLANGES LIVRES, 32 MM X 1", PARA CAIXA D' AGUA</t>
  </si>
  <si>
    <t xml:space="preserve"> 00000068 </t>
  </si>
  <si>
    <t xml:space="preserve"> 94709 </t>
  </si>
  <si>
    <t xml:space="preserve"> 15.2.14 </t>
  </si>
  <si>
    <t>ADAPTADOR PVC SOLDAVEL, COM FLANGES LIVRES, 25 MM X 3/4", PARA CAIXA D' AGUA</t>
  </si>
  <si>
    <t xml:space="preserve"> 00000114 </t>
  </si>
  <si>
    <t xml:space="preserve"> 94708 </t>
  </si>
  <si>
    <t xml:space="preserve"> 15.2.13 </t>
  </si>
  <si>
    <t xml:space="preserve"> 89408 </t>
  </si>
  <si>
    <t xml:space="preserve"> 15.2.12 </t>
  </si>
  <si>
    <t>LUVA PVC SOLDAVEL, 25 MM, PARA AGUA FRIA PREDIAL</t>
  </si>
  <si>
    <t xml:space="preserve"> 00003904 </t>
  </si>
  <si>
    <t xml:space="preserve"> 89424 </t>
  </si>
  <si>
    <t xml:space="preserve"> 15.2.11 </t>
  </si>
  <si>
    <t>VALVULA DE RETENCAO VERTICAL, DE BRONZE (PN-16), 1 1/2", 200 PSI, EXTREMIDADES COM ROSCA</t>
  </si>
  <si>
    <t xml:space="preserve"> 00010416 </t>
  </si>
  <si>
    <t xml:space="preserve"> 99631 </t>
  </si>
  <si>
    <t xml:space="preserve"> 15.2.10 </t>
  </si>
  <si>
    <t>VALVULA DE DESCARGA METALICA, BASE 1 1/2 " E ACABAMENTO METALICO CROMADO</t>
  </si>
  <si>
    <t xml:space="preserve"> 00010228 </t>
  </si>
  <si>
    <t xml:space="preserve"> 99635 </t>
  </si>
  <si>
    <t xml:space="preserve"> 15.2.9 </t>
  </si>
  <si>
    <t>VALVULA DE RETENCAO VERTICAL, DE BRONZE (PN-16), 1 1/4", 200 PSI, EXTREMIDADES COM ROSCA</t>
  </si>
  <si>
    <t xml:space="preserve"> 00010419 </t>
  </si>
  <si>
    <t xml:space="preserve"> 99630 </t>
  </si>
  <si>
    <t xml:space="preserve"> 15.2.8 </t>
  </si>
  <si>
    <t>REGISTRO DE ESFERA, PVC, COM VOLANTE, VS, ROSCAVEL, DN 3/4", COM CORPO DIVIDIDO</t>
  </si>
  <si>
    <t xml:space="preserve"> 00006032 </t>
  </si>
  <si>
    <t xml:space="preserve"> 90371 </t>
  </si>
  <si>
    <t xml:space="preserve"> 15.2.7 </t>
  </si>
  <si>
    <t>REGISTRO PRESSAO COM ACABAMENTO E CANOPLA CROMADA, SIMPLES, BITOLA 3/4 " (REF 1416)</t>
  </si>
  <si>
    <t xml:space="preserve"> 00006024 </t>
  </si>
  <si>
    <t xml:space="preserve"> 89985 </t>
  </si>
  <si>
    <t xml:space="preserve"> 15.2.6 </t>
  </si>
  <si>
    <t>REGISTRO GAVETA COM ACABAMENTO E CANOPLA CROMADOS, SIMPLES, BITOLA 3/4 " (REF 1509)</t>
  </si>
  <si>
    <t xml:space="preserve"> 00006005 </t>
  </si>
  <si>
    <t xml:space="preserve"> 89987 </t>
  </si>
  <si>
    <t xml:space="preserve"> 15.2.5 </t>
  </si>
  <si>
    <t>REGISTRO GAVETA COM ACABAMENTO E CANOPLA CROMADOS, SIMPLES, BITOLA 1 1/2 " (REF 1509)</t>
  </si>
  <si>
    <t xml:space="preserve"> 00006015 </t>
  </si>
  <si>
    <t xml:space="preserve"> 94794 </t>
  </si>
  <si>
    <t xml:space="preserve"> 15.2.4 </t>
  </si>
  <si>
    <t xml:space="preserve"> 94494 </t>
  </si>
  <si>
    <t xml:space="preserve"> 15.2.3 </t>
  </si>
  <si>
    <t xml:space="preserve"> 94496 </t>
  </si>
  <si>
    <t xml:space="preserve"> 15.2.2 </t>
  </si>
  <si>
    <t>REGISTRO GAVETA BRUTO EM LATAO FORJADO, BITOLA 1 1/2 " (REF 1509)</t>
  </si>
  <si>
    <t xml:space="preserve"> 00006010 </t>
  </si>
  <si>
    <t xml:space="preserve"> 94497 </t>
  </si>
  <si>
    <t xml:space="preserve"> 15.2.1 </t>
  </si>
  <si>
    <t>CAIXA DE CONCRETO ARMADO PRE-MOLDADO, COM FUNDO E TAMPA, DIMENSOES DE 0,60 X 0,60 X 0,50 M</t>
  </si>
  <si>
    <t xml:space="preserve"> 00041629 </t>
  </si>
  <si>
    <t>DROP - DRENAGEM/OBRAS DE CONTENÇÃO / POÇOS DE VISITA E CAIXAS</t>
  </si>
  <si>
    <t xml:space="preserve"> 101808 </t>
  </si>
  <si>
    <t xml:space="preserve"> 15.1.36 </t>
  </si>
  <si>
    <t>ANEL EM CONCRETO ARMADO, PERFURADO, PARA FOSSAS SEPTICAS E SUMIDOUROS, SEM FUNDO, DIAMETRO INTERNO DE 3,00 M E ALTURA DE 0,50 M</t>
  </si>
  <si>
    <t xml:space="preserve"> 00043448 </t>
  </si>
  <si>
    <t xml:space="preserve"> 98065 </t>
  </si>
  <si>
    <t xml:space="preserve"> 15.1.35 </t>
  </si>
  <si>
    <t>ANEL EM CONCRETO ARMADO, LISO, PARA FOSSAS SEPTICAS E SUMIDOUROS, SEM FUNDO, DIAMETRO INTERNO DE 3,00 M E ALTURA DE 0,50 M</t>
  </si>
  <si>
    <t xml:space="preserve"> 00012568 </t>
  </si>
  <si>
    <t>ANEL EM CONCRETO ARMADO, LISO, PARA POCOS DE INSPECAO, SEM FUNDO, DIAMETRO INTERNO DE 0,60 M E ALTURA DE 0,50 M</t>
  </si>
  <si>
    <t xml:space="preserve"> 00012532 </t>
  </si>
  <si>
    <t xml:space="preserve"> 98061 </t>
  </si>
  <si>
    <t xml:space="preserve"> 15.1.34 </t>
  </si>
  <si>
    <t xml:space="preserve"> 98057 </t>
  </si>
  <si>
    <t xml:space="preserve"> 15.1.33 </t>
  </si>
  <si>
    <t>TE SANITARIO, PVC, DN 50 X 50 MM, SERIE NORMAL, PARA ESGOTO PREDIAL</t>
  </si>
  <si>
    <t xml:space="preserve"> 00007097 </t>
  </si>
  <si>
    <t>PASTA LUBRIFICANTE PARA TUBOS E CONEXOES COM JUNTA ELASTICA (USO EM PVC, ACO, POLIETILENO E OUTROS) ( DE *400* G)</t>
  </si>
  <si>
    <t xml:space="preserve"> 00020078 </t>
  </si>
  <si>
    <t>ANEL BORRACHA PARA TUBO ESGOTO PREDIAL DN 50 MM (NBR 5688)</t>
  </si>
  <si>
    <t xml:space="preserve"> 00000296 </t>
  </si>
  <si>
    <t xml:space="preserve"> 89825 </t>
  </si>
  <si>
    <t xml:space="preserve"> 15.1.31 </t>
  </si>
  <si>
    <t>TUBO PVC SERIE NORMAL, DN 75 MM, PARA ESGOTO PREDIAL (NBR 5688)</t>
  </si>
  <si>
    <t xml:space="preserve"> 00009837 </t>
  </si>
  <si>
    <t xml:space="preserve"> 89799 </t>
  </si>
  <si>
    <t xml:space="preserve"> 15.1.30 </t>
  </si>
  <si>
    <t>TUBO PVC  SERIE NORMAL, DN 40 MM, PARA ESGOTO  PREDIAL (NBR 5688)</t>
  </si>
  <si>
    <t xml:space="preserve"> 00009835 </t>
  </si>
  <si>
    <t xml:space="preserve"> 89711 </t>
  </si>
  <si>
    <t xml:space="preserve"> 15.1.29 </t>
  </si>
  <si>
    <t>TUBO PVC SERIE NORMAL, DN 50 MM, PARA ESGOTO PREDIAL (NBR 5688)</t>
  </si>
  <si>
    <t xml:space="preserve"> 00009838 </t>
  </si>
  <si>
    <t xml:space="preserve"> 89798 </t>
  </si>
  <si>
    <t xml:space="preserve"> 15.1.28 </t>
  </si>
  <si>
    <t>TUBO PVC  SERIE NORMAL, DN 100 MM, PARA ESGOTO  PREDIAL (NBR 5688)</t>
  </si>
  <si>
    <t xml:space="preserve"> 00009836 </t>
  </si>
  <si>
    <t xml:space="preserve"> 89800 </t>
  </si>
  <si>
    <t xml:space="preserve"> 15.1.27 </t>
  </si>
  <si>
    <t>LUVA SIMPLES, PVC, SOLDAVEL, DN 100 MM, SERIE NORMAL, PARA ESGOTO PREDIAL</t>
  </si>
  <si>
    <t xml:space="preserve"> 00003899 </t>
  </si>
  <si>
    <t>ANEL BORRACHA PARA TUBO ESGOTO PREDIAL, DN 100 MM (NBR 5688)</t>
  </si>
  <si>
    <t xml:space="preserve"> 00000301 </t>
  </si>
  <si>
    <t xml:space="preserve"> 89821 </t>
  </si>
  <si>
    <t xml:space="preserve"> 15.1.26 </t>
  </si>
  <si>
    <t>LUVA SIMPLES, PVC, SOLDAVEL, DN 75 MM, SERIE NORMAL, PARA ESGOTO PREDIAL</t>
  </si>
  <si>
    <t xml:space="preserve"> 00003898 </t>
  </si>
  <si>
    <t>ANEL BORRACHA PARA TUBO ESGOTO PREDIAL DN 75 MM (NBR 5688)</t>
  </si>
  <si>
    <t xml:space="preserve"> 00000297 </t>
  </si>
  <si>
    <t xml:space="preserve"> 89817 </t>
  </si>
  <si>
    <t xml:space="preserve"> 15.1.25 </t>
  </si>
  <si>
    <t>LUVA SIMPLES, PVC, SOLDAVEL, DN 50 MM, SERIE NORMAL, PARA ESGOTO PREDIAL</t>
  </si>
  <si>
    <t xml:space="preserve"> 00003875 </t>
  </si>
  <si>
    <t xml:space="preserve"> 89813 </t>
  </si>
  <si>
    <t xml:space="preserve"> 15.1.24 </t>
  </si>
  <si>
    <t>LUVA DE CORRER, PVC, DN 75 MM, PARA ESGOTO PREDIAL</t>
  </si>
  <si>
    <t xml:space="preserve"> 00003895 </t>
  </si>
  <si>
    <t xml:space="preserve"> 89776 </t>
  </si>
  <si>
    <t xml:space="preserve"> 15.1.23 </t>
  </si>
  <si>
    <t>LUVA DE CORRER, PVC, DN 50 MM, PARA ESGOTO PREDIAL</t>
  </si>
  <si>
    <t xml:space="preserve"> 00003848 </t>
  </si>
  <si>
    <t xml:space="preserve"> 89754 </t>
  </si>
  <si>
    <t xml:space="preserve"> 15.1.22 </t>
  </si>
  <si>
    <t>LUVA SIMPLES, PVC, SOLDAVEL, DN 40 MM, SERIE NORMAL, PARA ESGOTO PREDIAL</t>
  </si>
  <si>
    <t xml:space="preserve"> 00003897 </t>
  </si>
  <si>
    <t xml:space="preserve"> 89752 </t>
  </si>
  <si>
    <t xml:space="preserve"> 15.1.21 </t>
  </si>
  <si>
    <t>JUNCAO SIMPLES, PVC, DN 50 X 50 MM, SERIE NORMAL PARA ESGOTO PREDIAL</t>
  </si>
  <si>
    <t xml:space="preserve"> 00003662 </t>
  </si>
  <si>
    <t xml:space="preserve"> 89785 </t>
  </si>
  <si>
    <t xml:space="preserve"> 15.1.20 </t>
  </si>
  <si>
    <t>JUNCAO SIMPLES, PVC, 45 GRAUS, DN 100 X 100 MM, SERIE NORMAL PARA ESGOTO PREDIAL</t>
  </si>
  <si>
    <t xml:space="preserve"> 00003670 </t>
  </si>
  <si>
    <t xml:space="preserve"> 89797 </t>
  </si>
  <si>
    <t xml:space="preserve"> 15.1.19 </t>
  </si>
  <si>
    <t>JUNCAO SIMPLES, PVC, DN 75 X 75 MM, SERIE NORMAL PARA ESGOTO PREDIAL</t>
  </si>
  <si>
    <t xml:space="preserve"> 00003658 </t>
  </si>
  <si>
    <t xml:space="preserve"> 89795 </t>
  </si>
  <si>
    <t xml:space="preserve"> 15.1.18 </t>
  </si>
  <si>
    <t>JOELHO PVC, SOLDAVEL, BB, 90 GRAUS, DN 40 MM, PARA ESGOTO PREDIAL</t>
  </si>
  <si>
    <t xml:space="preserve"> 00003517 </t>
  </si>
  <si>
    <t xml:space="preserve"> 89724 </t>
  </si>
  <si>
    <t xml:space="preserve"> 15.1.17 </t>
  </si>
  <si>
    <t>JOELHO PVC, SOLDAVEL, PB, 90 GRAUS, DN 75 MM, PARA ESGOTO PREDIAL</t>
  </si>
  <si>
    <t xml:space="preserve"> 00003509 </t>
  </si>
  <si>
    <t xml:space="preserve"> 89737 </t>
  </si>
  <si>
    <t xml:space="preserve"> 15.1.16 </t>
  </si>
  <si>
    <t>JOELHO PVC, SOLDAVEL, PB, 90 GRAUS, DN 50 MM, PARA ESGOTO PREDIAL</t>
  </si>
  <si>
    <t xml:space="preserve"> 00003526 </t>
  </si>
  <si>
    <t xml:space="preserve"> 89731 </t>
  </si>
  <si>
    <t xml:space="preserve"> 15.1.15 </t>
  </si>
  <si>
    <t>JOELHO PVC, SOLDAVEL, PB, 90 GRAUS, DN 100 MM, PARA ESGOTO PREDIAL</t>
  </si>
  <si>
    <t xml:space="preserve"> 00003520 </t>
  </si>
  <si>
    <t xml:space="preserve"> 89744 </t>
  </si>
  <si>
    <t xml:space="preserve"> 15.1.14 </t>
  </si>
  <si>
    <t>JOELHO PVC, SOLDAVEL, BB, 45 GRAUS, DN 40 MM, PARA ESGOTO PREDIAL</t>
  </si>
  <si>
    <t xml:space="preserve"> 00003516 </t>
  </si>
  <si>
    <t xml:space="preserve"> 89726 </t>
  </si>
  <si>
    <t xml:space="preserve"> 15.1.13 </t>
  </si>
  <si>
    <t>JOELHO PVC, SOLDAVEL, PB, 45 GRAUS, DN 50 MM, PARA ESGOTO PREDIAL</t>
  </si>
  <si>
    <t xml:space="preserve"> 00003518 </t>
  </si>
  <si>
    <t xml:space="preserve"> 89802 </t>
  </si>
  <si>
    <t xml:space="preserve"> 15.1.12 </t>
  </si>
  <si>
    <t>JOELHO PVC, SOLDAVEL, PB, 45 GRAUS, DN 75 MM, PARA ESGOTO PREDIAL</t>
  </si>
  <si>
    <t xml:space="preserve"> 00003519 </t>
  </si>
  <si>
    <t xml:space="preserve"> 89806 </t>
  </si>
  <si>
    <t xml:space="preserve"> 15.1.11 </t>
  </si>
  <si>
    <t>JOELHO PVC, SOLDAVEL, PB, 45 GRAUS, DN 100 MM, PARA ESGOTO PREDIAL</t>
  </si>
  <si>
    <t xml:space="preserve"> 00003528 </t>
  </si>
  <si>
    <t xml:space="preserve"> 89810 </t>
  </si>
  <si>
    <t xml:space="preserve"> 15.1.10 </t>
  </si>
  <si>
    <t>CURVA PVC LONGA 90 GRAUS, 100 MM, PARA ESGOTO PREDIAL</t>
  </si>
  <si>
    <t xml:space="preserve"> 00001970 </t>
  </si>
  <si>
    <t xml:space="preserve"> 89750 </t>
  </si>
  <si>
    <t xml:space="preserve"> 15.1.9 </t>
  </si>
  <si>
    <t>CURVA PVC CURTA 90 GRAUS, 100 MM, PARA ESGOTO PREDIAL</t>
  </si>
  <si>
    <t xml:space="preserve"> 00001966 </t>
  </si>
  <si>
    <t xml:space="preserve"> 89748 </t>
  </si>
  <si>
    <t xml:space="preserve"> 15.1.8 </t>
  </si>
  <si>
    <t>CURVA PVC CURTA 90 GRAUS, DN 75 MM, PARA ESGOTO PREDIAL</t>
  </si>
  <si>
    <t xml:space="preserve"> 00001951 </t>
  </si>
  <si>
    <t xml:space="preserve"> 89742 </t>
  </si>
  <si>
    <t xml:space="preserve"> 15.1.7 </t>
  </si>
  <si>
    <t>CURVA PVC CURTA 90 G, DN 50 MM, PARA ESGOTO PREDIAL</t>
  </si>
  <si>
    <t xml:space="preserve"> 00001932 </t>
  </si>
  <si>
    <t xml:space="preserve"> 89733 </t>
  </si>
  <si>
    <t xml:space="preserve"> 15.1.6 </t>
  </si>
  <si>
    <t>CURVA PVC CURTA 90 GRAUS, DN 40 MM, PARA ESGOTO PREDIAL</t>
  </si>
  <si>
    <t xml:space="preserve"> 00001933 </t>
  </si>
  <si>
    <t xml:space="preserve"> 89728 </t>
  </si>
  <si>
    <t xml:space="preserve"> 15.1.5 </t>
  </si>
  <si>
    <t>CURVA DE PVC 45 GRAUS, SOLDAVEL, 50 MM, PARA AGUA FRIA PREDIAL (NBR 5648)</t>
  </si>
  <si>
    <t xml:space="preserve"> 00001930 </t>
  </si>
  <si>
    <t xml:space="preserve"> 89504 </t>
  </si>
  <si>
    <t xml:space="preserve"> 15.1.4 </t>
  </si>
  <si>
    <t>CAIXA SIFONADA PVC, 100 X 100 X 50 MM, COM GRELHA REDONDA BRANCA</t>
  </si>
  <si>
    <t xml:space="preserve"> 00005103 </t>
  </si>
  <si>
    <t xml:space="preserve"> 89707 </t>
  </si>
  <si>
    <t xml:space="preserve"> 15.1.3 </t>
  </si>
  <si>
    <t>TIJOLO CERAMICO MACICO COMUM *5 X 10 X 20* CM (L X A X C)</t>
  </si>
  <si>
    <t xml:space="preserve"> 00007258 </t>
  </si>
  <si>
    <t xml:space="preserve"> 97902 </t>
  </si>
  <si>
    <t xml:space="preserve"> 15.1.2 </t>
  </si>
  <si>
    <t xml:space="preserve"> 97901 </t>
  </si>
  <si>
    <t xml:space="preserve"> 15.1.1 </t>
  </si>
  <si>
    <t xml:space="preserve"> 88415 </t>
  </si>
  <si>
    <t xml:space="preserve"> 14.2.1 </t>
  </si>
  <si>
    <t xml:space="preserve"> 88488 </t>
  </si>
  <si>
    <t xml:space="preserve"> 14.1.4 </t>
  </si>
  <si>
    <t>!EM PROCESSO DE DESATIVACAO!MASSA ACRILICA PARA PAREDES INTERIOR/EXTERIOR</t>
  </si>
  <si>
    <t xml:space="preserve"> 00004056 </t>
  </si>
  <si>
    <t xml:space="preserve"> 96135 </t>
  </si>
  <si>
    <t xml:space="preserve"> 14.1.2 </t>
  </si>
  <si>
    <t xml:space="preserve"> 88485 </t>
  </si>
  <si>
    <t xml:space="preserve"> 14.1.1 </t>
  </si>
  <si>
    <t>TINTA ACRILICA PREMIUM PARA PISO</t>
  </si>
  <si>
    <t xml:space="preserve"> 00007348 </t>
  </si>
  <si>
    <t xml:space="preserve"> 102492 </t>
  </si>
  <si>
    <t xml:space="preserve"> 13.2.4 </t>
  </si>
  <si>
    <t xml:space="preserve"> 102504 </t>
  </si>
  <si>
    <t xml:space="preserve"> 13.2.3 </t>
  </si>
  <si>
    <t xml:space="preserve"> 102494 </t>
  </si>
  <si>
    <t xml:space="preserve"> 13.2.2 </t>
  </si>
  <si>
    <t xml:space="preserve"> 102488 </t>
  </si>
  <si>
    <t xml:space="preserve"> 13.2.1 </t>
  </si>
  <si>
    <t xml:space="preserve"> 94269 </t>
  </si>
  <si>
    <t xml:space="preserve"> 13.1.76 </t>
  </si>
  <si>
    <t xml:space="preserve"> 100324 </t>
  </si>
  <si>
    <t xml:space="preserve"> 13.1.75 </t>
  </si>
  <si>
    <t>GRAMA BATATAIS EM PLACAS, SEM PLANTIO</t>
  </si>
  <si>
    <t xml:space="preserve"> 00003324 </t>
  </si>
  <si>
    <t xml:space="preserve"> 98504 </t>
  </si>
  <si>
    <t xml:space="preserve"> 13.1.74 </t>
  </si>
  <si>
    <t>PISO TATIL DE ALERTA OU DIRECIONAL, DE BORRACHA, COLORIDO, 25 X 25 CM, E = 12 MM, PARA ARGAMASSA</t>
  </si>
  <si>
    <t xml:space="preserve"> 00038186 </t>
  </si>
  <si>
    <t>ARGAMASSA COLANTE TIPO AC III</t>
  </si>
  <si>
    <t xml:space="preserve"> 00037595 </t>
  </si>
  <si>
    <t xml:space="preserve"> 101094 </t>
  </si>
  <si>
    <t xml:space="preserve"> 13.1.70 </t>
  </si>
  <si>
    <t>MEMBRANA IMPERMEABILIZANTE ACRILICA MONOCOMPONENTE</t>
  </si>
  <si>
    <t xml:space="preserve"> 00043147 </t>
  </si>
  <si>
    <t xml:space="preserve"> 98554 </t>
  </si>
  <si>
    <t xml:space="preserve"> 13.1.69 </t>
  </si>
  <si>
    <t>JUNTA PLASTICA DE DILATACAO PARA PISOS, COR CINZA, 17 X 3 MM (ALTURA X ESPESSURA)</t>
  </si>
  <si>
    <t xml:space="preserve"> 00003671 </t>
  </si>
  <si>
    <t xml:space="preserve"> 101749 </t>
  </si>
  <si>
    <t xml:space="preserve"> 13.1.68 </t>
  </si>
  <si>
    <t>PISO DE BORRACHA FRISADO OU PASTILHADO, PRETO, EM PLACAS 50 X 50 CM, E = 7 MM, PARA ARGAMASSA</t>
  </si>
  <si>
    <t xml:space="preserve"> 00004796 </t>
  </si>
  <si>
    <t>COLA BRANCA BASE PVA</t>
  </si>
  <si>
    <t xml:space="preserve"> 00011849 </t>
  </si>
  <si>
    <t xml:space="preserve"> 101733 </t>
  </si>
  <si>
    <t xml:space="preserve"> 13.1.67 </t>
  </si>
  <si>
    <t>PO DE PEDRA (POSTO PEDREIRA/FORNECEDOR, SEM FRETE)</t>
  </si>
  <si>
    <t xml:space="preserve"> 00004741 </t>
  </si>
  <si>
    <t>BLOQUETE/PISO INTERTRAVADO DE CONCRETO - MODELO ONDA/16 FACES/RETANGULAR/TIJOLINHO/PAVER/HOLANDES/PARALELEPIPEDO, *22 CM X 11* CM, E = 8 CM, RESISTENCIA DE 35 MPA (NBR 9781), COR NATURAL</t>
  </si>
  <si>
    <t xml:space="preserve"> 00036170 </t>
  </si>
  <si>
    <t>PAVI - PAVIMENTAÇÃO</t>
  </si>
  <si>
    <t xml:space="preserve"> 92399 </t>
  </si>
  <si>
    <t xml:space="preserve"> 13.1.62 </t>
  </si>
  <si>
    <t>ADITIVO ADESIVO LIQUIDO PARA ARGAMASSAS DE REVESTIMENTOS CIMENTICIOS</t>
  </si>
  <si>
    <t xml:space="preserve"> 00007334 </t>
  </si>
  <si>
    <t xml:space="preserve"> 87620 </t>
  </si>
  <si>
    <t xml:space="preserve"> 13.1.35 </t>
  </si>
  <si>
    <t xml:space="preserve"> 95241 </t>
  </si>
  <si>
    <t xml:space="preserve"> 13.1.3 </t>
  </si>
  <si>
    <t xml:space="preserve"> 97084 </t>
  </si>
  <si>
    <t xml:space="preserve"> 13.1.2 </t>
  </si>
  <si>
    <t>ARGILA, ARGILA VERMELHA OU ARGILA ARENOSA (RETIRADA NA JAZIDA, SEM TRANSPORTE)</t>
  </si>
  <si>
    <t xml:space="preserve"> 00006079 </t>
  </si>
  <si>
    <t xml:space="preserve"> 94319 </t>
  </si>
  <si>
    <t xml:space="preserve"> 13.1.1 </t>
  </si>
  <si>
    <t>PARAFUSO ZINCADO, AUTOBROCANTE, FLANGEADO, 4,2 MM X 19 MM</t>
  </si>
  <si>
    <t xml:space="preserve"> 00040547 </t>
  </si>
  <si>
    <t>PENDURAL OU PRESILHA REGULADORA, EM ACO GALVANIZADO, COM CORPO, MOLA E REBITE, PARA PERFIL TIPO CANALETA DE ESTRUTURA EM FORROS DRYWALL</t>
  </si>
  <si>
    <t xml:space="preserve"> 00039430 </t>
  </si>
  <si>
    <t>PARAFUSO, AUTO ATARRACHANTE, CABECA CHATA, FENDA SIMPLES, 1/4 (6,35 MM) X 25 MM</t>
  </si>
  <si>
    <t xml:space="preserve"> 00040552 </t>
  </si>
  <si>
    <t>PERFIL CANALETA, FORMATO C, EM ACO ZINCADO, PARA ESTRUTURA FORRO DRYWALL, E = 0,5 MM, *46 X 18* (L X H), COMPRIMENTO 3 M</t>
  </si>
  <si>
    <t xml:space="preserve"> 00039427 </t>
  </si>
  <si>
    <t>FORRO DE PVC, FRISADO, BRANCO, REGUA DE 20 CM, ESPESSURA DE 8 MM A 10 MM E COMPRIMENTO 6 M (SEM COLOCACAO)</t>
  </si>
  <si>
    <t xml:space="preserve"> 00036238 </t>
  </si>
  <si>
    <t>ARAME GALVANIZADO 6 BWG, D = 5,16 MM (0,157 KG/M), OU 8 BWG, D = 4,19 MM (0,101 KG/M), OU 10 BWG, D = 3,40 MM (0,0713 KG/M)</t>
  </si>
  <si>
    <t xml:space="preserve"> 00043131 </t>
  </si>
  <si>
    <t xml:space="preserve"> 96111 </t>
  </si>
  <si>
    <t xml:space="preserve"> 12.6 </t>
  </si>
  <si>
    <t>PASTILHA CERAMICA/PORCELANA, REVEST INT/EXT E  PISCINA, CORES BRANCA OU FRIAS, SOLIDAS, SEM MESCLAGEM/MISTURA, ACABAMENTO LISO *5 X 5* CM</t>
  </si>
  <si>
    <t xml:space="preserve"> 00036881 </t>
  </si>
  <si>
    <t>ARGAMASSA COLANTE TIPO AC III E</t>
  </si>
  <si>
    <t xml:space="preserve"> 00037596 </t>
  </si>
  <si>
    <t xml:space="preserve"> 87244 </t>
  </si>
  <si>
    <t xml:space="preserve"> 12.5 </t>
  </si>
  <si>
    <t>REJUNTE CIMENTICIO, QUALQUER COR</t>
  </si>
  <si>
    <t xml:space="preserve"> 00034357 </t>
  </si>
  <si>
    <t>REVESTIMENTO EM CERAMICA ESMALTADA EXTRA, PEI MENOR OU IGUAL A 3, FORMATO MENOR OU IGUAL A 2025 CM2</t>
  </si>
  <si>
    <t xml:space="preserve"> 00000536 </t>
  </si>
  <si>
    <t>ARGAMASSA COLANTE AC I PARA CERAMICAS</t>
  </si>
  <si>
    <t xml:space="preserve"> 00001381 </t>
  </si>
  <si>
    <t xml:space="preserve"> 87273 </t>
  </si>
  <si>
    <t xml:space="preserve"> 12.4 </t>
  </si>
  <si>
    <t xml:space="preserve"> 87529 </t>
  </si>
  <si>
    <t xml:space="preserve"> 12.3 </t>
  </si>
  <si>
    <t xml:space="preserve"> 87553 </t>
  </si>
  <si>
    <t xml:space="preserve"> 12.2 </t>
  </si>
  <si>
    <t xml:space="preserve"> 87879 </t>
  </si>
  <si>
    <t xml:space="preserve"> 12.1 </t>
  </si>
  <si>
    <t>PEITORIL EM MARMORE, POLIDO, BRANCO COMUM, L= *15* CM, E=  *2,0* CM, COM PINGADEIRA</t>
  </si>
  <si>
    <t xml:space="preserve"> 00034747 </t>
  </si>
  <si>
    <t xml:space="preserve"> 101965 </t>
  </si>
  <si>
    <t xml:space="preserve"> 11.4 </t>
  </si>
  <si>
    <t>DIVISORIA EM GRANITO, COM DUAS FACES POLIDAS, TIPO ANDORINHA/ QUARTZ/ CASTELO/ CORUMBA OU OUTROS EQUIVALENTES DA REGIAO, E=  *3,0* CM</t>
  </si>
  <si>
    <t xml:space="preserve"> 00025976 </t>
  </si>
  <si>
    <t>ADESIVO ESTRUTURAL A BASE DE RESINA EPOXI, BICOMPONENTE, PASTOSO (TIXOTROPICO)</t>
  </si>
  <si>
    <t xml:space="preserve"> 00000131 </t>
  </si>
  <si>
    <t xml:space="preserve"> 102253 </t>
  </si>
  <si>
    <t xml:space="preserve"> 11.1 </t>
  </si>
  <si>
    <t>TINTA ESMALTE SINTETICO PREMIUM FOSCO</t>
  </si>
  <si>
    <t xml:space="preserve"> 00007288 </t>
  </si>
  <si>
    <t xml:space="preserve"> 100761 </t>
  </si>
  <si>
    <t xml:space="preserve"> 10.8 </t>
  </si>
  <si>
    <t>310ML</t>
  </si>
  <si>
    <t>SELANTE ELASTICO MONOCOMPONENTE A BASE DE POLIURETANO (PU) PARA JUNTAS DIVERSAS</t>
  </si>
  <si>
    <t xml:space="preserve"> 00000142 </t>
  </si>
  <si>
    <t>PORTA DE ABRIR EM ALUMINIO TIPO VENEZIANA, ACABAMENTO ANODIZADO NATURAL, SEM GUARNICAO/ALIZAR/VISTA, 87 X 210 CM</t>
  </si>
  <si>
    <t xml:space="preserve"> 00039025 </t>
  </si>
  <si>
    <t>GUARNICAO/MOLDURA DE ACABAMENTO PARA ESQUADRIA DE ALUMINIO ANODIZADO NATURAL, PARA 1 FACE</t>
  </si>
  <si>
    <t xml:space="preserve"> 00036888 </t>
  </si>
  <si>
    <t xml:space="preserve"> 91341 </t>
  </si>
  <si>
    <t xml:space="preserve"> 10.5 </t>
  </si>
  <si>
    <t>SILICONE ACETICO USO GERAL INCOLOR 280 G</t>
  </si>
  <si>
    <t xml:space="preserve"> 00039961 </t>
  </si>
  <si>
    <t>PARAFUSO DE ACO ZINCADO COM ROSCA SOBERBA, CABECA CHATA E FENDA SIMPLES, DIAMETRO 4,2 MM, COMPRIMENTO * 32 * MM</t>
  </si>
  <si>
    <t xml:space="preserve"> 00004377 </t>
  </si>
  <si>
    <t>JANELA FIXA EM ALUMINIO, 60  X 80 CM (A X L), BATENTE/REQUADRO DE 3 A 14 CM, COM VIDRO, SEM GUARNICAO/ALIZAR</t>
  </si>
  <si>
    <t xml:space="preserve"> 00000599 </t>
  </si>
  <si>
    <t xml:space="preserve"> 100674 </t>
  </si>
  <si>
    <t xml:space="preserve"> 10.3 </t>
  </si>
  <si>
    <t>JANELA MAXIM AR EM ALUMINIO, 80 X 60 CM (A X L), BATENTE/REQUADRO DE 4 A 14 CM, COM VIDRO, SEM GUARNICAO/ALIZAR</t>
  </si>
  <si>
    <t xml:space="preserve"> 00034381 </t>
  </si>
  <si>
    <t xml:space="preserve"> 94569 </t>
  </si>
  <si>
    <t xml:space="preserve"> 10.2 </t>
  </si>
  <si>
    <t>JANELA DE CORRER EM ALUMINIO, 120 X 150 CM (A X L), 4 FLS, BANDEIRA COM BASCULA,  ACABAMENTO ACET OU BRILHANTE, BATENTE/REQUADRO DE 6 A 14 CM, COM VIDRO, SEM GUARNICAO/ALIZAR</t>
  </si>
  <si>
    <t xml:space="preserve"> 00034364 </t>
  </si>
  <si>
    <t xml:space="preserve"> 94573 </t>
  </si>
  <si>
    <t xml:space="preserve"> 10.1 </t>
  </si>
  <si>
    <t>TINTA ESMALTE SINTETICO PREMIUM DE DUPLA ACAO GRAFITE FOSCO PARA SUPERFICIES METALICAS FERROSAS</t>
  </si>
  <si>
    <t xml:space="preserve"> 00007293 </t>
  </si>
  <si>
    <t xml:space="preserve"> 100725 </t>
  </si>
  <si>
    <t xml:space="preserve"> 9.2.2 </t>
  </si>
  <si>
    <t>FUNDO PREPARADOR ACRILICO BASE AGUA</t>
  </si>
  <si>
    <t xml:space="preserve"> 00038122 </t>
  </si>
  <si>
    <t xml:space="preserve"> 100733 </t>
  </si>
  <si>
    <t xml:space="preserve"> 9.1.15 </t>
  </si>
  <si>
    <t>TELHA TRAPEZOIDAL EM ACO ZINCADO, SEM PINTURA, ALTURA DE APROXIMADAMENTE 40 MM, ESPESSURA DE 0,50 MM E LARGURA UTIL DE 980 MM</t>
  </si>
  <si>
    <t xml:space="preserve"> 00007243 </t>
  </si>
  <si>
    <t>HASTE RETA PARA GANCHO DE FERRO GALVANIZADO, COM ROSCA 1/4 " X 30 CM PARA FIXACAO DE TELHA METALICA, INCLUI PORCA E ARRUELAS DE VEDACAO</t>
  </si>
  <si>
    <t xml:space="preserve"> 00011029 </t>
  </si>
  <si>
    <t xml:space="preserve"> 94213 </t>
  </si>
  <si>
    <t xml:space="preserve"> 9.1.13 </t>
  </si>
  <si>
    <t>TELHA DE FIBRA DE VIDRO ONDULADA INCOLOR, E = 0,6 MM, DE *0,50 X 2,44* M</t>
  </si>
  <si>
    <t xml:space="preserve"> 00007184 </t>
  </si>
  <si>
    <t>PARAFUSO ZINCADO ROSCA SOBERBA, CABECA SEXTAVADA, 5/16 " X 250 MM, PARA FIXACAO DE TELHA EM MADEIRA</t>
  </si>
  <si>
    <t xml:space="preserve"> 00004302 </t>
  </si>
  <si>
    <t>CONJUNTO ARRUELAS DE VEDACAO 5/16" PARA TELHA FIBROCIMENTO (UMA ARRUELA METALICA E UMA ARRUELA PVC - CONICAS)</t>
  </si>
  <si>
    <t xml:space="preserve"> 00001607 </t>
  </si>
  <si>
    <t xml:space="preserve"> 94449 </t>
  </si>
  <si>
    <t xml:space="preserve"> 9.1.12 </t>
  </si>
  <si>
    <t>TELHA GALVALUME COM ISOLAMENTO TERMOACUSTICO EM ESPUMA RIGIDA DE POLIURETANO (PU) INJETADO, ESPESSURA DE 30 MM, DENSIDADE DE 35 KG/M3, COM DUAS FACES TRAPEZOIDAIS, ACABAMENTO NATURAL (NAO INCLUI ACESSORIOS DE FIXACAO)</t>
  </si>
  <si>
    <t xml:space="preserve"> 00040740 </t>
  </si>
  <si>
    <t xml:space="preserve"> 94216 </t>
  </si>
  <si>
    <t xml:space="preserve"> 9.1.11 </t>
  </si>
  <si>
    <t>PERFIL CARTOLA DE ACO GALVANIZADO, *20 X 30 X 10* MM, E =  0,8 MM</t>
  </si>
  <si>
    <t xml:space="preserve"> 00040664 </t>
  </si>
  <si>
    <t xml:space="preserve"> 92570 </t>
  </si>
  <si>
    <t xml:space="preserve"> 9.1.10 </t>
  </si>
  <si>
    <t>PERFIL UDC ("U" DOBRADO DE CHAPA) SIMPLES DE ACO LAMINADO, GALVANIZADO, ASTM A36, 127 X 50 MM, E= 3 MM</t>
  </si>
  <si>
    <t xml:space="preserve"> 00040598 </t>
  </si>
  <si>
    <t>ELETRODO REVESTIDO AWS - E7018, DIAMETRO IGUAL A 4,00 MM</t>
  </si>
  <si>
    <t xml:space="preserve"> 00010997 </t>
  </si>
  <si>
    <t>CANTONEIRA ACO ABAS IGUAIS (QUALQUER BITOLA), ESPESSURA ENTRE 1/8" E 1/4"</t>
  </si>
  <si>
    <t xml:space="preserve"> 00004777 </t>
  </si>
  <si>
    <t xml:space="preserve"> 92602 </t>
  </si>
  <si>
    <t xml:space="preserve"> 9.1.9 </t>
  </si>
  <si>
    <t xml:space="preserve"> 92604 </t>
  </si>
  <si>
    <t xml:space="preserve"> 9.1.8 </t>
  </si>
  <si>
    <t xml:space="preserve"> 92606 </t>
  </si>
  <si>
    <t xml:space="preserve"> 9.1.7 </t>
  </si>
  <si>
    <t xml:space="preserve"> 92608 </t>
  </si>
  <si>
    <t xml:space="preserve"> 9.1.6 </t>
  </si>
  <si>
    <t xml:space="preserve"> 92610 </t>
  </si>
  <si>
    <t xml:space="preserve"> 9.1.5 </t>
  </si>
  <si>
    <t xml:space="preserve"> 92612 </t>
  </si>
  <si>
    <t xml:space="preserve"> 9.1.4 </t>
  </si>
  <si>
    <t xml:space="preserve"> 92614 </t>
  </si>
  <si>
    <t xml:space="preserve"> 9.1.3 </t>
  </si>
  <si>
    <t xml:space="preserve"> 92616 </t>
  </si>
  <si>
    <t xml:space="preserve"> 9.1.2 </t>
  </si>
  <si>
    <t xml:space="preserve"> 92620 </t>
  </si>
  <si>
    <t xml:space="preserve"> 9.1.1 </t>
  </si>
  <si>
    <t xml:space="preserve"> 93200 </t>
  </si>
  <si>
    <t xml:space="preserve"> 8.8 </t>
  </si>
  <si>
    <t xml:space="preserve"> 93195 </t>
  </si>
  <si>
    <t xml:space="preserve"> 8.7 </t>
  </si>
  <si>
    <t xml:space="preserve"> 93184 </t>
  </si>
  <si>
    <t xml:space="preserve"> 8.6 </t>
  </si>
  <si>
    <t xml:space="preserve"> 93183 </t>
  </si>
  <si>
    <t xml:space="preserve"> 8.5 </t>
  </si>
  <si>
    <t>ELEMENTO VAZADO DE CONCRETO, QUADRICULADO, 16 FUROS *50 X 50 X 7* CM</t>
  </si>
  <si>
    <t xml:space="preserve"> 00000665 </t>
  </si>
  <si>
    <t xml:space="preserve"> 101161 </t>
  </si>
  <si>
    <t xml:space="preserve"> 8.4 </t>
  </si>
  <si>
    <t>BLOCO DE VEDACAO DE CONCRETO 14 X 19 X 39 CM (CLASSE C - NBR 6136)</t>
  </si>
  <si>
    <t xml:space="preserve"> 00000651 </t>
  </si>
  <si>
    <t xml:space="preserve"> 87455 </t>
  </si>
  <si>
    <t xml:space="preserve"> 8.3 </t>
  </si>
  <si>
    <t>MEIO BLOCO DE CONCRETO ESTRUTURAL 14 X 19 X 34 CM, FBK 14 MPA (NBR 6136)</t>
  </si>
  <si>
    <t xml:space="preserve"> 00038594 </t>
  </si>
  <si>
    <t>MEIA CANALETA DE CONCRETO ESTRUTURAL 14 X 19 X 19 CM, FBK 14 MPA (NBR 6136)</t>
  </si>
  <si>
    <t xml:space="preserve"> 00038598 </t>
  </si>
  <si>
    <t>MEIO BLOCO DE CONCRETO ESTRUTURAL 14 X 19 X 19 CM, FBK 14 MPA (NBR 6136)</t>
  </si>
  <si>
    <t xml:space="preserve"> 00038593 </t>
  </si>
  <si>
    <t>CANALETA DE CONCRETO ESTRUTURAL 14 X 19 X 39 CM, FBK 14 MPA (NBR 6136)</t>
  </si>
  <si>
    <t xml:space="preserve"> 00038600 </t>
  </si>
  <si>
    <t>BLOCO DE CONCRETO ESTRUTURAL 14 X 19 X 39 CM, FBK 14 MPA (NBR 6136)</t>
  </si>
  <si>
    <t xml:space="preserve"> 00034570 </t>
  </si>
  <si>
    <t xml:space="preserve"> 89456 </t>
  </si>
  <si>
    <t xml:space="preserve"> 8.2 </t>
  </si>
  <si>
    <t>BLOCO CERAMICO DE VEDACAO COM FUROS NA VERTICAL, 14 X 19 X 39 CM - 4,5 MPA (NBR 15270)</t>
  </si>
  <si>
    <t xml:space="preserve"> 00037593 </t>
  </si>
  <si>
    <t xml:space="preserve"> 87480 </t>
  </si>
  <si>
    <t xml:space="preserve"> 8.1 </t>
  </si>
  <si>
    <t xml:space="preserve"> 89868 </t>
  </si>
  <si>
    <t xml:space="preserve"> 6.2.8 </t>
  </si>
  <si>
    <t xml:space="preserve"> 89869 </t>
  </si>
  <si>
    <t xml:space="preserve"> 6.2.7 </t>
  </si>
  <si>
    <t xml:space="preserve"> 89866 </t>
  </si>
  <si>
    <t xml:space="preserve"> 6.2.6 </t>
  </si>
  <si>
    <t xml:space="preserve"> 89865 </t>
  </si>
  <si>
    <t xml:space="preserve"> 6.2.5 </t>
  </si>
  <si>
    <t>JOELHO, PVC SERIE R, 45 GRAUS, DN 75 MM, PARA ESGOTO OU AGUAS PLUVIAIS PREDIAIS</t>
  </si>
  <si>
    <t xml:space="preserve"> 00020150 </t>
  </si>
  <si>
    <t>ANEL BORRACHA DN 75 MM, PARA TUBO SERIE REFORCADA ESGOTO PREDIAL</t>
  </si>
  <si>
    <t xml:space="preserve"> 00000298 </t>
  </si>
  <si>
    <t xml:space="preserve"> 89582 </t>
  </si>
  <si>
    <t xml:space="preserve"> 6.2.4 </t>
  </si>
  <si>
    <t>LUVA SIMPLES, PVC SERIE R, 75 MM, PARA ESGOTO OU AGUAS PLUVIAIS PREDIAIS</t>
  </si>
  <si>
    <t xml:space="preserve"> 00020169 </t>
  </si>
  <si>
    <t xml:space="preserve"> 89599 </t>
  </si>
  <si>
    <t xml:space="preserve"> 6.2.3 </t>
  </si>
  <si>
    <t>TUBO PVC, SERIE R, DN 75 MM, PARA ESGOTO OU AGUAS PLUVIAIS PREDIAIS (NBR 5688)</t>
  </si>
  <si>
    <t xml:space="preserve"> 00009839 </t>
  </si>
  <si>
    <t xml:space="preserve"> 89576 </t>
  </si>
  <si>
    <t xml:space="preserve"> 6.2.2 </t>
  </si>
  <si>
    <t xml:space="preserve"> 97886 </t>
  </si>
  <si>
    <t xml:space="preserve"> 6.2.1 </t>
  </si>
  <si>
    <t>TUBO PVC CORRUGADO, PAREDE DUPLA, JE, DN 200 MM, REDE COLETORA ESGOTO</t>
  </si>
  <si>
    <t xml:space="preserve"> 00038033 </t>
  </si>
  <si>
    <t>ANEL BORRACHA, PARA TUBO PVC, REDE COLETOR ESGOTO, DN 200 MM (NBR 7362)</t>
  </si>
  <si>
    <t xml:space="preserve"> 00000306 </t>
  </si>
  <si>
    <t xml:space="preserve"> 90702 </t>
  </si>
  <si>
    <t xml:space="preserve"> 6.1.10 </t>
  </si>
  <si>
    <t>JOELHO, PVC SERIE R, 90 GRAUS, DN 100 MM, PARA ESGOTO OU AGUAS PLUVIAIS PREDIAIS</t>
  </si>
  <si>
    <t xml:space="preserve"> 00020157 </t>
  </si>
  <si>
    <t xml:space="preserve"> 89584 </t>
  </si>
  <si>
    <t xml:space="preserve"> 6.1.9 </t>
  </si>
  <si>
    <t>JOELHO, PVC SERIE R, 45 GRAUS, DN 100 MM, PARA ESGOTO OU AGUAS PLUVIAIS PREDIAIS</t>
  </si>
  <si>
    <t xml:space="preserve"> 00020151 </t>
  </si>
  <si>
    <t xml:space="preserve"> 89585 </t>
  </si>
  <si>
    <t xml:space="preserve"> 6.1.8 </t>
  </si>
  <si>
    <t>TUBO PVC, SERIE R, DN 100 MM, PARA ESGOTO OU AGUAS PLUVIAIS PREDIAIS (NBR 5688)</t>
  </si>
  <si>
    <t xml:space="preserve"> 00009841 </t>
  </si>
  <si>
    <t xml:space="preserve"> 89578 </t>
  </si>
  <si>
    <t xml:space="preserve"> 6.1.7 </t>
  </si>
  <si>
    <t>SOLDA EM BARRA DE ESTANHO-CHUMBO 50/50</t>
  </si>
  <si>
    <t xml:space="preserve"> 00013388 </t>
  </si>
  <si>
    <t>RUFO EXTERNO/INTERNO DE CHAPA DE ACO GALVANIZADA NUM 26, CORTE 33 CM</t>
  </si>
  <si>
    <t xml:space="preserve"> 00001113 </t>
  </si>
  <si>
    <t xml:space="preserve"> 100327 </t>
  </si>
  <si>
    <t xml:space="preserve"> 6.1.6 </t>
  </si>
  <si>
    <t>CALHA QUADRADA DE CHAPA DE ACO GALVANIZADA NUM 24, CORTE 50 CM</t>
  </si>
  <si>
    <t xml:space="preserve"> 00040783 </t>
  </si>
  <si>
    <t xml:space="preserve"> 94228 </t>
  </si>
  <si>
    <t xml:space="preserve"> 6.1.5 </t>
  </si>
  <si>
    <t xml:space="preserve"> 99260 </t>
  </si>
  <si>
    <t xml:space="preserve"> 6.1.3 </t>
  </si>
  <si>
    <t>CAIXA DE CONCRETO ARMADO PRE-MOLDADO, COM FUNDO E SEM TAMPA, DIMENSOES DE 0,80 X 0,80 X 0,50 M</t>
  </si>
  <si>
    <t xml:space="preserve"> 00043437 </t>
  </si>
  <si>
    <t xml:space="preserve"> 97898 </t>
  </si>
  <si>
    <t xml:space="preserve"> 6.1.2 </t>
  </si>
  <si>
    <t xml:space="preserve"> 93358 </t>
  </si>
  <si>
    <t xml:space="preserve"> 6.1.1 </t>
  </si>
  <si>
    <t>LAJE PRE-MOLDADA CONVENCIONAL (LAJOTAS + VIGOTAS) PARA PISO, UNIDIRECIONAL, SOBRECARGA DE 200 KG/M2, VAO ATE 3,50 M (SEM COLOCACAO)</t>
  </si>
  <si>
    <t xml:space="preserve"> 00003743 </t>
  </si>
  <si>
    <t xml:space="preserve"> 101963 </t>
  </si>
  <si>
    <t xml:space="preserve"> 5.3.1 </t>
  </si>
  <si>
    <t xml:space="preserve"> 92265 </t>
  </si>
  <si>
    <t xml:space="preserve"> 5.2.3.1 </t>
  </si>
  <si>
    <t xml:space="preserve"> 92780 </t>
  </si>
  <si>
    <t xml:space="preserve"> 5.2.2.8 </t>
  </si>
  <si>
    <t xml:space="preserve"> 5.2.2.2 </t>
  </si>
  <si>
    <t>LOCACAO DE CRUZETA PARA ESCORA METALICA</t>
  </si>
  <si>
    <t xml:space="preserve"> 00040339 </t>
  </si>
  <si>
    <t>LOCACAO DE BARRA DE ANCORAGEM DE 0,80 A 1,20 M DE EXTENSAO, COM ROSCA DE 5/8", INCLUINDO PORCA E FLANGE</t>
  </si>
  <si>
    <t xml:space="preserve"> 00040287 </t>
  </si>
  <si>
    <t>LOCACAO DE VIGA SANDUICHE METALICA VAZADA PARA TRAVAMENTO DE PILARES, ALTURA DE *8* CM, LARGURA DE *6* CM E EXTENSAO DE 2 M</t>
  </si>
  <si>
    <t xml:space="preserve"> 00040275 </t>
  </si>
  <si>
    <t>LOCACAO DE ESCORA METALICA TELESCOPICA, COM ALTURA REGULAVEL DE *1,80* A *3,20* M, COM CAPACIDADE DE CARGA DE NO MINIMO 1000 KGF (10 KN), INCLUSO TRIPE E FORCADO</t>
  </si>
  <si>
    <t xml:space="preserve"> 00010749 </t>
  </si>
  <si>
    <t xml:space="preserve"> 92452 </t>
  </si>
  <si>
    <t xml:space="preserve"> 5.2.2.1 </t>
  </si>
  <si>
    <t xml:space="preserve"> 92779 </t>
  </si>
  <si>
    <t xml:space="preserve"> 5.2.1.5 </t>
  </si>
  <si>
    <t xml:space="preserve"> 92776 </t>
  </si>
  <si>
    <t xml:space="preserve"> 5.2.1.3 </t>
  </si>
  <si>
    <t xml:space="preserve"> 92269 </t>
  </si>
  <si>
    <t xml:space="preserve"> 5.2.1.1 </t>
  </si>
  <si>
    <t xml:space="preserve"> 92725 </t>
  </si>
  <si>
    <t xml:space="preserve"> 5.1.2.5 </t>
  </si>
  <si>
    <t xml:space="preserve"> 92777 </t>
  </si>
  <si>
    <t xml:space="preserve"> 5.1.2.3 </t>
  </si>
  <si>
    <t xml:space="preserve"> 92463 </t>
  </si>
  <si>
    <t xml:space="preserve"> 5.1.2.1 </t>
  </si>
  <si>
    <t>CONCRETO USINADO BOMBEAVEL, CLASSE DE RESISTENCIA C25, COM BRITA 0 E 1, SLUMP = 100 +/- 20 MM, INCLUI SERVICO DE BOMBEAMENTO (NBR 8953)</t>
  </si>
  <si>
    <t xml:space="preserve"> 00001527 </t>
  </si>
  <si>
    <t xml:space="preserve"> 92720 </t>
  </si>
  <si>
    <t xml:space="preserve"> 5.1.1.4 </t>
  </si>
  <si>
    <t xml:space="preserve"> 92778 </t>
  </si>
  <si>
    <t xml:space="preserve"> 5.1.1.3 </t>
  </si>
  <si>
    <t xml:space="preserve"> 92775 </t>
  </si>
  <si>
    <t xml:space="preserve"> 5.1.1.2 </t>
  </si>
  <si>
    <t>LOCACAO DE APRUMADOR METALICO DE PILAR, COM ALTURA E ANGULO REGULAVEIS, EXTENSAO DE *1,50* A *2,80* M</t>
  </si>
  <si>
    <t xml:space="preserve"> 00040271 </t>
  </si>
  <si>
    <t xml:space="preserve"> 92415 </t>
  </si>
  <si>
    <t xml:space="preserve"> 5.1.1.1 </t>
  </si>
  <si>
    <t xml:space="preserve"> 97101 </t>
  </si>
  <si>
    <t xml:space="preserve"> 4.2.1.1 </t>
  </si>
  <si>
    <t xml:space="preserve"> 96557 </t>
  </si>
  <si>
    <t xml:space="preserve"> 4.1.2.7 </t>
  </si>
  <si>
    <t>MANTA LIQUIDA DE BASE ASFALTICA MODIFICADA COM A ADICAO DE ELASTOMEROS DILUIDOS EM SOLVENTE ORGANICO, APLICACAO A FRIO (MEMBRANA IMPERMEABILIZANTE ASFASTICA)</t>
  </si>
  <si>
    <t xml:space="preserve"> 00000626 </t>
  </si>
  <si>
    <t xml:space="preserve"> 98557 </t>
  </si>
  <si>
    <t xml:space="preserve"> 4.1.2.6 </t>
  </si>
  <si>
    <t xml:space="preserve"> 96545 </t>
  </si>
  <si>
    <t xml:space="preserve"> 4.1.2.4 </t>
  </si>
  <si>
    <t xml:space="preserve"> 96536 </t>
  </si>
  <si>
    <t xml:space="preserve"> 4.1.2.2 </t>
  </si>
  <si>
    <t xml:space="preserve"> 96617 </t>
  </si>
  <si>
    <t xml:space="preserve"> 4.1.2.1 </t>
  </si>
  <si>
    <t xml:space="preserve"> 93382 </t>
  </si>
  <si>
    <t xml:space="preserve"> 4.1.1.9 </t>
  </si>
  <si>
    <t xml:space="preserve"> 101176 </t>
  </si>
  <si>
    <t xml:space="preserve"> 4.1.1.8 </t>
  </si>
  <si>
    <t xml:space="preserve"> 92873 </t>
  </si>
  <si>
    <t xml:space="preserve"> 4.1.1.7 </t>
  </si>
  <si>
    <t xml:space="preserve"> 4.1.1.6 </t>
  </si>
  <si>
    <t xml:space="preserve"> 96543 </t>
  </si>
  <si>
    <t xml:space="preserve"> 4.1.1.5 </t>
  </si>
  <si>
    <t xml:space="preserve"> 96546 </t>
  </si>
  <si>
    <t xml:space="preserve"> 4.1.1.4 </t>
  </si>
  <si>
    <t xml:space="preserve"> 96619 </t>
  </si>
  <si>
    <t xml:space="preserve"> 4.1.1.3 </t>
  </si>
  <si>
    <t>PREGO DE ACO POLIDO COM CABECA 15 X 18 (1 1/2 X 13)</t>
  </si>
  <si>
    <t xml:space="preserve"> 00005074 </t>
  </si>
  <si>
    <t xml:space="preserve"> 96535 </t>
  </si>
  <si>
    <t xml:space="preserve"> 4.1.1.2 </t>
  </si>
  <si>
    <t xml:space="preserve"> 96521 </t>
  </si>
  <si>
    <t xml:space="preserve"> 4.1.1.1 </t>
  </si>
  <si>
    <t xml:space="preserve"> 97914 </t>
  </si>
  <si>
    <t xml:space="preserve"> 3.5 </t>
  </si>
  <si>
    <t xml:space="preserve"> 100981 </t>
  </si>
  <si>
    <t xml:space="preserve"> 3.4 </t>
  </si>
  <si>
    <t xml:space="preserve"> 98524 </t>
  </si>
  <si>
    <t xml:space="preserve"> 3.3 </t>
  </si>
  <si>
    <t>SERP - SERVIÇOS PRELIMINARES</t>
  </si>
  <si>
    <t xml:space="preserve"> 97637 </t>
  </si>
  <si>
    <t xml:space="preserve"> 3.1 </t>
  </si>
  <si>
    <t>CAIXA D'AGUA EM POLIETILENO 2000 LITROS, COM TAMPA</t>
  </si>
  <si>
    <t xml:space="preserve"> 00034640 </t>
  </si>
  <si>
    <t xml:space="preserve"> 93243 </t>
  </si>
  <si>
    <t xml:space="preserve"> 2.3 </t>
  </si>
  <si>
    <t xml:space="preserve"> 98459 </t>
  </si>
  <si>
    <t xml:space="preserve"> 2.2 </t>
  </si>
  <si>
    <t xml:space="preserve"> 88326 </t>
  </si>
  <si>
    <t xml:space="preserve"> 1.4 </t>
  </si>
  <si>
    <t>TRANSPORTE - MENSALISTA (COLETADO CAIXA)</t>
  </si>
  <si>
    <t xml:space="preserve"> 00040861 </t>
  </si>
  <si>
    <t>SEGURO - MENSALISTA (COLETADO CAIXA)</t>
  </si>
  <si>
    <t xml:space="preserve"> 00040864 </t>
  </si>
  <si>
    <t>FERRAMENTAS - FAMILIA SERVENTE - MENSALISTA (ENCARGOS COMPLEMENTARES - COLETADO CAIXA)</t>
  </si>
  <si>
    <t xml:space="preserve"> 00043479 </t>
  </si>
  <si>
    <t>EXAMES - MENSALISTA (COLETADO CAIXA)</t>
  </si>
  <si>
    <t xml:space="preserve"> 00040863 </t>
  </si>
  <si>
    <t>EPI - FAMILIA SERVENTE - MENSALISTA (ENCARGOS COMPLEMENTARES - COLETADO CAIXA)</t>
  </si>
  <si>
    <t xml:space="preserve"> 00043503 </t>
  </si>
  <si>
    <t>ALIMENTACAO - MENSALISTA (COLETADO CAIXA)</t>
  </si>
  <si>
    <t xml:space="preserve"> 00040862 </t>
  </si>
  <si>
    <t xml:space="preserve"> 101460 </t>
  </si>
  <si>
    <t xml:space="preserve"> 1.3 </t>
  </si>
  <si>
    <t>FERRAMENTAS - FAMILIA ENCARREGADO GERAL - HORISTA (ENCARGOS COMPLEMENTARES - COLETADO CAIXA)</t>
  </si>
  <si>
    <t xml:space="preserve"> 00043463 </t>
  </si>
  <si>
    <t>EPI - FAMILIA ENCARREGADO GERAL - HORISTA (ENCARGOS COMPLEMENTARES - COLETADO CAIXA)</t>
  </si>
  <si>
    <t xml:space="preserve"> 00043487 </t>
  </si>
  <si>
    <t xml:space="preserve"> 90776 </t>
  </si>
  <si>
    <t xml:space="preserve"> 1.2 </t>
  </si>
  <si>
    <t>FERRAMENTAS - FAMILIA ENGENHEIRO CIVIL - HORISTA (ENCARGOS COMPLEMENTARES - COLETADO CAIXA)</t>
  </si>
  <si>
    <t xml:space="preserve"> 00043462 </t>
  </si>
  <si>
    <t>EPI - FAMILIA ENGENHEIRO CIVIL - HORISTA (ENCARGOS COMPLEMENTARES - COLETADO CAIXA)</t>
  </si>
  <si>
    <t xml:space="preserve"> 00043486 </t>
  </si>
  <si>
    <t xml:space="preserve"> 90777 </t>
  </si>
  <si>
    <t xml:space="preserve"> 1.1 </t>
  </si>
  <si>
    <t>Composições Principais</t>
  </si>
  <si>
    <t>Composições Analíticas com Preço Unitário</t>
  </si>
  <si>
    <t xml:space="preserve">SINAPI - 07/2021 - Mato Grosso
</t>
  </si>
  <si>
    <t>EMEB ALINO FERREIRA DE MAGALHÃES</t>
  </si>
  <si>
    <t>Bancos</t>
  </si>
  <si>
    <t xml:space="preserve">OBRA:  FINALIZAÇÃO DO SALDO REMANESCENTE DA CONSTRUÇÃO DA ESCOLA MUNICIPAL DE EDUCAÇÃO BASICA </t>
  </si>
</sst>
</file>

<file path=xl/styles.xml><?xml version="1.0" encoding="utf-8"?>
<styleSheet xmlns="http://schemas.openxmlformats.org/spreadsheetml/2006/main">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R$-416]\ * #,##0.00_-;\-[$R$-416]\ * #,##0.00_-;_-[$R$-416]\ * &quot;-&quot;??_-;_-@_-"/>
    <numFmt numFmtId="174" formatCode="_-* #,##0.00\ _€_-;\-* #,##0.00\ _€_-;_-* &quot;-&quot;??\ _€_-;_-@_-"/>
    <numFmt numFmtId="175" formatCode="#\,##0."/>
    <numFmt numFmtId="176" formatCode="_(&quot;$&quot;* #,##0_);_(&quot;$&quot;* \(#,##0\);_(&quot;$&quot;* &quot;-&quot;_);_(@_)"/>
    <numFmt numFmtId="177" formatCode="_(&quot;$&quot;* #,##0.00_);_(&quot;$&quot;* \(#,##0.00\);_(&quot;$&quot;* &quot;-&quot;??_);_(@_)"/>
    <numFmt numFmtId="178" formatCode="\$#."/>
    <numFmt numFmtId="179" formatCode="#,##0.00&quot; &quot;;&quot; (&quot;#,##0.00&quot;)&quot;;&quot; -&quot;#&quot; &quot;;@&quot; &quot;"/>
    <numFmt numFmtId="180" formatCode="#,##0.00&quot; &quot;;&quot;-&quot;#,##0.00&quot; &quot;;&quot; -&quot;#&quot; &quot;;@&quot; &quot;"/>
    <numFmt numFmtId="181" formatCode="#.00"/>
    <numFmt numFmtId="182" formatCode="0.00_)"/>
    <numFmt numFmtId="183" formatCode="%#.00"/>
    <numFmt numFmtId="184" formatCode="#\,##0.00"/>
    <numFmt numFmtId="185" formatCode="[$R$-416]&quot; &quot;#,##0.00;[Red]&quot;-&quot;[$R$-416]&quot; &quot;#,##0.00"/>
    <numFmt numFmtId="186" formatCode="#,"/>
    <numFmt numFmtId="187" formatCode="_(* #,##0.000000_);_(* \(#,##0.000000\);_(* &quot;-&quot;??_);_(@_)"/>
    <numFmt numFmtId="188" formatCode="_-* #,##0.0000_-;\-* #,##0.0000_-;_-* &quot;-&quot;????_-;_-@_-"/>
    <numFmt numFmtId="189" formatCode="&quot;R$&quot;\ #,##0.00"/>
    <numFmt numFmtId="190" formatCode="0.0000"/>
    <numFmt numFmtId="191" formatCode="#,##0.00000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10"/>
      <name val="Calibri"/>
      <family val="2"/>
      <scheme val="minor"/>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1"/>
      <color rgb="FF000000"/>
      <name val="Calibri"/>
      <family val="2"/>
    </font>
    <font>
      <sz val="10"/>
      <color indexed="8"/>
      <name val="Arial"/>
      <family val="2"/>
    </font>
    <font>
      <b/>
      <sz val="10"/>
      <color rgb="FF000000"/>
      <name val="Arial"/>
      <family val="2"/>
    </font>
    <font>
      <b/>
      <sz val="10"/>
      <color indexed="8"/>
      <name val="Courier"/>
      <family val="3"/>
    </font>
    <font>
      <b/>
      <sz val="10"/>
      <name val="Calibri"/>
      <family val="2"/>
      <scheme val="minor"/>
    </font>
    <font>
      <sz val="10"/>
      <name val="Calibri"/>
      <family val="2"/>
    </font>
    <font>
      <sz val="10"/>
      <color indexed="8"/>
      <name val="MS Sans Serif"/>
      <family val="2"/>
    </font>
    <font>
      <sz val="10"/>
      <color rgb="FF000000"/>
      <name val="Arial1"/>
    </font>
    <font>
      <sz val="1"/>
      <color indexed="8"/>
      <name val="Courier"/>
      <family val="3"/>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1"/>
      <name val="Arial"/>
      <family val="1"/>
    </font>
    <font>
      <b/>
      <i/>
      <u/>
      <sz val="11"/>
      <color rgb="FF000000"/>
      <name val="Arial"/>
      <family val="2"/>
    </font>
    <font>
      <sz val="10"/>
      <name val="MS Sans Serif"/>
      <family val="2"/>
    </font>
    <font>
      <sz val="1"/>
      <color indexed="18"/>
      <name val="Courier"/>
      <family val="3"/>
    </font>
    <font>
      <b/>
      <sz val="1"/>
      <color indexed="8"/>
      <name val="Courier"/>
      <family val="3"/>
    </font>
    <font>
      <sz val="8"/>
      <name val="Arial"/>
      <family val="2"/>
    </font>
    <font>
      <u/>
      <sz val="10"/>
      <name val="Arial"/>
      <family val="2"/>
    </font>
    <font>
      <sz val="10"/>
      <name val="Courier New"/>
    </font>
    <font>
      <sz val="10"/>
      <name val="Courier New"/>
      <family val="3"/>
    </font>
    <font>
      <sz val="10"/>
      <name val="Arial"/>
      <family val="1"/>
    </font>
    <font>
      <b/>
      <sz val="10"/>
      <name val="Arial"/>
      <family val="1"/>
    </font>
    <font>
      <sz val="10"/>
      <color rgb="FF000000"/>
      <name val="Arial"/>
      <family val="1"/>
    </font>
    <font>
      <b/>
      <sz val="11"/>
      <name val="Arial"/>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9"/>
        <bgColor indexed="8"/>
      </patternFill>
    </fill>
    <fill>
      <patternFill patternType="solid">
        <fgColor rgb="FF00B050"/>
        <bgColor indexed="8"/>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2" tint="-9.9978637043366805E-2"/>
        <bgColor indexed="64"/>
      </patternFill>
    </fill>
    <fill>
      <patternFill patternType="solid">
        <fgColor rgb="FFFFFF66"/>
        <bgColor indexed="64"/>
      </patternFill>
    </fill>
    <fill>
      <patternFill patternType="solid">
        <fgColor rgb="FF00B0F0"/>
        <bgColor indexed="64"/>
      </patternFill>
    </fill>
    <fill>
      <patternFill patternType="solid">
        <fgColor theme="6" tint="0.59999389629810485"/>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theme="1"/>
      </left>
      <right style="thin">
        <color theme="1"/>
      </right>
      <top/>
      <bottom style="thin">
        <color theme="1"/>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465">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4" fillId="2" borderId="0" applyNumberFormat="0" applyFont="0" applyFill="0" applyProtection="0"/>
    <xf numFmtId="0" fontId="13" fillId="8" borderId="0" applyNumberFormat="0" applyBorder="0" applyAlignment="0" applyProtection="0"/>
    <xf numFmtId="0" fontId="14" fillId="3" borderId="0" applyNumberFormat="0" applyFont="0" applyFill="0" applyProtection="0"/>
    <xf numFmtId="0" fontId="13" fillId="9" borderId="0" applyNumberFormat="0" applyBorder="0" applyAlignment="0" applyProtection="0"/>
    <xf numFmtId="0" fontId="14" fillId="4" borderId="0" applyNumberFormat="0" applyFont="0" applyFill="0" applyProtection="0"/>
    <xf numFmtId="0" fontId="13" fillId="10" borderId="0" applyNumberFormat="0" applyBorder="0" applyAlignment="0" applyProtection="0"/>
    <xf numFmtId="0" fontId="14" fillId="2" borderId="0" applyNumberFormat="0" applyFont="0" applyFill="0" applyProtection="0"/>
    <xf numFmtId="0" fontId="13" fillId="7" borderId="0" applyNumberFormat="0" applyBorder="0" applyAlignment="0" applyProtection="0"/>
    <xf numFmtId="0" fontId="14" fillId="4" borderId="0" applyNumberFormat="0" applyFont="0" applyFill="0" applyProtection="0"/>
    <xf numFmtId="0" fontId="13" fillId="6" borderId="0" applyNumberFormat="0" applyBorder="0" applyAlignment="0" applyProtection="0"/>
    <xf numFmtId="0" fontId="14" fillId="3" borderId="0" applyNumberFormat="0" applyFont="0" applyFill="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9" borderId="0" applyNumberFormat="0" applyFont="0" applyFill="0" applyProtection="0"/>
    <xf numFmtId="0" fontId="13" fillId="9" borderId="0" applyNumberFormat="0" applyBorder="0" applyAlignment="0" applyProtection="0"/>
    <xf numFmtId="0" fontId="14" fillId="13" borderId="0" applyNumberFormat="0" applyFont="0" applyFill="0" applyProtection="0"/>
    <xf numFmtId="0" fontId="13" fillId="14"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15" borderId="0" applyNumberFormat="0" applyFont="0" applyFill="0" applyProtection="0"/>
    <xf numFmtId="0" fontId="13" fillId="10" borderId="0" applyNumberFormat="0" applyBorder="0" applyAlignment="0" applyProtection="0"/>
    <xf numFmtId="0" fontId="43" fillId="16" borderId="0" applyNumberFormat="0" applyBorder="0" applyAlignment="0" applyProtection="0"/>
    <xf numFmtId="0" fontId="43" fillId="9"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5" fillId="16" borderId="0" applyNumberFormat="0" applyFont="0" applyFill="0" applyProtection="0"/>
    <xf numFmtId="0" fontId="43" fillId="6" borderId="0" applyNumberFormat="0" applyBorder="0" applyAlignment="0" applyProtection="0"/>
    <xf numFmtId="0" fontId="15" fillId="9" borderId="0" applyNumberFormat="0" applyFont="0" applyFill="0" applyProtection="0"/>
    <xf numFmtId="0" fontId="43" fillId="20" borderId="0" applyNumberFormat="0" applyBorder="0" applyAlignment="0" applyProtection="0"/>
    <xf numFmtId="0" fontId="15" fillId="13" borderId="0" applyNumberFormat="0" applyFont="0" applyFill="0" applyProtection="0"/>
    <xf numFmtId="0" fontId="43" fillId="12" borderId="0" applyNumberFormat="0" applyBorder="0" applyAlignment="0" applyProtection="0"/>
    <xf numFmtId="0" fontId="15" fillId="21" borderId="0" applyNumberFormat="0" applyFont="0" applyFill="0" applyProtection="0"/>
    <xf numFmtId="0" fontId="43" fillId="3" borderId="0" applyNumberFormat="0" applyBorder="0" applyAlignment="0" applyProtection="0"/>
    <xf numFmtId="0" fontId="15" fillId="18" borderId="0" applyNumberFormat="0" applyFont="0" applyFill="0" applyProtection="0"/>
    <xf numFmtId="0" fontId="43" fillId="6" borderId="0" applyNumberFormat="0" applyBorder="0" applyAlignment="0" applyProtection="0"/>
    <xf numFmtId="0" fontId="15" fillId="15" borderId="0" applyNumberFormat="0" applyFont="0" applyFill="0" applyProtection="0"/>
    <xf numFmtId="0" fontId="43" fillId="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20" borderId="0" applyNumberFormat="0" applyBorder="0" applyAlignment="0" applyProtection="0"/>
    <xf numFmtId="0" fontId="44" fillId="3" borderId="0" applyNumberFormat="0" applyBorder="0" applyAlignment="0" applyProtection="0"/>
    <xf numFmtId="0" fontId="16" fillId="4" borderId="0" applyNumberFormat="0" applyFont="0" applyFill="0" applyProtection="0"/>
    <xf numFmtId="0" fontId="48" fillId="6" borderId="0" applyNumberFormat="0" applyBorder="0" applyAlignment="0" applyProtection="0"/>
    <xf numFmtId="0" fontId="45" fillId="25" borderId="1" applyNumberFormat="0" applyAlignment="0" applyProtection="0"/>
    <xf numFmtId="0" fontId="17" fillId="26" borderId="1" applyNumberFormat="0" applyFont="0" applyProtection="0"/>
    <xf numFmtId="0" fontId="59" fillId="27" borderId="1" applyNumberFormat="0" applyAlignment="0" applyProtection="0"/>
    <xf numFmtId="0" fontId="18" fillId="28" borderId="2" applyNumberFormat="0" applyFont="0" applyProtection="0"/>
    <xf numFmtId="0" fontId="46" fillId="28" borderId="3" applyNumberFormat="0" applyAlignment="0" applyProtection="0"/>
    <xf numFmtId="0" fontId="19" fillId="0" borderId="4" applyNumberFormat="0" applyFont="0" applyAlignment="0" applyProtection="0"/>
    <xf numFmtId="0" fontId="58" fillId="0" borderId="5" applyNumberFormat="0" applyFill="0" applyAlignment="0" applyProtection="0"/>
    <xf numFmtId="0" fontId="46" fillId="28" borderId="3" applyNumberFormat="0" applyAlignment="0" applyProtection="0"/>
    <xf numFmtId="3" fontId="14" fillId="0" borderId="0" applyFont="0" applyFill="0" applyBorder="0" applyAlignment="0" applyProtection="0"/>
    <xf numFmtId="3" fontId="14" fillId="0" borderId="0" applyFont="0" applyFill="0" applyBorder="0" applyAlignment="0" applyProtection="0"/>
    <xf numFmtId="0" fontId="15" fillId="22" borderId="0" applyNumberFormat="0" applyFont="0" applyFill="0" applyProtection="0"/>
    <xf numFmtId="0" fontId="43" fillId="29" borderId="0" applyNumberFormat="0" applyBorder="0" applyAlignment="0" applyProtection="0"/>
    <xf numFmtId="0" fontId="15" fillId="30" borderId="0" applyNumberFormat="0" applyFont="0" applyFill="0" applyProtection="0"/>
    <xf numFmtId="0" fontId="43" fillId="20" borderId="0" applyNumberFormat="0" applyBorder="0" applyAlignment="0" applyProtection="0"/>
    <xf numFmtId="0" fontId="15" fillId="31" borderId="0" applyNumberFormat="0" applyFont="0" applyFill="0" applyProtection="0"/>
    <xf numFmtId="0" fontId="43" fillId="12" borderId="0" applyNumberFormat="0" applyBorder="0" applyAlignment="0" applyProtection="0"/>
    <xf numFmtId="0" fontId="15" fillId="21" borderId="0" applyNumberFormat="0" applyFont="0" applyFill="0" applyProtection="0"/>
    <xf numFmtId="0" fontId="43" fillId="32" borderId="0" applyNumberFormat="0" applyBorder="0" applyAlignment="0" applyProtection="0"/>
    <xf numFmtId="0" fontId="15" fillId="18" borderId="0" applyNumberFormat="0" applyFont="0" applyFill="0" applyProtection="0"/>
    <xf numFmtId="0" fontId="43" fillId="18" borderId="0" applyNumberFormat="0" applyBorder="0" applyAlignment="0" applyProtection="0"/>
    <xf numFmtId="0" fontId="15" fillId="23" borderId="0" applyNumberFormat="0" applyFont="0" applyFill="0" applyProtection="0"/>
    <xf numFmtId="0" fontId="43" fillId="23" borderId="0" applyNumberFormat="0" applyBorder="0" applyAlignment="0" applyProtection="0"/>
    <xf numFmtId="0" fontId="20" fillId="3" borderId="1" applyNumberFormat="0" applyFont="0" applyProtection="0"/>
    <xf numFmtId="0" fontId="52" fillId="14" borderId="1" applyNumberFormat="0" applyAlignment="0" applyProtection="0"/>
    <xf numFmtId="0" fontId="13" fillId="0" borderId="0"/>
    <xf numFmtId="0" fontId="47" fillId="0" borderId="0" applyNumberFormat="0" applyFill="0" applyBorder="0" applyAlignment="0" applyProtection="0"/>
    <xf numFmtId="0" fontId="48" fillId="4" borderId="0" applyNumberFormat="0" applyBorder="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21" fillId="3" borderId="0" applyNumberFormat="0" applyFont="0" applyFill="0" applyProtection="0"/>
    <xf numFmtId="0" fontId="44" fillId="5" borderId="0" applyNumberFormat="0" applyBorder="0" applyAlignment="0" applyProtection="0"/>
    <xf numFmtId="0" fontId="52" fillId="7" borderId="1" applyNumberFormat="0" applyAlignment="0" applyProtection="0"/>
    <xf numFmtId="0" fontId="53" fillId="0" borderId="9" applyNumberFormat="0" applyFill="0" applyAlignment="0" applyProtection="0"/>
    <xf numFmtId="165" fontId="4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2" fillId="10" borderId="0" applyNumberFormat="0" applyFont="0" applyFill="0" applyProtection="0"/>
    <xf numFmtId="0" fontId="60" fillId="14" borderId="0" applyNumberFormat="0" applyBorder="0" applyAlignment="0" applyProtection="0"/>
    <xf numFmtId="0" fontId="54" fillId="14" borderId="0" applyNumberFormat="0" applyBorder="0" applyAlignment="0" applyProtection="0"/>
    <xf numFmtId="0" fontId="14" fillId="0" borderId="0"/>
    <xf numFmtId="0" fontId="65" fillId="0" borderId="0"/>
    <xf numFmtId="0" fontId="14" fillId="0" borderId="0"/>
    <xf numFmtId="0" fontId="14" fillId="0" borderId="0"/>
    <xf numFmtId="0" fontId="14" fillId="0" borderId="0"/>
    <xf numFmtId="0" fontId="14" fillId="10" borderId="10" applyNumberFormat="0" applyFont="0" applyBorder="0" applyProtection="0"/>
    <xf numFmtId="0" fontId="42" fillId="10" borderId="10" applyNumberFormat="0" applyFont="0" applyAlignment="0" applyProtection="0"/>
    <xf numFmtId="0" fontId="13" fillId="10" borderId="10" applyNumberFormat="0" applyFont="0" applyAlignment="0" applyProtection="0"/>
    <xf numFmtId="0" fontId="55" fillId="25" borderId="11" applyNumberFormat="0" applyAlignment="0" applyProtection="0"/>
    <xf numFmtId="9" fontId="3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3" fillId="26" borderId="12" applyNumberFormat="0" applyFont="0" applyProtection="0"/>
    <xf numFmtId="0" fontId="55" fillId="27" borderId="11"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0" fontId="24" fillId="0" borderId="0" applyNumberFormat="0" applyFont="0" applyFill="0" applyAlignment="0" applyProtection="0"/>
    <xf numFmtId="0" fontId="58" fillId="0" borderId="0" applyNumberFormat="0" applyFill="0" applyBorder="0" applyAlignment="0" applyProtection="0"/>
    <xf numFmtId="0" fontId="25" fillId="0" borderId="0" applyNumberFormat="0" applyFont="0" applyFill="0" applyAlignment="0" applyProtection="0"/>
    <xf numFmtId="0" fontId="47" fillId="0" borderId="0" applyNumberFormat="0" applyFill="0" applyBorder="0" applyAlignment="0" applyProtection="0"/>
    <xf numFmtId="0" fontId="56"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2" fillId="0" borderId="14" applyNumberFormat="0" applyFill="0" applyAlignment="0" applyProtection="0"/>
    <xf numFmtId="0" fontId="28" fillId="0" borderId="7" applyNumberFormat="0" applyFont="0" applyAlignment="0" applyProtection="0"/>
    <xf numFmtId="0" fontId="63" fillId="0" borderId="15" applyNumberFormat="0" applyFill="0" applyAlignment="0" applyProtection="0"/>
    <xf numFmtId="0" fontId="29" fillId="0" borderId="13" applyNumberFormat="0" applyFont="0" applyAlignment="0" applyProtection="0"/>
    <xf numFmtId="0" fontId="64" fillId="0" borderId="16" applyNumberFormat="0" applyFill="0" applyAlignment="0" applyProtection="0"/>
    <xf numFmtId="0" fontId="29" fillId="0" borderId="0" applyNumberFormat="0" applyFont="0" applyFill="0" applyAlignment="0" applyProtection="0"/>
    <xf numFmtId="0" fontId="64" fillId="0" borderId="0" applyNumberFormat="0" applyFill="0" applyBorder="0" applyAlignment="0" applyProtection="0"/>
    <xf numFmtId="0" fontId="61" fillId="0" borderId="0" applyNumberFormat="0" applyFill="0" applyBorder="0" applyAlignment="0" applyProtection="0"/>
    <xf numFmtId="0" fontId="30" fillId="0" borderId="17" applyNumberFormat="0" applyFont="0" applyAlignment="0" applyProtection="0"/>
    <xf numFmtId="0" fontId="57" fillId="0" borderId="18" applyNumberFormat="0" applyFill="0" applyAlignment="0" applyProtection="0"/>
    <xf numFmtId="166" fontId="41" fillId="0" borderId="0" applyFont="0" applyFill="0" applyBorder="0" applyAlignment="0" applyProtection="0"/>
    <xf numFmtId="170" fontId="14" fillId="0" borderId="0" applyFont="0" applyFill="0" applyBorder="0" applyAlignment="0" applyProtection="0"/>
    <xf numFmtId="166" fontId="14" fillId="0" borderId="0" applyFont="0" applyFill="0" applyBorder="0" applyAlignment="0" applyProtection="0"/>
    <xf numFmtId="0" fontId="58" fillId="0" borderId="0" applyNumberFormat="0" applyFill="0" applyBorder="0" applyAlignment="0" applyProtection="0"/>
    <xf numFmtId="0" fontId="12" fillId="0" borderId="0"/>
    <xf numFmtId="0" fontId="89" fillId="0" borderId="0"/>
    <xf numFmtId="0" fontId="14" fillId="0" borderId="0"/>
    <xf numFmtId="168" fontId="14" fillId="0" borderId="0" applyFont="0" applyFill="0" applyBorder="0" applyAlignment="0" applyProtection="0"/>
    <xf numFmtId="166" fontId="14" fillId="0" borderId="0" applyFont="0" applyFill="0" applyBorder="0" applyAlignment="0" applyProtection="0"/>
    <xf numFmtId="0" fontId="14" fillId="0" borderId="0"/>
    <xf numFmtId="165" fontId="14" fillId="0" borderId="0" applyFont="0" applyFill="0" applyBorder="0" applyAlignment="0" applyProtection="0"/>
    <xf numFmtId="0" fontId="14" fillId="10" borderId="10" applyNumberFormat="0" applyFont="0" applyAlignment="0" applyProtection="0"/>
    <xf numFmtId="0" fontId="7" fillId="0" borderId="0"/>
    <xf numFmtId="0" fontId="91"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165" fontId="14" fillId="0" borderId="0" applyFont="0" applyFill="0" applyBorder="0" applyAlignment="0" applyProtection="0"/>
    <xf numFmtId="0" fontId="14" fillId="0" borderId="0"/>
    <xf numFmtId="169" fontId="14" fillId="0" borderId="0" applyFont="0" applyFill="0" applyBorder="0" applyAlignment="0" applyProtection="0"/>
    <xf numFmtId="168" fontId="14" fillId="0" borderId="0" applyFont="0" applyFill="0" applyBorder="0" applyAlignment="0" applyProtection="0"/>
    <xf numFmtId="0" fontId="14" fillId="0" borderId="0"/>
    <xf numFmtId="0" fontId="97" fillId="0" borderId="0"/>
    <xf numFmtId="0" fontId="14" fillId="2" borderId="0" applyNumberFormat="0" applyFont="0" applyFill="0" applyProtection="0"/>
    <xf numFmtId="0" fontId="14" fillId="3" borderId="0" applyNumberFormat="0" applyFont="0" applyFill="0" applyProtection="0"/>
    <xf numFmtId="0" fontId="14" fillId="4" borderId="0" applyNumberFormat="0" applyFont="0" applyFill="0" applyProtection="0"/>
    <xf numFmtId="0" fontId="14" fillId="2" borderId="0" applyNumberFormat="0" applyFont="0" applyFill="0" applyProtection="0"/>
    <xf numFmtId="0" fontId="14" fillId="4" borderId="0" applyNumberFormat="0" applyFont="0" applyFill="0" applyProtection="0"/>
    <xf numFmtId="0" fontId="14" fillId="3" borderId="0" applyNumberFormat="0" applyFont="0" applyFill="0" applyProtection="0"/>
    <xf numFmtId="0" fontId="98" fillId="0" borderId="0" applyNumberFormat="0" applyBorder="0" applyProtection="0"/>
    <xf numFmtId="0" fontId="14" fillId="2" borderId="0" applyNumberFormat="0" applyFont="0" applyFill="0" applyProtection="0"/>
    <xf numFmtId="0" fontId="14" fillId="9" borderId="0" applyNumberFormat="0" applyFont="0" applyFill="0" applyProtection="0"/>
    <xf numFmtId="0" fontId="14" fillId="13" borderId="0" applyNumberFormat="0" applyFont="0" applyFill="0" applyProtection="0"/>
    <xf numFmtId="0" fontId="14" fillId="2" borderId="0" applyNumberFormat="0" applyFont="0" applyFill="0" applyProtection="0"/>
    <xf numFmtId="0" fontId="14" fillId="2" borderId="0" applyNumberFormat="0" applyFont="0" applyFill="0" applyProtection="0"/>
    <xf numFmtId="0" fontId="14" fillId="15" borderId="0" applyNumberFormat="0" applyFont="0" applyFill="0" applyProtection="0"/>
    <xf numFmtId="0" fontId="15" fillId="16" borderId="0" applyNumberFormat="0" applyFont="0" applyFill="0" applyProtection="0"/>
    <xf numFmtId="0" fontId="15" fillId="9" borderId="0" applyNumberFormat="0" applyFont="0" applyFill="0" applyProtection="0"/>
    <xf numFmtId="0" fontId="15" fillId="13" borderId="0" applyNumberFormat="0" applyFont="0" applyFill="0" applyProtection="0"/>
    <xf numFmtId="0" fontId="15" fillId="21" borderId="0" applyNumberFormat="0" applyFont="0" applyFill="0" applyProtection="0"/>
    <xf numFmtId="0" fontId="15" fillId="18" borderId="0" applyNumberFormat="0" applyFont="0" applyFill="0" applyProtection="0"/>
    <xf numFmtId="0" fontId="15" fillId="15" borderId="0" applyNumberFormat="0" applyFont="0" applyFill="0" applyProtection="0"/>
    <xf numFmtId="0" fontId="98" fillId="0" borderId="0" applyNumberFormat="0" applyBorder="0" applyProtection="0"/>
    <xf numFmtId="0" fontId="15" fillId="22" borderId="0" applyNumberFormat="0" applyFont="0" applyFill="0" applyProtection="0"/>
    <xf numFmtId="0" fontId="15" fillId="30" borderId="0" applyNumberFormat="0" applyFont="0" applyFill="0" applyProtection="0"/>
    <xf numFmtId="0" fontId="15" fillId="31" borderId="0" applyNumberFormat="0" applyFont="0" applyFill="0" applyProtection="0"/>
    <xf numFmtId="0" fontId="15" fillId="21" borderId="0" applyNumberFormat="0" applyFont="0" applyFill="0" applyProtection="0"/>
    <xf numFmtId="0" fontId="15" fillId="18" borderId="0" applyNumberFormat="0" applyFont="0" applyFill="0" applyProtection="0"/>
    <xf numFmtId="0" fontId="15" fillId="23" borderId="0" applyNumberFormat="0" applyFont="0" applyFill="0" applyProtection="0"/>
    <xf numFmtId="0" fontId="21" fillId="3" borderId="0" applyNumberFormat="0" applyFont="0" applyFill="0" applyProtection="0"/>
    <xf numFmtId="0" fontId="17" fillId="26" borderId="1" applyNumberFormat="0" applyFont="0" applyProtection="0"/>
    <xf numFmtId="174" fontId="14" fillId="0" borderId="0" applyFont="0" applyFill="0" applyBorder="0" applyAlignment="0" applyProtection="0"/>
    <xf numFmtId="175" fontId="99" fillId="0" borderId="0">
      <protection locked="0"/>
    </xf>
    <xf numFmtId="0" fontId="30" fillId="44" borderId="52" applyFill="0" applyBorder="0" applyAlignment="0" applyProtection="0">
      <alignment vertical="center"/>
      <protection locked="0"/>
    </xf>
    <xf numFmtId="176" fontId="14" fillId="0" borderId="0" applyFont="0" applyFill="0" applyBorder="0" applyAlignment="0" applyProtection="0"/>
    <xf numFmtId="177" fontId="14" fillId="0" borderId="0" applyFont="0" applyFill="0" applyBorder="0" applyAlignment="0" applyProtection="0"/>
    <xf numFmtId="178" fontId="99" fillId="0" borderId="0">
      <protection locked="0"/>
    </xf>
    <xf numFmtId="0" fontId="99" fillId="0" borderId="0">
      <protection locked="0"/>
    </xf>
    <xf numFmtId="0" fontId="99" fillId="0" borderId="0">
      <protection locked="0"/>
    </xf>
    <xf numFmtId="179" fontId="98" fillId="0" borderId="0" applyBorder="0" applyProtection="0"/>
    <xf numFmtId="179" fontId="98" fillId="0" borderId="0" applyBorder="0" applyProtection="0"/>
    <xf numFmtId="0" fontId="98" fillId="0" borderId="0" applyNumberFormat="0" applyBorder="0" applyProtection="0"/>
    <xf numFmtId="0" fontId="91" fillId="0" borderId="0" applyNumberFormat="0" applyBorder="0" applyProtection="0"/>
    <xf numFmtId="0" fontId="13" fillId="0" borderId="0"/>
    <xf numFmtId="0" fontId="91" fillId="0" borderId="0" applyNumberFormat="0" applyBorder="0" applyProtection="0"/>
    <xf numFmtId="180" fontId="91" fillId="0" borderId="0" applyBorder="0" applyProtection="0"/>
    <xf numFmtId="0" fontId="25" fillId="0" borderId="0" applyNumberFormat="0" applyFont="0" applyFill="0" applyAlignment="0" applyProtection="0"/>
    <xf numFmtId="181" fontId="99" fillId="0" borderId="0">
      <protection locked="0"/>
    </xf>
    <xf numFmtId="181" fontId="99" fillId="0" borderId="0">
      <protection locked="0"/>
    </xf>
    <xf numFmtId="0" fontId="100" fillId="0" borderId="0" applyNumberFormat="0" applyFill="0" applyBorder="0" applyAlignment="0" applyProtection="0">
      <alignment vertical="top"/>
      <protection locked="0"/>
    </xf>
    <xf numFmtId="38" fontId="37" fillId="45" borderId="0" applyNumberFormat="0" applyBorder="0" applyAlignment="0" applyProtection="0"/>
    <xf numFmtId="0" fontId="101" fillId="0" borderId="0" applyNumberFormat="0" applyBorder="0" applyProtection="0">
      <alignment horizontal="center"/>
    </xf>
    <xf numFmtId="0" fontId="99" fillId="0" borderId="0">
      <protection locked="0"/>
    </xf>
    <xf numFmtId="0" fontId="99" fillId="0" borderId="0">
      <protection locked="0"/>
    </xf>
    <xf numFmtId="0" fontId="29" fillId="0" borderId="13" applyNumberFormat="0" applyFont="0" applyAlignment="0" applyProtection="0"/>
    <xf numFmtId="0" fontId="29" fillId="0" borderId="0" applyNumberFormat="0" applyFont="0" applyFill="0" applyAlignment="0" applyProtection="0"/>
    <xf numFmtId="0" fontId="101" fillId="0" borderId="0" applyNumberFormat="0" applyBorder="0" applyProtection="0">
      <alignment horizontal="center" textRotation="90"/>
    </xf>
    <xf numFmtId="0" fontId="102" fillId="0" borderId="0" applyNumberFormat="0" applyFill="0" applyBorder="0" applyAlignment="0" applyProtection="0">
      <alignment vertical="top"/>
      <protection locked="0"/>
    </xf>
    <xf numFmtId="0" fontId="103" fillId="0" borderId="0"/>
    <xf numFmtId="10" fontId="37" fillId="46" borderId="19" applyNumberFormat="0" applyBorder="0" applyAlignment="0" applyProtection="0"/>
    <xf numFmtId="0" fontId="14" fillId="0" borderId="0">
      <alignment horizontal="centerContinuous" vertical="justify"/>
    </xf>
    <xf numFmtId="0" fontId="104" fillId="0" borderId="0" applyAlignment="0">
      <alignment horizontal="center"/>
    </xf>
    <xf numFmtId="164" fontId="6" fillId="0" borderId="0" applyFont="0" applyFill="0" applyBorder="0" applyAlignment="0" applyProtection="0"/>
    <xf numFmtId="164" fontId="6"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164" fontId="14" fillId="0" borderId="0" applyFont="0" applyFill="0" applyBorder="0" applyAlignment="0" applyProtection="0"/>
    <xf numFmtId="182" fontId="105"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0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107" fillId="0" borderId="0"/>
    <xf numFmtId="0" fontId="6" fillId="0" borderId="0"/>
    <xf numFmtId="0" fontId="6" fillId="0" borderId="0"/>
    <xf numFmtId="0" fontId="6" fillId="0" borderId="0"/>
    <xf numFmtId="0" fontId="6" fillId="0" borderId="0"/>
    <xf numFmtId="0" fontId="6" fillId="0" borderId="0"/>
    <xf numFmtId="0" fontId="65" fillId="0" borderId="0"/>
    <xf numFmtId="0" fontId="65" fillId="0" borderId="0"/>
    <xf numFmtId="0" fontId="65" fillId="0" borderId="0"/>
    <xf numFmtId="0" fontId="65" fillId="0" borderId="0"/>
    <xf numFmtId="0" fontId="65" fillId="0" borderId="0"/>
    <xf numFmtId="0" fontId="14" fillId="0" borderId="0"/>
    <xf numFmtId="0" fontId="10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alignment horizontal="left" vertical="center" indent="12"/>
    </xf>
    <xf numFmtId="0" fontId="37" fillId="0" borderId="52" applyBorder="0">
      <alignment horizontal="left" vertical="center" wrapText="1" indent="2"/>
      <protection locked="0"/>
    </xf>
    <xf numFmtId="0" fontId="37" fillId="0" borderId="52" applyBorder="0">
      <alignment horizontal="left" vertical="center" wrapText="1" indent="3"/>
      <protection locked="0"/>
    </xf>
    <xf numFmtId="0" fontId="23" fillId="26" borderId="12" applyNumberFormat="0" applyFont="0" applyProtection="0"/>
    <xf numFmtId="10" fontId="14" fillId="0" borderId="0" applyFont="0" applyFill="0" applyBorder="0" applyAlignment="0" applyProtection="0"/>
    <xf numFmtId="183" fontId="99" fillId="0" borderId="0">
      <protection locked="0"/>
    </xf>
    <xf numFmtId="183" fontId="99" fillId="0" borderId="0">
      <protection locked="0"/>
    </xf>
    <xf numFmtId="184" fontId="99" fillId="0" borderId="0">
      <protection locked="0"/>
    </xf>
    <xf numFmtId="9" fontId="65" fillId="0" borderId="0" applyFont="0" applyFill="0" applyBorder="0" applyAlignment="0" applyProtection="0"/>
    <xf numFmtId="9" fontId="4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5" fillId="0" borderId="0" applyFont="0" applyFill="0" applyBorder="0" applyAlignment="0" applyProtection="0"/>
    <xf numFmtId="0" fontId="108" fillId="0" borderId="0" applyNumberFormat="0" applyBorder="0" applyProtection="0"/>
    <xf numFmtId="185" fontId="108" fillId="0" borderId="0" applyBorder="0" applyProtection="0"/>
    <xf numFmtId="38" fontId="109" fillId="0" borderId="0" applyFont="0" applyFill="0" applyBorder="0" applyAlignment="0" applyProtection="0"/>
    <xf numFmtId="186" fontId="110" fillId="0" borderId="0">
      <protection locked="0"/>
    </xf>
    <xf numFmtId="17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79" fontId="98" fillId="0" borderId="0" applyBorder="0" applyProtection="0"/>
    <xf numFmtId="43" fontId="14" fillId="0" borderId="0" applyFont="0" applyFill="0" applyBorder="0" applyAlignment="0" applyProtection="0"/>
    <xf numFmtId="41" fontId="106" fillId="0" borderId="0" applyFont="0" applyFill="0" applyBorder="0" applyAlignment="0" applyProtection="0"/>
    <xf numFmtId="0" fontId="109" fillId="0" borderId="0"/>
    <xf numFmtId="0" fontId="26" fillId="0" borderId="0" applyNumberFormat="0" applyFont="0" applyFill="0" applyAlignment="0" applyProtection="0"/>
    <xf numFmtId="0" fontId="111" fillId="0" borderId="0">
      <protection locked="0"/>
    </xf>
    <xf numFmtId="0" fontId="111" fillId="0" borderId="0">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1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79" fontId="14" fillId="0" borderId="0" applyFont="0" applyFill="0" applyBorder="0" applyAlignment="0" applyProtection="0"/>
    <xf numFmtId="43" fontId="4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0" fontId="3" fillId="0" borderId="0"/>
    <xf numFmtId="0" fontId="3" fillId="0" borderId="0"/>
    <xf numFmtId="43" fontId="41" fillId="0" borderId="0" applyFont="0" applyFill="0" applyBorder="0" applyAlignment="0" applyProtection="0"/>
    <xf numFmtId="43" fontId="14" fillId="0" borderId="0" applyFont="0" applyFill="0" applyBorder="0" applyAlignment="0" applyProtection="0"/>
    <xf numFmtId="44" fontId="4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14" fillId="0" borderId="0" applyFont="0" applyFill="0" applyBorder="0" applyAlignment="0" applyProtection="0"/>
    <xf numFmtId="0" fontId="3" fillId="0" borderId="0"/>
    <xf numFmtId="43" fontId="14" fillId="0" borderId="0" applyFont="0" applyFill="0" applyBorder="0" applyAlignment="0" applyProtection="0"/>
    <xf numFmtId="43" fontId="14" fillId="0" borderId="0" applyFont="0" applyFill="0" applyBorder="0" applyAlignment="0" applyProtection="0"/>
    <xf numFmtId="0" fontId="3" fillId="0" borderId="0"/>
    <xf numFmtId="0" fontId="3" fillId="0" borderId="0"/>
    <xf numFmtId="0" fontId="3" fillId="0" borderId="0"/>
    <xf numFmtId="43" fontId="1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65" fillId="0" borderId="0" applyFont="0" applyFill="0" applyBorder="0" applyAlignment="0" applyProtection="0"/>
    <xf numFmtId="44" fontId="14" fillId="0" borderId="0" applyFont="0" applyFill="0" applyBorder="0" applyAlignment="0" applyProtection="0"/>
    <xf numFmtId="41" fontId="14" fillId="0" borderId="0" applyFont="0" applyFill="0" applyBorder="0" applyAlignment="0" applyProtection="0"/>
    <xf numFmtId="0" fontId="3" fillId="0" borderId="0"/>
    <xf numFmtId="44" fontId="14" fillId="0" borderId="0" applyFont="0" applyFill="0" applyBorder="0" applyAlignment="0" applyProtection="0"/>
  </cellStyleXfs>
  <cellXfs count="931">
    <xf numFmtId="0" fontId="0" fillId="0" borderId="0" xfId="0"/>
    <xf numFmtId="166" fontId="0" fillId="0" borderId="0" xfId="119" applyFont="1"/>
    <xf numFmtId="10" fontId="0" fillId="0" borderId="0" xfId="0" applyNumberFormat="1"/>
    <xf numFmtId="0" fontId="0" fillId="0" borderId="0" xfId="0" applyAlignment="1">
      <alignment vertical="center"/>
    </xf>
    <xf numFmtId="165" fontId="0" fillId="0" borderId="0" xfId="99" applyFont="1"/>
    <xf numFmtId="0" fontId="68" fillId="38" borderId="20" xfId="0" applyNumberFormat="1" applyFont="1" applyFill="1" applyBorder="1" applyAlignment="1">
      <alignment horizontal="center" vertical="center"/>
    </xf>
    <xf numFmtId="1" fontId="68" fillId="38" borderId="19" xfId="0" applyNumberFormat="1" applyFont="1" applyFill="1" applyBorder="1" applyAlignment="1">
      <alignment horizontal="center" vertical="center" wrapText="1"/>
    </xf>
    <xf numFmtId="168" fontId="68" fillId="38" borderId="19" xfId="0" applyNumberFormat="1" applyFont="1" applyFill="1" applyBorder="1" applyAlignment="1">
      <alignment horizontal="center" vertical="center" wrapText="1"/>
    </xf>
    <xf numFmtId="167" fontId="68" fillId="38" borderId="19" xfId="0" applyNumberFormat="1" applyFont="1" applyFill="1" applyBorder="1" applyAlignment="1">
      <alignment horizontal="left" vertical="center" wrapText="1"/>
    </xf>
    <xf numFmtId="167" fontId="68" fillId="38" borderId="19" xfId="0" applyNumberFormat="1" applyFont="1" applyFill="1" applyBorder="1" applyAlignment="1">
      <alignment horizontal="center" vertic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166" fontId="14" fillId="0" borderId="0" xfId="119" applyFont="1" applyFill="1" applyBorder="1" applyAlignment="1">
      <alignment horizontal="center" vertical="center"/>
    </xf>
    <xf numFmtId="0" fontId="0" fillId="0" borderId="31" xfId="0" applyBorder="1"/>
    <xf numFmtId="165" fontId="0" fillId="0" borderId="0" xfId="99" applyFont="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0" fillId="0" borderId="0" xfId="0" applyFont="1" applyBorder="1" applyAlignment="1">
      <alignment vertical="center"/>
    </xf>
    <xf numFmtId="0" fontId="72" fillId="34" borderId="19" xfId="0" applyFont="1" applyFill="1" applyBorder="1" applyAlignment="1">
      <alignment vertical="center" wrapText="1"/>
    </xf>
    <xf numFmtId="0" fontId="72" fillId="34" borderId="19" xfId="0" applyFont="1" applyFill="1" applyBorder="1" applyAlignment="1">
      <alignment horizontal="right" vertical="center" wrapText="1"/>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0" xfId="119" applyFont="1" applyFill="1" applyBorder="1" applyAlignment="1">
      <alignment horizontal="center" vertical="center"/>
    </xf>
    <xf numFmtId="166" fontId="14" fillId="0" borderId="0" xfId="119" applyFont="1" applyBorder="1" applyAlignment="1">
      <alignment horizontal="left" vertical="center"/>
    </xf>
    <xf numFmtId="166" fontId="0" fillId="0" borderId="0" xfId="119" applyFont="1" applyBorder="1" applyAlignment="1">
      <alignment horizontal="center" vertical="center" wrapText="1"/>
    </xf>
    <xf numFmtId="0" fontId="30" fillId="0" borderId="38" xfId="0" applyFont="1" applyFill="1" applyBorder="1" applyAlignment="1">
      <alignment horizontal="center" vertical="center" wrapText="1"/>
    </xf>
    <xf numFmtId="166" fontId="14"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0" fillId="41" borderId="0" xfId="119" applyFont="1" applyFill="1" applyBorder="1" applyAlignment="1">
      <alignment horizontal="center" vertical="center"/>
    </xf>
    <xf numFmtId="166" fontId="14" fillId="41" borderId="0" xfId="119" applyFont="1" applyFill="1" applyBorder="1" applyAlignment="1">
      <alignment horizontal="center" vertical="center"/>
    </xf>
    <xf numFmtId="0" fontId="30" fillId="0" borderId="34" xfId="0" applyFont="1" applyFill="1" applyBorder="1" applyAlignment="1">
      <alignment horizontal="center" vertical="center" wrapText="1"/>
    </xf>
    <xf numFmtId="166" fontId="14" fillId="0" borderId="31" xfId="119" applyFont="1" applyBorder="1" applyAlignment="1">
      <alignment horizontal="center" vertical="center"/>
    </xf>
    <xf numFmtId="166" fontId="0" fillId="41" borderId="31" xfId="119" applyFont="1" applyFill="1" applyBorder="1" applyAlignment="1">
      <alignment horizontal="center" vertical="center"/>
    </xf>
    <xf numFmtId="166" fontId="14" fillId="0" borderId="31" xfId="119" applyFont="1" applyBorder="1" applyAlignment="1">
      <alignment horizontal="center" vertical="center" wrapText="1"/>
    </xf>
    <xf numFmtId="166" fontId="14" fillId="0" borderId="28" xfId="119" applyFont="1" applyBorder="1" applyAlignment="1">
      <alignment horizontal="center" vertical="center"/>
    </xf>
    <xf numFmtId="166" fontId="0" fillId="0" borderId="31" xfId="119" applyFont="1" applyBorder="1" applyAlignment="1">
      <alignment horizontal="center" vertical="center" wrapText="1"/>
    </xf>
    <xf numFmtId="0" fontId="0" fillId="0" borderId="0" xfId="0" applyAlignment="1">
      <alignment horizontal="center" vertical="center"/>
    </xf>
    <xf numFmtId="0" fontId="24"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30" fillId="0" borderId="38" xfId="119" applyFont="1" applyBorder="1" applyAlignment="1">
      <alignment horizontal="center" vertical="center" wrapText="1"/>
    </xf>
    <xf numFmtId="166" fontId="0" fillId="0" borderId="0" xfId="119" applyFont="1" applyAlignment="1">
      <alignment horizontal="left" vertical="center"/>
    </xf>
    <xf numFmtId="166" fontId="0" fillId="41" borderId="31" xfId="119" applyFont="1" applyFill="1" applyBorder="1" applyAlignment="1">
      <alignment horizontal="left" vertical="center"/>
    </xf>
    <xf numFmtId="166" fontId="0" fillId="0" borderId="28" xfId="119" applyFont="1" applyBorder="1" applyAlignment="1">
      <alignment horizontal="center" vertical="center"/>
    </xf>
    <xf numFmtId="0" fontId="0" fillId="0" borderId="28" xfId="0" applyBorder="1" applyAlignment="1">
      <alignment vertical="center"/>
    </xf>
    <xf numFmtId="0" fontId="30" fillId="0" borderId="28" xfId="0" applyFont="1" applyBorder="1" applyAlignment="1">
      <alignment horizontal="center" vertical="center"/>
    </xf>
    <xf numFmtId="166" fontId="66" fillId="0" borderId="28" xfId="119" applyFont="1" applyBorder="1" applyAlignment="1">
      <alignment horizontal="center" vertical="center"/>
    </xf>
    <xf numFmtId="0" fontId="14" fillId="0" borderId="28" xfId="0" applyFont="1" applyBorder="1" applyAlignment="1">
      <alignment vertical="center"/>
    </xf>
    <xf numFmtId="166" fontId="14" fillId="41" borderId="31" xfId="119" applyFont="1" applyFill="1" applyBorder="1" applyAlignment="1">
      <alignment horizontal="left" vertical="center"/>
    </xf>
    <xf numFmtId="166" fontId="14" fillId="0" borderId="31" xfId="119" applyFont="1" applyBorder="1" applyAlignment="1">
      <alignment horizontal="left" vertical="center"/>
    </xf>
    <xf numFmtId="166" fontId="0" fillId="0" borderId="31" xfId="119" applyFont="1" applyFill="1" applyBorder="1" applyAlignment="1">
      <alignment horizontal="left" vertical="center"/>
    </xf>
    <xf numFmtId="0" fontId="14" fillId="0" borderId="0" xfId="0" applyFont="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0" fillId="0" borderId="30" xfId="0" applyBorder="1" applyAlignment="1">
      <alignment vertical="center"/>
    </xf>
    <xf numFmtId="0" fontId="14" fillId="0" borderId="0" xfId="0" applyFont="1"/>
    <xf numFmtId="0" fontId="14" fillId="0" borderId="19" xfId="0" applyFont="1" applyFill="1" applyBorder="1" applyAlignment="1">
      <alignment horizontal="center" vertical="center"/>
    </xf>
    <xf numFmtId="0" fontId="30" fillId="0" borderId="0" xfId="0" applyFont="1" applyBorder="1" applyAlignment="1">
      <alignment vertical="center"/>
    </xf>
    <xf numFmtId="1" fontId="14" fillId="0" borderId="19" xfId="0" applyNumberFormat="1" applyFont="1" applyBorder="1" applyAlignment="1">
      <alignment horizontal="center" vertical="center"/>
    </xf>
    <xf numFmtId="0" fontId="14" fillId="0" borderId="0" xfId="0" applyFont="1" applyAlignment="1">
      <alignment horizontal="center" vertical="center"/>
    </xf>
    <xf numFmtId="1" fontId="14" fillId="0" borderId="0" xfId="0" applyNumberFormat="1" applyFont="1" applyAlignment="1">
      <alignment horizontal="center" vertical="center"/>
    </xf>
    <xf numFmtId="171" fontId="0" fillId="0" borderId="0" xfId="119" applyNumberFormat="1" applyFont="1"/>
    <xf numFmtId="0" fontId="33" fillId="0" borderId="26" xfId="0" applyFont="1" applyFill="1" applyBorder="1" applyAlignment="1">
      <alignment horizontal="center" vertical="center"/>
    </xf>
    <xf numFmtId="166" fontId="38" fillId="0" borderId="49" xfId="119" applyFont="1" applyFill="1" applyBorder="1" applyAlignment="1">
      <alignment horizontal="center" vertical="center"/>
    </xf>
    <xf numFmtId="166" fontId="38" fillId="0" borderId="26" xfId="119" applyFont="1" applyFill="1" applyBorder="1" applyAlignment="1">
      <alignment horizontal="center" vertical="center"/>
    </xf>
    <xf numFmtId="166" fontId="38" fillId="0" borderId="48" xfId="119" applyFont="1" applyFill="1" applyBorder="1" applyAlignment="1">
      <alignment horizontal="center" vertical="center"/>
    </xf>
    <xf numFmtId="0" fontId="39" fillId="0" borderId="0" xfId="0" applyFont="1" applyFill="1" applyAlignment="1">
      <alignment horizontal="center"/>
    </xf>
    <xf numFmtId="0" fontId="39" fillId="0" borderId="0" xfId="0" applyFont="1" applyFill="1"/>
    <xf numFmtId="0" fontId="39" fillId="0" borderId="0" xfId="0" applyFont="1" applyFill="1" applyAlignment="1">
      <alignment horizontal="left" wrapText="1"/>
    </xf>
    <xf numFmtId="0" fontId="39" fillId="0" borderId="0" xfId="0" applyFont="1" applyFill="1" applyAlignment="1">
      <alignment horizontal="center" vertical="center"/>
    </xf>
    <xf numFmtId="1" fontId="11" fillId="34" borderId="19" xfId="0" applyNumberFormat="1" applyFont="1" applyFill="1" applyBorder="1" applyAlignment="1">
      <alignment horizontal="center" vertical="center" wrapText="1"/>
    </xf>
    <xf numFmtId="0" fontId="11" fillId="0" borderId="19" xfId="0" applyFont="1" applyFill="1" applyBorder="1" applyAlignment="1">
      <alignment horizontal="left" vertical="center" wrapText="1"/>
    </xf>
    <xf numFmtId="0" fontId="11" fillId="0" borderId="19" xfId="0" applyFont="1" applyFill="1" applyBorder="1" applyAlignment="1">
      <alignment horizontal="center" vertical="center" wrapText="1"/>
    </xf>
    <xf numFmtId="0" fontId="39" fillId="0" borderId="0" xfId="0" applyFont="1"/>
    <xf numFmtId="0" fontId="39" fillId="0" borderId="0" xfId="0" applyFont="1" applyFill="1" applyBorder="1" applyAlignment="1">
      <alignment horizontal="center" vertical="center"/>
    </xf>
    <xf numFmtId="0" fontId="39" fillId="0" borderId="0" xfId="0" applyFont="1" applyBorder="1" applyAlignment="1">
      <alignment horizontal="center" vertical="center"/>
    </xf>
    <xf numFmtId="0" fontId="39" fillId="36" borderId="0" xfId="0" applyFont="1" applyFill="1"/>
    <xf numFmtId="0" fontId="39" fillId="38" borderId="0" xfId="0" applyFont="1" applyFill="1"/>
    <xf numFmtId="0" fontId="39" fillId="0" borderId="0" xfId="0" applyFont="1" applyFill="1" applyAlignment="1">
      <alignment vertical="center"/>
    </xf>
    <xf numFmtId="0" fontId="0" fillId="0" borderId="0" xfId="0" applyBorder="1"/>
    <xf numFmtId="0" fontId="39" fillId="0" borderId="31" xfId="0" applyFont="1" applyFill="1" applyBorder="1" applyAlignment="1">
      <alignment horizontal="center"/>
    </xf>
    <xf numFmtId="0" fontId="39" fillId="0" borderId="32" xfId="0" applyFont="1" applyFill="1" applyBorder="1" applyAlignment="1">
      <alignment horizontal="center"/>
    </xf>
    <xf numFmtId="0" fontId="0" fillId="0" borderId="48" xfId="0" applyBorder="1"/>
    <xf numFmtId="165" fontId="36" fillId="0" borderId="38" xfId="99" applyFont="1" applyBorder="1" applyAlignment="1"/>
    <xf numFmtId="10" fontId="36" fillId="0" borderId="35" xfId="114" applyNumberFormat="1" applyFont="1" applyBorder="1" applyAlignment="1">
      <alignment horizontal="center"/>
    </xf>
    <xf numFmtId="10" fontId="36" fillId="36" borderId="38" xfId="114" applyNumberFormat="1" applyFont="1" applyFill="1" applyBorder="1" applyAlignment="1">
      <alignment horizontal="center"/>
    </xf>
    <xf numFmtId="165" fontId="35" fillId="0" borderId="38" xfId="99" applyFont="1" applyBorder="1" applyAlignment="1">
      <alignment horizontal="center"/>
    </xf>
    <xf numFmtId="10" fontId="36" fillId="36" borderId="34" xfId="114" applyNumberFormat="1" applyFont="1" applyFill="1" applyBorder="1" applyAlignment="1">
      <alignment horizontal="center"/>
    </xf>
    <xf numFmtId="165" fontId="35" fillId="0" borderId="34" xfId="99" applyFont="1" applyBorder="1" applyAlignment="1">
      <alignment horizontal="center"/>
    </xf>
    <xf numFmtId="166" fontId="0" fillId="0" borderId="31" xfId="119" applyFont="1" applyBorder="1" applyAlignment="1">
      <alignment horizontal="left" vertical="center"/>
    </xf>
    <xf numFmtId="166" fontId="14" fillId="0" borderId="0" xfId="119" applyFont="1" applyBorder="1" applyAlignment="1">
      <alignment horizontal="center" vertical="center" wrapText="1"/>
    </xf>
    <xf numFmtId="166" fontId="14" fillId="0" borderId="0" xfId="119" applyFont="1" applyBorder="1" applyAlignment="1">
      <alignment horizontal="center" vertical="center"/>
    </xf>
    <xf numFmtId="166" fontId="0" fillId="0" borderId="0" xfId="119" applyFont="1" applyBorder="1" applyAlignment="1">
      <alignment horizontal="center" vertical="center"/>
    </xf>
    <xf numFmtId="166" fontId="30" fillId="0" borderId="36" xfId="119" applyFont="1" applyBorder="1" applyAlignment="1">
      <alignment horizontal="center" vertical="center"/>
    </xf>
    <xf numFmtId="166" fontId="14" fillId="0" borderId="0" xfId="119" applyFont="1" applyBorder="1" applyAlignment="1">
      <alignment horizontal="center" vertical="center"/>
    </xf>
    <xf numFmtId="166" fontId="14" fillId="0" borderId="28" xfId="119" applyFont="1" applyBorder="1" applyAlignment="1">
      <alignment horizontal="center" vertical="center"/>
    </xf>
    <xf numFmtId="0" fontId="30" fillId="0" borderId="0" xfId="0" applyFont="1"/>
    <xf numFmtId="0" fontId="14" fillId="0" borderId="0" xfId="0" applyFont="1" applyBorder="1" applyAlignment="1">
      <alignment vertical="center"/>
    </xf>
    <xf numFmtId="166" fontId="14" fillId="0" borderId="0" xfId="119" applyFont="1" applyBorder="1" applyAlignment="1">
      <alignment horizontal="center" vertical="center"/>
    </xf>
    <xf numFmtId="166" fontId="0" fillId="0" borderId="0" xfId="119" applyFont="1" applyBorder="1" applyAlignment="1">
      <alignment horizontal="center" vertical="center"/>
    </xf>
    <xf numFmtId="1" fontId="10" fillId="34" borderId="19" xfId="0" applyNumberFormat="1" applyFont="1" applyFill="1" applyBorder="1" applyAlignment="1">
      <alignment horizontal="center" vertical="center" wrapText="1"/>
    </xf>
    <xf numFmtId="166" fontId="14" fillId="0" borderId="0" xfId="119" applyFont="1" applyBorder="1" applyAlignment="1">
      <alignment horizontal="center" vertical="center" wrapText="1"/>
    </xf>
    <xf numFmtId="1" fontId="9"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0" fontId="14" fillId="0" borderId="31" xfId="119" applyNumberFormat="1" applyFont="1" applyBorder="1" applyAlignment="1">
      <alignment horizontal="left" vertical="center"/>
    </xf>
    <xf numFmtId="0" fontId="11" fillId="34" borderId="19" xfId="0" applyFont="1" applyFill="1" applyBorder="1" applyAlignment="1">
      <alignment horizontal="center" vertical="center" wrapText="1"/>
    </xf>
    <xf numFmtId="166" fontId="14" fillId="0" borderId="31" xfId="119" applyFont="1" applyFill="1" applyBorder="1" applyAlignment="1">
      <alignment horizontal="left" vertical="center" wrapText="1"/>
    </xf>
    <xf numFmtId="2" fontId="14" fillId="0" borderId="0" xfId="0" applyNumberFormat="1" applyFont="1" applyBorder="1" applyAlignment="1">
      <alignment vertical="center"/>
    </xf>
    <xf numFmtId="0" fontId="30" fillId="0" borderId="0" xfId="0" applyFont="1" applyBorder="1" applyAlignment="1">
      <alignment horizontal="center" vertical="center"/>
    </xf>
    <xf numFmtId="0" fontId="14" fillId="0" borderId="29" xfId="0" applyFont="1" applyBorder="1" applyAlignment="1">
      <alignment vertical="center"/>
    </xf>
    <xf numFmtId="166" fontId="14" fillId="0" borderId="0" xfId="119" applyAlignment="1">
      <alignment horizontal="left" vertical="center"/>
    </xf>
    <xf numFmtId="0" fontId="8" fillId="0" borderId="19" xfId="0" applyFont="1" applyFill="1" applyBorder="1" applyAlignment="1">
      <alignment horizontal="center" vertical="center" wrapText="1"/>
    </xf>
    <xf numFmtId="44" fontId="68" fillId="38" borderId="19" xfId="99" applyNumberFormat="1" applyFont="1" applyFill="1" applyBorder="1" applyAlignment="1">
      <alignment horizontal="right" vertical="center"/>
    </xf>
    <xf numFmtId="44" fontId="68" fillId="38" borderId="21" xfId="99" applyNumberFormat="1" applyFont="1" applyFill="1" applyBorder="1" applyAlignment="1">
      <alignment horizontal="right" vertical="center"/>
    </xf>
    <xf numFmtId="44" fontId="69" fillId="0" borderId="21" xfId="99" applyNumberFormat="1" applyFont="1" applyFill="1" applyBorder="1" applyAlignment="1">
      <alignment horizontal="right" vertical="center"/>
    </xf>
    <xf numFmtId="44" fontId="68" fillId="33" borderId="19" xfId="99" applyNumberFormat="1" applyFont="1" applyFill="1" applyBorder="1" applyAlignment="1">
      <alignment horizontal="right" vertical="center" wrapText="1"/>
    </xf>
    <xf numFmtId="44" fontId="68" fillId="33" borderId="21" xfId="99" applyNumberFormat="1" applyFont="1" applyFill="1" applyBorder="1" applyAlignment="1">
      <alignment horizontal="right" vertical="center"/>
    </xf>
    <xf numFmtId="44" fontId="68" fillId="33" borderId="19" xfId="99" applyNumberFormat="1" applyFont="1" applyFill="1" applyBorder="1" applyAlignment="1">
      <alignment horizontal="right" vertical="center"/>
    </xf>
    <xf numFmtId="2" fontId="39" fillId="0" borderId="0" xfId="119" applyNumberFormat="1" applyFont="1" applyFill="1" applyAlignment="1">
      <alignment horizontal="center" vertical="center"/>
    </xf>
    <xf numFmtId="2" fontId="68" fillId="38" borderId="19" xfId="119" applyNumberFormat="1" applyFont="1" applyFill="1" applyBorder="1" applyAlignment="1">
      <alignment horizontal="center" vertical="center"/>
    </xf>
    <xf numFmtId="2" fontId="11" fillId="0" borderId="19" xfId="119" applyNumberFormat="1" applyFont="1" applyFill="1" applyBorder="1" applyAlignment="1">
      <alignment horizontal="center" vertical="center"/>
    </xf>
    <xf numFmtId="2" fontId="39" fillId="0" borderId="0" xfId="119" applyNumberFormat="1" applyFont="1" applyFill="1" applyBorder="1" applyAlignment="1">
      <alignment horizontal="center" vertical="center"/>
    </xf>
    <xf numFmtId="2" fontId="39" fillId="0" borderId="29" xfId="119" applyNumberFormat="1" applyFont="1" applyFill="1" applyBorder="1" applyAlignment="1">
      <alignment horizontal="center" vertical="center"/>
    </xf>
    <xf numFmtId="0" fontId="14" fillId="0" borderId="0" xfId="0" applyFont="1"/>
    <xf numFmtId="0" fontId="14" fillId="0" borderId="19" xfId="0" applyFont="1" applyBorder="1" applyAlignment="1">
      <alignment horizontal="center" vertical="center"/>
    </xf>
    <xf numFmtId="0" fontId="84" fillId="0" borderId="19" xfId="0" applyFont="1" applyFill="1" applyBorder="1" applyAlignment="1">
      <alignment horizontal="left" vertical="center" wrapText="1"/>
    </xf>
    <xf numFmtId="0" fontId="84" fillId="0" borderId="19" xfId="0" applyFont="1" applyFill="1" applyBorder="1" applyAlignment="1">
      <alignment horizontal="center" vertical="center" wrapText="1"/>
    </xf>
    <xf numFmtId="1" fontId="14" fillId="0" borderId="19" xfId="0" applyNumberFormat="1" applyFont="1" applyFill="1" applyBorder="1" applyAlignment="1">
      <alignment horizontal="center" vertical="center"/>
    </xf>
    <xf numFmtId="0" fontId="14" fillId="0" borderId="0" xfId="0" applyFont="1" applyBorder="1" applyAlignment="1">
      <alignment horizontal="center" vertical="center"/>
    </xf>
    <xf numFmtId="0" fontId="92" fillId="42" borderId="19" xfId="153" applyFont="1" applyFill="1" applyBorder="1" applyAlignment="1">
      <alignment horizontal="center" vertical="center" wrapText="1"/>
    </xf>
    <xf numFmtId="0" fontId="14" fillId="0" borderId="19" xfId="154" applyFont="1" applyBorder="1" applyAlignment="1">
      <alignment horizontal="center" vertical="center"/>
    </xf>
    <xf numFmtId="0" fontId="14" fillId="0" borderId="19" xfId="146" applyFont="1" applyBorder="1" applyAlignment="1">
      <alignment horizontal="center" vertical="center"/>
    </xf>
    <xf numFmtId="0" fontId="84" fillId="0" borderId="19" xfId="146" applyFont="1" applyFill="1" applyBorder="1" applyAlignment="1">
      <alignment horizontal="center" vertical="center" wrapText="1"/>
    </xf>
    <xf numFmtId="1" fontId="14" fillId="0" borderId="19" xfId="146" applyNumberFormat="1" applyFont="1" applyFill="1" applyBorder="1" applyAlignment="1">
      <alignment horizontal="center" vertical="center"/>
    </xf>
    <xf numFmtId="166" fontId="14" fillId="0" borderId="0" xfId="119" applyFont="1" applyBorder="1" applyAlignment="1">
      <alignment horizontal="center" vertical="center"/>
    </xf>
    <xf numFmtId="166" fontId="14" fillId="0" borderId="31" xfId="119" applyBorder="1" applyAlignment="1">
      <alignment horizontal="center" vertical="center" wrapText="1"/>
    </xf>
    <xf numFmtId="166" fontId="14" fillId="0" borderId="0" xfId="119" applyAlignment="1">
      <alignment horizontal="center" vertical="center"/>
    </xf>
    <xf numFmtId="166" fontId="14" fillId="0" borderId="0" xfId="119" applyAlignment="1">
      <alignment horizontal="center" vertical="center" wrapText="1"/>
    </xf>
    <xf numFmtId="166" fontId="14" fillId="41" borderId="31" xfId="119" applyFill="1" applyBorder="1" applyAlignment="1">
      <alignment horizontal="left" vertical="center"/>
    </xf>
    <xf numFmtId="166" fontId="0" fillId="41" borderId="0" xfId="119" applyFont="1" applyFill="1" applyAlignment="1">
      <alignment horizontal="center" vertical="center"/>
    </xf>
    <xf numFmtId="166" fontId="14" fillId="0" borderId="31" xfId="119" applyBorder="1" applyAlignment="1">
      <alignment horizontal="left" vertical="center"/>
    </xf>
    <xf numFmtId="165" fontId="33" fillId="0" borderId="49" xfId="99" applyFont="1" applyBorder="1" applyAlignment="1">
      <alignment horizontal="center" vertical="justify"/>
    </xf>
    <xf numFmtId="0" fontId="33" fillId="0" borderId="45" xfId="0" applyFont="1" applyBorder="1" applyAlignment="1">
      <alignment horizontal="center" vertical="justify"/>
    </xf>
    <xf numFmtId="166" fontId="14" fillId="41" borderId="31" xfId="119" applyFont="1" applyFill="1" applyBorder="1" applyAlignment="1">
      <alignment horizontal="center" vertical="center" wrapText="1"/>
    </xf>
    <xf numFmtId="166" fontId="14" fillId="41" borderId="0" xfId="119" applyFont="1" applyFill="1" applyBorder="1" applyAlignment="1">
      <alignment horizontal="center" vertical="center" wrapText="1"/>
    </xf>
    <xf numFmtId="166" fontId="30" fillId="0" borderId="0" xfId="119" applyNumberFormat="1" applyFont="1" applyBorder="1" applyAlignment="1">
      <alignment horizontal="right" vertical="center"/>
    </xf>
    <xf numFmtId="166" fontId="30" fillId="0" borderId="31" xfId="119" applyNumberFormat="1" applyFont="1" applyBorder="1" applyAlignment="1">
      <alignment horizontal="left" vertical="center" wrapText="1"/>
    </xf>
    <xf numFmtId="166" fontId="30" fillId="0" borderId="0" xfId="119" applyNumberFormat="1" applyFont="1" applyBorder="1" applyAlignment="1">
      <alignment horizontal="center" vertical="center" wrapText="1"/>
    </xf>
    <xf numFmtId="166" fontId="30" fillId="0" borderId="28" xfId="119" applyNumberFormat="1" applyFont="1" applyBorder="1" applyAlignment="1">
      <alignment horizontal="center" vertical="center" wrapText="1"/>
    </xf>
    <xf numFmtId="166" fontId="14" fillId="41" borderId="31" xfId="119" applyNumberFormat="1" applyFont="1" applyFill="1" applyBorder="1" applyAlignment="1">
      <alignment horizontal="left" vertical="center" wrapText="1"/>
    </xf>
    <xf numFmtId="166" fontId="14" fillId="41" borderId="0" xfId="119" applyNumberFormat="1" applyFont="1" applyFill="1" applyBorder="1" applyAlignment="1">
      <alignment horizontal="center" vertical="center" wrapText="1"/>
    </xf>
    <xf numFmtId="166" fontId="14" fillId="41" borderId="28" xfId="119" applyNumberFormat="1" applyFont="1" applyFill="1" applyBorder="1" applyAlignment="1">
      <alignment horizontal="center" vertical="center" wrapText="1"/>
    </xf>
    <xf numFmtId="166" fontId="14" fillId="0" borderId="31" xfId="119" applyNumberFormat="1" applyFont="1" applyBorder="1" applyAlignment="1">
      <alignment horizontal="left" vertical="center" wrapText="1"/>
    </xf>
    <xf numFmtId="166" fontId="14" fillId="0" borderId="0" xfId="119" applyNumberFormat="1" applyFont="1" applyBorder="1" applyAlignment="1">
      <alignment horizontal="center" vertical="center" wrapText="1"/>
    </xf>
    <xf numFmtId="166" fontId="14" fillId="0" borderId="28" xfId="119" applyNumberFormat="1" applyFont="1" applyBorder="1" applyAlignment="1">
      <alignment horizontal="center" vertical="center" wrapText="1"/>
    </xf>
    <xf numFmtId="166" fontId="14" fillId="0" borderId="31" xfId="119" applyBorder="1" applyAlignment="1">
      <alignment horizontal="center" vertical="center"/>
    </xf>
    <xf numFmtId="166" fontId="0" fillId="41" borderId="31" xfId="119" applyNumberFormat="1" applyFont="1" applyFill="1" applyBorder="1" applyAlignment="1">
      <alignment horizontal="left" vertical="center"/>
    </xf>
    <xf numFmtId="166" fontId="0" fillId="41" borderId="0" xfId="119" applyNumberFormat="1" applyFont="1" applyFill="1" applyAlignment="1">
      <alignment horizontal="center" vertical="center"/>
    </xf>
    <xf numFmtId="166" fontId="0" fillId="0" borderId="0" xfId="119" applyNumberFormat="1" applyFont="1" applyAlignment="1">
      <alignment horizontal="center" vertical="center"/>
    </xf>
    <xf numFmtId="166" fontId="14" fillId="0" borderId="0" xfId="119" applyNumberFormat="1" applyAlignment="1">
      <alignment horizontal="center" vertical="center" wrapText="1"/>
    </xf>
    <xf numFmtId="166" fontId="0" fillId="0" borderId="28" xfId="119" applyNumberFormat="1" applyFont="1" applyBorder="1" applyAlignment="1">
      <alignment horizontal="center" vertical="center"/>
    </xf>
    <xf numFmtId="166" fontId="0" fillId="0" borderId="0" xfId="119" applyNumberFormat="1" applyFont="1" applyAlignment="1">
      <alignment horizontal="right" vertical="center"/>
    </xf>
    <xf numFmtId="166" fontId="14" fillId="41" borderId="31" xfId="119" applyNumberFormat="1" applyFill="1" applyBorder="1" applyAlignment="1">
      <alignment horizontal="center" vertical="center" wrapText="1"/>
    </xf>
    <xf numFmtId="166" fontId="14" fillId="41" borderId="0" xfId="119" applyNumberFormat="1" applyFill="1" applyAlignment="1">
      <alignment horizontal="center" vertical="center" wrapText="1"/>
    </xf>
    <xf numFmtId="166" fontId="14" fillId="0" borderId="31" xfId="119" applyFont="1" applyBorder="1" applyAlignment="1">
      <alignment horizontal="left" vertical="center" wrapText="1"/>
    </xf>
    <xf numFmtId="166" fontId="14" fillId="0" borderId="28" xfId="119" applyFont="1" applyBorder="1" applyAlignment="1">
      <alignment horizontal="center" vertical="center" wrapText="1"/>
    </xf>
    <xf numFmtId="172" fontId="0" fillId="0" borderId="0" xfId="119" applyNumberFormat="1" applyFont="1" applyFill="1" applyBorder="1" applyAlignment="1">
      <alignment horizontal="center" vertical="center"/>
    </xf>
    <xf numFmtId="0" fontId="0" fillId="0" borderId="32" xfId="0" applyBorder="1"/>
    <xf numFmtId="0" fontId="0" fillId="0" borderId="29" xfId="0" applyBorder="1"/>
    <xf numFmtId="165" fontId="0" fillId="0" borderId="29" xfId="99" applyFont="1" applyBorder="1"/>
    <xf numFmtId="0" fontId="0" fillId="0" borderId="30" xfId="0" applyBorder="1"/>
    <xf numFmtId="166" fontId="14" fillId="0" borderId="0" xfId="119" applyNumberFormat="1" applyFont="1" applyBorder="1" applyAlignment="1">
      <alignment horizontal="right" vertical="center"/>
    </xf>
    <xf numFmtId="0" fontId="0" fillId="41" borderId="0" xfId="0" applyFill="1"/>
    <xf numFmtId="0" fontId="73" fillId="36" borderId="21" xfId="0" applyFont="1" applyFill="1" applyBorder="1" applyAlignment="1">
      <alignment horizontal="center" vertical="center"/>
    </xf>
    <xf numFmtId="10" fontId="74" fillId="34" borderId="21" xfId="115" applyNumberFormat="1" applyFont="1" applyFill="1" applyBorder="1" applyAlignment="1">
      <alignment horizontal="center"/>
    </xf>
    <xf numFmtId="0" fontId="75" fillId="34" borderId="20" xfId="0" applyFont="1" applyFill="1" applyBorder="1" applyAlignment="1">
      <alignment horizontal="center" vertical="center"/>
    </xf>
    <xf numFmtId="10" fontId="77" fillId="34" borderId="21" xfId="115" applyNumberFormat="1" applyFont="1" applyFill="1" applyBorder="1" applyAlignment="1">
      <alignment horizontal="center" vertical="center"/>
    </xf>
    <xf numFmtId="10" fontId="75" fillId="34" borderId="21" xfId="115" applyNumberFormat="1" applyFont="1" applyFill="1" applyBorder="1" applyAlignment="1">
      <alignment horizontal="center" vertical="center"/>
    </xf>
    <xf numFmtId="10" fontId="74" fillId="34" borderId="21" xfId="115" applyNumberFormat="1" applyFont="1" applyFill="1" applyBorder="1" applyAlignment="1">
      <alignment horizontal="center" vertical="center"/>
    </xf>
    <xf numFmtId="0" fontId="74" fillId="34" borderId="20" xfId="0" applyFont="1" applyFill="1" applyBorder="1" applyAlignment="1"/>
    <xf numFmtId="0" fontId="0" fillId="0" borderId="0" xfId="0" applyBorder="1" applyAlignment="1">
      <alignment wrapText="1"/>
    </xf>
    <xf numFmtId="0" fontId="14" fillId="0" borderId="19" xfId="146" applyFont="1" applyFill="1" applyBorder="1" applyAlignment="1">
      <alignment horizontal="center" vertical="center"/>
    </xf>
    <xf numFmtId="0" fontId="14" fillId="0" borderId="0" xfId="0" applyFont="1" applyAlignment="1">
      <alignment horizontal="left" vertical="center" wrapText="1"/>
    </xf>
    <xf numFmtId="1" fontId="14" fillId="0" borderId="19" xfId="146" applyNumberFormat="1" applyFont="1" applyBorder="1" applyAlignment="1">
      <alignment horizontal="center" vertical="center"/>
    </xf>
    <xf numFmtId="0" fontId="84" fillId="0" borderId="19" xfId="0" applyFont="1" applyBorder="1" applyAlignment="1">
      <alignment horizontal="center" vertical="center"/>
    </xf>
    <xf numFmtId="1" fontId="95" fillId="0" borderId="19" xfId="146" applyNumberFormat="1" applyFont="1" applyFill="1" applyBorder="1" applyAlignment="1">
      <alignment horizontal="left" vertical="center" wrapText="1"/>
    </xf>
    <xf numFmtId="1" fontId="39" fillId="0" borderId="0" xfId="0" applyNumberFormat="1" applyFont="1" applyAlignment="1">
      <alignment vertical="center"/>
    </xf>
    <xf numFmtId="1" fontId="39" fillId="0" borderId="0" xfId="0" applyNumberFormat="1" applyFont="1" applyBorder="1" applyAlignment="1">
      <alignment vertical="center"/>
    </xf>
    <xf numFmtId="0" fontId="39" fillId="0" borderId="0" xfId="0" applyFont="1" applyFill="1" applyBorder="1" applyAlignment="1">
      <alignment vertical="center"/>
    </xf>
    <xf numFmtId="0" fontId="70" fillId="0" borderId="0" xfId="0" applyFont="1" applyBorder="1" applyAlignment="1">
      <alignment horizontal="center" vertical="center" wrapText="1"/>
    </xf>
    <xf numFmtId="44" fontId="39" fillId="0" borderId="0" xfId="99" applyNumberFormat="1" applyFont="1" applyFill="1" applyAlignment="1">
      <alignment horizontal="right" vertical="center"/>
    </xf>
    <xf numFmtId="44" fontId="11" fillId="0" borderId="19" xfId="99" applyNumberFormat="1" applyFont="1" applyFill="1" applyBorder="1" applyAlignment="1">
      <alignment horizontal="right" vertical="center" wrapText="1"/>
    </xf>
    <xf numFmtId="44" fontId="69" fillId="0" borderId="19" xfId="99" applyNumberFormat="1" applyFont="1" applyFill="1" applyBorder="1" applyAlignment="1">
      <alignment horizontal="right" vertical="center"/>
    </xf>
    <xf numFmtId="44" fontId="11" fillId="33" borderId="19" xfId="99" applyNumberFormat="1" applyFont="1" applyFill="1" applyBorder="1" applyAlignment="1">
      <alignment horizontal="right" vertical="center" wrapText="1"/>
    </xf>
    <xf numFmtId="44" fontId="39" fillId="0" borderId="0" xfId="99" applyNumberFormat="1" applyFont="1" applyFill="1" applyBorder="1" applyAlignment="1">
      <alignment horizontal="right" vertical="center"/>
    </xf>
    <xf numFmtId="44" fontId="39" fillId="0" borderId="28" xfId="99" applyNumberFormat="1" applyFont="1" applyFill="1" applyBorder="1" applyAlignment="1">
      <alignment horizontal="right" vertical="center"/>
    </xf>
    <xf numFmtId="44" fontId="39" fillId="0" borderId="29" xfId="99" applyNumberFormat="1" applyFont="1" applyFill="1" applyBorder="1" applyAlignment="1">
      <alignment horizontal="right" vertical="center"/>
    </xf>
    <xf numFmtId="44" fontId="39" fillId="0" borderId="30" xfId="99" applyNumberFormat="1" applyFont="1" applyFill="1" applyBorder="1" applyAlignment="1">
      <alignment horizontal="right" vertical="center"/>
    </xf>
    <xf numFmtId="0" fontId="14" fillId="0" borderId="31" xfId="0" applyFont="1" applyBorder="1" applyAlignment="1">
      <alignment horizontal="center" vertical="center" wrapText="1"/>
    </xf>
    <xf numFmtId="10" fontId="39" fillId="0" borderId="0" xfId="99" applyNumberFormat="1" applyFont="1" applyFill="1" applyBorder="1" applyAlignment="1">
      <alignment horizontal="right" vertical="center"/>
    </xf>
    <xf numFmtId="0" fontId="0" fillId="0" borderId="0" xfId="0"/>
    <xf numFmtId="0" fontId="0" fillId="0" borderId="0" xfId="0"/>
    <xf numFmtId="0" fontId="14" fillId="0" borderId="19" xfId="0" applyFont="1" applyBorder="1" applyAlignment="1">
      <alignment horizontal="left" vertical="center" wrapText="1"/>
    </xf>
    <xf numFmtId="0" fontId="83" fillId="0" borderId="19" xfId="0" applyFont="1" applyBorder="1" applyAlignment="1">
      <alignment horizontal="left" vertical="center"/>
    </xf>
    <xf numFmtId="0" fontId="14" fillId="0" borderId="19" xfId="146" applyFont="1" applyBorder="1" applyAlignment="1">
      <alignment horizontal="left" vertical="center" wrapText="1"/>
    </xf>
    <xf numFmtId="0" fontId="14" fillId="0" borderId="64" xfId="146" applyFont="1" applyBorder="1" applyAlignment="1">
      <alignment horizontal="center" vertical="center"/>
    </xf>
    <xf numFmtId="1" fontId="14" fillId="0" borderId="64" xfId="146" applyNumberFormat="1" applyFont="1" applyBorder="1" applyAlignment="1">
      <alignment horizontal="center" vertical="center"/>
    </xf>
    <xf numFmtId="0" fontId="14" fillId="0" borderId="19" xfId="149" applyFont="1" applyFill="1" applyBorder="1" applyAlignment="1">
      <alignment horizontal="center" vertical="center"/>
    </xf>
    <xf numFmtId="165" fontId="39" fillId="0" borderId="0" xfId="99" applyFont="1" applyFill="1" applyAlignment="1">
      <alignment horizontal="right" vertical="center"/>
    </xf>
    <xf numFmtId="165" fontId="11" fillId="0" borderId="19" xfId="99" applyFont="1" applyFill="1" applyBorder="1" applyAlignment="1">
      <alignment horizontal="right" vertical="center" wrapText="1"/>
    </xf>
    <xf numFmtId="165" fontId="39" fillId="0" borderId="0" xfId="99" applyFont="1" applyFill="1" applyBorder="1" applyAlignment="1">
      <alignment horizontal="right" vertical="center"/>
    </xf>
    <xf numFmtId="165" fontId="39" fillId="0" borderId="29" xfId="99" applyFont="1" applyFill="1" applyBorder="1" applyAlignment="1">
      <alignment horizontal="right" vertical="center"/>
    </xf>
    <xf numFmtId="165" fontId="68" fillId="38" borderId="19" xfId="99" applyFont="1" applyFill="1" applyBorder="1" applyAlignment="1">
      <alignment horizontal="right" vertical="center"/>
    </xf>
    <xf numFmtId="0" fontId="68" fillId="0" borderId="20" xfId="0" applyFont="1" applyFill="1" applyBorder="1" applyAlignment="1">
      <alignment horizontal="center" vertical="center" wrapText="1"/>
    </xf>
    <xf numFmtId="1" fontId="11" fillId="0" borderId="19" xfId="0" applyNumberFormat="1" applyFont="1" applyFill="1" applyBorder="1" applyAlignment="1">
      <alignment horizontal="center" vertical="center" wrapText="1"/>
    </xf>
    <xf numFmtId="1" fontId="8" fillId="0" borderId="19" xfId="0" applyNumberFormat="1" applyFont="1" applyFill="1" applyBorder="1" applyAlignment="1">
      <alignment horizontal="center" vertical="center" wrapText="1"/>
    </xf>
    <xf numFmtId="0" fontId="90" fillId="0" borderId="19" xfId="0" applyFont="1" applyFill="1" applyBorder="1" applyAlignment="1">
      <alignment horizontal="left" vertical="center" wrapText="1"/>
    </xf>
    <xf numFmtId="43" fontId="14" fillId="0" borderId="0" xfId="0" applyNumberFormat="1" applyFont="1" applyBorder="1" applyAlignment="1">
      <alignment vertical="center"/>
    </xf>
    <xf numFmtId="1" fontId="39" fillId="0" borderId="29" xfId="0" applyNumberFormat="1" applyFont="1" applyBorder="1" applyAlignment="1">
      <alignment vertical="center"/>
    </xf>
    <xf numFmtId="0" fontId="39" fillId="0" borderId="29" xfId="0" applyFont="1" applyFill="1" applyBorder="1" applyAlignment="1">
      <alignment vertical="center"/>
    </xf>
    <xf numFmtId="0" fontId="39" fillId="0" borderId="29" xfId="0" applyFont="1" applyFill="1" applyBorder="1" applyAlignment="1">
      <alignment horizontal="center" vertical="center"/>
    </xf>
    <xf numFmtId="0" fontId="90" fillId="0" borderId="0" xfId="0" applyFont="1" applyBorder="1" applyAlignment="1">
      <alignment horizontal="center" vertical="center" wrapText="1"/>
    </xf>
    <xf numFmtId="0" fontId="14" fillId="0" borderId="0" xfId="0" applyFont="1" applyAlignment="1">
      <alignment horizontal="center" vertical="center" wrapText="1"/>
    </xf>
    <xf numFmtId="0" fontId="14" fillId="0" borderId="49" xfId="0" applyFont="1" applyBorder="1" applyAlignment="1">
      <alignment horizontal="center" vertical="center" wrapText="1"/>
    </xf>
    <xf numFmtId="0" fontId="24" fillId="0" borderId="31" xfId="0" applyFont="1" applyBorder="1" applyAlignment="1">
      <alignment horizontal="center" vertical="center" wrapText="1"/>
    </xf>
    <xf numFmtId="4" fontId="85" fillId="0" borderId="31" xfId="0" applyNumberFormat="1" applyFont="1" applyFill="1" applyBorder="1" applyAlignment="1">
      <alignment horizontal="center" vertical="center" wrapText="1"/>
    </xf>
    <xf numFmtId="0" fontId="66" fillId="0" borderId="31" xfId="0" applyFont="1" applyBorder="1" applyAlignment="1">
      <alignment horizontal="center" vertical="center" wrapText="1"/>
    </xf>
    <xf numFmtId="0" fontId="14" fillId="0" borderId="32" xfId="0" applyFont="1" applyBorder="1" applyAlignment="1">
      <alignment horizontal="center" vertical="center" wrapText="1"/>
    </xf>
    <xf numFmtId="0" fontId="0" fillId="0" borderId="38" xfId="0" applyBorder="1" applyAlignment="1">
      <alignment horizontal="center" vertical="center"/>
    </xf>
    <xf numFmtId="4" fontId="0" fillId="0" borderId="0" xfId="0" applyNumberFormat="1" applyAlignment="1">
      <alignment horizontal="center" vertical="center"/>
    </xf>
    <xf numFmtId="1" fontId="0" fillId="0" borderId="0" xfId="0" applyNumberFormat="1" applyAlignment="1">
      <alignment horizontal="center" vertical="center"/>
    </xf>
    <xf numFmtId="0" fontId="14" fillId="0" borderId="22" xfId="0" applyFont="1" applyBorder="1" applyAlignment="1">
      <alignment horizontal="center" vertical="center"/>
    </xf>
    <xf numFmtId="1" fontId="14" fillId="0" borderId="22" xfId="0" applyNumberFormat="1" applyFont="1" applyBorder="1" applyAlignment="1">
      <alignment horizontal="center" vertical="center"/>
    </xf>
    <xf numFmtId="0" fontId="14" fillId="0" borderId="22" xfId="0" applyFont="1" applyBorder="1" applyAlignment="1">
      <alignment horizontal="left" vertical="center" wrapText="1"/>
    </xf>
    <xf numFmtId="0" fontId="30" fillId="0" borderId="38" xfId="0" applyFont="1" applyBorder="1" applyAlignment="1">
      <alignment horizontal="center" vertical="center"/>
    </xf>
    <xf numFmtId="1" fontId="30" fillId="0" borderId="34" xfId="0" applyNumberFormat="1" applyFont="1" applyBorder="1" applyAlignment="1">
      <alignment horizontal="center" vertical="center"/>
    </xf>
    <xf numFmtId="171" fontId="14" fillId="0" borderId="64" xfId="119" applyNumberFormat="1" applyFont="1" applyBorder="1" applyAlignment="1">
      <alignment horizontal="center" vertical="center" wrapText="1"/>
    </xf>
    <xf numFmtId="171" fontId="14" fillId="0" borderId="19" xfId="119" applyNumberFormat="1" applyFont="1" applyBorder="1" applyAlignment="1">
      <alignment horizontal="center" vertical="center" wrapText="1"/>
    </xf>
    <xf numFmtId="171" fontId="14" fillId="0" borderId="0" xfId="119" applyNumberFormat="1" applyFont="1" applyAlignment="1">
      <alignment horizontal="center" vertical="center"/>
    </xf>
    <xf numFmtId="171" fontId="14" fillId="0" borderId="22" xfId="119" applyNumberFormat="1" applyFont="1" applyBorder="1" applyAlignment="1">
      <alignment horizontal="center" vertical="center"/>
    </xf>
    <xf numFmtId="171" fontId="14" fillId="0" borderId="19" xfId="119" applyNumberFormat="1" applyFont="1" applyBorder="1" applyAlignment="1">
      <alignment horizontal="center" vertical="center"/>
    </xf>
    <xf numFmtId="171" fontId="14" fillId="0" borderId="19" xfId="119" applyNumberFormat="1" applyFont="1" applyFill="1" applyBorder="1" applyAlignment="1">
      <alignment horizontal="center" vertical="center" wrapText="1"/>
    </xf>
    <xf numFmtId="171" fontId="14" fillId="0" borderId="19" xfId="148" applyNumberFormat="1" applyFont="1" applyBorder="1" applyAlignment="1">
      <alignment horizontal="center" vertical="center"/>
    </xf>
    <xf numFmtId="171" fontId="14" fillId="0" borderId="19" xfId="154" applyNumberFormat="1" applyFont="1" applyBorder="1" applyAlignment="1">
      <alignment horizontal="center" vertical="center"/>
    </xf>
    <xf numFmtId="165" fontId="14" fillId="0" borderId="0" xfId="99" applyFont="1" applyAlignment="1">
      <alignment horizontal="center" vertical="center"/>
    </xf>
    <xf numFmtId="165" fontId="14" fillId="0" borderId="22" xfId="99" applyFont="1" applyBorder="1" applyAlignment="1">
      <alignment horizontal="center" vertical="center"/>
    </xf>
    <xf numFmtId="165" fontId="14" fillId="0" borderId="19" xfId="99" applyFont="1" applyBorder="1" applyAlignment="1">
      <alignment horizontal="center" vertical="center"/>
    </xf>
    <xf numFmtId="165" fontId="84" fillId="0" borderId="19" xfId="99" applyFont="1" applyFill="1" applyBorder="1" applyAlignment="1">
      <alignment horizontal="center" vertical="center" wrapText="1"/>
    </xf>
    <xf numFmtId="165" fontId="14" fillId="0" borderId="19" xfId="99" applyFont="1" applyFill="1" applyBorder="1" applyAlignment="1">
      <alignment horizontal="center" vertical="center" wrapText="1"/>
    </xf>
    <xf numFmtId="1" fontId="0" fillId="0" borderId="0" xfId="0" applyNumberFormat="1" applyAlignment="1">
      <alignment horizontal="center" vertical="center" wrapText="1"/>
    </xf>
    <xf numFmtId="0" fontId="14" fillId="0" borderId="0" xfId="0" applyFont="1" applyBorder="1" applyAlignment="1">
      <alignment horizontal="center" vertical="center" wrapText="1"/>
    </xf>
    <xf numFmtId="187" fontId="14" fillId="0" borderId="19" xfId="119" applyNumberFormat="1" applyFont="1" applyBorder="1" applyAlignment="1">
      <alignment horizontal="center" vertical="center" wrapText="1"/>
    </xf>
    <xf numFmtId="166" fontId="14" fillId="0" borderId="19" xfId="119" applyFont="1" applyBorder="1" applyAlignment="1">
      <alignment horizontal="center" vertical="center"/>
    </xf>
    <xf numFmtId="0" fontId="14" fillId="0" borderId="19" xfId="119" applyNumberFormat="1" applyFont="1" applyBorder="1" applyAlignment="1">
      <alignment horizontal="center" vertical="center"/>
    </xf>
    <xf numFmtId="166" fontId="30" fillId="0" borderId="36" xfId="119" applyNumberFormat="1" applyFont="1" applyBorder="1" applyAlignment="1">
      <alignment horizontal="right" vertical="center"/>
    </xf>
    <xf numFmtId="166" fontId="38" fillId="0" borderId="26" xfId="119" applyNumberFormat="1" applyFont="1" applyFill="1" applyBorder="1" applyAlignment="1">
      <alignment horizontal="right" vertical="center"/>
    </xf>
    <xf numFmtId="166" fontId="30" fillId="0" borderId="0" xfId="119" applyNumberFormat="1" applyFont="1" applyFill="1" applyBorder="1" applyAlignment="1">
      <alignment horizontal="right" vertical="center"/>
    </xf>
    <xf numFmtId="166" fontId="0" fillId="0" borderId="0" xfId="119" applyNumberFormat="1" applyFont="1" applyBorder="1" applyAlignment="1">
      <alignment horizontal="right" vertical="center"/>
    </xf>
    <xf numFmtId="166" fontId="82" fillId="0" borderId="0" xfId="119" applyNumberFormat="1" applyFont="1" applyBorder="1" applyAlignment="1">
      <alignment horizontal="center" vertical="center"/>
    </xf>
    <xf numFmtId="166" fontId="82" fillId="0" borderId="0" xfId="119" applyNumberFormat="1" applyFont="1" applyAlignment="1">
      <alignment horizontal="right" vertical="center"/>
    </xf>
    <xf numFmtId="166" fontId="14" fillId="0" borderId="0" xfId="119" applyNumberFormat="1" applyAlignment="1">
      <alignment horizontal="right" vertical="center"/>
    </xf>
    <xf numFmtId="166" fontId="82" fillId="0" borderId="0" xfId="119" applyNumberFormat="1" applyFont="1" applyBorder="1" applyAlignment="1">
      <alignment horizontal="right" vertical="center"/>
    </xf>
    <xf numFmtId="166" fontId="82" fillId="0" borderId="0" xfId="119" applyNumberFormat="1" applyFont="1" applyBorder="1" applyAlignment="1">
      <alignment horizontal="right" vertical="center" wrapText="1"/>
    </xf>
    <xf numFmtId="166" fontId="0" fillId="0" borderId="29" xfId="119" applyNumberFormat="1" applyFont="1" applyBorder="1" applyAlignment="1">
      <alignment horizontal="right" vertical="center"/>
    </xf>
    <xf numFmtId="0" fontId="14" fillId="0" borderId="27" xfId="0" applyFont="1" applyBorder="1" applyAlignment="1">
      <alignment wrapText="1"/>
    </xf>
    <xf numFmtId="166" fontId="30" fillId="0" borderId="0" xfId="119" applyFont="1" applyAlignment="1">
      <alignment horizontal="left" vertical="center"/>
    </xf>
    <xf numFmtId="2" fontId="69" fillId="0" borderId="19" xfId="0" applyNumberFormat="1" applyFont="1" applyFill="1" applyBorder="1" applyAlignment="1">
      <alignment horizontal="center" vertical="center"/>
    </xf>
    <xf numFmtId="0" fontId="14" fillId="0" borderId="20" xfId="0" applyFont="1" applyBorder="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187" fontId="14" fillId="0" borderId="52" xfId="150" applyNumberFormat="1" applyFont="1" applyBorder="1" applyAlignment="1">
      <alignment horizontal="center" vertical="center"/>
    </xf>
    <xf numFmtId="0" fontId="30" fillId="0" borderId="31" xfId="0" applyFont="1" applyBorder="1" applyAlignment="1">
      <alignment horizontal="center" vertical="center" wrapText="1"/>
    </xf>
    <xf numFmtId="173" fontId="0" fillId="0" borderId="0" xfId="99" applyNumberFormat="1" applyFont="1" applyAlignment="1">
      <alignment horizontal="left" vertical="center"/>
    </xf>
    <xf numFmtId="165" fontId="0" fillId="0" borderId="28" xfId="99" applyFont="1" applyBorder="1" applyAlignment="1">
      <alignment vertical="center"/>
    </xf>
    <xf numFmtId="166" fontId="14" fillId="0" borderId="0" xfId="119" applyNumberFormat="1" applyFont="1" applyBorder="1" applyAlignment="1">
      <alignment horizontal="center" vertical="center" wrapText="1"/>
    </xf>
    <xf numFmtId="166" fontId="14" fillId="41" borderId="0" xfId="119" applyNumberFormat="1" applyFont="1" applyFill="1" applyBorder="1" applyAlignment="1">
      <alignment horizontal="center" vertical="center" wrapText="1"/>
    </xf>
    <xf numFmtId="166" fontId="14" fillId="41" borderId="0" xfId="119" applyNumberFormat="1" applyFont="1" applyFill="1" applyBorder="1" applyAlignment="1">
      <alignment horizontal="center" vertical="center" wrapText="1"/>
    </xf>
    <xf numFmtId="166" fontId="82" fillId="0" borderId="0" xfId="119" applyFont="1" applyBorder="1" applyAlignment="1">
      <alignment horizontal="right" vertical="center"/>
    </xf>
    <xf numFmtId="165" fontId="14" fillId="0" borderId="19" xfId="150" applyFont="1" applyFill="1" applyBorder="1" applyAlignment="1">
      <alignment horizontal="center" vertical="center" wrapText="1"/>
    </xf>
    <xf numFmtId="165" fontId="14" fillId="0" borderId="21" xfId="150" applyFont="1" applyBorder="1" applyAlignment="1">
      <alignment horizontal="center" vertical="center"/>
    </xf>
    <xf numFmtId="165" fontId="14" fillId="0" borderId="0" xfId="150" applyFont="1" applyFill="1" applyBorder="1" applyAlignment="1">
      <alignment horizontal="center" vertical="center" wrapText="1"/>
    </xf>
    <xf numFmtId="165" fontId="14" fillId="0" borderId="0" xfId="150" applyFont="1" applyFill="1" applyBorder="1" applyAlignment="1">
      <alignment horizontal="center" vertical="center"/>
    </xf>
    <xf numFmtId="172" fontId="14" fillId="0" borderId="19" xfId="150" applyNumberFormat="1" applyFont="1" applyBorder="1" applyAlignment="1">
      <alignment horizontal="center" vertical="center"/>
    </xf>
    <xf numFmtId="165" fontId="14" fillId="0" borderId="28" xfId="150" applyFont="1" applyFill="1" applyBorder="1" applyAlignment="1">
      <alignment horizontal="center" vertical="center"/>
    </xf>
    <xf numFmtId="43" fontId="14" fillId="0" borderId="0" xfId="119" applyNumberFormat="1" applyFont="1" applyFill="1" applyBorder="1" applyAlignment="1">
      <alignment horizontal="center"/>
    </xf>
    <xf numFmtId="165" fontId="14" fillId="0" borderId="0" xfId="150" applyFont="1" applyFill="1" applyBorder="1"/>
    <xf numFmtId="0" fontId="31" fillId="0" borderId="38" xfId="0" applyFont="1" applyBorder="1" applyAlignment="1">
      <alignment horizontal="center"/>
    </xf>
    <xf numFmtId="165" fontId="36" fillId="0" borderId="49" xfId="99" applyFont="1" applyBorder="1" applyAlignment="1">
      <alignment horizontal="center"/>
    </xf>
    <xf numFmtId="0" fontId="31" fillId="0" borderId="47" xfId="0" applyFont="1" applyBorder="1" applyAlignment="1">
      <alignment horizontal="center" vertical="center"/>
    </xf>
    <xf numFmtId="0" fontId="30" fillId="0" borderId="47" xfId="0" applyFont="1" applyBorder="1" applyAlignment="1">
      <alignment horizontal="center" vertical="center"/>
    </xf>
    <xf numFmtId="0" fontId="39" fillId="0" borderId="49" xfId="0" applyFont="1" applyFill="1" applyBorder="1" applyAlignment="1">
      <alignment horizontal="center"/>
    </xf>
    <xf numFmtId="0" fontId="70" fillId="0" borderId="26" xfId="0" applyFont="1" applyBorder="1" applyAlignment="1">
      <alignment vertical="center"/>
    </xf>
    <xf numFmtId="0" fontId="39" fillId="0" borderId="26" xfId="0" applyFont="1" applyBorder="1" applyAlignment="1">
      <alignment horizontal="center" vertical="center"/>
    </xf>
    <xf numFmtId="0" fontId="70" fillId="0" borderId="26" xfId="0" applyFont="1" applyBorder="1" applyAlignment="1">
      <alignment wrapText="1"/>
    </xf>
    <xf numFmtId="0" fontId="70" fillId="0" borderId="26" xfId="0" applyFont="1" applyBorder="1" applyAlignment="1">
      <alignment horizontal="center" vertical="center" wrapText="1"/>
    </xf>
    <xf numFmtId="2" fontId="39" fillId="0" borderId="26" xfId="119" applyNumberFormat="1" applyFont="1" applyFill="1" applyBorder="1" applyAlignment="1">
      <alignment horizontal="center" vertical="center"/>
    </xf>
    <xf numFmtId="165" fontId="39" fillId="0" borderId="26" xfId="99" applyFont="1" applyFill="1" applyBorder="1" applyAlignment="1">
      <alignment horizontal="right" vertical="center"/>
    </xf>
    <xf numFmtId="10" fontId="39" fillId="0" borderId="26" xfId="99" applyNumberFormat="1" applyFont="1" applyFill="1" applyBorder="1" applyAlignment="1">
      <alignment horizontal="right" vertical="center"/>
    </xf>
    <xf numFmtId="0" fontId="31" fillId="0" borderId="0" xfId="0" applyFont="1" applyBorder="1" applyAlignment="1">
      <alignment horizontal="center" vertical="center"/>
    </xf>
    <xf numFmtId="0" fontId="31" fillId="0" borderId="29" xfId="0" applyFont="1" applyBorder="1" applyAlignment="1">
      <alignment horizontal="center" vertical="center"/>
    </xf>
    <xf numFmtId="0" fontId="0" fillId="0" borderId="49" xfId="0" applyBorder="1"/>
    <xf numFmtId="0" fontId="0" fillId="0" borderId="26" xfId="0" applyBorder="1"/>
    <xf numFmtId="165" fontId="0" fillId="0" borderId="26" xfId="99" applyFont="1" applyBorder="1"/>
    <xf numFmtId="0" fontId="30" fillId="0" borderId="29" xfId="0" applyFont="1" applyBorder="1" applyAlignment="1">
      <alignment horizontal="center" vertical="center"/>
    </xf>
    <xf numFmtId="44" fontId="39" fillId="0" borderId="72" xfId="0" applyNumberFormat="1" applyFont="1" applyBorder="1" applyAlignment="1">
      <alignment horizontal="right" vertical="center"/>
    </xf>
    <xf numFmtId="44" fontId="68" fillId="33" borderId="56" xfId="99" applyNumberFormat="1" applyFont="1" applyFill="1" applyBorder="1" applyAlignment="1">
      <alignment horizontal="right" vertical="center" wrapText="1"/>
    </xf>
    <xf numFmtId="44" fontId="68" fillId="33" borderId="56" xfId="99" applyNumberFormat="1" applyFont="1" applyFill="1" applyBorder="1" applyAlignment="1">
      <alignment horizontal="right" vertical="center"/>
    </xf>
    <xf numFmtId="44" fontId="68" fillId="33" borderId="57" xfId="99" applyNumberFormat="1" applyFont="1" applyFill="1" applyBorder="1" applyAlignment="1">
      <alignment horizontal="right" vertical="center"/>
    </xf>
    <xf numFmtId="0" fontId="68" fillId="38" borderId="33" xfId="0" applyNumberFormat="1" applyFont="1" applyFill="1" applyBorder="1" applyAlignment="1">
      <alignment horizontal="center" vertical="center"/>
    </xf>
    <xf numFmtId="1" fontId="68" fillId="38" borderId="22" xfId="0" applyNumberFormat="1" applyFont="1" applyFill="1" applyBorder="1" applyAlignment="1">
      <alignment horizontal="center" vertical="center" wrapText="1"/>
    </xf>
    <xf numFmtId="168" fontId="68" fillId="38" borderId="22" xfId="0" applyNumberFormat="1" applyFont="1" applyFill="1" applyBorder="1" applyAlignment="1">
      <alignment horizontal="center" vertical="center" wrapText="1"/>
    </xf>
    <xf numFmtId="167" fontId="68" fillId="38" borderId="22" xfId="0" applyNumberFormat="1" applyFont="1" applyFill="1" applyBorder="1" applyAlignment="1">
      <alignment horizontal="left" vertical="center" wrapText="1"/>
    </xf>
    <xf numFmtId="167" fontId="68" fillId="38" borderId="22" xfId="0" applyNumberFormat="1" applyFont="1" applyFill="1" applyBorder="1" applyAlignment="1">
      <alignment horizontal="center" vertical="center"/>
    </xf>
    <xf numFmtId="2" fontId="68" fillId="38" borderId="22" xfId="119" applyNumberFormat="1" applyFont="1" applyFill="1" applyBorder="1" applyAlignment="1">
      <alignment horizontal="center" vertical="center"/>
    </xf>
    <xf numFmtId="165" fontId="68" fillId="38" borderId="22" xfId="99" applyFont="1" applyFill="1" applyBorder="1" applyAlignment="1">
      <alignment horizontal="right" vertical="center"/>
    </xf>
    <xf numFmtId="44" fontId="68" fillId="38" borderId="22" xfId="99" applyNumberFormat="1" applyFont="1" applyFill="1" applyBorder="1" applyAlignment="1">
      <alignment horizontal="right" vertical="center"/>
    </xf>
    <xf numFmtId="44" fontId="68" fillId="38" borderId="50" xfId="99" applyNumberFormat="1" applyFont="1" applyFill="1" applyBorder="1" applyAlignment="1">
      <alignment horizontal="right" vertical="center"/>
    </xf>
    <xf numFmtId="165" fontId="68" fillId="33" borderId="38" xfId="99" applyFont="1" applyFill="1" applyBorder="1" applyAlignment="1">
      <alignment horizontal="center" vertical="center"/>
    </xf>
    <xf numFmtId="1" fontId="68" fillId="33" borderId="38" xfId="99" applyNumberFormat="1" applyFont="1" applyFill="1" applyBorder="1" applyAlignment="1">
      <alignment horizontal="center" vertical="center" wrapText="1"/>
    </xf>
    <xf numFmtId="165" fontId="68" fillId="33" borderId="38" xfId="99" applyFont="1" applyFill="1" applyBorder="1" applyAlignment="1">
      <alignment horizontal="center" vertical="center" wrapText="1"/>
    </xf>
    <xf numFmtId="0" fontId="65" fillId="0" borderId="0" xfId="106"/>
    <xf numFmtId="44" fontId="0" fillId="0" borderId="0" xfId="0" applyNumberFormat="1"/>
    <xf numFmtId="10" fontId="0" fillId="0" borderId="0" xfId="114" applyNumberFormat="1" applyFont="1"/>
    <xf numFmtId="0" fontId="31" fillId="0" borderId="34" xfId="0" applyFont="1" applyBorder="1" applyAlignment="1">
      <alignment horizontal="center"/>
    </xf>
    <xf numFmtId="166" fontId="14" fillId="41" borderId="0" xfId="119" applyNumberFormat="1" applyFont="1" applyFill="1" applyBorder="1" applyAlignment="1">
      <alignment horizontal="center" vertical="center" wrapText="1"/>
    </xf>
    <xf numFmtId="166" fontId="14" fillId="0" borderId="0" xfId="119" applyNumberFormat="1" applyFont="1" applyBorder="1" applyAlignment="1">
      <alignment horizontal="center" vertical="center" wrapText="1"/>
    </xf>
    <xf numFmtId="0" fontId="0" fillId="0" borderId="0" xfId="0" applyAlignment="1">
      <alignment horizontal="left" vertical="center" wrapText="1"/>
    </xf>
    <xf numFmtId="188" fontId="14" fillId="0" borderId="0" xfId="0" applyNumberFormat="1" applyFont="1"/>
    <xf numFmtId="171" fontId="14" fillId="0" borderId="19" xfId="119" applyNumberFormat="1" applyFont="1" applyFill="1" applyBorder="1" applyAlignment="1">
      <alignment horizontal="center" vertical="center"/>
    </xf>
    <xf numFmtId="172" fontId="0" fillId="41" borderId="0" xfId="119" applyNumberFormat="1" applyFont="1" applyFill="1" applyAlignment="1">
      <alignment horizontal="center" vertical="center"/>
    </xf>
    <xf numFmtId="0" fontId="30" fillId="37" borderId="31" xfId="0" applyFont="1" applyFill="1" applyBorder="1" applyAlignment="1">
      <alignment horizontal="center" vertical="center" wrapText="1"/>
    </xf>
    <xf numFmtId="0" fontId="0" fillId="0" borderId="0" xfId="0" applyFill="1" applyAlignment="1">
      <alignment vertical="center"/>
    </xf>
    <xf numFmtId="0" fontId="14" fillId="0" borderId="31" xfId="0" applyFont="1" applyFill="1" applyBorder="1" applyAlignment="1">
      <alignment horizontal="center" vertical="center" wrapText="1"/>
    </xf>
    <xf numFmtId="0" fontId="0" fillId="0" borderId="0" xfId="0" applyFill="1" applyBorder="1" applyAlignment="1">
      <alignment horizontal="center" vertical="center"/>
    </xf>
    <xf numFmtId="166" fontId="14" fillId="0" borderId="0" xfId="119" applyNumberFormat="1" applyFont="1" applyFill="1" applyBorder="1" applyAlignment="1">
      <alignment horizontal="right" vertical="center"/>
    </xf>
    <xf numFmtId="166" fontId="14" fillId="0" borderId="0" xfId="119" applyFont="1" applyFill="1" applyBorder="1" applyAlignment="1">
      <alignment horizontal="left" vertical="center"/>
    </xf>
    <xf numFmtId="0" fontId="14" fillId="0" borderId="0" xfId="0" applyFont="1" applyFill="1" applyBorder="1" applyAlignment="1">
      <alignment vertical="center"/>
    </xf>
    <xf numFmtId="0" fontId="0" fillId="0" borderId="28" xfId="0" applyFill="1" applyBorder="1" applyAlignment="1">
      <alignment vertical="center"/>
    </xf>
    <xf numFmtId="43" fontId="0" fillId="0" borderId="28" xfId="0" applyNumberFormat="1" applyBorder="1" applyAlignment="1">
      <alignment vertical="center"/>
    </xf>
    <xf numFmtId="166" fontId="82" fillId="0" borderId="0" xfId="119" quotePrefix="1" applyNumberFormat="1" applyFont="1" applyBorder="1" applyAlignment="1">
      <alignment horizontal="center" vertical="center"/>
    </xf>
    <xf numFmtId="166" fontId="14" fillId="0" borderId="0" xfId="119" applyFill="1" applyAlignment="1">
      <alignment horizontal="left" vertical="center"/>
    </xf>
    <xf numFmtId="0" fontId="0" fillId="0" borderId="0" xfId="0" applyFill="1" applyBorder="1" applyAlignment="1">
      <alignment vertical="center"/>
    </xf>
    <xf numFmtId="0" fontId="30" fillId="48" borderId="31" xfId="0" applyFont="1" applyFill="1" applyBorder="1" applyAlignment="1">
      <alignment horizontal="center" vertical="center" wrapText="1"/>
    </xf>
    <xf numFmtId="0" fontId="30" fillId="0" borderId="31" xfId="0" applyFont="1" applyBorder="1" applyAlignment="1">
      <alignment horizontal="right" vertical="center" wrapText="1"/>
    </xf>
    <xf numFmtId="0" fontId="14" fillId="0" borderId="31" xfId="0" applyFont="1" applyBorder="1" applyAlignment="1">
      <alignment horizontal="right" vertical="center" wrapText="1"/>
    </xf>
    <xf numFmtId="2" fontId="0" fillId="41" borderId="31" xfId="119" applyNumberFormat="1" applyFont="1" applyFill="1" applyBorder="1" applyAlignment="1">
      <alignment horizontal="right" vertical="center"/>
    </xf>
    <xf numFmtId="2" fontId="14" fillId="41" borderId="31" xfId="119" applyNumberFormat="1" applyFont="1" applyFill="1" applyBorder="1" applyAlignment="1">
      <alignment horizontal="right" vertical="center"/>
    </xf>
    <xf numFmtId="166" fontId="66" fillId="0" borderId="28" xfId="119" applyNumberFormat="1" applyFont="1" applyBorder="1" applyAlignment="1">
      <alignment horizontal="center" vertical="center" wrapText="1"/>
    </xf>
    <xf numFmtId="166" fontId="30" fillId="0" borderId="31" xfId="119" applyFont="1" applyBorder="1" applyAlignment="1">
      <alignment horizontal="center" vertical="center" wrapText="1"/>
    </xf>
    <xf numFmtId="166" fontId="30" fillId="0" borderId="0" xfId="119" applyFont="1" applyBorder="1" applyAlignment="1">
      <alignment horizontal="center" vertical="center" wrapText="1"/>
    </xf>
    <xf numFmtId="166" fontId="30" fillId="0" borderId="31" xfId="119" applyNumberFormat="1" applyFont="1" applyBorder="1" applyAlignment="1">
      <alignment horizontal="center" vertical="center" wrapText="1"/>
    </xf>
    <xf numFmtId="2" fontId="30" fillId="41" borderId="0" xfId="0" applyNumberFormat="1" applyFont="1" applyFill="1" applyAlignment="1">
      <alignment vertical="center"/>
    </xf>
    <xf numFmtId="166" fontId="14" fillId="0" borderId="31" xfId="119" applyNumberFormat="1" applyFont="1" applyBorder="1" applyAlignment="1">
      <alignment vertical="center" wrapText="1"/>
    </xf>
    <xf numFmtId="166" fontId="14" fillId="0" borderId="0" xfId="119" applyNumberFormat="1" applyFont="1" applyBorder="1" applyAlignment="1">
      <alignment vertical="center" wrapText="1"/>
    </xf>
    <xf numFmtId="166" fontId="14" fillId="0" borderId="28" xfId="119" applyNumberFormat="1" applyFont="1" applyBorder="1" applyAlignment="1">
      <alignment vertical="center" wrapText="1"/>
    </xf>
    <xf numFmtId="0" fontId="14" fillId="0" borderId="0" xfId="0" applyFont="1" applyBorder="1" applyAlignment="1">
      <alignment vertical="center" wrapText="1"/>
    </xf>
    <xf numFmtId="0" fontId="88" fillId="0" borderId="31" xfId="0" applyFont="1" applyBorder="1" applyAlignment="1">
      <alignment horizontal="center" vertical="center" wrapText="1"/>
    </xf>
    <xf numFmtId="166" fontId="82" fillId="0" borderId="0" xfId="119" applyFont="1" applyAlignment="1">
      <alignment horizontal="right" vertical="center"/>
    </xf>
    <xf numFmtId="0" fontId="31" fillId="48" borderId="31" xfId="0" applyFont="1" applyFill="1" applyBorder="1" applyAlignment="1">
      <alignment horizontal="center" vertical="center" wrapText="1"/>
    </xf>
    <xf numFmtId="166" fontId="14" fillId="41" borderId="31" xfId="119" applyFont="1" applyFill="1" applyBorder="1" applyAlignment="1">
      <alignment horizontal="left" vertical="center" wrapText="1"/>
    </xf>
    <xf numFmtId="166" fontId="14" fillId="41" borderId="0" xfId="119" applyFont="1" applyFill="1" applyBorder="1" applyAlignment="1">
      <alignment horizontal="left" vertical="center" wrapText="1"/>
    </xf>
    <xf numFmtId="166" fontId="14" fillId="41" borderId="28" xfId="119" applyFont="1" applyFill="1" applyBorder="1" applyAlignment="1">
      <alignment horizontal="center" vertical="center" wrapText="1"/>
    </xf>
    <xf numFmtId="166" fontId="14" fillId="0" borderId="0" xfId="119" applyFont="1" applyAlignment="1">
      <alignment horizontal="right" vertical="center"/>
    </xf>
    <xf numFmtId="166" fontId="30" fillId="0" borderId="0" xfId="119" applyFont="1" applyAlignment="1">
      <alignment horizontal="center" vertical="center"/>
    </xf>
    <xf numFmtId="166" fontId="30" fillId="0" borderId="0" xfId="119" applyFont="1" applyBorder="1" applyAlignment="1">
      <alignment horizontal="left" vertical="center" wrapText="1"/>
    </xf>
    <xf numFmtId="166" fontId="30" fillId="0" borderId="28" xfId="119" applyFont="1" applyBorder="1" applyAlignment="1">
      <alignment horizontal="left" vertical="center" wrapText="1"/>
    </xf>
    <xf numFmtId="166" fontId="14" fillId="0" borderId="0" xfId="119" applyFont="1" applyBorder="1" applyAlignment="1">
      <alignment horizontal="center" vertical="center" wrapText="1"/>
    </xf>
    <xf numFmtId="0" fontId="0" fillId="0" borderId="0" xfId="0" applyFill="1" applyAlignment="1">
      <alignment horizontal="center" vertical="center"/>
    </xf>
    <xf numFmtId="0" fontId="83" fillId="48" borderId="31" xfId="0" applyFont="1" applyFill="1" applyBorder="1" applyAlignment="1">
      <alignment horizontal="center" vertical="center" wrapText="1"/>
    </xf>
    <xf numFmtId="2" fontId="0" fillId="0" borderId="0" xfId="0" applyNumberFormat="1" applyAlignment="1">
      <alignment horizontal="center" vertical="center"/>
    </xf>
    <xf numFmtId="166" fontId="0" fillId="41" borderId="0" xfId="119" applyFont="1" applyFill="1" applyBorder="1" applyAlignment="1">
      <alignment horizontal="left" vertical="center"/>
    </xf>
    <xf numFmtId="0" fontId="14" fillId="0" borderId="0" xfId="0" applyFont="1" applyBorder="1" applyAlignment="1">
      <alignment horizontal="right" vertical="center" wrapText="1"/>
    </xf>
    <xf numFmtId="2" fontId="14" fillId="0" borderId="0" xfId="0" applyNumberFormat="1" applyFont="1" applyBorder="1" applyAlignment="1">
      <alignment horizontal="right" vertical="center" wrapText="1"/>
    </xf>
    <xf numFmtId="43" fontId="82" fillId="0" borderId="0" xfId="119" applyNumberFormat="1" applyFont="1" applyBorder="1" applyAlignment="1">
      <alignment horizontal="right" vertical="center"/>
    </xf>
    <xf numFmtId="166" fontId="0" fillId="41" borderId="0" xfId="119" applyFont="1" applyFill="1" applyBorder="1" applyAlignment="1">
      <alignment horizontal="center" vertical="center"/>
    </xf>
    <xf numFmtId="0" fontId="83" fillId="48" borderId="31" xfId="0" applyFont="1" applyFill="1" applyBorder="1" applyAlignment="1">
      <alignment horizontal="center" vertical="center" wrapText="1"/>
    </xf>
    <xf numFmtId="0" fontId="0" fillId="0" borderId="0" xfId="0" applyFill="1" applyAlignment="1">
      <alignment horizontal="center" vertical="center"/>
    </xf>
    <xf numFmtId="2" fontId="30" fillId="0" borderId="0" xfId="0" applyNumberFormat="1" applyFont="1" applyFill="1" applyAlignment="1">
      <alignment vertical="center"/>
    </xf>
    <xf numFmtId="166" fontId="14" fillId="0" borderId="0" xfId="0" applyNumberFormat="1" applyFont="1" applyBorder="1" applyAlignment="1">
      <alignment vertical="center"/>
    </xf>
    <xf numFmtId="0" fontId="88" fillId="48" borderId="31" xfId="0" applyFont="1" applyFill="1" applyBorder="1" applyAlignment="1">
      <alignment horizontal="center" vertical="center" wrapText="1"/>
    </xf>
    <xf numFmtId="0" fontId="88" fillId="48" borderId="31" xfId="0" applyFont="1" applyFill="1" applyBorder="1" applyAlignment="1">
      <alignment horizontal="right" vertical="center" wrapText="1"/>
    </xf>
    <xf numFmtId="1" fontId="14" fillId="0" borderId="0" xfId="0" applyNumberFormat="1" applyFont="1" applyBorder="1" applyAlignment="1">
      <alignment horizontal="center" vertical="center"/>
    </xf>
    <xf numFmtId="0" fontId="66" fillId="48" borderId="31"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8" xfId="0" applyFont="1" applyFill="1" applyBorder="1" applyAlignment="1">
      <alignment horizontal="center" vertical="center"/>
    </xf>
    <xf numFmtId="165" fontId="0" fillId="0" borderId="28" xfId="0" applyNumberFormat="1" applyBorder="1" applyAlignment="1">
      <alignment vertical="center"/>
    </xf>
    <xf numFmtId="0" fontId="14" fillId="0" borderId="19" xfId="0" applyFont="1" applyFill="1" applyBorder="1" applyAlignment="1">
      <alignment horizontal="left" vertical="center" wrapText="1"/>
    </xf>
    <xf numFmtId="165" fontId="14" fillId="0" borderId="19" xfId="99" applyFont="1" applyFill="1" applyBorder="1" applyAlignment="1">
      <alignment horizontal="center" vertical="center"/>
    </xf>
    <xf numFmtId="44" fontId="30" fillId="0" borderId="0" xfId="0" applyNumberFormat="1" applyFont="1"/>
    <xf numFmtId="44" fontId="14" fillId="0" borderId="0" xfId="0" applyNumberFormat="1" applyFont="1"/>
    <xf numFmtId="9" fontId="14" fillId="0" borderId="0" xfId="114" applyFont="1"/>
    <xf numFmtId="189" fontId="0" fillId="0" borderId="0" xfId="0" applyNumberFormat="1"/>
    <xf numFmtId="43" fontId="30" fillId="0" borderId="0" xfId="0" applyNumberFormat="1" applyFont="1" applyBorder="1" applyAlignment="1">
      <alignment vertical="center"/>
    </xf>
    <xf numFmtId="2" fontId="82" fillId="0" borderId="0" xfId="119" applyNumberFormat="1" applyFont="1" applyBorder="1" applyAlignment="1">
      <alignment horizontal="right" vertical="center"/>
    </xf>
    <xf numFmtId="1" fontId="14" fillId="0" borderId="19" xfId="120" applyNumberFormat="1" applyFont="1" applyBorder="1" applyAlignment="1">
      <alignment horizontal="center" vertical="center"/>
    </xf>
    <xf numFmtId="190" fontId="14" fillId="0" borderId="19" xfId="150" applyNumberFormat="1" applyFont="1" applyBorder="1" applyAlignment="1">
      <alignment horizontal="center" vertical="center"/>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14" fillId="0" borderId="19" xfId="158" applyFont="1" applyBorder="1" applyAlignment="1">
      <alignment horizontal="center" vertical="center"/>
    </xf>
    <xf numFmtId="0" fontId="14" fillId="0" borderId="19" xfId="0" applyNumberFormat="1" applyFont="1" applyFill="1" applyBorder="1" applyAlignment="1">
      <alignment horizontal="center" vertical="center"/>
    </xf>
    <xf numFmtId="165" fontId="84" fillId="0" borderId="19" xfId="150" applyFont="1" applyFill="1" applyBorder="1" applyAlignment="1">
      <alignment horizontal="center" vertical="center" wrapText="1"/>
    </xf>
    <xf numFmtId="0" fontId="14" fillId="0" borderId="20" xfId="158" applyFont="1" applyBorder="1" applyAlignment="1">
      <alignment horizontal="center" vertical="center"/>
    </xf>
    <xf numFmtId="0" fontId="14" fillId="0" borderId="19" xfId="158" applyFont="1" applyFill="1" applyBorder="1" applyAlignment="1">
      <alignment horizontal="center" vertical="center"/>
    </xf>
    <xf numFmtId="0" fontId="14" fillId="0" borderId="31" xfId="0" applyFont="1" applyFill="1" applyBorder="1" applyAlignment="1">
      <alignment horizontal="center" vertical="center"/>
    </xf>
    <xf numFmtId="0" fontId="14" fillId="0" borderId="19" xfId="293" applyFont="1" applyBorder="1" applyAlignment="1">
      <alignment horizontal="center" vertical="center"/>
    </xf>
    <xf numFmtId="1" fontId="14" fillId="0" borderId="19" xfId="348" applyNumberFormat="1" applyFont="1" applyFill="1" applyBorder="1" applyAlignment="1">
      <alignment horizontal="center" vertical="center"/>
    </xf>
    <xf numFmtId="0" fontId="14" fillId="0" borderId="19" xfId="105" applyFont="1" applyBorder="1" applyAlignment="1">
      <alignment horizontal="left" vertical="center" wrapText="1"/>
    </xf>
    <xf numFmtId="166" fontId="14" fillId="0" borderId="19" xfId="430" applyNumberFormat="1" applyFont="1" applyBorder="1" applyAlignment="1">
      <alignment horizontal="center" vertical="center" wrapText="1"/>
    </xf>
    <xf numFmtId="165" fontId="14" fillId="0" borderId="19" xfId="150" applyFont="1" applyBorder="1" applyAlignment="1">
      <alignment horizontal="center" vertical="center" wrapText="1"/>
    </xf>
    <xf numFmtId="1" fontId="14" fillId="0" borderId="0" xfId="120" applyNumberFormat="1" applyFont="1" applyFill="1" applyBorder="1" applyAlignment="1">
      <alignment horizontal="center" vertical="center"/>
    </xf>
    <xf numFmtId="172" fontId="14" fillId="0" borderId="0" xfId="150" applyNumberFormat="1" applyFont="1" applyFill="1" applyBorder="1" applyAlignment="1">
      <alignment horizontal="center" vertical="center"/>
    </xf>
    <xf numFmtId="166" fontId="30" fillId="33" borderId="0" xfId="119" applyFont="1" applyFill="1" applyBorder="1" applyAlignment="1">
      <alignment vertical="center"/>
    </xf>
    <xf numFmtId="166" fontId="30" fillId="33" borderId="28" xfId="119" applyFont="1" applyFill="1" applyBorder="1" applyAlignment="1">
      <alignment vertical="center"/>
    </xf>
    <xf numFmtId="0" fontId="14" fillId="0" borderId="0" xfId="0" applyFont="1" applyFill="1" applyBorder="1"/>
    <xf numFmtId="0" fontId="14" fillId="0" borderId="0" xfId="0" applyFont="1" applyFill="1" applyBorder="1" applyAlignment="1">
      <alignment horizontal="left"/>
    </xf>
    <xf numFmtId="1" fontId="0" fillId="0" borderId="19" xfId="0" applyNumberFormat="1" applyBorder="1" applyAlignment="1">
      <alignment horizontal="center" vertical="center"/>
    </xf>
    <xf numFmtId="0" fontId="14" fillId="34" borderId="19" xfId="0" applyFont="1" applyFill="1" applyBorder="1" applyAlignment="1">
      <alignment horizontal="left" vertical="center" wrapText="1"/>
    </xf>
    <xf numFmtId="1" fontId="14" fillId="0" borderId="0" xfId="120" applyNumberFormat="1" applyFont="1" applyBorder="1" applyAlignment="1">
      <alignment horizontal="center" vertical="center"/>
    </xf>
    <xf numFmtId="0" fontId="14" fillId="0" borderId="0" xfId="105" applyFont="1" applyBorder="1" applyAlignment="1">
      <alignment horizontal="left" vertical="center" wrapText="1"/>
    </xf>
    <xf numFmtId="166" fontId="14" fillId="0" borderId="0" xfId="430" applyNumberFormat="1" applyFont="1" applyBorder="1" applyAlignment="1">
      <alignment horizontal="center" vertical="center" wrapText="1"/>
    </xf>
    <xf numFmtId="190" fontId="14" fillId="0" borderId="0" xfId="150" applyNumberFormat="1" applyFont="1" applyBorder="1" applyAlignment="1">
      <alignment horizontal="center" vertical="center"/>
    </xf>
    <xf numFmtId="165" fontId="14" fillId="0" borderId="0" xfId="150" applyFont="1" applyBorder="1" applyAlignment="1">
      <alignment horizontal="center" vertical="center" wrapText="1"/>
    </xf>
    <xf numFmtId="0" fontId="14" fillId="0" borderId="19" xfId="105" applyFont="1" applyBorder="1" applyAlignment="1">
      <alignment horizontal="center" vertical="center" wrapText="1"/>
    </xf>
    <xf numFmtId="1" fontId="14" fillId="0" borderId="19" xfId="120" applyNumberFormat="1" applyFont="1" applyFill="1" applyBorder="1" applyAlignment="1">
      <alignment horizontal="center" vertical="center"/>
    </xf>
    <xf numFmtId="190" fontId="14" fillId="0" borderId="19" xfId="150" applyNumberFormat="1" applyFont="1" applyFill="1" applyBorder="1" applyAlignment="1">
      <alignment horizontal="center" vertical="center"/>
    </xf>
    <xf numFmtId="165" fontId="14" fillId="0" borderId="21" xfId="150" applyFont="1" applyFill="1" applyBorder="1" applyAlignment="1">
      <alignment horizontal="center" vertical="center"/>
    </xf>
    <xf numFmtId="166" fontId="14" fillId="0" borderId="0" xfId="119" applyFont="1" applyBorder="1" applyAlignment="1">
      <alignment horizontal="center" vertical="center" wrapText="1"/>
    </xf>
    <xf numFmtId="166" fontId="30" fillId="0" borderId="31" xfId="119" applyFont="1" applyBorder="1" applyAlignment="1">
      <alignment horizontal="left" vertical="center" wrapText="1"/>
    </xf>
    <xf numFmtId="166" fontId="30" fillId="0" borderId="0" xfId="119" applyFont="1" applyBorder="1" applyAlignment="1">
      <alignment horizontal="left" vertical="center" wrapText="1"/>
    </xf>
    <xf numFmtId="166" fontId="30" fillId="0" borderId="28" xfId="119" applyFont="1" applyBorder="1" applyAlignment="1">
      <alignment horizontal="left" vertical="center" wrapText="1"/>
    </xf>
    <xf numFmtId="166" fontId="14" fillId="0" borderId="0" xfId="119" applyFont="1" applyBorder="1" applyAlignment="1">
      <alignment horizontal="center" vertical="center" wrapText="1"/>
    </xf>
    <xf numFmtId="0" fontId="114" fillId="49" borderId="19" xfId="0" applyFont="1" applyFill="1" applyBorder="1" applyAlignment="1">
      <alignment horizontal="center"/>
    </xf>
    <xf numFmtId="0" fontId="114" fillId="49" borderId="19" xfId="0" applyFont="1" applyFill="1" applyBorder="1" applyAlignment="1">
      <alignment horizontal="left" wrapText="1"/>
    </xf>
    <xf numFmtId="189" fontId="114" fillId="49" borderId="19" xfId="99" applyNumberFormat="1" applyFont="1" applyFill="1" applyBorder="1" applyAlignment="1">
      <alignment horizontal="center"/>
    </xf>
    <xf numFmtId="0" fontId="0" fillId="41" borderId="19" xfId="0" applyFill="1" applyBorder="1" applyAlignment="1">
      <alignment horizontal="center"/>
    </xf>
    <xf numFmtId="0" fontId="0" fillId="41" borderId="19" xfId="0" applyFill="1" applyBorder="1" applyAlignment="1">
      <alignment wrapText="1"/>
    </xf>
    <xf numFmtId="189" fontId="0" fillId="41" borderId="19" xfId="0" applyNumberFormat="1" applyFill="1" applyBorder="1" applyAlignment="1">
      <alignment horizontal="center"/>
    </xf>
    <xf numFmtId="0" fontId="14" fillId="0" borderId="22" xfId="158" applyBorder="1" applyAlignment="1">
      <alignment horizontal="center" vertical="center"/>
    </xf>
    <xf numFmtId="0" fontId="14" fillId="0" borderId="19" xfId="158" applyBorder="1" applyAlignment="1">
      <alignment horizontal="center" vertical="center"/>
    </xf>
    <xf numFmtId="0" fontId="14" fillId="0" borderId="19" xfId="0" applyFont="1" applyBorder="1" applyAlignment="1">
      <alignment horizontal="center" vertical="center" wrapText="1"/>
    </xf>
    <xf numFmtId="0" fontId="14" fillId="0" borderId="19" xfId="106" applyFont="1" applyBorder="1" applyAlignment="1">
      <alignment horizontal="center" vertical="center"/>
    </xf>
    <xf numFmtId="1" fontId="14" fillId="0" borderId="19" xfId="351" applyNumberFormat="1" applyFont="1" applyFill="1" applyBorder="1" applyAlignment="1">
      <alignment horizontal="center" vertical="center"/>
    </xf>
    <xf numFmtId="0" fontId="14" fillId="0" borderId="31" xfId="0" applyFont="1" applyBorder="1" applyAlignment="1">
      <alignment horizontal="center" vertical="center"/>
    </xf>
    <xf numFmtId="1" fontId="14" fillId="0" borderId="0" xfId="0" applyNumberFormat="1" applyFont="1" applyFill="1" applyBorder="1" applyAlignment="1">
      <alignment horizontal="center" vertical="center"/>
    </xf>
    <xf numFmtId="0" fontId="14" fillId="0" borderId="0" xfId="0" applyFont="1" applyFill="1" applyBorder="1" applyAlignment="1">
      <alignment horizontal="left" wrapText="1"/>
    </xf>
    <xf numFmtId="0" fontId="14" fillId="0" borderId="22" xfId="0" applyFont="1" applyBorder="1" applyAlignment="1">
      <alignment horizontal="center" vertical="center" wrapText="1"/>
    </xf>
    <xf numFmtId="172" fontId="14" fillId="0" borderId="0" xfId="150" applyNumberFormat="1" applyFont="1" applyFill="1" applyBorder="1" applyAlignment="1">
      <alignment horizontal="center" vertical="center" wrapText="1"/>
    </xf>
    <xf numFmtId="166" fontId="30" fillId="33" borderId="0" xfId="119" applyFont="1" applyFill="1" applyBorder="1" applyAlignment="1">
      <alignment vertical="center" wrapText="1"/>
    </xf>
    <xf numFmtId="0" fontId="14" fillId="0" borderId="0" xfId="0" applyFont="1" applyFill="1" applyBorder="1" applyAlignment="1">
      <alignment wrapText="1"/>
    </xf>
    <xf numFmtId="0" fontId="14" fillId="0" borderId="19" xfId="146" applyFont="1" applyBorder="1" applyAlignment="1">
      <alignment horizontal="center" vertical="center" wrapText="1"/>
    </xf>
    <xf numFmtId="166" fontId="0" fillId="0" borderId="0" xfId="119" applyFont="1" applyAlignment="1">
      <alignment horizontal="center" vertical="center" wrapText="1"/>
    </xf>
    <xf numFmtId="166" fontId="38" fillId="0" borderId="26" xfId="119" applyFont="1" applyFill="1" applyBorder="1" applyAlignment="1">
      <alignment horizontal="center" vertical="center" wrapText="1"/>
    </xf>
    <xf numFmtId="166" fontId="30" fillId="0" borderId="0" xfId="119" applyFont="1" applyFill="1" applyBorder="1" applyAlignment="1">
      <alignment horizontal="center" vertical="center" wrapText="1"/>
    </xf>
    <xf numFmtId="166" fontId="30" fillId="0" borderId="0" xfId="119" applyFont="1" applyAlignment="1">
      <alignment horizontal="center" vertical="center" wrapText="1"/>
    </xf>
    <xf numFmtId="166" fontId="0" fillId="0" borderId="0" xfId="119" applyNumberFormat="1" applyFont="1" applyAlignment="1">
      <alignment horizontal="center" vertical="center" wrapText="1"/>
    </xf>
    <xf numFmtId="0" fontId="0" fillId="0" borderId="0" xfId="0" applyFill="1" applyAlignment="1">
      <alignment horizontal="center" vertical="center" wrapText="1"/>
    </xf>
    <xf numFmtId="166" fontId="0" fillId="0" borderId="29" xfId="119" applyFont="1" applyBorder="1" applyAlignment="1">
      <alignment horizontal="center" vertical="center" wrapText="1"/>
    </xf>
    <xf numFmtId="0" fontId="83" fillId="0" borderId="31" xfId="0" applyFont="1" applyFill="1" applyBorder="1" applyAlignment="1">
      <alignment vertical="center" wrapText="1"/>
    </xf>
    <xf numFmtId="0" fontId="2" fillId="0" borderId="20" xfId="0" applyFont="1" applyFill="1" applyBorder="1" applyAlignment="1">
      <alignment horizontal="center" vertical="center" wrapText="1"/>
    </xf>
    <xf numFmtId="0" fontId="68" fillId="50" borderId="20" xfId="0" applyNumberFormat="1" applyFont="1" applyFill="1" applyBorder="1" applyAlignment="1">
      <alignment horizontal="center" vertical="center"/>
    </xf>
    <xf numFmtId="1" fontId="68" fillId="50" borderId="19" xfId="0" applyNumberFormat="1" applyFont="1" applyFill="1" applyBorder="1" applyAlignment="1">
      <alignment horizontal="center" vertical="center" wrapText="1"/>
    </xf>
    <xf numFmtId="168" fontId="68" fillId="50" borderId="19" xfId="0" applyNumberFormat="1" applyFont="1" applyFill="1" applyBorder="1" applyAlignment="1">
      <alignment horizontal="center" vertical="center" wrapText="1"/>
    </xf>
    <xf numFmtId="167" fontId="68" fillId="50" borderId="19" xfId="0" applyNumberFormat="1" applyFont="1" applyFill="1" applyBorder="1" applyAlignment="1">
      <alignment horizontal="left" vertical="center" wrapText="1"/>
    </xf>
    <xf numFmtId="167" fontId="68" fillId="50" borderId="19" xfId="0" applyNumberFormat="1" applyFont="1" applyFill="1" applyBorder="1" applyAlignment="1">
      <alignment horizontal="center" vertical="center"/>
    </xf>
    <xf numFmtId="2" fontId="68" fillId="50" borderId="19" xfId="119" applyNumberFormat="1" applyFont="1" applyFill="1" applyBorder="1" applyAlignment="1">
      <alignment horizontal="center" vertical="center"/>
    </xf>
    <xf numFmtId="165" fontId="68" fillId="50" borderId="19" xfId="99" applyFont="1" applyFill="1" applyBorder="1" applyAlignment="1">
      <alignment horizontal="right" vertical="center"/>
    </xf>
    <xf numFmtId="44" fontId="68" fillId="50" borderId="19" xfId="99" applyNumberFormat="1" applyFont="1" applyFill="1" applyBorder="1" applyAlignment="1">
      <alignment horizontal="right" vertical="center"/>
    </xf>
    <xf numFmtId="44" fontId="68" fillId="50" borderId="21" xfId="99" applyNumberFormat="1" applyFont="1" applyFill="1" applyBorder="1" applyAlignment="1">
      <alignment horizontal="right" vertical="center"/>
    </xf>
    <xf numFmtId="0" fontId="1" fillId="0" borderId="20" xfId="0" applyFont="1" applyFill="1" applyBorder="1" applyAlignment="1">
      <alignment horizontal="center" vertical="center" wrapText="1"/>
    </xf>
    <xf numFmtId="0" fontId="115" fillId="49" borderId="19" xfId="0" applyFont="1" applyFill="1" applyBorder="1" applyAlignment="1">
      <alignment horizontal="left" wrapText="1"/>
    </xf>
    <xf numFmtId="0" fontId="83" fillId="0" borderId="19" xfId="0" applyFont="1" applyBorder="1" applyAlignment="1">
      <alignment horizontal="center" vertical="center"/>
    </xf>
    <xf numFmtId="0" fontId="67" fillId="0" borderId="31" xfId="0" applyFont="1" applyBorder="1" applyAlignment="1">
      <alignment horizontal="center" vertical="center"/>
    </xf>
    <xf numFmtId="166" fontId="30" fillId="33" borderId="31" xfId="119" applyFont="1" applyFill="1" applyBorder="1" applyAlignment="1">
      <alignment horizontal="center" vertical="center"/>
    </xf>
    <xf numFmtId="0" fontId="67" fillId="0" borderId="0" xfId="0" applyFont="1" applyBorder="1" applyAlignment="1">
      <alignment horizontal="center" vertical="center"/>
    </xf>
    <xf numFmtId="0" fontId="83" fillId="0" borderId="31" xfId="0" applyFont="1" applyBorder="1" applyAlignment="1">
      <alignment horizontal="center" vertical="center" wrapText="1"/>
    </xf>
    <xf numFmtId="0" fontId="34" fillId="0" borderId="26" xfId="0" applyFont="1" applyBorder="1" applyAlignment="1">
      <alignment horizontal="center" vertical="center" wrapText="1"/>
    </xf>
    <xf numFmtId="165" fontId="35" fillId="0" borderId="44" xfId="99" applyFont="1" applyBorder="1" applyAlignment="1">
      <alignment horizontal="center" vertical="center"/>
    </xf>
    <xf numFmtId="10" fontId="35" fillId="33" borderId="73" xfId="0" applyNumberFormat="1" applyFont="1" applyFill="1" applyBorder="1" applyAlignment="1">
      <alignment horizontal="center" vertical="center"/>
    </xf>
    <xf numFmtId="10" fontId="35" fillId="33" borderId="78" xfId="0" applyNumberFormat="1" applyFont="1" applyFill="1" applyBorder="1" applyAlignment="1">
      <alignment horizontal="center" vertical="center"/>
    </xf>
    <xf numFmtId="10" fontId="35" fillId="33" borderId="78" xfId="0" applyNumberFormat="1" applyFont="1" applyFill="1" applyBorder="1" applyAlignment="1">
      <alignment horizontal="right" vertical="center"/>
    </xf>
    <xf numFmtId="166" fontId="35" fillId="0" borderId="63" xfId="119" applyFont="1" applyBorder="1" applyAlignment="1">
      <alignment horizontal="center" vertical="center"/>
    </xf>
    <xf numFmtId="166" fontId="35" fillId="0" borderId="74" xfId="119" applyFont="1" applyBorder="1" applyAlignment="1">
      <alignment horizontal="center" vertical="center"/>
    </xf>
    <xf numFmtId="166" fontId="35" fillId="0" borderId="73" xfId="119" applyFont="1" applyBorder="1" applyAlignment="1">
      <alignment horizontal="center" vertical="center"/>
    </xf>
    <xf numFmtId="166" fontId="35" fillId="0" borderId="78" xfId="119" applyFont="1" applyBorder="1" applyAlignment="1">
      <alignment horizontal="center" vertical="center"/>
    </xf>
    <xf numFmtId="166" fontId="35" fillId="0" borderId="63" xfId="119" applyFont="1" applyFill="1" applyBorder="1" applyAlignment="1">
      <alignment horizontal="center" vertical="center"/>
    </xf>
    <xf numFmtId="166" fontId="35" fillId="0" borderId="78" xfId="119" applyFont="1" applyFill="1" applyBorder="1" applyAlignment="1">
      <alignment horizontal="center" vertical="center"/>
    </xf>
    <xf numFmtId="166" fontId="35" fillId="0" borderId="37" xfId="119" applyFont="1" applyBorder="1" applyAlignment="1">
      <alignment horizontal="center" vertical="center"/>
    </xf>
    <xf numFmtId="166" fontId="35" fillId="0" borderId="42" xfId="119" applyFont="1" applyBorder="1" applyAlignment="1">
      <alignment horizontal="center" vertical="center"/>
    </xf>
    <xf numFmtId="10" fontId="35" fillId="33" borderId="68" xfId="0" applyNumberFormat="1" applyFont="1" applyFill="1" applyBorder="1" applyAlignment="1">
      <alignment horizontal="center" vertical="center"/>
    </xf>
    <xf numFmtId="166" fontId="35" fillId="0" borderId="68" xfId="119" applyFont="1" applyBorder="1" applyAlignment="1">
      <alignment horizontal="center" vertical="center"/>
    </xf>
    <xf numFmtId="166" fontId="35" fillId="0" borderId="68" xfId="119" applyFont="1" applyFill="1" applyBorder="1" applyAlignment="1">
      <alignment horizontal="center" vertical="center"/>
    </xf>
    <xf numFmtId="165" fontId="36" fillId="0" borderId="67" xfId="99" applyFont="1" applyBorder="1" applyAlignment="1">
      <alignment horizontal="center"/>
    </xf>
    <xf numFmtId="165" fontId="35" fillId="0" borderId="78" xfId="99" applyFont="1" applyBorder="1" applyAlignment="1">
      <alignment horizontal="center" vertical="center"/>
    </xf>
    <xf numFmtId="10" fontId="35" fillId="33" borderId="79" xfId="0" applyNumberFormat="1" applyFont="1" applyFill="1" applyBorder="1" applyAlignment="1">
      <alignment horizontal="right" vertical="center"/>
    </xf>
    <xf numFmtId="44" fontId="68" fillId="38" borderId="38" xfId="99" applyNumberFormat="1" applyFont="1" applyFill="1" applyBorder="1" applyAlignment="1">
      <alignment horizontal="right" vertical="center"/>
    </xf>
    <xf numFmtId="0" fontId="88" fillId="0" borderId="19" xfId="0" applyFont="1" applyBorder="1" applyAlignment="1">
      <alignment horizontal="left" vertical="center"/>
    </xf>
    <xf numFmtId="0" fontId="67" fillId="0" borderId="31" xfId="0" applyFont="1" applyBorder="1" applyAlignment="1">
      <alignment horizontal="left" vertical="center"/>
    </xf>
    <xf numFmtId="166" fontId="30" fillId="33" borderId="31" xfId="119" applyFont="1" applyFill="1" applyBorder="1" applyAlignment="1">
      <alignment horizontal="left" vertical="center"/>
    </xf>
    <xf numFmtId="0" fontId="88" fillId="0" borderId="19" xfId="0" applyFont="1" applyFill="1" applyBorder="1" applyAlignment="1">
      <alignment horizontal="left" vertical="center"/>
    </xf>
    <xf numFmtId="0" fontId="83" fillId="0" borderId="23" xfId="0" applyFont="1" applyBorder="1" applyAlignment="1">
      <alignment horizontal="center" vertical="center"/>
    </xf>
    <xf numFmtId="0" fontId="14" fillId="0" borderId="23" xfId="0" applyFont="1" applyBorder="1" applyAlignment="1">
      <alignment horizontal="center" vertical="center"/>
    </xf>
    <xf numFmtId="1" fontId="14" fillId="0" borderId="23" xfId="0" applyNumberFormat="1" applyFont="1" applyBorder="1" applyAlignment="1">
      <alignment horizontal="center" vertical="center"/>
    </xf>
    <xf numFmtId="0" fontId="14" fillId="0" borderId="23" xfId="0" applyFont="1" applyBorder="1" applyAlignment="1">
      <alignment horizontal="left" vertical="center" wrapText="1"/>
    </xf>
    <xf numFmtId="0" fontId="14" fillId="0" borderId="23" xfId="0" applyFont="1" applyBorder="1" applyAlignment="1">
      <alignment horizontal="center" vertical="center" wrapText="1"/>
    </xf>
    <xf numFmtId="171" fontId="14" fillId="0" borderId="23" xfId="119" applyNumberFormat="1" applyFont="1" applyBorder="1" applyAlignment="1">
      <alignment horizontal="center" vertical="center"/>
    </xf>
    <xf numFmtId="165" fontId="14" fillId="0" borderId="23" xfId="99" applyFont="1" applyBorder="1" applyAlignment="1">
      <alignment horizontal="center" vertical="center"/>
    </xf>
    <xf numFmtId="0" fontId="14" fillId="0" borderId="81" xfId="0" applyFont="1" applyBorder="1" applyAlignment="1">
      <alignment horizontal="center" vertical="center"/>
    </xf>
    <xf numFmtId="0" fontId="84" fillId="0" borderId="23" xfId="0" applyFont="1" applyFill="1" applyBorder="1" applyAlignment="1">
      <alignment horizontal="left" vertical="center" wrapText="1"/>
    </xf>
    <xf numFmtId="0" fontId="84" fillId="0" borderId="23" xfId="0" applyFont="1" applyFill="1" applyBorder="1" applyAlignment="1">
      <alignment horizontal="center" vertical="center" wrapText="1"/>
    </xf>
    <xf numFmtId="187" fontId="14" fillId="0" borderId="23" xfId="119" applyNumberFormat="1" applyFont="1" applyBorder="1" applyAlignment="1">
      <alignment horizontal="center" vertical="center" wrapText="1"/>
    </xf>
    <xf numFmtId="165" fontId="84" fillId="0" borderId="23" xfId="99" applyFont="1" applyFill="1" applyBorder="1" applyAlignment="1">
      <alignment horizontal="center" vertical="center" wrapText="1"/>
    </xf>
    <xf numFmtId="165" fontId="14" fillId="0" borderId="23" xfId="99" applyFont="1" applyFill="1" applyBorder="1" applyAlignment="1">
      <alignment horizontal="center" vertical="center" wrapText="1"/>
    </xf>
    <xf numFmtId="0" fontId="14" fillId="0" borderId="47" xfId="0" applyFont="1" applyBorder="1" applyAlignment="1">
      <alignment horizontal="center" vertical="center"/>
    </xf>
    <xf numFmtId="187" fontId="14" fillId="0" borderId="82" xfId="150" applyNumberFormat="1" applyFont="1" applyBorder="1" applyAlignment="1">
      <alignment horizontal="center" vertical="center"/>
    </xf>
    <xf numFmtId="0" fontId="14" fillId="0" borderId="23" xfId="146" applyFont="1" applyBorder="1" applyAlignment="1">
      <alignment horizontal="center" vertical="center"/>
    </xf>
    <xf numFmtId="0" fontId="84" fillId="0" borderId="23" xfId="0" applyFont="1" applyBorder="1" applyAlignment="1">
      <alignment horizontal="center" vertical="center"/>
    </xf>
    <xf numFmtId="171" fontId="14" fillId="0" borderId="23" xfId="148" applyNumberFormat="1" applyFont="1" applyBorder="1" applyAlignment="1">
      <alignment horizontal="center" vertical="center"/>
    </xf>
    <xf numFmtId="171" fontId="14" fillId="0" borderId="23" xfId="119" applyNumberFormat="1" applyFont="1" applyBorder="1" applyAlignment="1">
      <alignment horizontal="center" vertical="center" wrapText="1"/>
    </xf>
    <xf numFmtId="0" fontId="14" fillId="0" borderId="23" xfId="0" applyFont="1" applyFill="1" applyBorder="1" applyAlignment="1">
      <alignment horizontal="center" vertical="center"/>
    </xf>
    <xf numFmtId="171" fontId="14" fillId="0" borderId="23" xfId="119" applyNumberFormat="1" applyFont="1" applyFill="1" applyBorder="1" applyAlignment="1">
      <alignment horizontal="center" vertical="center" wrapText="1"/>
    </xf>
    <xf numFmtId="0" fontId="88" fillId="0" borderId="23" xfId="0" applyFont="1" applyBorder="1" applyAlignment="1">
      <alignment horizontal="center" vertical="center"/>
    </xf>
    <xf numFmtId="0" fontId="14" fillId="0" borderId="47" xfId="293" applyFont="1" applyBorder="1" applyAlignment="1">
      <alignment horizontal="center" vertical="center"/>
    </xf>
    <xf numFmtId="0" fontId="14" fillId="0" borderId="23" xfId="293" applyFont="1" applyBorder="1" applyAlignment="1">
      <alignment horizontal="center" vertical="center"/>
    </xf>
    <xf numFmtId="1" fontId="14" fillId="0" borderId="23" xfId="348" applyNumberFormat="1" applyFont="1" applyFill="1" applyBorder="1" applyAlignment="1">
      <alignment horizontal="center" vertical="center"/>
    </xf>
    <xf numFmtId="0" fontId="14" fillId="0" borderId="23" xfId="105" applyFont="1" applyFill="1" applyBorder="1" applyAlignment="1">
      <alignment horizontal="left" vertical="center" wrapText="1"/>
    </xf>
    <xf numFmtId="43" fontId="14" fillId="0" borderId="23" xfId="430" applyNumberFormat="1" applyFont="1" applyFill="1" applyBorder="1" applyAlignment="1">
      <alignment horizontal="center" vertical="center" wrapText="1"/>
    </xf>
    <xf numFmtId="165" fontId="14" fillId="0" borderId="23" xfId="150" applyFont="1" applyFill="1" applyBorder="1" applyAlignment="1">
      <alignment horizontal="center" vertical="center" wrapText="1"/>
    </xf>
    <xf numFmtId="165" fontId="14" fillId="0" borderId="82" xfId="150" applyFont="1" applyFill="1" applyBorder="1" applyAlignment="1">
      <alignment horizontal="center" vertical="center" wrapText="1"/>
    </xf>
    <xf numFmtId="0" fontId="14" fillId="0" borderId="23" xfId="0" applyFont="1" applyFill="1" applyBorder="1" applyAlignment="1">
      <alignment horizontal="center" vertical="center" wrapText="1"/>
    </xf>
    <xf numFmtId="1" fontId="14" fillId="0" borderId="23" xfId="120" applyNumberFormat="1" applyFont="1" applyBorder="1" applyAlignment="1">
      <alignment horizontal="center" vertical="center"/>
    </xf>
    <xf numFmtId="0" fontId="14" fillId="0" borderId="23" xfId="105" applyFont="1" applyBorder="1" applyAlignment="1">
      <alignment horizontal="left" vertical="center" wrapText="1"/>
    </xf>
    <xf numFmtId="166" fontId="14" fillId="0" borderId="23" xfId="430" applyNumberFormat="1" applyFont="1" applyBorder="1" applyAlignment="1">
      <alignment horizontal="center" vertical="center" wrapText="1"/>
    </xf>
    <xf numFmtId="190" fontId="14" fillId="0" borderId="23" xfId="150" applyNumberFormat="1" applyFont="1" applyBorder="1" applyAlignment="1">
      <alignment horizontal="center" vertical="center"/>
    </xf>
    <xf numFmtId="165" fontId="14" fillId="0" borderId="23" xfId="150" applyFont="1" applyBorder="1" applyAlignment="1">
      <alignment horizontal="center" vertical="center" wrapText="1"/>
    </xf>
    <xf numFmtId="172" fontId="14" fillId="0" borderId="23" xfId="150" applyNumberFormat="1" applyFont="1" applyBorder="1" applyAlignment="1">
      <alignment horizontal="center" vertical="center"/>
    </xf>
    <xf numFmtId="0" fontId="14" fillId="0" borderId="23" xfId="0" applyFont="1" applyFill="1" applyBorder="1" applyAlignment="1">
      <alignment horizontal="left" vertical="center" wrapText="1"/>
    </xf>
    <xf numFmtId="165" fontId="14" fillId="0" borderId="82" xfId="150" applyFont="1" applyBorder="1" applyAlignment="1">
      <alignment horizontal="center" vertical="center"/>
    </xf>
    <xf numFmtId="1" fontId="14" fillId="0" borderId="23" xfId="0" applyNumberFormat="1" applyFont="1" applyFill="1" applyBorder="1" applyAlignment="1">
      <alignment horizontal="center" vertical="center"/>
    </xf>
    <xf numFmtId="171" fontId="14" fillId="0" borderId="23" xfId="119" applyNumberFormat="1" applyFont="1" applyFill="1" applyBorder="1" applyAlignment="1">
      <alignment horizontal="center" vertical="center"/>
    </xf>
    <xf numFmtId="165" fontId="14" fillId="0" borderId="23" xfId="99" applyFont="1" applyFill="1" applyBorder="1" applyAlignment="1">
      <alignment horizontal="center" vertical="center"/>
    </xf>
    <xf numFmtId="1" fontId="14" fillId="0" borderId="23" xfId="146" applyNumberFormat="1" applyFont="1" applyBorder="1" applyAlignment="1">
      <alignment horizontal="center" vertical="center"/>
    </xf>
    <xf numFmtId="0" fontId="14" fillId="0" borderId="23" xfId="146" applyFont="1" applyBorder="1" applyAlignment="1">
      <alignment horizontal="left" vertical="center" wrapText="1"/>
    </xf>
    <xf numFmtId="0" fontId="14" fillId="0" borderId="23" xfId="146" applyFont="1" applyBorder="1" applyAlignment="1">
      <alignment horizontal="center" vertical="center" wrapText="1"/>
    </xf>
    <xf numFmtId="0" fontId="67" fillId="0" borderId="23" xfId="0" applyFont="1" applyBorder="1" applyAlignment="1">
      <alignment horizontal="center" vertical="center"/>
    </xf>
    <xf numFmtId="0" fontId="96" fillId="0" borderId="23" xfId="0" applyFont="1" applyBorder="1" applyAlignment="1">
      <alignment horizontal="center" vertical="center"/>
    </xf>
    <xf numFmtId="0" fontId="96" fillId="0" borderId="23" xfId="0" applyFont="1" applyBorder="1" applyAlignment="1">
      <alignment vertical="center" wrapText="1"/>
    </xf>
    <xf numFmtId="0" fontId="96" fillId="0" borderId="23" xfId="0" applyFont="1" applyBorder="1" applyAlignment="1">
      <alignment horizontal="center" vertical="center" wrapText="1"/>
    </xf>
    <xf numFmtId="171" fontId="96" fillId="0" borderId="23" xfId="119" applyNumberFormat="1" applyFont="1" applyBorder="1" applyAlignment="1">
      <alignment horizontal="center" vertical="center"/>
    </xf>
    <xf numFmtId="165" fontId="96" fillId="0" borderId="23" xfId="99" applyFont="1" applyBorder="1" applyAlignment="1">
      <alignment horizontal="center" vertical="center"/>
    </xf>
    <xf numFmtId="0" fontId="14" fillId="0" borderId="83" xfId="146" applyFont="1" applyBorder="1" applyAlignment="1">
      <alignment horizontal="center" vertical="center"/>
    </xf>
    <xf numFmtId="1" fontId="14" fillId="0" borderId="83" xfId="146" applyNumberFormat="1" applyFont="1" applyBorder="1" applyAlignment="1">
      <alignment horizontal="center" vertical="center"/>
    </xf>
    <xf numFmtId="0" fontId="84" fillId="0" borderId="22" xfId="0" applyFont="1" applyFill="1" applyBorder="1" applyAlignment="1">
      <alignment horizontal="left" vertical="center" wrapText="1"/>
    </xf>
    <xf numFmtId="0" fontId="84" fillId="0" borderId="22" xfId="0" applyFont="1" applyFill="1" applyBorder="1" applyAlignment="1">
      <alignment horizontal="center" vertical="center" wrapText="1"/>
    </xf>
    <xf numFmtId="171" fontId="14" fillId="0" borderId="83" xfId="119" applyNumberFormat="1" applyFont="1" applyBorder="1" applyAlignment="1">
      <alignment horizontal="center" vertical="center" wrapText="1"/>
    </xf>
    <xf numFmtId="165" fontId="84" fillId="0" borderId="22" xfId="99" applyFont="1" applyFill="1" applyBorder="1" applyAlignment="1">
      <alignment horizontal="center" vertical="center" wrapText="1"/>
    </xf>
    <xf numFmtId="165" fontId="14" fillId="0" borderId="22" xfId="99" applyFont="1" applyFill="1" applyBorder="1" applyAlignment="1">
      <alignment horizontal="center" vertical="center" wrapText="1"/>
    </xf>
    <xf numFmtId="0" fontId="14" fillId="0" borderId="33" xfId="0" applyFont="1" applyBorder="1" applyAlignment="1">
      <alignment horizontal="center" vertical="center"/>
    </xf>
    <xf numFmtId="187" fontId="14" fillId="0" borderId="22" xfId="119" applyNumberFormat="1" applyFont="1" applyBorder="1" applyAlignment="1">
      <alignment horizontal="center" vertical="center" wrapText="1"/>
    </xf>
    <xf numFmtId="171" fontId="14" fillId="0" borderId="22" xfId="119" applyNumberFormat="1" applyFont="1" applyFill="1" applyBorder="1" applyAlignment="1">
      <alignment horizontal="center" vertical="center"/>
    </xf>
    <xf numFmtId="171" fontId="14" fillId="0" borderId="22" xfId="119" applyNumberFormat="1" applyFont="1" applyBorder="1" applyAlignment="1">
      <alignment horizontal="center" vertical="center" wrapText="1"/>
    </xf>
    <xf numFmtId="0" fontId="14" fillId="0" borderId="22" xfId="146" applyFont="1" applyBorder="1" applyAlignment="1">
      <alignment horizontal="center" vertical="center"/>
    </xf>
    <xf numFmtId="171" fontId="14" fillId="0" borderId="22" xfId="148" applyNumberFormat="1" applyFont="1" applyBorder="1" applyAlignment="1">
      <alignment horizontal="center" vertical="center"/>
    </xf>
    <xf numFmtId="171" fontId="14" fillId="0" borderId="22" xfId="119" applyNumberFormat="1" applyFont="1" applyFill="1" applyBorder="1" applyAlignment="1">
      <alignment horizontal="center" vertical="center" wrapText="1"/>
    </xf>
    <xf numFmtId="0" fontId="14" fillId="0" borderId="22" xfId="106" applyFont="1" applyBorder="1" applyAlignment="1">
      <alignment horizontal="center" vertical="center"/>
    </xf>
    <xf numFmtId="0" fontId="14" fillId="0" borderId="22" xfId="0" applyFont="1" applyFill="1" applyBorder="1" applyAlignment="1">
      <alignment horizontal="center" vertical="center"/>
    </xf>
    <xf numFmtId="0" fontId="84" fillId="0" borderId="22" xfId="0" applyNumberFormat="1" applyFont="1" applyFill="1" applyBorder="1" applyAlignment="1">
      <alignment horizontal="center" vertical="center" wrapText="1"/>
    </xf>
    <xf numFmtId="0" fontId="84" fillId="0" borderId="22" xfId="0" applyFont="1" applyBorder="1" applyAlignment="1">
      <alignment horizontal="center" vertical="center"/>
    </xf>
    <xf numFmtId="1" fontId="14" fillId="0" borderId="22" xfId="0" applyNumberFormat="1" applyFont="1" applyFill="1" applyBorder="1" applyAlignment="1">
      <alignment horizontal="center" vertical="center"/>
    </xf>
    <xf numFmtId="1" fontId="95" fillId="0" borderId="22" xfId="146" applyNumberFormat="1" applyFont="1" applyFill="1" applyBorder="1" applyAlignment="1">
      <alignment horizontal="left" vertical="center" wrapText="1"/>
    </xf>
    <xf numFmtId="0" fontId="84" fillId="0" borderId="22" xfId="146" applyFont="1" applyFill="1" applyBorder="1" applyAlignment="1">
      <alignment horizontal="center" vertical="center" wrapText="1"/>
    </xf>
    <xf numFmtId="0" fontId="14" fillId="0" borderId="22" xfId="158" applyFont="1" applyBorder="1" applyAlignment="1">
      <alignment horizontal="center" vertical="center"/>
    </xf>
    <xf numFmtId="0" fontId="14" fillId="0" borderId="22" xfId="0" applyNumberFormat="1" applyFont="1" applyFill="1" applyBorder="1" applyAlignment="1">
      <alignment horizontal="center" vertical="center"/>
    </xf>
    <xf numFmtId="172" fontId="14" fillId="0" borderId="22" xfId="150" applyNumberFormat="1" applyFont="1" applyBorder="1" applyAlignment="1">
      <alignment horizontal="center" vertical="center"/>
    </xf>
    <xf numFmtId="165" fontId="84" fillId="0" borderId="22" xfId="150" applyFont="1" applyFill="1" applyBorder="1" applyAlignment="1">
      <alignment horizontal="center" vertical="center" wrapText="1"/>
    </xf>
    <xf numFmtId="165" fontId="14" fillId="0" borderId="22" xfId="150" applyFont="1" applyFill="1" applyBorder="1" applyAlignment="1">
      <alignment horizontal="center" vertical="center" wrapText="1"/>
    </xf>
    <xf numFmtId="0" fontId="14" fillId="0" borderId="33" xfId="158" applyFont="1" applyBorder="1" applyAlignment="1">
      <alignment horizontal="center" vertical="center"/>
    </xf>
    <xf numFmtId="0" fontId="14" fillId="0" borderId="22" xfId="158" applyFont="1" applyFill="1" applyBorder="1" applyAlignment="1">
      <alignment horizontal="center" vertical="center"/>
    </xf>
    <xf numFmtId="0" fontId="14" fillId="0" borderId="22" xfId="293" applyFont="1" applyBorder="1" applyAlignment="1">
      <alignment horizontal="center" vertical="center"/>
    </xf>
    <xf numFmtId="1" fontId="14" fillId="0" borderId="22" xfId="348" applyNumberFormat="1" applyFont="1" applyFill="1" applyBorder="1" applyAlignment="1">
      <alignment horizontal="center" vertical="center"/>
    </xf>
    <xf numFmtId="1" fontId="14" fillId="0" borderId="22" xfId="120" applyNumberFormat="1" applyFont="1" applyBorder="1" applyAlignment="1">
      <alignment horizontal="center" vertical="center"/>
    </xf>
    <xf numFmtId="1" fontId="0" fillId="0" borderId="22" xfId="0" applyNumberFormat="1" applyBorder="1" applyAlignment="1">
      <alignment horizontal="center" vertical="center"/>
    </xf>
    <xf numFmtId="190" fontId="14" fillId="0" borderId="22" xfId="150" applyNumberFormat="1" applyFont="1" applyBorder="1" applyAlignment="1">
      <alignment horizontal="center" vertical="center"/>
    </xf>
    <xf numFmtId="0" fontId="14" fillId="0" borderId="22" xfId="0" applyFont="1" applyFill="1" applyBorder="1" applyAlignment="1">
      <alignment horizontal="left" vertical="center" wrapText="1"/>
    </xf>
    <xf numFmtId="0" fontId="14" fillId="0" borderId="22" xfId="0" applyFont="1" applyFill="1" applyBorder="1" applyAlignment="1">
      <alignment horizontal="center" vertical="center" wrapText="1"/>
    </xf>
    <xf numFmtId="165" fontId="14" fillId="0" borderId="50" xfId="150" applyFont="1" applyBorder="1" applyAlignment="1">
      <alignment horizontal="center" vertical="center"/>
    </xf>
    <xf numFmtId="0" fontId="14" fillId="0" borderId="22" xfId="146" applyFont="1" applyFill="1" applyBorder="1" applyAlignment="1">
      <alignment horizontal="center" vertical="center"/>
    </xf>
    <xf numFmtId="1" fontId="14" fillId="0" borderId="22" xfId="351" applyNumberFormat="1" applyFont="1" applyFill="1" applyBorder="1" applyAlignment="1">
      <alignment horizontal="center" vertical="center"/>
    </xf>
    <xf numFmtId="0" fontId="14" fillId="0" borderId="22" xfId="154" applyFont="1" applyBorder="1" applyAlignment="1">
      <alignment horizontal="center" vertical="center"/>
    </xf>
    <xf numFmtId="171" fontId="14" fillId="0" borderId="22" xfId="154" applyNumberFormat="1" applyFont="1" applyBorder="1" applyAlignment="1">
      <alignment horizontal="center" vertical="center"/>
    </xf>
    <xf numFmtId="1" fontId="30" fillId="39" borderId="39" xfId="146" applyNumberFormat="1" applyFont="1" applyFill="1" applyBorder="1" applyAlignment="1">
      <alignment horizontal="center" vertical="center" wrapText="1"/>
    </xf>
    <xf numFmtId="1" fontId="30" fillId="39" borderId="40" xfId="146" applyNumberFormat="1" applyFont="1" applyFill="1" applyBorder="1" applyAlignment="1">
      <alignment horizontal="center" vertical="center" wrapText="1"/>
    </xf>
    <xf numFmtId="0" fontId="30" fillId="39" borderId="40" xfId="146" applyFont="1" applyFill="1" applyBorder="1" applyAlignment="1">
      <alignment horizontal="left" vertical="center" wrapText="1"/>
    </xf>
    <xf numFmtId="0" fontId="30" fillId="39" borderId="40" xfId="146" applyFont="1" applyFill="1" applyBorder="1" applyAlignment="1">
      <alignment horizontal="center" vertical="center" wrapText="1"/>
    </xf>
    <xf numFmtId="171" fontId="30" fillId="39" borderId="40" xfId="119" applyNumberFormat="1" applyFont="1" applyFill="1" applyBorder="1" applyAlignment="1">
      <alignment horizontal="center" vertical="center" wrapText="1"/>
    </xf>
    <xf numFmtId="165" fontId="30" fillId="39" borderId="40" xfId="99" applyFont="1" applyFill="1" applyBorder="1" applyAlignment="1">
      <alignment horizontal="center" vertical="center" wrapText="1"/>
    </xf>
    <xf numFmtId="165" fontId="30" fillId="39" borderId="41" xfId="99" applyFont="1" applyFill="1" applyBorder="1" applyAlignment="1">
      <alignment horizontal="center" vertical="center"/>
    </xf>
    <xf numFmtId="0" fontId="30" fillId="39" borderId="40" xfId="0" applyFont="1" applyFill="1" applyBorder="1" applyAlignment="1">
      <alignment horizontal="center" vertical="center" wrapText="1"/>
    </xf>
    <xf numFmtId="1" fontId="30" fillId="38" borderId="39" xfId="0" applyNumberFormat="1" applyFont="1" applyFill="1" applyBorder="1" applyAlignment="1">
      <alignment horizontal="center" vertical="center"/>
    </xf>
    <xf numFmtId="1" fontId="30" fillId="38" borderId="40" xfId="0" applyNumberFormat="1" applyFont="1" applyFill="1" applyBorder="1" applyAlignment="1">
      <alignment vertical="center"/>
    </xf>
    <xf numFmtId="0" fontId="30" fillId="38" borderId="40" xfId="0" applyFont="1" applyFill="1" applyBorder="1" applyAlignment="1">
      <alignment horizontal="left" vertical="center" wrapText="1"/>
    </xf>
    <xf numFmtId="0" fontId="30" fillId="38" borderId="40" xfId="0" applyFont="1" applyFill="1" applyBorder="1" applyAlignment="1">
      <alignment horizontal="center" vertical="center" wrapText="1"/>
    </xf>
    <xf numFmtId="171" fontId="30" fillId="38" borderId="40" xfId="119" applyNumberFormat="1" applyFont="1" applyFill="1" applyBorder="1" applyAlignment="1">
      <alignment horizontal="center" vertical="center"/>
    </xf>
    <xf numFmtId="165" fontId="30" fillId="38" borderId="40" xfId="99" applyFont="1" applyFill="1" applyBorder="1" applyAlignment="1">
      <alignment horizontal="center" vertical="center"/>
    </xf>
    <xf numFmtId="1" fontId="30" fillId="39" borderId="39" xfId="0" applyNumberFormat="1" applyFont="1" applyFill="1" applyBorder="1" applyAlignment="1">
      <alignment horizontal="center" vertical="center" wrapText="1"/>
    </xf>
    <xf numFmtId="1" fontId="30" fillId="39" borderId="40" xfId="0" applyNumberFormat="1" applyFont="1" applyFill="1" applyBorder="1" applyAlignment="1">
      <alignment horizontal="center" vertical="center" wrapText="1"/>
    </xf>
    <xf numFmtId="0" fontId="30" fillId="39" borderId="40" xfId="0" applyFont="1" applyFill="1" applyBorder="1" applyAlignment="1">
      <alignment horizontal="left" vertical="center" wrapText="1"/>
    </xf>
    <xf numFmtId="187" fontId="30" fillId="39" borderId="40" xfId="119" applyNumberFormat="1" applyFont="1" applyFill="1" applyBorder="1" applyAlignment="1">
      <alignment horizontal="center" vertical="center" wrapText="1"/>
    </xf>
    <xf numFmtId="187" fontId="30" fillId="39" borderId="40" xfId="150" applyNumberFormat="1" applyFont="1" applyFill="1" applyBorder="1" applyAlignment="1">
      <alignment horizontal="center" vertical="center" wrapText="1"/>
    </xf>
    <xf numFmtId="187" fontId="30" fillId="39" borderId="41" xfId="150" applyNumberFormat="1" applyFont="1" applyFill="1" applyBorder="1" applyAlignment="1">
      <alignment horizontal="center" vertical="center"/>
    </xf>
    <xf numFmtId="0" fontId="30" fillId="39" borderId="39" xfId="0" applyFont="1" applyFill="1" applyBorder="1" applyAlignment="1">
      <alignment horizontal="center" vertical="center" wrapText="1"/>
    </xf>
    <xf numFmtId="165" fontId="30" fillId="39" borderId="40" xfId="150" applyFont="1" applyFill="1" applyBorder="1" applyAlignment="1">
      <alignment horizontal="center" vertical="center" wrapText="1"/>
    </xf>
    <xf numFmtId="165" fontId="30" fillId="39" borderId="41" xfId="150" applyFont="1" applyFill="1" applyBorder="1" applyAlignment="1">
      <alignment horizontal="center" vertical="center"/>
    </xf>
    <xf numFmtId="0" fontId="30" fillId="38" borderId="40" xfId="0" applyFont="1" applyFill="1" applyBorder="1" applyAlignment="1">
      <alignment horizontal="center" vertical="center"/>
    </xf>
    <xf numFmtId="0" fontId="94" fillId="43" borderId="40" xfId="153" applyFont="1" applyFill="1" applyBorder="1" applyAlignment="1">
      <alignment horizontal="center" vertical="center" wrapText="1"/>
    </xf>
    <xf numFmtId="0" fontId="87" fillId="38" borderId="40" xfId="0" applyFont="1" applyFill="1" applyBorder="1" applyAlignment="1">
      <alignment horizontal="left" vertical="center" wrapText="1"/>
    </xf>
    <xf numFmtId="0" fontId="87" fillId="38" borderId="40" xfId="0" applyFont="1" applyFill="1" applyBorder="1" applyAlignment="1">
      <alignment horizontal="center" vertical="center" wrapText="1"/>
    </xf>
    <xf numFmtId="166" fontId="30" fillId="39" borderId="40" xfId="0" applyNumberFormat="1" applyFont="1" applyFill="1" applyBorder="1" applyAlignment="1">
      <alignment horizontal="left" vertical="center" wrapText="1"/>
    </xf>
    <xf numFmtId="166" fontId="30" fillId="39" borderId="40" xfId="0" applyNumberFormat="1" applyFont="1" applyFill="1" applyBorder="1" applyAlignment="1">
      <alignment horizontal="center" vertical="center" wrapText="1"/>
    </xf>
    <xf numFmtId="166" fontId="30" fillId="39" borderId="40" xfId="119" applyFont="1" applyFill="1" applyBorder="1" applyAlignment="1">
      <alignment horizontal="center" vertical="center" wrapText="1"/>
    </xf>
    <xf numFmtId="166" fontId="30" fillId="39" borderId="40" xfId="99" applyNumberFormat="1" applyFont="1" applyFill="1" applyBorder="1" applyAlignment="1">
      <alignment horizontal="center" vertical="center" wrapText="1"/>
    </xf>
    <xf numFmtId="1" fontId="30" fillId="38" borderId="40" xfId="0" applyNumberFormat="1" applyFont="1" applyFill="1" applyBorder="1" applyAlignment="1">
      <alignment horizontal="center" vertical="center"/>
    </xf>
    <xf numFmtId="166" fontId="30" fillId="38" borderId="40" xfId="119" applyFont="1" applyFill="1" applyBorder="1" applyAlignment="1">
      <alignment horizontal="center" vertical="center"/>
    </xf>
    <xf numFmtId="1" fontId="30" fillId="39" borderId="39" xfId="158" applyNumberFormat="1" applyFont="1" applyFill="1" applyBorder="1" applyAlignment="1">
      <alignment horizontal="center" vertical="center" wrapText="1"/>
    </xf>
    <xf numFmtId="0" fontId="30" fillId="38" borderId="40" xfId="106" applyFont="1" applyFill="1" applyBorder="1" applyAlignment="1">
      <alignment horizontal="center" vertical="center"/>
    </xf>
    <xf numFmtId="0" fontId="30" fillId="38" borderId="40" xfId="106" applyFont="1" applyFill="1" applyBorder="1" applyAlignment="1">
      <alignment horizontal="left" vertical="center" wrapText="1"/>
    </xf>
    <xf numFmtId="0" fontId="30" fillId="38" borderId="40" xfId="106" applyFont="1" applyFill="1" applyBorder="1" applyAlignment="1">
      <alignment horizontal="center" vertical="center" wrapText="1"/>
    </xf>
    <xf numFmtId="172" fontId="14" fillId="38" borderId="40" xfId="238" applyNumberFormat="1" applyFont="1" applyFill="1" applyBorder="1" applyAlignment="1">
      <alignment horizontal="center" vertical="center"/>
    </xf>
    <xf numFmtId="165" fontId="14" fillId="38" borderId="40" xfId="150" applyFont="1" applyFill="1" applyBorder="1" applyAlignment="1">
      <alignment horizontal="center" vertical="center" wrapText="1"/>
    </xf>
    <xf numFmtId="1" fontId="30" fillId="39" borderId="40" xfId="158" applyNumberFormat="1" applyFont="1" applyFill="1" applyBorder="1" applyAlignment="1">
      <alignment horizontal="center" vertical="center" wrapText="1"/>
    </xf>
    <xf numFmtId="0" fontId="30" fillId="39" borderId="40" xfId="158" applyFont="1" applyFill="1" applyBorder="1" applyAlignment="1">
      <alignment horizontal="left" vertical="center" wrapText="1"/>
    </xf>
    <xf numFmtId="0" fontId="30" fillId="39" borderId="40" xfId="158" applyFont="1" applyFill="1" applyBorder="1" applyAlignment="1">
      <alignment horizontal="center" vertical="center" wrapText="1"/>
    </xf>
    <xf numFmtId="44" fontId="30" fillId="39" borderId="40" xfId="235" applyNumberFormat="1" applyFont="1" applyFill="1" applyBorder="1" applyAlignment="1">
      <alignment horizontal="center" vertical="center" wrapText="1"/>
    </xf>
    <xf numFmtId="0" fontId="30" fillId="38" borderId="40" xfId="293" applyFont="1" applyFill="1" applyBorder="1" applyAlignment="1">
      <alignment horizontal="center" vertical="center"/>
    </xf>
    <xf numFmtId="0" fontId="30" fillId="38" borderId="40" xfId="293" applyFont="1" applyFill="1" applyBorder="1" applyAlignment="1">
      <alignment horizontal="center" vertical="center" wrapText="1"/>
    </xf>
    <xf numFmtId="172" fontId="14" fillId="38" borderId="40" xfId="150" applyNumberFormat="1" applyFont="1" applyFill="1" applyBorder="1" applyAlignment="1">
      <alignment horizontal="center" vertical="center"/>
    </xf>
    <xf numFmtId="0" fontId="30" fillId="38" borderId="40" xfId="0" applyFont="1" applyFill="1" applyBorder="1" applyAlignment="1">
      <alignment horizontal="left" wrapText="1"/>
    </xf>
    <xf numFmtId="1" fontId="30" fillId="39" borderId="40" xfId="120" applyNumberFormat="1" applyFont="1" applyFill="1" applyBorder="1" applyAlignment="1">
      <alignment horizontal="center" vertical="center" wrapText="1"/>
    </xf>
    <xf numFmtId="190" fontId="14" fillId="38" borderId="40" xfId="105" applyNumberFormat="1" applyFont="1" applyFill="1" applyBorder="1" applyAlignment="1">
      <alignment horizontal="center" vertical="center" wrapText="1"/>
    </xf>
    <xf numFmtId="190" fontId="14" fillId="38" borderId="40" xfId="150" applyNumberFormat="1" applyFont="1" applyFill="1" applyBorder="1" applyAlignment="1">
      <alignment horizontal="center" vertical="center"/>
    </xf>
    <xf numFmtId="1" fontId="30" fillId="39" borderId="40" xfId="158" applyNumberFormat="1" applyFont="1" applyFill="1" applyBorder="1" applyAlignment="1">
      <alignment horizontal="left" vertical="center" wrapText="1"/>
    </xf>
    <xf numFmtId="1" fontId="30" fillId="39" borderId="39" xfId="154" applyNumberFormat="1" applyFont="1" applyFill="1" applyBorder="1" applyAlignment="1">
      <alignment horizontal="center" vertical="center" wrapText="1"/>
    </xf>
    <xf numFmtId="1" fontId="30" fillId="39" borderId="40" xfId="154" applyNumberFormat="1" applyFont="1" applyFill="1" applyBorder="1" applyAlignment="1">
      <alignment vertical="center" wrapText="1"/>
    </xf>
    <xf numFmtId="1" fontId="30" fillId="39" borderId="40" xfId="154" applyNumberFormat="1" applyFont="1" applyFill="1" applyBorder="1" applyAlignment="1">
      <alignment horizontal="center" vertical="center" wrapText="1"/>
    </xf>
    <xf numFmtId="0" fontId="30" fillId="39" borderId="40" xfId="154" applyFont="1" applyFill="1" applyBorder="1" applyAlignment="1">
      <alignment horizontal="left" vertical="center" wrapText="1"/>
    </xf>
    <xf numFmtId="0" fontId="30" fillId="39" borderId="40" xfId="154" applyFont="1" applyFill="1" applyBorder="1" applyAlignment="1">
      <alignment horizontal="center" vertical="center" wrapText="1"/>
    </xf>
    <xf numFmtId="171" fontId="30" fillId="39" borderId="40" xfId="155" applyNumberFormat="1" applyFont="1" applyFill="1" applyBorder="1" applyAlignment="1">
      <alignment horizontal="center" vertical="center" wrapText="1"/>
    </xf>
    <xf numFmtId="0" fontId="107" fillId="0" borderId="0" xfId="284"/>
    <xf numFmtId="0" fontId="117" fillId="51" borderId="0" xfId="284" applyFont="1" applyFill="1" applyAlignment="1">
      <alignment horizontal="center" vertical="top" wrapText="1"/>
    </xf>
    <xf numFmtId="0" fontId="117" fillId="51" borderId="0" xfId="284" applyFont="1" applyFill="1" applyAlignment="1">
      <alignment horizontal="right" vertical="top" wrapText="1"/>
    </xf>
    <xf numFmtId="0" fontId="116" fillId="51" borderId="0" xfId="284" applyFont="1" applyFill="1" applyAlignment="1">
      <alignment horizontal="left" vertical="top" wrapText="1"/>
    </xf>
    <xf numFmtId="0" fontId="116" fillId="51" borderId="0" xfId="284" applyFont="1" applyFill="1" applyAlignment="1">
      <alignment horizontal="center" vertical="top" wrapText="1"/>
    </xf>
    <xf numFmtId="0" fontId="118" fillId="52" borderId="84" xfId="284" applyFont="1" applyFill="1" applyBorder="1" applyAlignment="1">
      <alignment horizontal="left" vertical="top" wrapText="1"/>
    </xf>
    <xf numFmtId="4" fontId="116" fillId="51" borderId="0" xfId="284" applyNumberFormat="1" applyFont="1" applyFill="1" applyAlignment="1">
      <alignment horizontal="right" vertical="top" wrapText="1"/>
    </xf>
    <xf numFmtId="0" fontId="116" fillId="51" borderId="0" xfId="284" applyFont="1" applyFill="1" applyAlignment="1">
      <alignment horizontal="right" vertical="top" wrapText="1"/>
    </xf>
    <xf numFmtId="4" fontId="116" fillId="53" borderId="85" xfId="284" applyNumberFormat="1" applyFont="1" applyFill="1" applyBorder="1" applyAlignment="1">
      <alignment horizontal="right" vertical="top" wrapText="1"/>
    </xf>
    <xf numFmtId="191" fontId="116" fillId="53" borderId="85" xfId="284" applyNumberFormat="1" applyFont="1" applyFill="1" applyBorder="1" applyAlignment="1">
      <alignment horizontal="right" vertical="top" wrapText="1"/>
    </xf>
    <xf numFmtId="0" fontId="116" fillId="53" borderId="85" xfId="284" applyFont="1" applyFill="1" applyBorder="1" applyAlignment="1">
      <alignment horizontal="center" vertical="top" wrapText="1"/>
    </xf>
    <xf numFmtId="0" fontId="116" fillId="53" borderId="85" xfId="284" applyFont="1" applyFill="1" applyBorder="1" applyAlignment="1">
      <alignment horizontal="left" vertical="top" wrapText="1"/>
    </xf>
    <xf numFmtId="0" fontId="116" fillId="53" borderId="85" xfId="284" applyFont="1" applyFill="1" applyBorder="1" applyAlignment="1">
      <alignment horizontal="right" vertical="top" wrapText="1"/>
    </xf>
    <xf numFmtId="4" fontId="116" fillId="54" borderId="85" xfId="284" applyNumberFormat="1" applyFont="1" applyFill="1" applyBorder="1" applyAlignment="1">
      <alignment horizontal="right" vertical="top" wrapText="1"/>
    </xf>
    <xf numFmtId="191" fontId="116" fillId="54" borderId="85" xfId="284" applyNumberFormat="1" applyFont="1" applyFill="1" applyBorder="1" applyAlignment="1">
      <alignment horizontal="right" vertical="top" wrapText="1"/>
    </xf>
    <xf numFmtId="0" fontId="116" fillId="54" borderId="85" xfId="284" applyFont="1" applyFill="1" applyBorder="1" applyAlignment="1">
      <alignment horizontal="center" vertical="top" wrapText="1"/>
    </xf>
    <xf numFmtId="0" fontId="116" fillId="54" borderId="85" xfId="284" applyFont="1" applyFill="1" applyBorder="1" applyAlignment="1">
      <alignment horizontal="left" vertical="top" wrapText="1"/>
    </xf>
    <xf numFmtId="0" fontId="116" fillId="54" borderId="85" xfId="284" applyFont="1" applyFill="1" applyBorder="1" applyAlignment="1">
      <alignment horizontal="right" vertical="top" wrapText="1"/>
    </xf>
    <xf numFmtId="4" fontId="118" fillId="52" borderId="85" xfId="284" applyNumberFormat="1" applyFont="1" applyFill="1" applyBorder="1" applyAlignment="1">
      <alignment horizontal="right" vertical="top" wrapText="1"/>
    </xf>
    <xf numFmtId="191" fontId="118" fillId="52" borderId="85" xfId="284" applyNumberFormat="1" applyFont="1" applyFill="1" applyBorder="1" applyAlignment="1">
      <alignment horizontal="right" vertical="top" wrapText="1"/>
    </xf>
    <xf numFmtId="0" fontId="118" fillId="52" borderId="85" xfId="284" applyFont="1" applyFill="1" applyBorder="1" applyAlignment="1">
      <alignment horizontal="center" vertical="top" wrapText="1"/>
    </xf>
    <xf numFmtId="0" fontId="118" fillId="52" borderId="85" xfId="284" applyFont="1" applyFill="1" applyBorder="1" applyAlignment="1">
      <alignment horizontal="left" vertical="top" wrapText="1"/>
    </xf>
    <xf numFmtId="0" fontId="118" fillId="52" borderId="85" xfId="284" applyFont="1" applyFill="1" applyBorder="1" applyAlignment="1">
      <alignment horizontal="right" vertical="top" wrapText="1"/>
    </xf>
    <xf numFmtId="0" fontId="119" fillId="51" borderId="85" xfId="284" applyFont="1" applyFill="1" applyBorder="1" applyAlignment="1">
      <alignment horizontal="right" vertical="top" wrapText="1"/>
    </xf>
    <xf numFmtId="0" fontId="119" fillId="51" borderId="85" xfId="284" applyFont="1" applyFill="1" applyBorder="1" applyAlignment="1">
      <alignment horizontal="center" vertical="top" wrapText="1"/>
    </xf>
    <xf numFmtId="0" fontId="119" fillId="51" borderId="85" xfId="284" applyFont="1" applyFill="1" applyBorder="1" applyAlignment="1">
      <alignment horizontal="left" vertical="top" wrapText="1"/>
    </xf>
    <xf numFmtId="0" fontId="117" fillId="51" borderId="0" xfId="284" applyFont="1" applyFill="1" applyAlignment="1">
      <alignment horizontal="left" vertical="top" wrapText="1"/>
    </xf>
    <xf numFmtId="0" fontId="119" fillId="51" borderId="0" xfId="284" applyFont="1" applyFill="1" applyAlignment="1">
      <alignment horizontal="left" vertical="top" wrapText="1"/>
    </xf>
    <xf numFmtId="166" fontId="30" fillId="0" borderId="31" xfId="119" applyFont="1" applyBorder="1" applyAlignment="1">
      <alignment horizontal="left" vertical="center" wrapText="1"/>
    </xf>
    <xf numFmtId="166" fontId="30" fillId="0" borderId="0" xfId="119" applyFont="1" applyBorder="1" applyAlignment="1">
      <alignment horizontal="left" vertical="center" wrapText="1"/>
    </xf>
    <xf numFmtId="166" fontId="30" fillId="0" borderId="28" xfId="119" applyFont="1" applyBorder="1" applyAlignment="1">
      <alignment horizontal="left" vertical="center" wrapText="1"/>
    </xf>
    <xf numFmtId="49" fontId="30" fillId="0" borderId="31" xfId="119" applyNumberFormat="1" applyFont="1" applyBorder="1" applyAlignment="1">
      <alignment horizontal="left" vertical="center" wrapText="1"/>
    </xf>
    <xf numFmtId="49" fontId="30" fillId="0" borderId="0" xfId="119" applyNumberFormat="1" applyFont="1" applyBorder="1" applyAlignment="1">
      <alignment horizontal="left" vertical="center" wrapText="1"/>
    </xf>
    <xf numFmtId="49" fontId="30" fillId="0" borderId="28" xfId="119" applyNumberFormat="1" applyFont="1" applyBorder="1" applyAlignment="1">
      <alignment horizontal="left" vertical="center" wrapText="1"/>
    </xf>
    <xf numFmtId="167" fontId="68" fillId="0" borderId="34" xfId="0" applyNumberFormat="1" applyFont="1" applyFill="1" applyBorder="1" applyAlignment="1">
      <alignment horizontal="center" vertical="center"/>
    </xf>
    <xf numFmtId="167" fontId="68" fillId="0" borderId="35" xfId="0" applyNumberFormat="1" applyFont="1" applyFill="1" applyBorder="1" applyAlignment="1">
      <alignment horizontal="center" vertical="center"/>
    </xf>
    <xf numFmtId="167" fontId="68" fillId="0" borderId="36" xfId="0" applyNumberFormat="1" applyFont="1" applyFill="1" applyBorder="1" applyAlignment="1">
      <alignment horizontal="center" vertical="center"/>
    </xf>
    <xf numFmtId="166" fontId="30" fillId="33" borderId="34" xfId="119" applyFont="1" applyFill="1" applyBorder="1" applyAlignment="1">
      <alignment horizontal="left" vertical="center" wrapText="1"/>
    </xf>
    <xf numFmtId="166" fontId="30" fillId="33" borderId="35" xfId="119" applyFont="1" applyFill="1" applyBorder="1" applyAlignment="1">
      <alignment horizontal="left" vertical="center" wrapText="1"/>
    </xf>
    <xf numFmtId="166" fontId="30" fillId="33" borderId="36" xfId="119" applyFont="1" applyFill="1" applyBorder="1" applyAlignment="1">
      <alignment horizontal="left" vertical="center" wrapText="1"/>
    </xf>
    <xf numFmtId="166" fontId="30" fillId="33" borderId="34" xfId="119" applyFont="1" applyFill="1" applyBorder="1" applyAlignment="1">
      <alignment horizontal="left" vertical="center"/>
    </xf>
    <xf numFmtId="166" fontId="30" fillId="33" borderId="35" xfId="119" applyFont="1" applyFill="1" applyBorder="1" applyAlignment="1">
      <alignment horizontal="left" vertical="center"/>
    </xf>
    <xf numFmtId="166" fontId="30" fillId="33" borderId="36" xfId="119" applyFont="1" applyFill="1" applyBorder="1" applyAlignment="1">
      <alignment horizontal="left" vertical="center"/>
    </xf>
    <xf numFmtId="166" fontId="83" fillId="0" borderId="34" xfId="119" applyNumberFormat="1" applyFont="1" applyBorder="1" applyAlignment="1">
      <alignment horizontal="center" vertical="center" wrapText="1"/>
    </xf>
    <xf numFmtId="166" fontId="83" fillId="0" borderId="35" xfId="119" applyNumberFormat="1" applyFont="1" applyBorder="1" applyAlignment="1">
      <alignment horizontal="center" vertical="center" wrapText="1"/>
    </xf>
    <xf numFmtId="166" fontId="83" fillId="0" borderId="36" xfId="119" applyNumberFormat="1" applyFont="1" applyBorder="1" applyAlignment="1">
      <alignment horizontal="center" vertical="center" wrapText="1"/>
    </xf>
    <xf numFmtId="166" fontId="30" fillId="0" borderId="49" xfId="119" applyNumberFormat="1" applyFont="1" applyBorder="1" applyAlignment="1">
      <alignment horizontal="center" vertical="center" wrapText="1"/>
    </xf>
    <xf numFmtId="166" fontId="30" fillId="0" borderId="26" xfId="119" applyNumberFormat="1" applyFont="1" applyBorder="1" applyAlignment="1">
      <alignment horizontal="center" vertical="center" wrapText="1"/>
    </xf>
    <xf numFmtId="166" fontId="30" fillId="0" borderId="48" xfId="119" applyNumberFormat="1" applyFont="1" applyBorder="1" applyAlignment="1">
      <alignment horizontal="center" vertical="center" wrapText="1"/>
    </xf>
    <xf numFmtId="166" fontId="30" fillId="33" borderId="34" xfId="119" applyNumberFormat="1" applyFont="1" applyFill="1" applyBorder="1" applyAlignment="1">
      <alignment horizontal="left" vertical="center"/>
    </xf>
    <xf numFmtId="166" fontId="30" fillId="33" borderId="35" xfId="119" applyNumberFormat="1" applyFont="1" applyFill="1" applyBorder="1" applyAlignment="1">
      <alignment horizontal="left" vertical="center"/>
    </xf>
    <xf numFmtId="166" fontId="30" fillId="33" borderId="36" xfId="119" applyNumberFormat="1" applyFont="1" applyFill="1" applyBorder="1" applyAlignment="1">
      <alignment horizontal="left" vertical="center"/>
    </xf>
    <xf numFmtId="166" fontId="66" fillId="0" borderId="34" xfId="119" applyNumberFormat="1" applyFont="1" applyBorder="1" applyAlignment="1">
      <alignment horizontal="center" vertical="center" wrapText="1"/>
    </xf>
    <xf numFmtId="166" fontId="66" fillId="0" borderId="35" xfId="119" applyNumberFormat="1" applyFont="1" applyBorder="1" applyAlignment="1">
      <alignment horizontal="center" vertical="center" wrapText="1"/>
    </xf>
    <xf numFmtId="166" fontId="66" fillId="0" borderId="36" xfId="119" applyNumberFormat="1" applyFont="1" applyBorder="1" applyAlignment="1">
      <alignment horizontal="center" vertical="center" wrapText="1"/>
    </xf>
    <xf numFmtId="166" fontId="14" fillId="47" borderId="31" xfId="119" applyFont="1" applyFill="1" applyBorder="1" applyAlignment="1">
      <alignment horizontal="center" vertical="center"/>
    </xf>
    <xf numFmtId="166" fontId="14" fillId="47" borderId="0" xfId="119" applyFont="1" applyFill="1" applyBorder="1" applyAlignment="1">
      <alignment horizontal="center" vertical="center"/>
    </xf>
    <xf numFmtId="166" fontId="14" fillId="47" borderId="28" xfId="119" applyFont="1" applyFill="1" applyBorder="1" applyAlignment="1">
      <alignment horizontal="center" vertical="center"/>
    </xf>
    <xf numFmtId="166" fontId="30" fillId="0" borderId="31" xfId="119" applyFont="1" applyFill="1" applyBorder="1" applyAlignment="1">
      <alignment horizontal="left" vertical="center" wrapText="1"/>
    </xf>
    <xf numFmtId="166" fontId="30" fillId="0" borderId="0" xfId="119" applyFont="1" applyFill="1" applyBorder="1" applyAlignment="1">
      <alignment horizontal="left" vertical="center" wrapText="1"/>
    </xf>
    <xf numFmtId="166" fontId="30" fillId="0" borderId="28" xfId="119" applyFont="1" applyFill="1" applyBorder="1" applyAlignment="1">
      <alignment horizontal="left" vertical="center" wrapText="1"/>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0" fontId="36" fillId="0" borderId="36" xfId="0" applyFont="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6" fontId="30" fillId="0" borderId="34" xfId="119" applyFont="1" applyBorder="1" applyAlignment="1">
      <alignment horizontal="center" vertical="center"/>
    </xf>
    <xf numFmtId="166" fontId="30" fillId="0" borderId="35" xfId="119" applyFont="1" applyBorder="1" applyAlignment="1">
      <alignment horizontal="center" vertical="center"/>
    </xf>
    <xf numFmtId="166" fontId="30" fillId="0" borderId="36" xfId="119" applyFont="1" applyBorder="1" applyAlignment="1">
      <alignment horizontal="center" vertical="center"/>
    </xf>
    <xf numFmtId="166" fontId="30" fillId="36" borderId="31" xfId="119" applyFont="1" applyFill="1" applyBorder="1" applyAlignment="1">
      <alignment horizontal="left" vertical="center"/>
    </xf>
    <xf numFmtId="166" fontId="30" fillId="36" borderId="0" xfId="119" applyFont="1" applyFill="1" applyBorder="1" applyAlignment="1">
      <alignment horizontal="left" vertical="center"/>
    </xf>
    <xf numFmtId="166" fontId="30" fillId="36" borderId="28" xfId="119" applyFont="1" applyFill="1" applyBorder="1" applyAlignment="1">
      <alignment horizontal="left" vertical="center"/>
    </xf>
    <xf numFmtId="166" fontId="30" fillId="0" borderId="49" xfId="119" applyFont="1" applyBorder="1" applyAlignment="1">
      <alignment horizontal="center" vertical="center"/>
    </xf>
    <xf numFmtId="166" fontId="30" fillId="0" borderId="26" xfId="119" applyFont="1" applyBorder="1" applyAlignment="1">
      <alignment horizontal="center" vertical="center"/>
    </xf>
    <xf numFmtId="166" fontId="30" fillId="0" borderId="48" xfId="119" applyFont="1" applyBorder="1" applyAlignment="1">
      <alignment horizontal="center" vertical="center"/>
    </xf>
    <xf numFmtId="166" fontId="30" fillId="0" borderId="31" xfId="119" applyNumberFormat="1" applyFont="1" applyBorder="1" applyAlignment="1">
      <alignment horizontal="center" vertical="center"/>
    </xf>
    <xf numFmtId="0" fontId="0" fillId="0" borderId="31" xfId="0" applyFill="1" applyBorder="1" applyAlignment="1">
      <alignment horizontal="center" vertical="center"/>
    </xf>
    <xf numFmtId="0" fontId="0" fillId="0" borderId="0" xfId="0" applyFill="1" applyAlignment="1">
      <alignment horizontal="center" vertical="center"/>
    </xf>
    <xf numFmtId="166" fontId="14" fillId="0" borderId="0" xfId="119" applyFont="1" applyBorder="1" applyAlignment="1">
      <alignment horizontal="center" vertical="center" wrapText="1"/>
    </xf>
    <xf numFmtId="166" fontId="14" fillId="41" borderId="0" xfId="119" applyFont="1" applyFill="1" applyBorder="1" applyAlignment="1">
      <alignment horizontal="center" vertical="center" wrapText="1"/>
    </xf>
    <xf numFmtId="166" fontId="30" fillId="0" borderId="34" xfId="119" applyNumberFormat="1" applyFont="1" applyBorder="1" applyAlignment="1">
      <alignment horizontal="center" vertical="center" wrapText="1"/>
    </xf>
    <xf numFmtId="166" fontId="30" fillId="0" borderId="35" xfId="119" applyNumberFormat="1" applyFont="1" applyBorder="1" applyAlignment="1">
      <alignment horizontal="center" vertical="center" wrapText="1"/>
    </xf>
    <xf numFmtId="166" fontId="30" fillId="0" borderId="36" xfId="119" applyNumberFormat="1" applyFont="1" applyBorder="1" applyAlignment="1">
      <alignment horizontal="center" vertical="center" wrapText="1"/>
    </xf>
    <xf numFmtId="0" fontId="88" fillId="0" borderId="31"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88" fillId="0" borderId="28" xfId="0" applyFont="1" applyFill="1" applyBorder="1" applyAlignment="1">
      <alignment horizontal="center" vertical="center" wrapText="1"/>
    </xf>
    <xf numFmtId="166" fontId="30" fillId="0" borderId="32" xfId="119" applyFont="1" applyBorder="1" applyAlignment="1">
      <alignment horizontal="left" vertical="center" wrapText="1"/>
    </xf>
    <xf numFmtId="166" fontId="30" fillId="0" borderId="29" xfId="119" applyFont="1" applyBorder="1" applyAlignment="1">
      <alignment horizontal="left" vertical="center" wrapText="1"/>
    </xf>
    <xf numFmtId="166" fontId="30" fillId="0" borderId="30" xfId="119" applyFont="1" applyBorder="1" applyAlignment="1">
      <alignment horizontal="left" vertical="center" wrapText="1"/>
    </xf>
    <xf numFmtId="0" fontId="113" fillId="0" borderId="0" xfId="0" applyFont="1" applyAlignment="1">
      <alignment horizontal="center" vertical="center" wrapText="1"/>
    </xf>
    <xf numFmtId="166" fontId="0" fillId="41" borderId="31" xfId="119" applyFont="1" applyFill="1" applyBorder="1" applyAlignment="1">
      <alignment horizontal="center" vertical="center"/>
    </xf>
    <xf numFmtId="166" fontId="0" fillId="41" borderId="0" xfId="119" applyFont="1" applyFill="1" applyBorder="1" applyAlignment="1">
      <alignment horizontal="center" vertical="center"/>
    </xf>
    <xf numFmtId="0" fontId="30" fillId="0" borderId="31" xfId="119" applyNumberFormat="1" applyFont="1" applyBorder="1" applyAlignment="1">
      <alignment horizontal="left" vertical="center" wrapText="1"/>
    </xf>
    <xf numFmtId="0" fontId="30" fillId="0" borderId="0" xfId="119" applyNumberFormat="1" applyFont="1" applyBorder="1" applyAlignment="1">
      <alignment horizontal="left" vertical="center" wrapText="1"/>
    </xf>
    <xf numFmtId="0" fontId="30" fillId="0" borderId="28" xfId="119" applyNumberFormat="1" applyFont="1" applyBorder="1" applyAlignment="1">
      <alignment horizontal="left" vertical="center" wrapText="1"/>
    </xf>
    <xf numFmtId="166" fontId="30" fillId="33" borderId="34" xfId="119" applyNumberFormat="1" applyFont="1" applyFill="1" applyBorder="1" applyAlignment="1">
      <alignment horizontal="center" vertical="center"/>
    </xf>
    <xf numFmtId="166" fontId="30" fillId="33" borderId="35" xfId="119" applyNumberFormat="1" applyFont="1" applyFill="1" applyBorder="1" applyAlignment="1">
      <alignment horizontal="center" vertical="center"/>
    </xf>
    <xf numFmtId="166" fontId="30" fillId="33" borderId="36" xfId="119" applyNumberFormat="1" applyFont="1" applyFill="1" applyBorder="1" applyAlignment="1">
      <alignment horizontal="center" vertical="center"/>
    </xf>
    <xf numFmtId="0" fontId="36" fillId="34" borderId="34" xfId="0" applyFont="1" applyFill="1" applyBorder="1" applyAlignment="1">
      <alignment horizontal="center" vertical="center"/>
    </xf>
    <xf numFmtId="0" fontId="36" fillId="34" borderId="35" xfId="0" applyFont="1" applyFill="1" applyBorder="1" applyAlignment="1">
      <alignment horizontal="center" vertical="center"/>
    </xf>
    <xf numFmtId="0" fontId="36" fillId="34" borderId="36" xfId="0" applyFont="1" applyFill="1" applyBorder="1" applyAlignment="1">
      <alignment horizontal="center" vertical="center"/>
    </xf>
    <xf numFmtId="0" fontId="36" fillId="40" borderId="49" xfId="0" applyFont="1" applyFill="1" applyBorder="1" applyAlignment="1">
      <alignment horizontal="right" vertical="center" wrapText="1"/>
    </xf>
    <xf numFmtId="0" fontId="36" fillId="40" borderId="48" xfId="0" applyFont="1" applyFill="1" applyBorder="1" applyAlignment="1">
      <alignment horizontal="right" vertical="center" wrapText="1"/>
    </xf>
    <xf numFmtId="0" fontId="36" fillId="40" borderId="32" xfId="0" applyFont="1" applyFill="1" applyBorder="1" applyAlignment="1">
      <alignment horizontal="right" vertical="center" wrapText="1"/>
    </xf>
    <xf numFmtId="0" fontId="36" fillId="40" borderId="30" xfId="0" applyFont="1" applyFill="1" applyBorder="1" applyAlignment="1">
      <alignment horizontal="right" vertical="center" wrapText="1"/>
    </xf>
    <xf numFmtId="165" fontId="36" fillId="0" borderId="45" xfId="99" applyFont="1" applyBorder="1" applyAlignment="1">
      <alignment horizontal="center" vertical="center"/>
    </xf>
    <xf numFmtId="165" fontId="36" fillId="0" borderId="67" xfId="99" applyFont="1" applyBorder="1" applyAlignment="1">
      <alignment horizontal="center" vertical="center"/>
    </xf>
    <xf numFmtId="10" fontId="36" fillId="0" borderId="45" xfId="114" applyNumberFormat="1" applyFont="1" applyBorder="1" applyAlignment="1">
      <alignment horizontal="center" vertical="center"/>
    </xf>
    <xf numFmtId="10" fontId="36" fillId="0" borderId="67" xfId="114" applyNumberFormat="1" applyFont="1" applyBorder="1" applyAlignment="1">
      <alignment horizontal="center" vertical="center"/>
    </xf>
    <xf numFmtId="169" fontId="36" fillId="0" borderId="46" xfId="0" applyNumberFormat="1" applyFont="1" applyFill="1" applyBorder="1" applyAlignment="1">
      <alignment horizontal="center" vertical="center" wrapText="1"/>
    </xf>
    <xf numFmtId="169" fontId="36" fillId="0" borderId="33" xfId="0" applyNumberFormat="1" applyFont="1" applyFill="1" applyBorder="1" applyAlignment="1">
      <alignment horizontal="center" vertical="center" wrapText="1"/>
    </xf>
    <xf numFmtId="0" fontId="35" fillId="0" borderId="19" xfId="0" applyFont="1" applyFill="1" applyBorder="1" applyAlignment="1">
      <alignment horizontal="left" vertical="center" wrapText="1"/>
    </xf>
    <xf numFmtId="165" fontId="35" fillId="0" borderId="19" xfId="99" applyFont="1" applyFill="1" applyBorder="1" applyAlignment="1">
      <alignment horizontal="center" vertical="center"/>
    </xf>
    <xf numFmtId="10" fontId="35" fillId="0" borderId="21" xfId="120" applyNumberFormat="1" applyFont="1" applyBorder="1" applyAlignment="1">
      <alignment horizontal="center" vertical="center"/>
    </xf>
    <xf numFmtId="10" fontId="35" fillId="0" borderId="62" xfId="120" applyNumberFormat="1" applyFont="1" applyBorder="1" applyAlignment="1">
      <alignment horizontal="center" vertical="center"/>
    </xf>
    <xf numFmtId="10" fontId="35" fillId="0" borderId="50" xfId="120" applyNumberFormat="1" applyFont="1" applyBorder="1" applyAlignment="1">
      <alignment horizontal="center" vertical="center"/>
    </xf>
    <xf numFmtId="166" fontId="35" fillId="0" borderId="19" xfId="0" applyNumberFormat="1" applyFont="1" applyFill="1" applyBorder="1" applyAlignment="1">
      <alignment horizontal="left" vertical="center" wrapText="1"/>
    </xf>
    <xf numFmtId="0" fontId="31" fillId="0" borderId="32" xfId="105" applyFont="1" applyFill="1" applyBorder="1" applyAlignment="1">
      <alignment horizontal="left" vertical="center" wrapText="1" readingOrder="1"/>
    </xf>
    <xf numFmtId="0" fontId="31" fillId="0" borderId="29" xfId="105" applyFont="1" applyFill="1" applyBorder="1" applyAlignment="1">
      <alignment horizontal="left" vertical="center" wrapText="1" readingOrder="1"/>
    </xf>
    <xf numFmtId="0" fontId="31" fillId="0" borderId="30" xfId="105" applyFont="1" applyFill="1" applyBorder="1" applyAlignment="1">
      <alignment horizontal="left" vertical="center" wrapText="1" readingOrder="1"/>
    </xf>
    <xf numFmtId="0" fontId="34" fillId="0" borderId="39"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41" xfId="0" applyFont="1" applyBorder="1" applyAlignment="1">
      <alignment horizontal="center" vertical="center" wrapText="1"/>
    </xf>
    <xf numFmtId="0" fontId="33" fillId="0" borderId="65" xfId="0" applyFont="1" applyBorder="1" applyAlignment="1">
      <alignment horizontal="center" vertical="center"/>
    </xf>
    <xf numFmtId="0" fontId="33" fillId="0" borderId="58" xfId="0" applyFont="1" applyBorder="1" applyAlignment="1">
      <alignment horizontal="center" vertical="center"/>
    </xf>
    <xf numFmtId="0" fontId="33" fillId="0" borderId="44" xfId="0" applyFont="1" applyBorder="1" applyAlignment="1">
      <alignment horizontal="center" vertical="center"/>
    </xf>
    <xf numFmtId="0" fontId="33" fillId="0" borderId="59" xfId="0" applyFont="1" applyBorder="1" applyAlignment="1">
      <alignment horizontal="center" vertical="center"/>
    </xf>
    <xf numFmtId="0" fontId="33" fillId="0" borderId="43" xfId="0" applyFont="1" applyBorder="1" applyAlignment="1">
      <alignment horizontal="center" vertical="center"/>
    </xf>
    <xf numFmtId="0" fontId="33" fillId="0" borderId="41" xfId="0" applyFont="1" applyBorder="1" applyAlignment="1">
      <alignment horizontal="center" vertic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31" fillId="0" borderId="49" xfId="105" applyFont="1" applyFill="1" applyBorder="1" applyAlignment="1">
      <alignment horizontal="left" vertical="center" wrapText="1" readingOrder="1"/>
    </xf>
    <xf numFmtId="0" fontId="31" fillId="0" borderId="26" xfId="105" applyFont="1" applyFill="1" applyBorder="1" applyAlignment="1">
      <alignment horizontal="left" vertical="center" wrapText="1" readingOrder="1"/>
    </xf>
    <xf numFmtId="0" fontId="31" fillId="0" borderId="48" xfId="105" applyFont="1" applyFill="1" applyBorder="1" applyAlignment="1">
      <alignment horizontal="left" vertical="center" wrapText="1" readingOrder="1"/>
    </xf>
    <xf numFmtId="0" fontId="31" fillId="0" borderId="31" xfId="105" applyFont="1" applyFill="1" applyBorder="1" applyAlignment="1">
      <alignment horizontal="left" vertical="center" wrapText="1" readingOrder="1"/>
    </xf>
    <xf numFmtId="0" fontId="31" fillId="0" borderId="0" xfId="105" applyFont="1" applyFill="1" applyBorder="1" applyAlignment="1">
      <alignment horizontal="left" vertical="center" wrapText="1" readingOrder="1"/>
    </xf>
    <xf numFmtId="0" fontId="31" fillId="0" borderId="28" xfId="105" applyFont="1" applyFill="1" applyBorder="1" applyAlignment="1">
      <alignment horizontal="left" vertical="center" wrapText="1" readingOrder="1"/>
    </xf>
    <xf numFmtId="165" fontId="35" fillId="0" borderId="54" xfId="99" applyFont="1" applyFill="1" applyBorder="1" applyAlignment="1">
      <alignment horizontal="center" vertical="center"/>
    </xf>
    <xf numFmtId="10" fontId="35" fillId="0" borderId="69" xfId="120" applyNumberFormat="1" applyFont="1" applyBorder="1" applyAlignment="1">
      <alignment horizontal="center" vertical="center"/>
    </xf>
    <xf numFmtId="169" fontId="36" fillId="0" borderId="53" xfId="0" applyNumberFormat="1" applyFont="1" applyFill="1" applyBorder="1" applyAlignment="1">
      <alignment horizontal="center" vertical="center" wrapText="1"/>
    </xf>
    <xf numFmtId="169" fontId="36" fillId="0" borderId="20" xfId="0" applyNumberFormat="1" applyFont="1" applyFill="1" applyBorder="1" applyAlignment="1">
      <alignment horizontal="center" vertical="center" wrapText="1"/>
    </xf>
    <xf numFmtId="0" fontId="35" fillId="0" borderId="54" xfId="0" applyFont="1" applyFill="1" applyBorder="1" applyAlignment="1">
      <alignment horizontal="left" vertical="center" wrapText="1"/>
    </xf>
    <xf numFmtId="169" fontId="36" fillId="0" borderId="66" xfId="0" applyNumberFormat="1" applyFont="1" applyFill="1" applyBorder="1" applyAlignment="1">
      <alignment horizontal="center" vertical="center" wrapText="1"/>
    </xf>
    <xf numFmtId="0" fontId="35" fillId="0" borderId="56" xfId="0" applyFont="1" applyFill="1" applyBorder="1" applyAlignment="1">
      <alignment horizontal="left" vertical="center" wrapText="1"/>
    </xf>
    <xf numFmtId="165" fontId="35" fillId="34" borderId="19" xfId="99" applyFont="1" applyFill="1" applyBorder="1" applyAlignment="1">
      <alignment horizontal="center" vertical="center"/>
    </xf>
    <xf numFmtId="165" fontId="35" fillId="34" borderId="56" xfId="99" applyFont="1" applyFill="1" applyBorder="1" applyAlignment="1">
      <alignment horizontal="center" vertical="center"/>
    </xf>
    <xf numFmtId="10" fontId="35" fillId="0" borderId="57" xfId="120" applyNumberFormat="1" applyFont="1" applyBorder="1" applyAlignment="1">
      <alignment horizontal="center" vertical="center"/>
    </xf>
    <xf numFmtId="0" fontId="35" fillId="0" borderId="23" xfId="0" applyFont="1" applyFill="1" applyBorder="1" applyAlignment="1">
      <alignment horizontal="left" vertical="center" wrapText="1"/>
    </xf>
    <xf numFmtId="0" fontId="35" fillId="0" borderId="22" xfId="0" applyFont="1" applyFill="1" applyBorder="1" applyAlignment="1">
      <alignment horizontal="left" vertical="center" wrapText="1"/>
    </xf>
    <xf numFmtId="165" fontId="35" fillId="0" borderId="23" xfId="99" applyFont="1" applyFill="1" applyBorder="1" applyAlignment="1">
      <alignment horizontal="center" vertical="center"/>
    </xf>
    <xf numFmtId="165" fontId="35" fillId="0" borderId="22" xfId="99" applyFont="1" applyFill="1" applyBorder="1" applyAlignment="1">
      <alignment horizontal="center" vertical="center"/>
    </xf>
    <xf numFmtId="0" fontId="39" fillId="0" borderId="70" xfId="0" applyFont="1" applyFill="1" applyBorder="1" applyAlignment="1">
      <alignment horizontal="center"/>
    </xf>
    <xf numFmtId="0" fontId="39" fillId="0" borderId="51" xfId="0" applyFont="1" applyFill="1" applyBorder="1" applyAlignment="1">
      <alignment horizontal="center"/>
    </xf>
    <xf numFmtId="165" fontId="39" fillId="0" borderId="51" xfId="99" applyFont="1" applyFill="1" applyBorder="1" applyAlignment="1">
      <alignment horizontal="center"/>
    </xf>
    <xf numFmtId="0" fontId="39" fillId="0" borderId="61" xfId="0" applyFont="1" applyFill="1" applyBorder="1" applyAlignment="1">
      <alignment horizontal="center"/>
    </xf>
    <xf numFmtId="0" fontId="86" fillId="0" borderId="39" xfId="0" applyFont="1" applyFill="1" applyBorder="1" applyAlignment="1">
      <alignment horizontal="center" vertical="center" wrapText="1"/>
    </xf>
    <xf numFmtId="0" fontId="86" fillId="0" borderId="40" xfId="0" applyFont="1" applyFill="1" applyBorder="1" applyAlignment="1">
      <alignment horizontal="center" vertical="center" wrapText="1"/>
    </xf>
    <xf numFmtId="165" fontId="86" fillId="0" borderId="40" xfId="99" applyFont="1" applyFill="1" applyBorder="1" applyAlignment="1">
      <alignment horizontal="center" vertical="center" wrapText="1"/>
    </xf>
    <xf numFmtId="0" fontId="86" fillId="0" borderId="41" xfId="0" applyFont="1" applyFill="1" applyBorder="1" applyAlignment="1">
      <alignment horizontal="center" vertical="center" wrapText="1"/>
    </xf>
    <xf numFmtId="0" fontId="31" fillId="0" borderId="53" xfId="105" applyFont="1" applyFill="1" applyBorder="1" applyAlignment="1">
      <alignment horizontal="left" vertical="center" readingOrder="1"/>
    </xf>
    <xf numFmtId="0" fontId="31" fillId="0" borderId="54" xfId="105" applyFont="1" applyFill="1" applyBorder="1" applyAlignment="1">
      <alignment horizontal="left" vertical="center" readingOrder="1"/>
    </xf>
    <xf numFmtId="165" fontId="31" fillId="0" borderId="54" xfId="99" applyFont="1" applyFill="1" applyBorder="1" applyAlignment="1">
      <alignment horizontal="left" vertical="center" readingOrder="1"/>
    </xf>
    <xf numFmtId="0" fontId="31" fillId="0" borderId="69" xfId="105" applyFont="1" applyFill="1" applyBorder="1" applyAlignment="1">
      <alignment horizontal="left" vertical="center" readingOrder="1"/>
    </xf>
    <xf numFmtId="0" fontId="31" fillId="0" borderId="20" xfId="105" applyFont="1" applyFill="1" applyBorder="1" applyAlignment="1">
      <alignment horizontal="left" vertical="center" readingOrder="1"/>
    </xf>
    <xf numFmtId="0" fontId="31" fillId="0" borderId="19" xfId="105" applyFont="1" applyFill="1" applyBorder="1" applyAlignment="1">
      <alignment horizontal="left" vertical="center" readingOrder="1"/>
    </xf>
    <xf numFmtId="165" fontId="31" fillId="0" borderId="19" xfId="99" applyFont="1" applyFill="1" applyBorder="1" applyAlignment="1">
      <alignment horizontal="left" vertical="center" readingOrder="1"/>
    </xf>
    <xf numFmtId="0" fontId="31" fillId="0" borderId="21" xfId="105" applyFont="1" applyFill="1" applyBorder="1" applyAlignment="1">
      <alignment horizontal="left" vertical="center" readingOrder="1"/>
    </xf>
    <xf numFmtId="0" fontId="31" fillId="0" borderId="55" xfId="105" applyFont="1" applyFill="1" applyBorder="1" applyAlignment="1">
      <alignment horizontal="left" vertical="center" readingOrder="1"/>
    </xf>
    <xf numFmtId="0" fontId="31" fillId="0" borderId="56" xfId="105" applyFont="1" applyFill="1" applyBorder="1" applyAlignment="1">
      <alignment horizontal="left" vertical="center" readingOrder="1"/>
    </xf>
    <xf numFmtId="165" fontId="31" fillId="0" borderId="56" xfId="99" applyFont="1" applyFill="1" applyBorder="1" applyAlignment="1">
      <alignment horizontal="left" vertical="center" readingOrder="1"/>
    </xf>
    <xf numFmtId="0" fontId="31" fillId="0" borderId="57" xfId="105" applyFont="1" applyFill="1" applyBorder="1" applyAlignment="1">
      <alignment horizontal="left" vertical="center" readingOrder="1"/>
    </xf>
    <xf numFmtId="0" fontId="68" fillId="33" borderId="20" xfId="0" applyFont="1" applyFill="1" applyBorder="1" applyAlignment="1">
      <alignment horizontal="right" vertical="center" wrapText="1"/>
    </xf>
    <xf numFmtId="0" fontId="68" fillId="33" borderId="19" xfId="0" applyFont="1" applyFill="1" applyBorder="1" applyAlignment="1">
      <alignment horizontal="right" vertical="center" wrapText="1"/>
    </xf>
    <xf numFmtId="0" fontId="0" fillId="0" borderId="19" xfId="0" applyBorder="1"/>
    <xf numFmtId="165" fontId="0" fillId="0" borderId="19" xfId="99" applyFont="1" applyBorder="1"/>
    <xf numFmtId="0" fontId="68" fillId="38" borderId="65" xfId="0" applyNumberFormat="1" applyFont="1" applyFill="1" applyBorder="1" applyAlignment="1">
      <alignment horizontal="right" vertical="center"/>
    </xf>
    <xf numFmtId="0" fontId="68" fillId="38" borderId="76" xfId="0" applyNumberFormat="1" applyFont="1" applyFill="1" applyBorder="1" applyAlignment="1">
      <alignment horizontal="right" vertical="center"/>
    </xf>
    <xf numFmtId="0" fontId="68" fillId="38" borderId="77" xfId="0" applyNumberFormat="1" applyFont="1" applyFill="1" applyBorder="1" applyAlignment="1">
      <alignment horizontal="right" vertical="center"/>
    </xf>
    <xf numFmtId="0" fontId="68" fillId="38" borderId="34" xfId="0" applyNumberFormat="1" applyFont="1" applyFill="1" applyBorder="1" applyAlignment="1">
      <alignment horizontal="right" vertical="center"/>
    </xf>
    <xf numFmtId="0" fontId="68" fillId="38" borderId="35" xfId="0" applyNumberFormat="1" applyFont="1" applyFill="1" applyBorder="1" applyAlignment="1">
      <alignment horizontal="right" vertical="center"/>
    </xf>
    <xf numFmtId="0" fontId="68" fillId="38" borderId="36" xfId="0" applyNumberFormat="1" applyFont="1" applyFill="1" applyBorder="1" applyAlignment="1">
      <alignment horizontal="right" vertical="center"/>
    </xf>
    <xf numFmtId="0" fontId="68" fillId="35" borderId="60" xfId="0" applyFont="1" applyFill="1" applyBorder="1" applyAlignment="1">
      <alignment horizontal="center" vertical="center" wrapText="1"/>
    </xf>
    <xf numFmtId="0" fontId="68" fillId="35" borderId="71" xfId="0" applyFont="1" applyFill="1" applyBorder="1" applyAlignment="1">
      <alignment horizontal="center" vertical="center" wrapText="1"/>
    </xf>
    <xf numFmtId="0" fontId="68" fillId="33" borderId="55" xfId="0" applyFont="1" applyFill="1" applyBorder="1" applyAlignment="1">
      <alignment horizontal="right" vertical="center" wrapText="1"/>
    </xf>
    <xf numFmtId="0" fontId="68" fillId="33" borderId="56" xfId="0" applyFont="1" applyFill="1" applyBorder="1" applyAlignment="1">
      <alignment horizontal="right" vertical="center" wrapText="1"/>
    </xf>
    <xf numFmtId="10" fontId="35" fillId="0" borderId="78" xfId="120" applyNumberFormat="1" applyFont="1" applyBorder="1" applyAlignment="1">
      <alignment horizontal="center" vertical="center"/>
    </xf>
    <xf numFmtId="10" fontId="35" fillId="0" borderId="79" xfId="120" applyNumberFormat="1" applyFont="1" applyBorder="1" applyAlignment="1">
      <alignment horizontal="center" vertical="center"/>
    </xf>
    <xf numFmtId="0" fontId="35" fillId="0" borderId="78" xfId="0" applyFont="1" applyFill="1" applyBorder="1" applyAlignment="1">
      <alignment horizontal="left" vertical="center" wrapText="1"/>
    </xf>
    <xf numFmtId="165" fontId="35" fillId="0" borderId="68" xfId="99" applyFont="1" applyFill="1" applyBorder="1" applyAlignment="1">
      <alignment horizontal="center" vertical="center"/>
    </xf>
    <xf numFmtId="169" fontId="36" fillId="0" borderId="59" xfId="0" applyNumberFormat="1" applyFont="1" applyFill="1" applyBorder="1" applyAlignment="1">
      <alignment horizontal="center" vertical="center" wrapText="1"/>
    </xf>
    <xf numFmtId="169" fontId="36" fillId="0" borderId="67" xfId="0" applyNumberFormat="1" applyFont="1" applyFill="1" applyBorder="1" applyAlignment="1">
      <alignment horizontal="center" vertical="center" wrapText="1"/>
    </xf>
    <xf numFmtId="0" fontId="35" fillId="0" borderId="79" xfId="0" applyFont="1" applyFill="1" applyBorder="1" applyAlignment="1">
      <alignment horizontal="left" vertical="center" wrapText="1"/>
    </xf>
    <xf numFmtId="165" fontId="35" fillId="34" borderId="68" xfId="99" applyFont="1" applyFill="1" applyBorder="1" applyAlignment="1">
      <alignment horizontal="center" vertical="center"/>
    </xf>
    <xf numFmtId="165" fontId="35" fillId="34" borderId="80" xfId="99" applyFont="1" applyFill="1" applyBorder="1" applyAlignment="1">
      <alignment horizontal="center" vertical="center"/>
    </xf>
    <xf numFmtId="10" fontId="35" fillId="0" borderId="44" xfId="120" applyNumberFormat="1" applyFont="1" applyBorder="1" applyAlignment="1">
      <alignment horizontal="center" vertical="center"/>
    </xf>
    <xf numFmtId="169" fontId="36" fillId="0" borderId="44" xfId="0" applyNumberFormat="1" applyFont="1" applyFill="1" applyBorder="1" applyAlignment="1">
      <alignment horizontal="center" vertical="center" wrapText="1"/>
    </xf>
    <xf numFmtId="169" fontId="36" fillId="0" borderId="78" xfId="0" applyNumberFormat="1" applyFont="1" applyFill="1" applyBorder="1" applyAlignment="1">
      <alignment horizontal="center" vertical="center" wrapText="1"/>
    </xf>
    <xf numFmtId="169" fontId="36" fillId="0" borderId="74" xfId="0" applyNumberFormat="1" applyFont="1" applyFill="1" applyBorder="1" applyAlignment="1">
      <alignment horizontal="center" vertical="center" wrapText="1"/>
    </xf>
    <xf numFmtId="0" fontId="35" fillId="0" borderId="44" xfId="0" applyFont="1" applyFill="1" applyBorder="1" applyAlignment="1">
      <alignment horizontal="left" vertical="center" wrapText="1"/>
    </xf>
    <xf numFmtId="165" fontId="35" fillId="0" borderId="65" xfId="99" applyFont="1" applyFill="1" applyBorder="1" applyAlignment="1">
      <alignment horizontal="center" vertical="center"/>
    </xf>
    <xf numFmtId="165" fontId="35" fillId="0" borderId="58" xfId="99" applyFont="1" applyFill="1" applyBorder="1" applyAlignment="1">
      <alignment horizontal="center" vertical="center"/>
    </xf>
    <xf numFmtId="165" fontId="35" fillId="0" borderId="42" xfId="99" applyFont="1" applyFill="1" applyBorder="1" applyAlignment="1">
      <alignment horizontal="center" vertical="center"/>
    </xf>
    <xf numFmtId="0" fontId="35" fillId="0" borderId="59" xfId="0" applyFont="1" applyFill="1" applyBorder="1" applyAlignment="1">
      <alignment horizontal="left" vertical="center" wrapText="1"/>
    </xf>
    <xf numFmtId="0" fontId="35" fillId="0" borderId="74" xfId="0" applyFont="1" applyFill="1" applyBorder="1" applyAlignment="1">
      <alignment horizontal="left" vertical="center" wrapText="1"/>
    </xf>
    <xf numFmtId="0" fontId="36" fillId="40" borderId="34" xfId="0" applyFont="1" applyFill="1" applyBorder="1" applyAlignment="1">
      <alignment horizontal="right" wrapText="1"/>
    </xf>
    <xf numFmtId="0" fontId="36" fillId="40" borderId="36" xfId="0" applyFont="1" applyFill="1" applyBorder="1" applyAlignment="1">
      <alignment horizontal="right" wrapText="1"/>
    </xf>
    <xf numFmtId="166" fontId="35" fillId="0" borderId="78" xfId="0" applyNumberFormat="1" applyFont="1" applyFill="1" applyBorder="1" applyAlignment="1">
      <alignment horizontal="left" vertical="center" wrapText="1"/>
    </xf>
    <xf numFmtId="0" fontId="36" fillId="40" borderId="34" xfId="0" applyFont="1" applyFill="1" applyBorder="1" applyAlignment="1">
      <alignment horizontal="right"/>
    </xf>
    <xf numFmtId="0" fontId="36" fillId="40" borderId="36" xfId="0" applyFont="1" applyFill="1" applyBorder="1" applyAlignment="1">
      <alignment horizontal="right"/>
    </xf>
    <xf numFmtId="165" fontId="35" fillId="0" borderId="49" xfId="99" applyFont="1" applyBorder="1" applyAlignment="1">
      <alignment horizontal="center"/>
    </xf>
    <xf numFmtId="165" fontId="35" fillId="0" borderId="48" xfId="99" applyFont="1" applyBorder="1" applyAlignment="1">
      <alignment horizontal="center"/>
    </xf>
    <xf numFmtId="165" fontId="35" fillId="0" borderId="32" xfId="99" applyFont="1" applyBorder="1" applyAlignment="1">
      <alignment horizontal="center"/>
    </xf>
    <xf numFmtId="165" fontId="35" fillId="0" borderId="30" xfId="99" applyFont="1" applyBorder="1" applyAlignment="1">
      <alignment horizontal="center"/>
    </xf>
    <xf numFmtId="0" fontId="31" fillId="0" borderId="45" xfId="0" applyFont="1" applyBorder="1" applyAlignment="1">
      <alignment horizontal="center" vertical="center"/>
    </xf>
    <xf numFmtId="0" fontId="31" fillId="0" borderId="75" xfId="0" applyFont="1" applyBorder="1" applyAlignment="1">
      <alignment horizontal="center" vertical="center"/>
    </xf>
    <xf numFmtId="0" fontId="31" fillId="0" borderId="34" xfId="105" applyFont="1" applyFill="1" applyBorder="1" applyAlignment="1">
      <alignment horizontal="left" vertical="center" readingOrder="1"/>
    </xf>
    <xf numFmtId="0" fontId="31" fillId="0" borderId="35" xfId="105" applyFont="1" applyFill="1" applyBorder="1" applyAlignment="1">
      <alignment horizontal="left" vertical="center" readingOrder="1"/>
    </xf>
    <xf numFmtId="0" fontId="31" fillId="0" borderId="36" xfId="105" applyFont="1" applyFill="1" applyBorder="1" applyAlignment="1">
      <alignment horizontal="left" vertical="center" readingOrder="1"/>
    </xf>
    <xf numFmtId="0" fontId="31" fillId="0" borderId="34" xfId="105" applyFont="1" applyFill="1" applyBorder="1" applyAlignment="1">
      <alignment horizontal="center" vertical="center" readingOrder="1"/>
    </xf>
    <xf numFmtId="0" fontId="31" fillId="0" borderId="35" xfId="105" applyFont="1" applyFill="1" applyBorder="1" applyAlignment="1">
      <alignment horizontal="center" vertical="center" readingOrder="1"/>
    </xf>
    <xf numFmtId="0" fontId="31" fillId="0" borderId="36" xfId="105" applyFont="1" applyFill="1" applyBorder="1" applyAlignment="1">
      <alignment horizontal="center" vertical="center" readingOrder="1"/>
    </xf>
    <xf numFmtId="0" fontId="34" fillId="0" borderId="34" xfId="0" applyFont="1" applyBorder="1" applyAlignment="1">
      <alignment horizontal="center" vertical="center" wrapText="1"/>
    </xf>
    <xf numFmtId="0" fontId="34" fillId="0" borderId="35" xfId="0" applyFont="1" applyBorder="1" applyAlignment="1">
      <alignment horizontal="center" vertical="center" wrapText="1"/>
    </xf>
    <xf numFmtId="0" fontId="80" fillId="34" borderId="20" xfId="0" applyFont="1" applyFill="1" applyBorder="1" applyAlignment="1" applyProtection="1">
      <alignment horizontal="left" vertical="center" wrapText="1"/>
    </xf>
    <xf numFmtId="0" fontId="80" fillId="34" borderId="19" xfId="0" applyFont="1" applyFill="1" applyBorder="1" applyAlignment="1" applyProtection="1">
      <alignment horizontal="left" vertical="center" wrapText="1"/>
    </xf>
    <xf numFmtId="0" fontId="80" fillId="34" borderId="21" xfId="0" applyFont="1" applyFill="1" applyBorder="1" applyAlignment="1" applyProtection="1">
      <alignment horizontal="left" vertical="center" wrapText="1"/>
    </xf>
    <xf numFmtId="0" fontId="71" fillId="0" borderId="49" xfId="0" applyFont="1" applyBorder="1" applyAlignment="1">
      <alignment horizontal="center" vertical="center"/>
    </xf>
    <xf numFmtId="0" fontId="71" fillId="0" borderId="26" xfId="0" applyFont="1" applyBorder="1" applyAlignment="1">
      <alignment horizontal="center" vertical="center"/>
    </xf>
    <xf numFmtId="0" fontId="71" fillId="0" borderId="48" xfId="0" applyFont="1" applyBorder="1" applyAlignment="1">
      <alignment horizontal="center" vertical="center"/>
    </xf>
    <xf numFmtId="0" fontId="71" fillId="0" borderId="31" xfId="0" applyFont="1" applyBorder="1" applyAlignment="1">
      <alignment horizontal="center" vertical="center"/>
    </xf>
    <xf numFmtId="0" fontId="71" fillId="0" borderId="0" xfId="0" applyFont="1" applyBorder="1" applyAlignment="1">
      <alignment horizontal="center" vertical="center"/>
    </xf>
    <xf numFmtId="0" fontId="71" fillId="0" borderId="28" xfId="0" applyFont="1" applyBorder="1" applyAlignment="1">
      <alignment horizontal="center" vertical="center"/>
    </xf>
    <xf numFmtId="0" fontId="71" fillId="0" borderId="42" xfId="0" applyFont="1" applyBorder="1" applyAlignment="1">
      <alignment horizontal="center" vertical="center"/>
    </xf>
    <xf numFmtId="0" fontId="71" fillId="0" borderId="37" xfId="0" applyFont="1" applyBorder="1" applyAlignment="1">
      <alignment horizontal="center" vertical="center"/>
    </xf>
    <xf numFmtId="0" fontId="71" fillId="0" borderId="63" xfId="0" applyFont="1" applyBorder="1" applyAlignment="1">
      <alignment horizontal="center" vertical="center"/>
    </xf>
    <xf numFmtId="0" fontId="72" fillId="36" borderId="20" xfId="0" applyFont="1" applyFill="1" applyBorder="1" applyAlignment="1">
      <alignment horizontal="center" vertical="center" wrapText="1"/>
    </xf>
    <xf numFmtId="0" fontId="72" fillId="36" borderId="19" xfId="0" applyFont="1" applyFill="1" applyBorder="1" applyAlignment="1">
      <alignment horizontal="center" vertical="center" wrapText="1"/>
    </xf>
    <xf numFmtId="0" fontId="72" fillId="34" borderId="20" xfId="0" applyFont="1" applyFill="1" applyBorder="1" applyAlignment="1">
      <alignment horizontal="center" vertical="center"/>
    </xf>
    <xf numFmtId="0" fontId="72" fillId="34" borderId="19" xfId="0" applyFont="1" applyFill="1" applyBorder="1" applyAlignment="1">
      <alignment horizontal="center" vertical="center"/>
    </xf>
    <xf numFmtId="0" fontId="14" fillId="0" borderId="34" xfId="0" applyFont="1" applyFill="1" applyBorder="1" applyAlignment="1">
      <alignment horizontal="center" vertical="center"/>
    </xf>
    <xf numFmtId="0" fontId="14" fillId="0" borderId="35" xfId="0" applyFont="1" applyFill="1" applyBorder="1" applyAlignment="1">
      <alignment horizontal="center" vertical="center"/>
    </xf>
    <xf numFmtId="0" fontId="14" fillId="0" borderId="36" xfId="0" applyFont="1" applyFill="1" applyBorder="1" applyAlignment="1">
      <alignment horizontal="center" vertical="center"/>
    </xf>
    <xf numFmtId="0" fontId="30" fillId="0" borderId="34" xfId="0" applyFont="1" applyBorder="1" applyAlignment="1">
      <alignment horizontal="center" vertical="center"/>
    </xf>
    <xf numFmtId="0" fontId="30" fillId="0" borderId="35" xfId="0" applyFont="1" applyBorder="1" applyAlignment="1">
      <alignment horizontal="center" vertical="center"/>
    </xf>
    <xf numFmtId="0" fontId="30" fillId="0" borderId="36" xfId="0" applyFont="1" applyBorder="1" applyAlignment="1">
      <alignment horizontal="center" vertical="center"/>
    </xf>
    <xf numFmtId="0" fontId="30" fillId="0" borderId="45" xfId="0" applyFont="1" applyBorder="1" applyAlignment="1">
      <alignment horizontal="center" vertical="center" wrapText="1"/>
    </xf>
    <xf numFmtId="0" fontId="30" fillId="0" borderId="67" xfId="0" applyFont="1" applyBorder="1" applyAlignment="1">
      <alignment horizontal="center" vertical="center" wrapText="1"/>
    </xf>
    <xf numFmtId="171" fontId="30" fillId="0" borderId="45" xfId="0" applyNumberFormat="1" applyFont="1" applyBorder="1" applyAlignment="1">
      <alignment horizontal="center" vertical="center"/>
    </xf>
    <xf numFmtId="171" fontId="30" fillId="0" borderId="67" xfId="0" applyNumberFormat="1" applyFont="1" applyBorder="1" applyAlignment="1">
      <alignment horizontal="center" vertical="center"/>
    </xf>
    <xf numFmtId="165" fontId="30" fillId="0" borderId="45" xfId="99" applyFont="1" applyBorder="1" applyAlignment="1">
      <alignment horizontal="center" vertical="center"/>
    </xf>
    <xf numFmtId="165" fontId="30" fillId="0" borderId="67" xfId="99" applyFont="1" applyBorder="1" applyAlignment="1">
      <alignment horizontal="center" vertical="center"/>
    </xf>
    <xf numFmtId="0" fontId="30" fillId="0" borderId="31" xfId="105" applyFont="1" applyFill="1" applyBorder="1" applyAlignment="1">
      <alignment horizontal="left" vertical="center"/>
    </xf>
    <xf numFmtId="0" fontId="30" fillId="0" borderId="0" xfId="105" applyFont="1" applyFill="1" applyBorder="1" applyAlignment="1">
      <alignment horizontal="left" vertical="center"/>
    </xf>
    <xf numFmtId="0" fontId="30" fillId="0" borderId="28" xfId="105" applyFont="1" applyFill="1" applyBorder="1" applyAlignment="1">
      <alignment horizontal="left" vertical="center"/>
    </xf>
    <xf numFmtId="0" fontId="118" fillId="52" borderId="85" xfId="284" applyFont="1" applyFill="1" applyBorder="1" applyAlignment="1">
      <alignment horizontal="left" vertical="top" wrapText="1"/>
    </xf>
    <xf numFmtId="0" fontId="116" fillId="54" borderId="85" xfId="284" applyFont="1" applyFill="1" applyBorder="1" applyAlignment="1">
      <alignment horizontal="left" vertical="top" wrapText="1"/>
    </xf>
    <xf numFmtId="0" fontId="116" fillId="53" borderId="85" xfId="284" applyFont="1" applyFill="1" applyBorder="1" applyAlignment="1">
      <alignment horizontal="left" vertical="top" wrapText="1"/>
    </xf>
    <xf numFmtId="0" fontId="119" fillId="51" borderId="0" xfId="284" applyFont="1" applyFill="1" applyAlignment="1">
      <alignment horizontal="left" vertical="top" wrapText="1"/>
    </xf>
    <xf numFmtId="0" fontId="117" fillId="51" borderId="0" xfId="284" applyFont="1" applyFill="1" applyAlignment="1">
      <alignment horizontal="left" vertical="top" wrapText="1"/>
    </xf>
    <xf numFmtId="0" fontId="119" fillId="51" borderId="0" xfId="284" applyFont="1" applyFill="1" applyAlignment="1">
      <alignment horizontal="center" wrapText="1"/>
    </xf>
    <xf numFmtId="0" fontId="107" fillId="0" borderId="0" xfId="284"/>
    <xf numFmtId="0" fontId="119" fillId="51" borderId="85" xfId="284" applyFont="1" applyFill="1" applyBorder="1" applyAlignment="1">
      <alignment horizontal="left" vertical="top" wrapText="1"/>
    </xf>
    <xf numFmtId="0" fontId="116" fillId="51" borderId="0" xfId="284" applyFont="1" applyFill="1" applyAlignment="1">
      <alignment horizontal="right" vertical="top" wrapText="1"/>
    </xf>
    <xf numFmtId="0" fontId="116" fillId="51" borderId="0" xfId="284" applyFont="1" applyFill="1" applyAlignment="1">
      <alignment horizontal="center" vertical="top" wrapText="1"/>
    </xf>
    <xf numFmtId="0" fontId="117" fillId="51" borderId="0" xfId="284" applyFont="1" applyFill="1" applyAlignment="1">
      <alignment horizontal="right" vertical="top" wrapText="1"/>
    </xf>
    <xf numFmtId="4" fontId="117" fillId="51" borderId="0" xfId="284" applyNumberFormat="1" applyFont="1" applyFill="1" applyAlignment="1">
      <alignment horizontal="right" vertical="top" wrapText="1"/>
    </xf>
    <xf numFmtId="0" fontId="93" fillId="0" borderId="47" xfId="106" applyFont="1" applyBorder="1" applyAlignment="1">
      <alignment horizontal="center"/>
    </xf>
    <xf numFmtId="0" fontId="93" fillId="0" borderId="0" xfId="106" applyFont="1" applyAlignment="1">
      <alignment horizontal="center"/>
    </xf>
  </cellXfs>
  <cellStyles count="465">
    <cellStyle name="_x000d__x000a_JournalTemplate=C:\COMFO\CTALK\JOURSTD.TPL_x000d__x000a_LbStateAddress=3 3 0 251 1 89 2 311_x000d__x000a_LbStateJou" xfId="162"/>
    <cellStyle name="20% - Accent1" xfId="1"/>
    <cellStyle name="20% - Accent1 2" xfId="163"/>
    <cellStyle name="20% - Accent2" xfId="2"/>
    <cellStyle name="20% - Accent2 2" xfId="164"/>
    <cellStyle name="20% - Accent3" xfId="3"/>
    <cellStyle name="20% - Accent3 2" xfId="165"/>
    <cellStyle name="20% - Accent4" xfId="4"/>
    <cellStyle name="20% - Accent4 2" xfId="166"/>
    <cellStyle name="20% - Accent5" xfId="5"/>
    <cellStyle name="20% - Accent5 2" xfId="167"/>
    <cellStyle name="20% - Accent6" xfId="6"/>
    <cellStyle name="20% - Accent6 2" xfId="168"/>
    <cellStyle name="20% - Ênfase1" xfId="7" builtinId="30" customBuiltin="1"/>
    <cellStyle name="20% - Ênfase1 100" xfId="169"/>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170"/>
    <cellStyle name="40% - Accent2" xfId="20"/>
    <cellStyle name="40% - Accent2 2" xfId="171"/>
    <cellStyle name="40% - Accent3" xfId="21"/>
    <cellStyle name="40% - Accent3 2" xfId="172"/>
    <cellStyle name="40% - Accent4" xfId="22"/>
    <cellStyle name="40% - Accent4 2" xfId="173"/>
    <cellStyle name="40% - Accent5" xfId="23"/>
    <cellStyle name="40% - Accent5 2" xfId="174"/>
    <cellStyle name="40% - Accent6" xfId="24"/>
    <cellStyle name="40% - Accent6 2" xfId="175"/>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176"/>
    <cellStyle name="60% - Accent2" xfId="38"/>
    <cellStyle name="60% - Accent2 2" xfId="177"/>
    <cellStyle name="60% - Accent3" xfId="39"/>
    <cellStyle name="60% - Accent3 2" xfId="178"/>
    <cellStyle name="60% - Accent4" xfId="40"/>
    <cellStyle name="60% - Accent4 2" xfId="179"/>
    <cellStyle name="60% - Accent5" xfId="41"/>
    <cellStyle name="60% - Accent5 2" xfId="180"/>
    <cellStyle name="60% - Accent6" xfId="42"/>
    <cellStyle name="60% - Accent6 2" xfId="181"/>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82"/>
    <cellStyle name="Accent1" xfId="55"/>
    <cellStyle name="Accent1 2" xfId="183"/>
    <cellStyle name="Accent2" xfId="56"/>
    <cellStyle name="Accent2 2" xfId="184"/>
    <cellStyle name="Accent3" xfId="57"/>
    <cellStyle name="Accent3 2" xfId="185"/>
    <cellStyle name="Accent4" xfId="58"/>
    <cellStyle name="Accent4 2" xfId="186"/>
    <cellStyle name="Accent5" xfId="59"/>
    <cellStyle name="Accent5 2" xfId="187"/>
    <cellStyle name="Accent6" xfId="60"/>
    <cellStyle name="Accent6 2" xfId="188"/>
    <cellStyle name="Bad" xfId="61"/>
    <cellStyle name="Bad 2" xfId="189"/>
    <cellStyle name="Bom" xfId="62" builtinId="26" customBuiltin="1"/>
    <cellStyle name="Bom 2" xfId="63"/>
    <cellStyle name="Calculation" xfId="64"/>
    <cellStyle name="Calculation 2" xfId="190"/>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191"/>
    <cellStyle name="Comma0" xfId="72"/>
    <cellStyle name="Comma0 2" xfId="192"/>
    <cellStyle name="CORES" xfId="193"/>
    <cellStyle name="Currency [0]_Arauco Piping list" xfId="194"/>
    <cellStyle name="Currency_Arauco Piping list" xfId="195"/>
    <cellStyle name="Currency0" xfId="73"/>
    <cellStyle name="Currency0 2" xfId="196"/>
    <cellStyle name="Data" xfId="197"/>
    <cellStyle name="Date" xfId="198"/>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99"/>
    <cellStyle name="Excel Built-in Excel Built-in Excel Built-in Excel Built-in Excel Built-in Excel Built-in Excel Built-in Separador de milhares 4" xfId="200"/>
    <cellStyle name="Excel Built-in Normal" xfId="88"/>
    <cellStyle name="Excel Built-in Normal 1" xfId="201"/>
    <cellStyle name="Excel Built-in Normal 2" xfId="202"/>
    <cellStyle name="Excel Built-in Normal 3" xfId="203"/>
    <cellStyle name="Excel Built-in Normal 4" xfId="204"/>
    <cellStyle name="Excel_BuiltIn_Comma" xfId="205"/>
    <cellStyle name="Explanatory Text" xfId="89"/>
    <cellStyle name="Explanatory Text 2" xfId="206"/>
    <cellStyle name="Fixed" xfId="207"/>
    <cellStyle name="Fixo" xfId="208"/>
    <cellStyle name="Followed Hyperlink" xfId="209"/>
    <cellStyle name="Good" xfId="90"/>
    <cellStyle name="Grey" xfId="210"/>
    <cellStyle name="Heading" xfId="211"/>
    <cellStyle name="Heading 1" xfId="91"/>
    <cellStyle name="Heading 1 2" xfId="212"/>
    <cellStyle name="Heading 2" xfId="92"/>
    <cellStyle name="Heading 2 2" xfId="213"/>
    <cellStyle name="Heading 3" xfId="93"/>
    <cellStyle name="Heading 3 2" xfId="214"/>
    <cellStyle name="Heading 4" xfId="94"/>
    <cellStyle name="Heading 4 2" xfId="215"/>
    <cellStyle name="Heading1" xfId="216"/>
    <cellStyle name="Hiperlink 2" xfId="217"/>
    <cellStyle name="Incorreto" xfId="95" builtinId="27" customBuiltin="1"/>
    <cellStyle name="Incorreto 2" xfId="96"/>
    <cellStyle name="Indefinido" xfId="218"/>
    <cellStyle name="Input" xfId="97"/>
    <cellStyle name="Input [yellow]" xfId="219"/>
    <cellStyle name="Linked Cell" xfId="98"/>
    <cellStyle name="material" xfId="220"/>
    <cellStyle name="MINIPG" xfId="221"/>
    <cellStyle name="Moeda" xfId="99" builtinId="4"/>
    <cellStyle name="Moeda 2" xfId="100"/>
    <cellStyle name="Moeda 2 2" xfId="156"/>
    <cellStyle name="Moeda 2 2 2" xfId="222"/>
    <cellStyle name="Moeda 2 2 3" xfId="223"/>
    <cellStyle name="Moeda 2 2 4" xfId="429"/>
    <cellStyle name="Moeda 2 3" xfId="224"/>
    <cellStyle name="Moeda 2 3 2" xfId="225"/>
    <cellStyle name="Moeda 2 3 3" xfId="439"/>
    <cellStyle name="Moeda 2 4" xfId="226"/>
    <cellStyle name="Moeda 2 5" xfId="227"/>
    <cellStyle name="Moeda 2 6" xfId="422"/>
    <cellStyle name="Moeda 3" xfId="101"/>
    <cellStyle name="Moeda 3 2" xfId="228"/>
    <cellStyle name="Moeda 3 2 2" xfId="229"/>
    <cellStyle name="Moeda 3 2 3" xfId="461"/>
    <cellStyle name="Moeda 3 3" xfId="230"/>
    <cellStyle name="Moeda 3 4" xfId="231"/>
    <cellStyle name="Moeda 3 5" xfId="423"/>
    <cellStyle name="Moeda 4" xfId="147"/>
    <cellStyle name="Moeda 4 2" xfId="232"/>
    <cellStyle name="Moeda 4 2 2" xfId="233"/>
    <cellStyle name="Moeda 4 2 3" xfId="234"/>
    <cellStyle name="Moeda 4 2 4" xfId="462"/>
    <cellStyle name="Moeda 4 3" xfId="235"/>
    <cellStyle name="Moeda 5" xfId="150"/>
    <cellStyle name="Moeda 5 2" xfId="236"/>
    <cellStyle name="Moeda 5 3" xfId="237"/>
    <cellStyle name="Moeda 6" xfId="238"/>
    <cellStyle name="Moeda 6 2" xfId="239"/>
    <cellStyle name="Moeda 6 3" xfId="460"/>
    <cellStyle name="Moeda 7" xfId="240"/>
    <cellStyle name="Neutra" xfId="102" builtinId="28" customBuiltin="1"/>
    <cellStyle name="Neutra 2" xfId="103"/>
    <cellStyle name="Neutral" xfId="104"/>
    <cellStyle name="Normal" xfId="0" builtinId="0"/>
    <cellStyle name="Normal - Style1" xfId="241"/>
    <cellStyle name="Normal 10" xfId="161"/>
    <cellStyle name="Normal 11" xfId="146"/>
    <cellStyle name="Normal 11 2" xfId="242"/>
    <cellStyle name="Normal 12" xfId="243"/>
    <cellStyle name="Normal 13" xfId="244"/>
    <cellStyle name="Normal 13 2" xfId="245"/>
    <cellStyle name="Normal 13 3" xfId="246"/>
    <cellStyle name="Normal 13 4" xfId="451"/>
    <cellStyle name="Normal 14" xfId="247"/>
    <cellStyle name="Normal 14 2" xfId="248"/>
    <cellStyle name="Normal 14 3" xfId="249"/>
    <cellStyle name="Normal 14 4" xfId="453"/>
    <cellStyle name="Normal 15" xfId="250"/>
    <cellStyle name="Normal 16" xfId="251"/>
    <cellStyle name="Normal 16 2" xfId="252"/>
    <cellStyle name="Normal 16 3" xfId="253"/>
    <cellStyle name="Normal 16 4" xfId="456"/>
    <cellStyle name="Normal 17" xfId="254"/>
    <cellStyle name="Normal 18" xfId="255"/>
    <cellStyle name="Normal 180" xfId="256"/>
    <cellStyle name="Normal 181" xfId="158"/>
    <cellStyle name="Normal 19" xfId="257"/>
    <cellStyle name="Normal 2" xfId="105"/>
    <cellStyle name="Normal 2 2" xfId="258"/>
    <cellStyle name="Normal 2 2 2" xfId="259"/>
    <cellStyle name="Normal 20" xfId="260"/>
    <cellStyle name="Normal 21" xfId="149"/>
    <cellStyle name="Normal 22" xfId="261"/>
    <cellStyle name="Normal 23" xfId="262"/>
    <cellStyle name="Normal 24" xfId="263"/>
    <cellStyle name="Normal 25" xfId="264"/>
    <cellStyle name="Normal 26" xfId="265"/>
    <cellStyle name="Normal 27" xfId="266"/>
    <cellStyle name="Normal 28" xfId="267"/>
    <cellStyle name="Normal 29" xfId="268"/>
    <cellStyle name="Normal 3" xfId="145"/>
    <cellStyle name="Normal 3 2" xfId="154"/>
    <cellStyle name="Normal 3 2 2" xfId="269"/>
    <cellStyle name="Normal 3 2 3" xfId="270"/>
    <cellStyle name="Normal 3 2 4" xfId="271"/>
    <cellStyle name="Normal 3 2 5" xfId="427"/>
    <cellStyle name="Normal 3 3" xfId="106"/>
    <cellStyle name="Normal 3 4" xfId="272"/>
    <cellStyle name="Normal 30" xfId="107"/>
    <cellStyle name="Normal 31" xfId="273"/>
    <cellStyle name="Normal 32" xfId="274"/>
    <cellStyle name="Normal 33" xfId="275"/>
    <cellStyle name="Normal 34" xfId="276"/>
    <cellStyle name="Normal 35" xfId="277"/>
    <cellStyle name="Normal 36" xfId="278"/>
    <cellStyle name="Normal 37" xfId="279"/>
    <cellStyle name="Normal 37 2" xfId="280"/>
    <cellStyle name="Normal 37 3" xfId="281"/>
    <cellStyle name="Normal 37 4" xfId="459"/>
    <cellStyle name="Normal 38" xfId="282"/>
    <cellStyle name="Normal 38 2" xfId="283"/>
    <cellStyle name="Normal 39" xfId="284"/>
    <cellStyle name="Normal 4" xfId="108"/>
    <cellStyle name="Normal 4 2" xfId="144"/>
    <cellStyle name="Normal 4 2 2" xfId="152"/>
    <cellStyle name="Normal 4 2 2 2" xfId="285"/>
    <cellStyle name="Normal 4 2 2 3" xfId="286"/>
    <cellStyle name="Normal 4 2 2 4" xfId="463"/>
    <cellStyle name="Normal 4 2 3" xfId="287"/>
    <cellStyle name="Normal 4 2 4" xfId="288"/>
    <cellStyle name="Normal 4 2 5" xfId="289"/>
    <cellStyle name="Normal 4 2 6" xfId="425"/>
    <cellStyle name="Normal 4 3" xfId="290"/>
    <cellStyle name="Normal 40" xfId="291"/>
    <cellStyle name="Normal 41" xfId="292"/>
    <cellStyle name="Normal 42" xfId="293"/>
    <cellStyle name="Normal 43" xfId="294"/>
    <cellStyle name="Normal 44" xfId="295"/>
    <cellStyle name="Normal 45" xfId="296"/>
    <cellStyle name="Normal 46" xfId="412"/>
    <cellStyle name="Normal 47" xfId="414"/>
    <cellStyle name="Normal 48" xfId="415"/>
    <cellStyle name="Normal 49" xfId="416"/>
    <cellStyle name="Normal 5" xfId="297"/>
    <cellStyle name="Normal 5 2" xfId="298"/>
    <cellStyle name="Normal 5 2 2" xfId="299"/>
    <cellStyle name="Normal 5 2 3" xfId="300"/>
    <cellStyle name="Normal 5 2 4" xfId="447"/>
    <cellStyle name="Normal 5 3" xfId="301"/>
    <cellStyle name="Normal 5 3 2" xfId="302"/>
    <cellStyle name="Normal 5 3 3" xfId="303"/>
    <cellStyle name="Normal 5 3 4" xfId="435"/>
    <cellStyle name="Normal 5 4" xfId="304"/>
    <cellStyle name="Normal 5 5" xfId="305"/>
    <cellStyle name="Normal 5 6" xfId="306"/>
    <cellStyle name="Normal 5 7" xfId="426"/>
    <cellStyle name="Normal 50" xfId="417"/>
    <cellStyle name="Normal 51" xfId="418"/>
    <cellStyle name="Normal 52" xfId="419"/>
    <cellStyle name="Normal 53" xfId="421"/>
    <cellStyle name="Normal 54" xfId="424"/>
    <cellStyle name="Normal 6" xfId="109"/>
    <cellStyle name="Normal 6 2" xfId="307"/>
    <cellStyle name="Normal 6 2 2" xfId="308"/>
    <cellStyle name="Normal 6 2 2 2" xfId="309"/>
    <cellStyle name="Normal 6 2 2 3" xfId="310"/>
    <cellStyle name="Normal 6 2 2 4" xfId="449"/>
    <cellStyle name="Normal 6 2 3" xfId="311"/>
    <cellStyle name="Normal 6 2 4" xfId="312"/>
    <cellStyle name="Normal 6 2 5" xfId="444"/>
    <cellStyle name="Normal 6 3" xfId="313"/>
    <cellStyle name="Normal 6 3 2" xfId="314"/>
    <cellStyle name="Normal 6 3 3" xfId="315"/>
    <cellStyle name="Normal 6 3 4" xfId="448"/>
    <cellStyle name="Normal 6 4" xfId="316"/>
    <cellStyle name="Normal 6 4 2" xfId="317"/>
    <cellStyle name="Normal 6 4 3" xfId="318"/>
    <cellStyle name="Normal 6 4 4" xfId="436"/>
    <cellStyle name="Normal 7" xfId="319"/>
    <cellStyle name="Normal 7 2" xfId="320"/>
    <cellStyle name="Normal 8" xfId="321"/>
    <cellStyle name="Normal 8 2" xfId="322"/>
    <cellStyle name="Normal 85" xfId="323"/>
    <cellStyle name="Normal 87" xfId="324"/>
    <cellStyle name="Normal 9" xfId="325"/>
    <cellStyle name="Normal_Pesquisa no referencial 10 de maio de 2013 2" xfId="153"/>
    <cellStyle name="Normal1" xfId="326"/>
    <cellStyle name="Normal2" xfId="327"/>
    <cellStyle name="Normal3" xfId="328"/>
    <cellStyle name="Nota" xfId="110" builtinId="10" customBuiltin="1"/>
    <cellStyle name="Nota 2" xfId="111"/>
    <cellStyle name="Nota 2 2" xfId="151"/>
    <cellStyle name="Note" xfId="112"/>
    <cellStyle name="Output" xfId="113"/>
    <cellStyle name="Output 2" xfId="329"/>
    <cellStyle name="Percent [2]" xfId="330"/>
    <cellStyle name="Percent_Sheet1" xfId="331"/>
    <cellStyle name="Percentual" xfId="332"/>
    <cellStyle name="Ponto" xfId="333"/>
    <cellStyle name="Porcentagem" xfId="114" builtinId="5"/>
    <cellStyle name="Porcentagem 2" xfId="115"/>
    <cellStyle name="Porcentagem 3" xfId="116"/>
    <cellStyle name="Porcentagem 3 2" xfId="334"/>
    <cellStyle name="Porcentagem 3 3" xfId="335"/>
    <cellStyle name="Porcentagem 4" xfId="336"/>
    <cellStyle name="Porcentagem 4 2" xfId="337"/>
    <cellStyle name="Porcentagem 5" xfId="338"/>
    <cellStyle name="Porcentagem 6" xfId="339"/>
    <cellStyle name="Porcentagem 6 2" xfId="340"/>
    <cellStyle name="Porcentagem 6 3" xfId="341"/>
    <cellStyle name="Porcentagem 6 4" xfId="458"/>
    <cellStyle name="Porcentagem 7" xfId="342"/>
    <cellStyle name="Result" xfId="343"/>
    <cellStyle name="Result2" xfId="344"/>
    <cellStyle name="Saída" xfId="117" builtinId="21" customBuiltin="1"/>
    <cellStyle name="Saída 2" xfId="118"/>
    <cellStyle name="Sep. milhar [0]" xfId="345"/>
    <cellStyle name="Separador de m" xfId="346"/>
    <cellStyle name="Separador de milhares" xfId="119" builtinId="3"/>
    <cellStyle name="Separador de milhares 2" xfId="120"/>
    <cellStyle name="Separador de milhares 2 10" xfId="347"/>
    <cellStyle name="Separador de milhares 2 2" xfId="348"/>
    <cellStyle name="Separador de milhares 2 2 2" xfId="349"/>
    <cellStyle name="Separador de milhares 2 2 3" xfId="350"/>
    <cellStyle name="Separador de milhares 2 2 4" xfId="433"/>
    <cellStyle name="Separador de milhares 2 3" xfId="351"/>
    <cellStyle name="Separador de milhares 2 3 2" xfId="352"/>
    <cellStyle name="Separador de milhares 2 3 3" xfId="353"/>
    <cellStyle name="Separador de milhares 2 3 4" xfId="432"/>
    <cellStyle name="Separador de milhares 3" xfId="121"/>
    <cellStyle name="Separador de milhares 3 2" xfId="122"/>
    <cellStyle name="Separador de milhares 3 3" xfId="354"/>
    <cellStyle name="Separador de milhares 3 3 2" xfId="355"/>
    <cellStyle name="Separador de milhares 3 3 3" xfId="356"/>
    <cellStyle name="Separador de milhares 3 3 4" xfId="434"/>
    <cellStyle name="Separador de milhares 3 4" xfId="357"/>
    <cellStyle name="Separador de milhares 3 5" xfId="358"/>
    <cellStyle name="Separador de milhares 4" xfId="148"/>
    <cellStyle name="Separador de milhares 4 2" xfId="359"/>
    <cellStyle name="Separador de milhares 4 3" xfId="360"/>
    <cellStyle name="Sepavador de milhares [0]_Pasta2" xfId="361"/>
    <cellStyle name="Standard_RP100_01 (metr.)" xfId="362"/>
    <cellStyle name="Texto de Aviso" xfId="123" builtinId="11" customBuiltin="1"/>
    <cellStyle name="Texto de Aviso 2" xfId="124"/>
    <cellStyle name="Texto Explicativo" xfId="125" builtinId="53" customBuiltin="1"/>
    <cellStyle name="Texto Explicativo 2" xfId="126"/>
    <cellStyle name="Title" xfId="127"/>
    <cellStyle name="Title 2" xfId="363"/>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364"/>
    <cellStyle name="Titulo2" xfId="365"/>
    <cellStyle name="Total" xfId="138" builtinId="25" customBuiltin="1"/>
    <cellStyle name="Total 2" xfId="139"/>
    <cellStyle name="Vírgula 10" xfId="366"/>
    <cellStyle name="Vírgula 10 2" xfId="367"/>
    <cellStyle name="Vírgula 10 3" xfId="368"/>
    <cellStyle name="Vírgula 10 4" xfId="457"/>
    <cellStyle name="Vírgula 11" xfId="369"/>
    <cellStyle name="Vírgula 12" xfId="370"/>
    <cellStyle name="Vírgula 12 2" xfId="371"/>
    <cellStyle name="Vírgula 12 3" xfId="372"/>
    <cellStyle name="Vírgula 12 4" xfId="431"/>
    <cellStyle name="Vírgula 13" xfId="159"/>
    <cellStyle name="Vírgula 13 2" xfId="430"/>
    <cellStyle name="Vírgula 14" xfId="413"/>
    <cellStyle name="Vírgula 15" xfId="420"/>
    <cellStyle name="Vírgula 2" xfId="140"/>
    <cellStyle name="Vírgula 2 2" xfId="155"/>
    <cellStyle name="Vírgula 2 2 2" xfId="373"/>
    <cellStyle name="Vírgula 2 2 2 2" xfId="374"/>
    <cellStyle name="Vírgula 2 2 2 3" xfId="464"/>
    <cellStyle name="Vírgula 2 2 3" xfId="375"/>
    <cellStyle name="Vírgula 2 2 3 2" xfId="376"/>
    <cellStyle name="Vírgula 2 2 3 3" xfId="377"/>
    <cellStyle name="Vírgula 2 2 3 4" xfId="446"/>
    <cellStyle name="Vírgula 2 2 4" xfId="378"/>
    <cellStyle name="Vírgula 2 2 5" xfId="379"/>
    <cellStyle name="Vírgula 2 2 6" xfId="428"/>
    <cellStyle name="Vírgula 2 3" xfId="380"/>
    <cellStyle name="Vírgula 2 3 2" xfId="381"/>
    <cellStyle name="Vírgula 2 3 3" xfId="382"/>
    <cellStyle name="Vírgula 2 3 4" xfId="437"/>
    <cellStyle name="Vírgula 3" xfId="141"/>
    <cellStyle name="Vírgula 3 2" xfId="383"/>
    <cellStyle name="Vírgula 3 2 2" xfId="384"/>
    <cellStyle name="Vírgula 3 2 3" xfId="385"/>
    <cellStyle name="Vírgula 3 2 4" xfId="441"/>
    <cellStyle name="Vírgula 3 3" xfId="386"/>
    <cellStyle name="Vírgula 3 3 2" xfId="387"/>
    <cellStyle name="Vírgula 3 3 3" xfId="388"/>
    <cellStyle name="Vírgula 3 3 4" xfId="440"/>
    <cellStyle name="Vírgula 4" xfId="389"/>
    <cellStyle name="Vírgula 4 2" xfId="390"/>
    <cellStyle name="Vírgula 4 3" xfId="391"/>
    <cellStyle name="Vírgula 4 4" xfId="442"/>
    <cellStyle name="Vírgula 5" xfId="142"/>
    <cellStyle name="Vírgula 5 2" xfId="392"/>
    <cellStyle name="Vírgula 5 2 2" xfId="393"/>
    <cellStyle name="Vírgula 5 2 3" xfId="394"/>
    <cellStyle name="Vírgula 5 2 4" xfId="443"/>
    <cellStyle name="Vírgula 5 3" xfId="395"/>
    <cellStyle name="Vírgula 5 3 2" xfId="396"/>
    <cellStyle name="Vírgula 5 3 3" xfId="397"/>
    <cellStyle name="Vírgula 5 3 4" xfId="438"/>
    <cellStyle name="Vírgula 6" xfId="157"/>
    <cellStyle name="Vírgula 6 2" xfId="160"/>
    <cellStyle name="Vírgula 6 2 2" xfId="398"/>
    <cellStyle name="Vírgula 6 2 2 2" xfId="399"/>
    <cellStyle name="Vírgula 6 2 2 3" xfId="400"/>
    <cellStyle name="Vírgula 6 2 2 4" xfId="450"/>
    <cellStyle name="Vírgula 6 3" xfId="401"/>
    <cellStyle name="Vírgula 6 4" xfId="402"/>
    <cellStyle name="Vírgula 6 5" xfId="445"/>
    <cellStyle name="Vírgula 7" xfId="403"/>
    <cellStyle name="Vírgula 7 2" xfId="404"/>
    <cellStyle name="Vírgula 7 3" xfId="405"/>
    <cellStyle name="Vírgula 7 4" xfId="452"/>
    <cellStyle name="Vírgula 8" xfId="406"/>
    <cellStyle name="Vírgula 8 2" xfId="407"/>
    <cellStyle name="Vírgula 8 3" xfId="408"/>
    <cellStyle name="Vírgula 8 4" xfId="454"/>
    <cellStyle name="Vírgula 9" xfId="409"/>
    <cellStyle name="Vírgula 9 2" xfId="410"/>
    <cellStyle name="Vírgula 9 3" xfId="411"/>
    <cellStyle name="Vírgula 9 4" xfId="455"/>
    <cellStyle name="Warning Text" xfId="143"/>
  </cellStyles>
  <dxfs count="6755">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view3D>
      <c:rAngAx val="1"/>
    </c:view3D>
    <c:plotArea>
      <c:layout>
        <c:manualLayout>
          <c:layoutTarget val="inner"/>
          <c:xMode val="edge"/>
          <c:yMode val="edge"/>
          <c:x val="7.0359413934017775E-2"/>
          <c:y val="1.1883430426325085E-2"/>
          <c:w val="0.926265058639822"/>
          <c:h val="0.79495625484759125"/>
        </c:manualLayout>
      </c:layout>
      <c:bar3DChart>
        <c:barDir val="col"/>
        <c:grouping val="clustered"/>
        <c:ser>
          <c:idx val="0"/>
          <c:order val="0"/>
          <c:spPr>
            <a:scene3d>
              <a:camera prst="orthographicFront"/>
              <a:lightRig rig="threePt" dir="t"/>
            </a:scene3d>
            <a:sp3d prstMaterial="metal"/>
          </c:spPr>
          <c:cat>
            <c:strRef>
              <c:f>'1-RESUMO'!$C$11:$C$50</c:f>
              <c:strCache>
                <c:ptCount val="39"/>
                <c:pt idx="0">
                  <c:v>ADMINISTRAÇÃO DE OBRA </c:v>
                </c:pt>
                <c:pt idx="2">
                  <c:v>INSTALAÇÕES DE CANTEIRO E SERVIÇOS PRELIMINARES</c:v>
                </c:pt>
                <c:pt idx="4">
                  <c:v>DEMOLIÇÕES E RETIRADAS</c:v>
                </c:pt>
                <c:pt idx="6">
                  <c:v>INFRAESTRUTURA</c:v>
                </c:pt>
                <c:pt idx="8">
                  <c:v>SUPERESTRUTURA </c:v>
                </c:pt>
                <c:pt idx="10">
                  <c:v>ÁGUAS PLUVIAIS</c:v>
                </c:pt>
                <c:pt idx="12">
                  <c:v>IMPERMEABILIZAÇÃO</c:v>
                </c:pt>
                <c:pt idx="14">
                  <c:v>FECHAMENTO EM ALVENARIA</c:v>
                </c:pt>
                <c:pt idx="16">
                  <c:v>SISTEMA DE COBERTURA</c:v>
                </c:pt>
                <c:pt idx="18">
                  <c:v>ESQUADRIAS</c:v>
                </c:pt>
                <c:pt idx="20">
                  <c:v>DIVISORIAS, BANCADAS E PEITORIS</c:v>
                </c:pt>
                <c:pt idx="22">
                  <c:v>REVESTIMENTO INTERNO E EXTERNO</c:v>
                </c:pt>
                <c:pt idx="24">
                  <c:v>PISOS E CALÇAMENTOS</c:v>
                </c:pt>
                <c:pt idx="26">
                  <c:v>PINTURA INTERNA E EXTERNA</c:v>
                </c:pt>
                <c:pt idx="28">
                  <c:v> INSTALAÇÕES HIDROSSANITÁRIAS   </c:v>
                </c:pt>
                <c:pt idx="30">
                  <c:v> INSTALAÇÕES ELÉTRICAS BAIXA TENSÃO </c:v>
                </c:pt>
                <c:pt idx="32">
                  <c:v> POSTO DE TRANSFORMAÇÃO 112,5kVA - 13,8kV E EXTENSÃO DE REDE EM MÉDIA TENSÃO 13,8 Kv </c:v>
                </c:pt>
                <c:pt idx="34">
                  <c:v>CABEAMENTO ESTRUTURADO</c:v>
                </c:pt>
                <c:pt idx="36">
                  <c:v>INSTALAÇÕES ESPECIAIS </c:v>
                </c:pt>
                <c:pt idx="38">
                  <c:v>SERVIÇOS COMPLEMENTARES</c:v>
                </c:pt>
              </c:strCache>
            </c:strRef>
          </c:cat>
          <c:val>
            <c:numRef>
              <c:f>'1-RESUMO'!$D$11:$D$50</c:f>
              <c:numCache>
                <c:formatCode>_-"R$"\ * #,##0.00_-;\-"R$"\ * #,##0.00_-;_-"R$"\ * "-"??_-;_-@_-</c:formatCode>
                <c:ptCount val="40"/>
                <c:pt idx="0">
                  <c:v>111427.4</c:v>
                </c:pt>
                <c:pt idx="2">
                  <c:v>78810.210000000006</c:v>
                </c:pt>
                <c:pt idx="4">
                  <c:v>33294.9</c:v>
                </c:pt>
                <c:pt idx="6">
                  <c:v>88895.91</c:v>
                </c:pt>
                <c:pt idx="8">
                  <c:v>324689.93</c:v>
                </c:pt>
                <c:pt idx="10">
                  <c:v>89675.67</c:v>
                </c:pt>
                <c:pt idx="12">
                  <c:v>81900.47</c:v>
                </c:pt>
                <c:pt idx="14">
                  <c:v>268214.95</c:v>
                </c:pt>
                <c:pt idx="16">
                  <c:v>757029.73</c:v>
                </c:pt>
                <c:pt idx="18">
                  <c:v>278283.55</c:v>
                </c:pt>
                <c:pt idx="20">
                  <c:v>119761.06</c:v>
                </c:pt>
                <c:pt idx="22">
                  <c:v>560284.46</c:v>
                </c:pt>
                <c:pt idx="24">
                  <c:v>617998.73</c:v>
                </c:pt>
                <c:pt idx="26">
                  <c:v>286551.09000000003</c:v>
                </c:pt>
                <c:pt idx="28">
                  <c:v>367764.47999999998</c:v>
                </c:pt>
                <c:pt idx="30">
                  <c:v>260195.46</c:v>
                </c:pt>
                <c:pt idx="32">
                  <c:v>95500.57</c:v>
                </c:pt>
                <c:pt idx="34">
                  <c:v>38684.58</c:v>
                </c:pt>
                <c:pt idx="36">
                  <c:v>129114.15</c:v>
                </c:pt>
                <c:pt idx="38">
                  <c:v>114434.45</c:v>
                </c:pt>
              </c:numCache>
            </c:numRef>
          </c:val>
          <c:extLst xmlns:c16r2="http://schemas.microsoft.com/office/drawing/2015/06/chart">
            <c:ext xmlns:c16="http://schemas.microsoft.com/office/drawing/2014/chart" uri="{C3380CC4-5D6E-409C-BE32-E72D297353CC}">
              <c16:uniqueId val="{00000000-F507-4A1B-AF65-52445D67EC8E}"/>
            </c:ext>
          </c:extLst>
        </c:ser>
        <c:dLbls/>
        <c:shape val="box"/>
        <c:axId val="114178304"/>
        <c:axId val="114184192"/>
        <c:axId val="0"/>
      </c:bar3DChart>
      <c:catAx>
        <c:axId val="114178304"/>
        <c:scaling>
          <c:orientation val="minMax"/>
        </c:scaling>
        <c:axPos val="b"/>
        <c:numFmt formatCode="General" sourceLinked="0"/>
        <c:tickLblPos val="nextTo"/>
        <c:crossAx val="114184192"/>
        <c:crosses val="autoZero"/>
        <c:auto val="1"/>
        <c:lblAlgn val="ctr"/>
        <c:lblOffset val="100"/>
      </c:catAx>
      <c:valAx>
        <c:axId val="114184192"/>
        <c:scaling>
          <c:orientation val="minMax"/>
        </c:scaling>
        <c:axPos val="l"/>
        <c:majorGridlines/>
        <c:numFmt formatCode="_-&quot;R$&quot;\ * #,##0.00_-;\-&quot;R$&quot;\ * #,##0.00_-;_-&quot;R$&quot;\ * &quot;-&quot;??_-;_-@_-" sourceLinked="1"/>
        <c:tickLblPos val="nextTo"/>
        <c:crossAx val="114178304"/>
        <c:crosses val="autoZero"/>
        <c:crossBetween val="between"/>
      </c:valAx>
    </c:plotArea>
    <c:plotVisOnly val="1"/>
    <c:dispBlanksAs val="gap"/>
  </c:chart>
  <c:printSettings>
    <c:headerFooter/>
    <c:pageMargins b="0.78740157499999996" l="0.511811024" r="0.511811024" t="0.78740157499999996" header="0.31496062000000086" footer="0.31496062000000086"/>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7</xdr:col>
      <xdr:colOff>68034</xdr:colOff>
      <xdr:row>1</xdr:row>
      <xdr:rowOff>462643</xdr:rowOff>
    </xdr:from>
    <xdr:to>
      <xdr:col>30</xdr:col>
      <xdr:colOff>585107</xdr:colOff>
      <xdr:row>55</xdr:row>
      <xdr:rowOff>149679</xdr:rowOff>
    </xdr:to>
    <xdr:graphicFrame macro="">
      <xdr:nvGraphicFramePr>
        <xdr:cNvPr id="4" name="Gráfico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108857</xdr:colOff>
      <xdr:row>1</xdr:row>
      <xdr:rowOff>204106</xdr:rowOff>
    </xdr:from>
    <xdr:to>
      <xdr:col>3</xdr:col>
      <xdr:colOff>898071</xdr:colOff>
      <xdr:row>1</xdr:row>
      <xdr:rowOff>1660071</xdr:rowOff>
    </xdr:to>
    <xdr:pic>
      <xdr:nvPicPr>
        <xdr:cNvPr id="3" name="Imagem 2" descr="Text&#10;&#10;Description automatically generated">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21178" y="802820"/>
          <a:ext cx="7538357" cy="1455965"/>
        </a:xfrm>
        <a:prstGeom prst="rect">
          <a:avLst/>
        </a:prstGeom>
      </xdr:spPr>
    </xdr:pic>
    <xdr:clientData/>
  </xdr:twoCellAnchor>
  <xdr:twoCellAnchor editAs="oneCell">
    <xdr:from>
      <xdr:col>3</xdr:col>
      <xdr:colOff>1279072</xdr:colOff>
      <xdr:row>1</xdr:row>
      <xdr:rowOff>489857</xdr:rowOff>
    </xdr:from>
    <xdr:to>
      <xdr:col>4</xdr:col>
      <xdr:colOff>789214</xdr:colOff>
      <xdr:row>1</xdr:row>
      <xdr:rowOff>1564820</xdr:rowOff>
    </xdr:to>
    <xdr:pic>
      <xdr:nvPicPr>
        <xdr:cNvPr id="5" name="Imagem 4" descr="A red and green logo&#10;&#10;Description automatically generated with low confidence">
          <a:extLst>
            <a:ext uri="{FF2B5EF4-FFF2-40B4-BE49-F238E27FC236}">
              <a16:creationId xmlns:a16="http://schemas.microsoft.com/office/drawing/2014/main" xmlns="" id="{00000000-0008-0000-02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640536" y="1088571"/>
          <a:ext cx="1183821" cy="1074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285750</xdr:colOff>
      <xdr:row>1</xdr:row>
      <xdr:rowOff>108857</xdr:rowOff>
    </xdr:from>
    <xdr:to>
      <xdr:col>8</xdr:col>
      <xdr:colOff>432025</xdr:colOff>
      <xdr:row>1</xdr:row>
      <xdr:rowOff>1700892</xdr:rowOff>
    </xdr:to>
    <xdr:pic>
      <xdr:nvPicPr>
        <xdr:cNvPr id="4" name="Imagem 3" descr="Text&#10;&#10;Description automatically generated">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517321" y="299357"/>
          <a:ext cx="9280071" cy="1592035"/>
        </a:xfrm>
        <a:prstGeom prst="rect">
          <a:avLst/>
        </a:prstGeom>
      </xdr:spPr>
    </xdr:pic>
    <xdr:clientData/>
  </xdr:twoCellAnchor>
  <xdr:twoCellAnchor editAs="oneCell">
    <xdr:from>
      <xdr:col>9</xdr:col>
      <xdr:colOff>554490</xdr:colOff>
      <xdr:row>1</xdr:row>
      <xdr:rowOff>195602</xdr:rowOff>
    </xdr:from>
    <xdr:to>
      <xdr:col>10</xdr:col>
      <xdr:colOff>489854</xdr:colOff>
      <xdr:row>1</xdr:row>
      <xdr:rowOff>1406636</xdr:rowOff>
    </xdr:to>
    <xdr:pic>
      <xdr:nvPicPr>
        <xdr:cNvPr id="7" name="Imagem 6" descr="A red and green logo&#10;&#10;Description automatically generated with low confidence">
          <a:extLst>
            <a:ext uri="{FF2B5EF4-FFF2-40B4-BE49-F238E27FC236}">
              <a16:creationId xmlns:a16="http://schemas.microsoft.com/office/drawing/2014/main" xmlns="" id="{00000000-0008-0000-03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329771" y="386102"/>
          <a:ext cx="1532503" cy="1211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2721428</xdr:colOff>
      <xdr:row>1</xdr:row>
      <xdr:rowOff>122463</xdr:rowOff>
    </xdr:from>
    <xdr:to>
      <xdr:col>11</xdr:col>
      <xdr:colOff>40821</xdr:colOff>
      <xdr:row>1</xdr:row>
      <xdr:rowOff>1918606</xdr:rowOff>
    </xdr:to>
    <xdr:pic>
      <xdr:nvPicPr>
        <xdr:cNvPr id="6" name="Imagem 5" descr="Text&#10;&#10;Description automatically generated">
          <a:extLst>
            <a:ext uri="{FF2B5EF4-FFF2-40B4-BE49-F238E27FC236}">
              <a16:creationId xmlns:a16="http://schemas.microsoft.com/office/drawing/2014/main" xmlns="" id="{00000000-0008-0000-04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619499" y="408213"/>
          <a:ext cx="12695465" cy="1796143"/>
        </a:xfrm>
        <a:prstGeom prst="rect">
          <a:avLst/>
        </a:prstGeom>
      </xdr:spPr>
    </xdr:pic>
    <xdr:clientData/>
  </xdr:twoCellAnchor>
  <xdr:twoCellAnchor editAs="oneCell">
    <xdr:from>
      <xdr:col>12</xdr:col>
      <xdr:colOff>1251857</xdr:colOff>
      <xdr:row>1</xdr:row>
      <xdr:rowOff>353786</xdr:rowOff>
    </xdr:from>
    <xdr:to>
      <xdr:col>13</xdr:col>
      <xdr:colOff>1455964</xdr:colOff>
      <xdr:row>1</xdr:row>
      <xdr:rowOff>1687285</xdr:rowOff>
    </xdr:to>
    <xdr:pic>
      <xdr:nvPicPr>
        <xdr:cNvPr id="7" name="Imagem 6" descr="A red and green logo&#10;&#10;Description automatically generated with low confidence">
          <a:extLst>
            <a:ext uri="{FF2B5EF4-FFF2-40B4-BE49-F238E27FC236}">
              <a16:creationId xmlns:a16="http://schemas.microsoft.com/office/drawing/2014/main" xmlns="" id="{00000000-0008-0000-04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77214" y="639536"/>
          <a:ext cx="1755321" cy="1333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571500</xdr:colOff>
      <xdr:row>1</xdr:row>
      <xdr:rowOff>59531</xdr:rowOff>
    </xdr:from>
    <xdr:to>
      <xdr:col>6</xdr:col>
      <xdr:colOff>357187</xdr:colOff>
      <xdr:row>1</xdr:row>
      <xdr:rowOff>1345406</xdr:rowOff>
    </xdr:to>
    <xdr:pic>
      <xdr:nvPicPr>
        <xdr:cNvPr id="4" name="Imagem 3" descr="Text&#10;&#10;Description automatically generated">
          <a:extLst>
            <a:ext uri="{FF2B5EF4-FFF2-40B4-BE49-F238E27FC236}">
              <a16:creationId xmlns:a16="http://schemas.microsoft.com/office/drawing/2014/main" xmlns="" id="{969AFFDC-991C-4012-AAF9-64CE63B775F9}"/>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33438" y="226219"/>
          <a:ext cx="7393780" cy="1285875"/>
        </a:xfrm>
        <a:prstGeom prst="rect">
          <a:avLst/>
        </a:prstGeom>
      </xdr:spPr>
    </xdr:pic>
    <xdr:clientData/>
  </xdr:twoCellAnchor>
  <xdr:twoCellAnchor editAs="oneCell">
    <xdr:from>
      <xdr:col>7</xdr:col>
      <xdr:colOff>362292</xdr:colOff>
      <xdr:row>1</xdr:row>
      <xdr:rowOff>166688</xdr:rowOff>
    </xdr:from>
    <xdr:to>
      <xdr:col>8</xdr:col>
      <xdr:colOff>757821</xdr:colOff>
      <xdr:row>1</xdr:row>
      <xdr:rowOff>1179456</xdr:rowOff>
    </xdr:to>
    <xdr:pic>
      <xdr:nvPicPr>
        <xdr:cNvPr id="5" name="Imagem 4" descr="A red and green logo&#10;&#10;Description automatically generated with low confidence">
          <a:extLst>
            <a:ext uri="{FF2B5EF4-FFF2-40B4-BE49-F238E27FC236}">
              <a16:creationId xmlns:a16="http://schemas.microsoft.com/office/drawing/2014/main" xmlns="" id="{579DB515-977A-4BA9-82C1-719832376577}"/>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053855" y="333376"/>
          <a:ext cx="1276591" cy="10127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639295</xdr:colOff>
      <xdr:row>47</xdr:row>
      <xdr:rowOff>154642</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229161"/>
          <a:ext cx="6687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1"/>
  <dimension ref="A1:G12144"/>
  <sheetViews>
    <sheetView view="pageBreakPreview" zoomScale="85" zoomScaleNormal="85" zoomScaleSheetLayoutView="85" workbookViewId="0">
      <selection activeCell="F4" sqref="F4"/>
    </sheetView>
  </sheetViews>
  <sheetFormatPr defaultRowHeight="12.75"/>
  <cols>
    <col min="1" max="1" width="10.7109375" style="45" customWidth="1"/>
    <col min="2" max="2" width="47.85546875" style="335" customWidth="1"/>
    <col min="3" max="3" width="10.7109375" style="45" customWidth="1"/>
    <col min="4" max="4" width="18.7109375" style="281" customWidth="1"/>
  </cols>
  <sheetData>
    <row r="1" spans="1:5" ht="67.5">
      <c r="A1" s="446">
        <v>97141</v>
      </c>
      <c r="B1" s="447" t="s">
        <v>3382</v>
      </c>
      <c r="C1" s="446" t="s">
        <v>14</v>
      </c>
      <c r="D1" s="448">
        <v>5.46</v>
      </c>
      <c r="E1" s="210"/>
    </row>
    <row r="2" spans="1:5" ht="67.5">
      <c r="A2" s="446">
        <v>97142</v>
      </c>
      <c r="B2" s="447" t="s">
        <v>3383</v>
      </c>
      <c r="C2" s="446" t="s">
        <v>14</v>
      </c>
      <c r="D2" s="448">
        <v>6.1</v>
      </c>
      <c r="E2" s="210"/>
    </row>
    <row r="3" spans="1:5" ht="67.5">
      <c r="A3" s="446">
        <v>97143</v>
      </c>
      <c r="B3" s="447" t="s">
        <v>3384</v>
      </c>
      <c r="C3" s="446" t="s">
        <v>14</v>
      </c>
      <c r="D3" s="448">
        <v>7.65</v>
      </c>
      <c r="E3" s="210"/>
    </row>
    <row r="4" spans="1:5" ht="67.5">
      <c r="A4" s="446">
        <v>97144</v>
      </c>
      <c r="B4" s="447" t="s">
        <v>3385</v>
      </c>
      <c r="C4" s="446" t="s">
        <v>14</v>
      </c>
      <c r="D4" s="448">
        <v>9.19</v>
      </c>
      <c r="E4" s="210"/>
    </row>
    <row r="5" spans="1:5" ht="67.5">
      <c r="A5" s="446">
        <v>97145</v>
      </c>
      <c r="B5" s="447" t="s">
        <v>3386</v>
      </c>
      <c r="C5" s="446" t="s">
        <v>14</v>
      </c>
      <c r="D5" s="448">
        <v>10.77</v>
      </c>
      <c r="E5" s="210"/>
    </row>
    <row r="6" spans="1:5" ht="67.5">
      <c r="A6" s="446">
        <v>97146</v>
      </c>
      <c r="B6" s="447" t="s">
        <v>3387</v>
      </c>
      <c r="C6" s="446" t="s">
        <v>14</v>
      </c>
      <c r="D6" s="448">
        <v>12.34</v>
      </c>
      <c r="E6" s="210"/>
    </row>
    <row r="7" spans="1:5" ht="67.5">
      <c r="A7" s="446">
        <v>97147</v>
      </c>
      <c r="B7" s="447" t="s">
        <v>3388</v>
      </c>
      <c r="C7" s="446" t="s">
        <v>14</v>
      </c>
      <c r="D7" s="448">
        <v>13.92</v>
      </c>
      <c r="E7" s="210"/>
    </row>
    <row r="8" spans="1:5" ht="67.5">
      <c r="A8" s="446">
        <v>97148</v>
      </c>
      <c r="B8" s="447" t="s">
        <v>3389</v>
      </c>
      <c r="C8" s="446" t="s">
        <v>14</v>
      </c>
      <c r="D8" s="448">
        <v>15.5</v>
      </c>
      <c r="E8" s="210"/>
    </row>
    <row r="9" spans="1:5" ht="67.5">
      <c r="A9" s="446">
        <v>97149</v>
      </c>
      <c r="B9" s="447" t="s">
        <v>3390</v>
      </c>
      <c r="C9" s="446" t="s">
        <v>14</v>
      </c>
      <c r="D9" s="448">
        <v>17.100000000000001</v>
      </c>
      <c r="E9" s="210"/>
    </row>
    <row r="10" spans="1:5" ht="67.5">
      <c r="A10" s="446">
        <v>97150</v>
      </c>
      <c r="B10" s="447" t="s">
        <v>3391</v>
      </c>
      <c r="C10" s="446" t="s">
        <v>14</v>
      </c>
      <c r="D10" s="448">
        <v>21.76</v>
      </c>
      <c r="E10" s="210"/>
    </row>
    <row r="11" spans="1:5" ht="67.5">
      <c r="A11" s="446">
        <v>97151</v>
      </c>
      <c r="B11" s="447" t="s">
        <v>3392</v>
      </c>
      <c r="C11" s="446" t="s">
        <v>14</v>
      </c>
      <c r="D11" s="448">
        <v>25.41</v>
      </c>
      <c r="E11" s="210"/>
    </row>
    <row r="12" spans="1:5" ht="67.5">
      <c r="A12" s="446">
        <v>97152</v>
      </c>
      <c r="B12" s="447" t="s">
        <v>3393</v>
      </c>
      <c r="C12" s="446" t="s">
        <v>14</v>
      </c>
      <c r="D12" s="448">
        <v>28.75</v>
      </c>
      <c r="E12" s="210"/>
    </row>
    <row r="13" spans="1:5" ht="67.5">
      <c r="A13" s="446">
        <v>97153</v>
      </c>
      <c r="B13" s="447" t="s">
        <v>3394</v>
      </c>
      <c r="C13" s="446" t="s">
        <v>14</v>
      </c>
      <c r="D13" s="448">
        <v>32.28</v>
      </c>
      <c r="E13" s="210"/>
    </row>
    <row r="14" spans="1:5" ht="67.5">
      <c r="A14" s="446">
        <v>97154</v>
      </c>
      <c r="B14" s="447" t="s">
        <v>3395</v>
      </c>
      <c r="C14" s="446" t="s">
        <v>14</v>
      </c>
      <c r="D14" s="448">
        <v>35.85</v>
      </c>
      <c r="E14" s="210"/>
    </row>
    <row r="15" spans="1:5" ht="67.5">
      <c r="A15" s="446">
        <v>97155</v>
      </c>
      <c r="B15" s="447" t="s">
        <v>3396</v>
      </c>
      <c r="C15" s="446" t="s">
        <v>14</v>
      </c>
      <c r="D15" s="448">
        <v>39.42</v>
      </c>
      <c r="E15" s="210"/>
    </row>
    <row r="16" spans="1:5" ht="67.5">
      <c r="A16" s="446">
        <v>97156</v>
      </c>
      <c r="B16" s="447" t="s">
        <v>3397</v>
      </c>
      <c r="C16" s="446" t="s">
        <v>14</v>
      </c>
      <c r="D16" s="448">
        <v>47.03</v>
      </c>
      <c r="E16" s="210"/>
    </row>
    <row r="17" spans="1:5" ht="67.5">
      <c r="A17" s="446">
        <v>97157</v>
      </c>
      <c r="B17" s="447" t="s">
        <v>3398</v>
      </c>
      <c r="C17" s="446" t="s">
        <v>14</v>
      </c>
      <c r="D17" s="448">
        <v>3.39</v>
      </c>
      <c r="E17" s="210"/>
    </row>
    <row r="18" spans="1:5" ht="67.5">
      <c r="A18" s="446">
        <v>97158</v>
      </c>
      <c r="B18" s="447" t="s">
        <v>3399</v>
      </c>
      <c r="C18" s="446" t="s">
        <v>14</v>
      </c>
      <c r="D18" s="448">
        <v>3.8</v>
      </c>
      <c r="E18" s="210"/>
    </row>
    <row r="19" spans="1:5" ht="67.5">
      <c r="A19" s="446">
        <v>97159</v>
      </c>
      <c r="B19" s="447" t="s">
        <v>3400</v>
      </c>
      <c r="C19" s="446" t="s">
        <v>14</v>
      </c>
      <c r="D19" s="448">
        <v>4.76</v>
      </c>
      <c r="E19" s="210"/>
    </row>
    <row r="20" spans="1:5" ht="67.5">
      <c r="A20" s="446">
        <v>97160</v>
      </c>
      <c r="B20" s="447" t="s">
        <v>3401</v>
      </c>
      <c r="C20" s="446" t="s">
        <v>14</v>
      </c>
      <c r="D20" s="448">
        <v>5.72</v>
      </c>
      <c r="E20" s="210"/>
    </row>
    <row r="21" spans="1:5" ht="67.5">
      <c r="A21" s="446">
        <v>97161</v>
      </c>
      <c r="B21" s="447" t="s">
        <v>3402</v>
      </c>
      <c r="C21" s="446" t="s">
        <v>14</v>
      </c>
      <c r="D21" s="448">
        <v>6.73</v>
      </c>
      <c r="E21" s="210"/>
    </row>
    <row r="22" spans="1:5" ht="67.5">
      <c r="A22" s="446">
        <v>97162</v>
      </c>
      <c r="B22" s="447" t="s">
        <v>3403</v>
      </c>
      <c r="C22" s="446" t="s">
        <v>14</v>
      </c>
      <c r="D22" s="448">
        <v>7.69</v>
      </c>
      <c r="E22" s="210"/>
    </row>
    <row r="23" spans="1:5" ht="67.5">
      <c r="A23" s="446">
        <v>97163</v>
      </c>
      <c r="B23" s="447" t="s">
        <v>3404</v>
      </c>
      <c r="C23" s="446" t="s">
        <v>14</v>
      </c>
      <c r="D23" s="448">
        <v>8.69</v>
      </c>
      <c r="E23" s="210"/>
    </row>
    <row r="24" spans="1:5" ht="67.5">
      <c r="A24" s="446">
        <v>97164</v>
      </c>
      <c r="B24" s="447" t="s">
        <v>3405</v>
      </c>
      <c r="C24" s="446" t="s">
        <v>14</v>
      </c>
      <c r="D24" s="448">
        <v>9.69</v>
      </c>
      <c r="E24" s="210"/>
    </row>
    <row r="25" spans="1:5" ht="67.5">
      <c r="A25" s="446">
        <v>97165</v>
      </c>
      <c r="B25" s="447" t="s">
        <v>3406</v>
      </c>
      <c r="C25" s="446" t="s">
        <v>14</v>
      </c>
      <c r="D25" s="448">
        <v>10.71</v>
      </c>
      <c r="E25" s="210"/>
    </row>
    <row r="26" spans="1:5" ht="67.5">
      <c r="A26" s="446">
        <v>97166</v>
      </c>
      <c r="B26" s="447" t="s">
        <v>3407</v>
      </c>
      <c r="C26" s="446" t="s">
        <v>14</v>
      </c>
      <c r="D26" s="448">
        <v>13.58</v>
      </c>
      <c r="E26" s="210"/>
    </row>
    <row r="27" spans="1:5" ht="67.5">
      <c r="A27" s="446">
        <v>97167</v>
      </c>
      <c r="B27" s="447" t="s">
        <v>3408</v>
      </c>
      <c r="C27" s="446" t="s">
        <v>14</v>
      </c>
      <c r="D27" s="448">
        <v>15.88</v>
      </c>
      <c r="E27" s="210"/>
    </row>
    <row r="28" spans="1:5" ht="67.5">
      <c r="A28" s="446">
        <v>97168</v>
      </c>
      <c r="B28" s="447" t="s">
        <v>3409</v>
      </c>
      <c r="C28" s="446" t="s">
        <v>14</v>
      </c>
      <c r="D28" s="448">
        <v>17.89</v>
      </c>
      <c r="E28" s="210"/>
    </row>
    <row r="29" spans="1:5" ht="67.5">
      <c r="A29" s="446">
        <v>97169</v>
      </c>
      <c r="B29" s="447" t="s">
        <v>3410</v>
      </c>
      <c r="C29" s="446" t="s">
        <v>14</v>
      </c>
      <c r="D29" s="448">
        <v>20.079999999999998</v>
      </c>
      <c r="E29" s="210"/>
    </row>
    <row r="30" spans="1:5" ht="67.5">
      <c r="A30" s="446">
        <v>97170</v>
      </c>
      <c r="B30" s="447" t="s">
        <v>3411</v>
      </c>
      <c r="C30" s="446" t="s">
        <v>14</v>
      </c>
      <c r="D30" s="448">
        <v>22.31</v>
      </c>
      <c r="E30" s="210"/>
    </row>
    <row r="31" spans="1:5" ht="67.5">
      <c r="A31" s="446">
        <v>97171</v>
      </c>
      <c r="B31" s="447" t="s">
        <v>3412</v>
      </c>
      <c r="C31" s="446" t="s">
        <v>14</v>
      </c>
      <c r="D31" s="448">
        <v>24.55</v>
      </c>
      <c r="E31" s="210"/>
    </row>
    <row r="32" spans="1:5" ht="67.5">
      <c r="A32" s="446">
        <v>97172</v>
      </c>
      <c r="B32" s="447" t="s">
        <v>3413</v>
      </c>
      <c r="C32" s="446" t="s">
        <v>14</v>
      </c>
      <c r="D32" s="448">
        <v>29.48</v>
      </c>
      <c r="E32" s="210"/>
    </row>
    <row r="33" spans="1:5" ht="67.5">
      <c r="A33" s="446">
        <v>97173</v>
      </c>
      <c r="B33" s="447" t="s">
        <v>3414</v>
      </c>
      <c r="C33" s="446" t="s">
        <v>14</v>
      </c>
      <c r="D33" s="448">
        <v>24.45</v>
      </c>
      <c r="E33" s="210"/>
    </row>
    <row r="34" spans="1:5" ht="67.5">
      <c r="A34" s="446">
        <v>97174</v>
      </c>
      <c r="B34" s="447" t="s">
        <v>3415</v>
      </c>
      <c r="C34" s="446" t="s">
        <v>14</v>
      </c>
      <c r="D34" s="448">
        <v>28.3</v>
      </c>
      <c r="E34" s="210"/>
    </row>
    <row r="35" spans="1:5" ht="67.5">
      <c r="A35" s="446">
        <v>97175</v>
      </c>
      <c r="B35" s="447" t="s">
        <v>3416</v>
      </c>
      <c r="C35" s="446" t="s">
        <v>14</v>
      </c>
      <c r="D35" s="448">
        <v>32.15</v>
      </c>
      <c r="E35" s="210"/>
    </row>
    <row r="36" spans="1:5" ht="67.5">
      <c r="A36" s="446">
        <v>97176</v>
      </c>
      <c r="B36" s="447" t="s">
        <v>3417</v>
      </c>
      <c r="C36" s="446" t="s">
        <v>14</v>
      </c>
      <c r="D36" s="448">
        <v>36.020000000000003</v>
      </c>
      <c r="E36" s="210"/>
    </row>
    <row r="37" spans="1:5" ht="81">
      <c r="A37" s="446">
        <v>97177</v>
      </c>
      <c r="B37" s="447" t="s">
        <v>3418</v>
      </c>
      <c r="C37" s="446" t="s">
        <v>14</v>
      </c>
      <c r="D37" s="448">
        <v>43.74</v>
      </c>
      <c r="E37" s="210"/>
    </row>
    <row r="38" spans="1:5" ht="81">
      <c r="A38" s="446">
        <v>97178</v>
      </c>
      <c r="B38" s="447" t="s">
        <v>3419</v>
      </c>
      <c r="C38" s="446" t="s">
        <v>14</v>
      </c>
      <c r="D38" s="448">
        <v>51.44</v>
      </c>
      <c r="E38" s="210"/>
    </row>
    <row r="39" spans="1:5" ht="81">
      <c r="A39" s="446">
        <v>97179</v>
      </c>
      <c r="B39" s="447" t="s">
        <v>3420</v>
      </c>
      <c r="C39" s="446" t="s">
        <v>14</v>
      </c>
      <c r="D39" s="448">
        <v>59.18</v>
      </c>
      <c r="E39" s="210"/>
    </row>
    <row r="40" spans="1:5" ht="81">
      <c r="A40" s="446">
        <v>97180</v>
      </c>
      <c r="B40" s="447" t="s">
        <v>3421</v>
      </c>
      <c r="C40" s="446" t="s">
        <v>14</v>
      </c>
      <c r="D40" s="448">
        <v>66.88</v>
      </c>
      <c r="E40" s="210"/>
    </row>
    <row r="41" spans="1:5" ht="81">
      <c r="A41" s="446">
        <v>97181</v>
      </c>
      <c r="B41" s="447" t="s">
        <v>3422</v>
      </c>
      <c r="C41" s="446" t="s">
        <v>14</v>
      </c>
      <c r="D41" s="448">
        <v>77.86</v>
      </c>
      <c r="E41" s="210"/>
    </row>
    <row r="42" spans="1:5" ht="81">
      <c r="A42" s="446">
        <v>97182</v>
      </c>
      <c r="B42" s="447" t="s">
        <v>3423</v>
      </c>
      <c r="C42" s="446" t="s">
        <v>14</v>
      </c>
      <c r="D42" s="448">
        <v>85.95</v>
      </c>
      <c r="E42" s="210"/>
    </row>
    <row r="43" spans="1:5" ht="67.5">
      <c r="A43" s="446">
        <v>97183</v>
      </c>
      <c r="B43" s="447" t="s">
        <v>3424</v>
      </c>
      <c r="C43" s="446" t="s">
        <v>14</v>
      </c>
      <c r="D43" s="448">
        <v>19.97</v>
      </c>
      <c r="E43" s="210"/>
    </row>
    <row r="44" spans="1:5" ht="67.5">
      <c r="A44" s="446">
        <v>97184</v>
      </c>
      <c r="B44" s="447" t="s">
        <v>3425</v>
      </c>
      <c r="C44" s="446" t="s">
        <v>14</v>
      </c>
      <c r="D44" s="448">
        <v>23.17</v>
      </c>
      <c r="E44" s="210"/>
    </row>
    <row r="45" spans="1:5" ht="67.5">
      <c r="A45" s="446">
        <v>97185</v>
      </c>
      <c r="B45" s="447" t="s">
        <v>3426</v>
      </c>
      <c r="C45" s="446" t="s">
        <v>14</v>
      </c>
      <c r="D45" s="448">
        <v>26.36</v>
      </c>
      <c r="E45" s="210"/>
    </row>
    <row r="46" spans="1:5" ht="67.5">
      <c r="A46" s="446">
        <v>97186</v>
      </c>
      <c r="B46" s="447" t="s">
        <v>3427</v>
      </c>
      <c r="C46" s="446" t="s">
        <v>14</v>
      </c>
      <c r="D46" s="448">
        <v>29.57</v>
      </c>
      <c r="E46" s="210"/>
    </row>
    <row r="47" spans="1:5" ht="81">
      <c r="A47" s="446">
        <v>97187</v>
      </c>
      <c r="B47" s="447" t="s">
        <v>3514</v>
      </c>
      <c r="C47" s="446" t="s">
        <v>14</v>
      </c>
      <c r="D47" s="448">
        <v>35.97</v>
      </c>
      <c r="E47" s="210"/>
    </row>
    <row r="48" spans="1:5" ht="81">
      <c r="A48" s="446">
        <v>97188</v>
      </c>
      <c r="B48" s="447" t="s">
        <v>3428</v>
      </c>
      <c r="C48" s="446" t="s">
        <v>14</v>
      </c>
      <c r="D48" s="448">
        <v>42.36</v>
      </c>
      <c r="E48" s="210"/>
    </row>
    <row r="49" spans="1:5" ht="81">
      <c r="A49" s="446">
        <v>97189</v>
      </c>
      <c r="B49" s="447" t="s">
        <v>3429</v>
      </c>
      <c r="C49" s="446" t="s">
        <v>14</v>
      </c>
      <c r="D49" s="448">
        <v>48.77</v>
      </c>
      <c r="E49" s="210"/>
    </row>
    <row r="50" spans="1:5" ht="81">
      <c r="A50" s="446">
        <v>97190</v>
      </c>
      <c r="B50" s="447" t="s">
        <v>3430</v>
      </c>
      <c r="C50" s="446" t="s">
        <v>14</v>
      </c>
      <c r="D50" s="448">
        <v>55.15</v>
      </c>
      <c r="E50" s="210"/>
    </row>
    <row r="51" spans="1:5" ht="81">
      <c r="A51" s="446">
        <v>97191</v>
      </c>
      <c r="B51" s="447" t="s">
        <v>3431</v>
      </c>
      <c r="C51" s="446" t="s">
        <v>14</v>
      </c>
      <c r="D51" s="448">
        <v>64.040000000000006</v>
      </c>
      <c r="E51" s="210"/>
    </row>
    <row r="52" spans="1:5" ht="81">
      <c r="A52" s="446">
        <v>97192</v>
      </c>
      <c r="B52" s="447" t="s">
        <v>3432</v>
      </c>
      <c r="C52" s="446" t="s">
        <v>14</v>
      </c>
      <c r="D52" s="448">
        <v>70.72</v>
      </c>
      <c r="E52" s="210"/>
    </row>
    <row r="53" spans="1:5" ht="54">
      <c r="A53" s="446">
        <v>90694</v>
      </c>
      <c r="B53" s="447" t="s">
        <v>6303</v>
      </c>
      <c r="C53" s="446" t="s">
        <v>14</v>
      </c>
      <c r="D53" s="448">
        <v>43.54</v>
      </c>
      <c r="E53" s="210"/>
    </row>
    <row r="54" spans="1:5" ht="54">
      <c r="A54" s="446">
        <v>90695</v>
      </c>
      <c r="B54" s="447" t="s">
        <v>6304</v>
      </c>
      <c r="C54" s="446" t="s">
        <v>14</v>
      </c>
      <c r="D54" s="448">
        <v>91.56</v>
      </c>
      <c r="E54" s="210"/>
    </row>
    <row r="55" spans="1:5" ht="54">
      <c r="A55" s="446">
        <v>90696</v>
      </c>
      <c r="B55" s="447" t="s">
        <v>6305</v>
      </c>
      <c r="C55" s="446" t="s">
        <v>14</v>
      </c>
      <c r="D55" s="448">
        <v>136.41</v>
      </c>
      <c r="E55" s="210"/>
    </row>
    <row r="56" spans="1:5" ht="54">
      <c r="A56" s="446">
        <v>90697</v>
      </c>
      <c r="B56" s="447" t="s">
        <v>6306</v>
      </c>
      <c r="C56" s="446" t="s">
        <v>14</v>
      </c>
      <c r="D56" s="448">
        <v>230.68</v>
      </c>
      <c r="E56" s="210"/>
    </row>
    <row r="57" spans="1:5" ht="54">
      <c r="A57" s="446">
        <v>90698</v>
      </c>
      <c r="B57" s="447" t="s">
        <v>6307</v>
      </c>
      <c r="C57" s="446" t="s">
        <v>14</v>
      </c>
      <c r="D57" s="448">
        <v>370.66</v>
      </c>
      <c r="E57" s="210"/>
    </row>
    <row r="58" spans="1:5" ht="54">
      <c r="A58" s="446">
        <v>90699</v>
      </c>
      <c r="B58" s="447" t="s">
        <v>6308</v>
      </c>
      <c r="C58" s="446" t="s">
        <v>14</v>
      </c>
      <c r="D58" s="448">
        <v>458.5</v>
      </c>
      <c r="E58" s="210"/>
    </row>
    <row r="59" spans="1:5" ht="54">
      <c r="A59" s="446">
        <v>90700</v>
      </c>
      <c r="B59" s="447" t="s">
        <v>6309</v>
      </c>
      <c r="C59" s="446" t="s">
        <v>14</v>
      </c>
      <c r="D59" s="448">
        <v>594.37</v>
      </c>
      <c r="E59" s="210"/>
    </row>
    <row r="60" spans="1:5" ht="54">
      <c r="A60" s="446">
        <v>90701</v>
      </c>
      <c r="B60" s="447" t="s">
        <v>6310</v>
      </c>
      <c r="C60" s="446" t="s">
        <v>14</v>
      </c>
      <c r="D60" s="448">
        <v>75.17</v>
      </c>
      <c r="E60" s="210"/>
    </row>
    <row r="61" spans="1:5" ht="54">
      <c r="A61" s="446">
        <v>90702</v>
      </c>
      <c r="B61" s="447" t="s">
        <v>6311</v>
      </c>
      <c r="C61" s="446" t="s">
        <v>14</v>
      </c>
      <c r="D61" s="448">
        <v>120</v>
      </c>
      <c r="E61" s="210"/>
    </row>
    <row r="62" spans="1:5" ht="54">
      <c r="A62" s="446">
        <v>90703</v>
      </c>
      <c r="B62" s="447" t="s">
        <v>6312</v>
      </c>
      <c r="C62" s="446" t="s">
        <v>14</v>
      </c>
      <c r="D62" s="448">
        <v>197.76</v>
      </c>
      <c r="E62" s="210"/>
    </row>
    <row r="63" spans="1:5" ht="54">
      <c r="A63" s="446">
        <v>90704</v>
      </c>
      <c r="B63" s="447" t="s">
        <v>6313</v>
      </c>
      <c r="C63" s="446" t="s">
        <v>14</v>
      </c>
      <c r="D63" s="448">
        <v>273.93</v>
      </c>
      <c r="E63" s="210"/>
    </row>
    <row r="64" spans="1:5" ht="54">
      <c r="A64" s="446">
        <v>90705</v>
      </c>
      <c r="B64" s="447" t="s">
        <v>6314</v>
      </c>
      <c r="C64" s="446" t="s">
        <v>14</v>
      </c>
      <c r="D64" s="448">
        <v>386.32</v>
      </c>
      <c r="E64" s="210"/>
    </row>
    <row r="65" spans="1:5" ht="54">
      <c r="A65" s="446">
        <v>90706</v>
      </c>
      <c r="B65" s="447" t="s">
        <v>6315</v>
      </c>
      <c r="C65" s="446" t="s">
        <v>14</v>
      </c>
      <c r="D65" s="448">
        <v>451.16</v>
      </c>
      <c r="E65" s="210"/>
    </row>
    <row r="66" spans="1:5" ht="54">
      <c r="A66" s="446">
        <v>90708</v>
      </c>
      <c r="B66" s="447" t="s">
        <v>6316</v>
      </c>
      <c r="C66" s="446" t="s">
        <v>14</v>
      </c>
      <c r="D66" s="448">
        <v>1261.6400000000001</v>
      </c>
      <c r="E66" s="210"/>
    </row>
    <row r="67" spans="1:5" ht="54">
      <c r="A67" s="446">
        <v>90724</v>
      </c>
      <c r="B67" s="447" t="s">
        <v>6317</v>
      </c>
      <c r="C67" s="446" t="s">
        <v>34</v>
      </c>
      <c r="D67" s="448">
        <v>15.61</v>
      </c>
      <c r="E67" s="210"/>
    </row>
    <row r="68" spans="1:5" ht="54">
      <c r="A68" s="446">
        <v>90725</v>
      </c>
      <c r="B68" s="447" t="s">
        <v>6318</v>
      </c>
      <c r="C68" s="446" t="s">
        <v>34</v>
      </c>
      <c r="D68" s="448">
        <v>19.239999999999998</v>
      </c>
      <c r="E68" s="210"/>
    </row>
    <row r="69" spans="1:5" ht="54">
      <c r="A69" s="446">
        <v>90726</v>
      </c>
      <c r="B69" s="447" t="s">
        <v>6319</v>
      </c>
      <c r="C69" s="446" t="s">
        <v>34</v>
      </c>
      <c r="D69" s="448">
        <v>22.91</v>
      </c>
      <c r="E69" s="210"/>
    </row>
    <row r="70" spans="1:5" ht="54">
      <c r="A70" s="446">
        <v>90727</v>
      </c>
      <c r="B70" s="447" t="s">
        <v>6320</v>
      </c>
      <c r="C70" s="446" t="s">
        <v>34</v>
      </c>
      <c r="D70" s="448">
        <v>26.54</v>
      </c>
      <c r="E70" s="210"/>
    </row>
    <row r="71" spans="1:5" ht="54">
      <c r="A71" s="446">
        <v>90728</v>
      </c>
      <c r="B71" s="447" t="s">
        <v>6321</v>
      </c>
      <c r="C71" s="446" t="s">
        <v>34</v>
      </c>
      <c r="D71" s="448">
        <v>30.17</v>
      </c>
      <c r="E71" s="210"/>
    </row>
    <row r="72" spans="1:5" ht="54">
      <c r="A72" s="446">
        <v>90729</v>
      </c>
      <c r="B72" s="447" t="s">
        <v>6322</v>
      </c>
      <c r="C72" s="446" t="s">
        <v>34</v>
      </c>
      <c r="D72" s="448">
        <v>33.79</v>
      </c>
      <c r="E72" s="210"/>
    </row>
    <row r="73" spans="1:5" ht="54">
      <c r="A73" s="446">
        <v>90730</v>
      </c>
      <c r="B73" s="447" t="s">
        <v>6323</v>
      </c>
      <c r="C73" s="446" t="s">
        <v>34</v>
      </c>
      <c r="D73" s="448">
        <v>37.42</v>
      </c>
      <c r="E73" s="210"/>
    </row>
    <row r="74" spans="1:5" ht="54">
      <c r="A74" s="446">
        <v>90731</v>
      </c>
      <c r="B74" s="447" t="s">
        <v>6324</v>
      </c>
      <c r="C74" s="446" t="s">
        <v>34</v>
      </c>
      <c r="D74" s="448">
        <v>41.06</v>
      </c>
      <c r="E74" s="210"/>
    </row>
    <row r="75" spans="1:5" ht="54">
      <c r="A75" s="446">
        <v>90732</v>
      </c>
      <c r="B75" s="447" t="s">
        <v>6325</v>
      </c>
      <c r="C75" s="446" t="s">
        <v>34</v>
      </c>
      <c r="D75" s="448">
        <v>51.94</v>
      </c>
      <c r="E75" s="210"/>
    </row>
    <row r="76" spans="1:5" ht="54">
      <c r="A76" s="446">
        <v>90733</v>
      </c>
      <c r="B76" s="447" t="s">
        <v>6326</v>
      </c>
      <c r="C76" s="446" t="s">
        <v>14</v>
      </c>
      <c r="D76" s="448">
        <v>2.17</v>
      </c>
      <c r="E76" s="210"/>
    </row>
    <row r="77" spans="1:5" ht="54">
      <c r="A77" s="446">
        <v>90734</v>
      </c>
      <c r="B77" s="447" t="s">
        <v>6327</v>
      </c>
      <c r="C77" s="446" t="s">
        <v>14</v>
      </c>
      <c r="D77" s="448">
        <v>2.57</v>
      </c>
      <c r="E77" s="210"/>
    </row>
    <row r="78" spans="1:5" ht="54">
      <c r="A78" s="446">
        <v>90735</v>
      </c>
      <c r="B78" s="447" t="s">
        <v>6328</v>
      </c>
      <c r="C78" s="446" t="s">
        <v>14</v>
      </c>
      <c r="D78" s="448">
        <v>2.97</v>
      </c>
      <c r="E78" s="210"/>
    </row>
    <row r="79" spans="1:5" ht="54">
      <c r="A79" s="446">
        <v>90736</v>
      </c>
      <c r="B79" s="447" t="s">
        <v>6329</v>
      </c>
      <c r="C79" s="446" t="s">
        <v>14</v>
      </c>
      <c r="D79" s="448">
        <v>3.37</v>
      </c>
      <c r="E79" s="210"/>
    </row>
    <row r="80" spans="1:5" ht="54">
      <c r="A80" s="446">
        <v>90737</v>
      </c>
      <c r="B80" s="447" t="s">
        <v>6330</v>
      </c>
      <c r="C80" s="446" t="s">
        <v>14</v>
      </c>
      <c r="D80" s="448">
        <v>3.77</v>
      </c>
      <c r="E80" s="210"/>
    </row>
    <row r="81" spans="1:5" ht="54">
      <c r="A81" s="446">
        <v>90738</v>
      </c>
      <c r="B81" s="447" t="s">
        <v>6331</v>
      </c>
      <c r="C81" s="446" t="s">
        <v>14</v>
      </c>
      <c r="D81" s="448">
        <v>4.17</v>
      </c>
      <c r="E81" s="210"/>
    </row>
    <row r="82" spans="1:5" ht="54">
      <c r="A82" s="446">
        <v>90739</v>
      </c>
      <c r="B82" s="447" t="s">
        <v>6332</v>
      </c>
      <c r="C82" s="446" t="s">
        <v>14</v>
      </c>
      <c r="D82" s="448">
        <v>6.03</v>
      </c>
      <c r="E82" s="210"/>
    </row>
    <row r="83" spans="1:5" ht="54">
      <c r="A83" s="446">
        <v>90740</v>
      </c>
      <c r="B83" s="447" t="s">
        <v>6333</v>
      </c>
      <c r="C83" s="446" t="s">
        <v>14</v>
      </c>
      <c r="D83" s="448">
        <v>2.86</v>
      </c>
      <c r="E83" s="210"/>
    </row>
    <row r="84" spans="1:5" ht="54">
      <c r="A84" s="446">
        <v>90741</v>
      </c>
      <c r="B84" s="447" t="s">
        <v>6334</v>
      </c>
      <c r="C84" s="446" t="s">
        <v>14</v>
      </c>
      <c r="D84" s="448">
        <v>3.26</v>
      </c>
      <c r="E84" s="210"/>
    </row>
    <row r="85" spans="1:5" ht="54">
      <c r="A85" s="446">
        <v>90742</v>
      </c>
      <c r="B85" s="447" t="s">
        <v>6335</v>
      </c>
      <c r="C85" s="446" t="s">
        <v>14</v>
      </c>
      <c r="D85" s="448">
        <v>3.67</v>
      </c>
      <c r="E85" s="210"/>
    </row>
    <row r="86" spans="1:5" ht="54">
      <c r="A86" s="446">
        <v>90743</v>
      </c>
      <c r="B86" s="447" t="s">
        <v>6336</v>
      </c>
      <c r="C86" s="446" t="s">
        <v>14</v>
      </c>
      <c r="D86" s="448">
        <v>4.07</v>
      </c>
      <c r="E86" s="210"/>
    </row>
    <row r="87" spans="1:5" ht="54">
      <c r="A87" s="446">
        <v>90744</v>
      </c>
      <c r="B87" s="447" t="s">
        <v>6337</v>
      </c>
      <c r="C87" s="446" t="s">
        <v>14</v>
      </c>
      <c r="D87" s="448">
        <v>4.47</v>
      </c>
      <c r="E87" s="210"/>
    </row>
    <row r="88" spans="1:5" ht="54">
      <c r="A88" s="446">
        <v>90745</v>
      </c>
      <c r="B88" s="447" t="s">
        <v>6338</v>
      </c>
      <c r="C88" s="446" t="s">
        <v>14</v>
      </c>
      <c r="D88" s="448">
        <v>6.74</v>
      </c>
      <c r="E88" s="210"/>
    </row>
    <row r="89" spans="1:5" ht="67.5">
      <c r="A89" s="446">
        <v>90746</v>
      </c>
      <c r="B89" s="447" t="s">
        <v>6339</v>
      </c>
      <c r="C89" s="446" t="s">
        <v>14</v>
      </c>
      <c r="D89" s="448">
        <v>2.35</v>
      </c>
      <c r="E89" s="210"/>
    </row>
    <row r="90" spans="1:5" ht="67.5">
      <c r="A90" s="446">
        <v>90747</v>
      </c>
      <c r="B90" s="447" t="s">
        <v>6340</v>
      </c>
      <c r="C90" s="446" t="s">
        <v>14</v>
      </c>
      <c r="D90" s="448">
        <v>11.32</v>
      </c>
      <c r="E90" s="210"/>
    </row>
    <row r="91" spans="1:5" ht="54">
      <c r="A91" s="446">
        <v>94869</v>
      </c>
      <c r="B91" s="447" t="s">
        <v>6341</v>
      </c>
      <c r="C91" s="446" t="s">
        <v>14</v>
      </c>
      <c r="D91" s="448">
        <v>257.74</v>
      </c>
      <c r="E91" s="210"/>
    </row>
    <row r="92" spans="1:5" ht="67.5">
      <c r="A92" s="446">
        <v>94870</v>
      </c>
      <c r="B92" s="447" t="s">
        <v>6342</v>
      </c>
      <c r="C92" s="446" t="s">
        <v>14</v>
      </c>
      <c r="D92" s="448">
        <v>1.72</v>
      </c>
      <c r="E92" s="210"/>
    </row>
    <row r="93" spans="1:5" ht="54">
      <c r="A93" s="446">
        <v>94871</v>
      </c>
      <c r="B93" s="447" t="s">
        <v>6343</v>
      </c>
      <c r="C93" s="446" t="s">
        <v>14</v>
      </c>
      <c r="D93" s="448">
        <v>305.05</v>
      </c>
      <c r="E93" s="210"/>
    </row>
    <row r="94" spans="1:5" ht="67.5">
      <c r="A94" s="446">
        <v>94872</v>
      </c>
      <c r="B94" s="447" t="s">
        <v>6344</v>
      </c>
      <c r="C94" s="446" t="s">
        <v>14</v>
      </c>
      <c r="D94" s="448">
        <v>2.2599999999999998</v>
      </c>
      <c r="E94" s="210"/>
    </row>
    <row r="95" spans="1:5" ht="54">
      <c r="A95" s="446">
        <v>94875</v>
      </c>
      <c r="B95" s="447" t="s">
        <v>6345</v>
      </c>
      <c r="C95" s="446" t="s">
        <v>14</v>
      </c>
      <c r="D95" s="448">
        <v>1781.81</v>
      </c>
      <c r="E95" s="210"/>
    </row>
    <row r="96" spans="1:5" ht="67.5">
      <c r="A96" s="446">
        <v>94876</v>
      </c>
      <c r="B96" s="447" t="s">
        <v>6346</v>
      </c>
      <c r="C96" s="446" t="s">
        <v>14</v>
      </c>
      <c r="D96" s="448">
        <v>20.32</v>
      </c>
      <c r="E96" s="210"/>
    </row>
    <row r="97" spans="1:5" ht="67.5">
      <c r="A97" s="446">
        <v>94878</v>
      </c>
      <c r="B97" s="447" t="s">
        <v>6751</v>
      </c>
      <c r="C97" s="446" t="s">
        <v>14</v>
      </c>
      <c r="D97" s="448">
        <v>23.31</v>
      </c>
      <c r="E97" s="210"/>
    </row>
    <row r="98" spans="1:5" ht="54">
      <c r="A98" s="446">
        <v>94879</v>
      </c>
      <c r="B98" s="447" t="s">
        <v>6752</v>
      </c>
      <c r="C98" s="446" t="s">
        <v>14</v>
      </c>
      <c r="D98" s="448">
        <v>2372.2800000000002</v>
      </c>
      <c r="E98" s="210"/>
    </row>
    <row r="99" spans="1:5" ht="67.5">
      <c r="A99" s="446">
        <v>94880</v>
      </c>
      <c r="B99" s="447" t="s">
        <v>6753</v>
      </c>
      <c r="C99" s="446" t="s">
        <v>14</v>
      </c>
      <c r="D99" s="448">
        <v>30.97</v>
      </c>
      <c r="E99" s="210"/>
    </row>
    <row r="100" spans="1:5" ht="54">
      <c r="A100" s="446">
        <v>94881</v>
      </c>
      <c r="B100" s="447" t="s">
        <v>6754</v>
      </c>
      <c r="C100" s="446" t="s">
        <v>14</v>
      </c>
      <c r="D100" s="448">
        <v>3710.23</v>
      </c>
      <c r="E100" s="210"/>
    </row>
    <row r="101" spans="1:5" ht="67.5">
      <c r="A101" s="446">
        <v>94882</v>
      </c>
      <c r="B101" s="447" t="s">
        <v>6755</v>
      </c>
      <c r="C101" s="446" t="s">
        <v>14</v>
      </c>
      <c r="D101" s="448">
        <v>35.57</v>
      </c>
      <c r="E101" s="210"/>
    </row>
    <row r="102" spans="1:5" ht="67.5">
      <c r="A102" s="446">
        <v>94884</v>
      </c>
      <c r="B102" s="447" t="s">
        <v>6756</v>
      </c>
      <c r="C102" s="446" t="s">
        <v>14</v>
      </c>
      <c r="D102" s="448">
        <v>44.88</v>
      </c>
      <c r="E102" s="210"/>
    </row>
    <row r="103" spans="1:5" ht="67.5">
      <c r="A103" s="446">
        <v>97121</v>
      </c>
      <c r="B103" s="447" t="s">
        <v>3362</v>
      </c>
      <c r="C103" s="446" t="s">
        <v>14</v>
      </c>
      <c r="D103" s="448">
        <v>1.35</v>
      </c>
      <c r="E103" s="210"/>
    </row>
    <row r="104" spans="1:5" ht="67.5">
      <c r="A104" s="446">
        <v>97122</v>
      </c>
      <c r="B104" s="447" t="s">
        <v>3363</v>
      </c>
      <c r="C104" s="446" t="s">
        <v>14</v>
      </c>
      <c r="D104" s="448">
        <v>1.89</v>
      </c>
      <c r="E104" s="210"/>
    </row>
    <row r="105" spans="1:5" ht="67.5">
      <c r="A105" s="446">
        <v>97123</v>
      </c>
      <c r="B105" s="447" t="s">
        <v>3364</v>
      </c>
      <c r="C105" s="446" t="s">
        <v>14</v>
      </c>
      <c r="D105" s="448">
        <v>2.41</v>
      </c>
      <c r="E105" s="210"/>
    </row>
    <row r="106" spans="1:5" ht="67.5">
      <c r="A106" s="446">
        <v>97124</v>
      </c>
      <c r="B106" s="447" t="s">
        <v>3365</v>
      </c>
      <c r="C106" s="446" t="s">
        <v>14</v>
      </c>
      <c r="D106" s="448">
        <v>0.63</v>
      </c>
      <c r="E106" s="210"/>
    </row>
    <row r="107" spans="1:5" ht="67.5">
      <c r="A107" s="446">
        <v>97125</v>
      </c>
      <c r="B107" s="447" t="s">
        <v>3366</v>
      </c>
      <c r="C107" s="446" t="s">
        <v>14</v>
      </c>
      <c r="D107" s="448">
        <v>0.9</v>
      </c>
      <c r="E107" s="210"/>
    </row>
    <row r="108" spans="1:5" ht="67.5">
      <c r="A108" s="446">
        <v>97126</v>
      </c>
      <c r="B108" s="447" t="s">
        <v>3367</v>
      </c>
      <c r="C108" s="446" t="s">
        <v>14</v>
      </c>
      <c r="D108" s="448">
        <v>1.1599999999999999</v>
      </c>
      <c r="E108" s="210"/>
    </row>
    <row r="109" spans="1:5" ht="54">
      <c r="A109" s="446">
        <v>102264</v>
      </c>
      <c r="B109" s="447" t="s">
        <v>6347</v>
      </c>
      <c r="C109" s="446" t="s">
        <v>14</v>
      </c>
      <c r="D109" s="448">
        <v>17.690000000000001</v>
      </c>
      <c r="E109" s="210"/>
    </row>
    <row r="110" spans="1:5" ht="54">
      <c r="A110" s="446">
        <v>102265</v>
      </c>
      <c r="B110" s="447" t="s">
        <v>6348</v>
      </c>
      <c r="C110" s="446" t="s">
        <v>34</v>
      </c>
      <c r="D110" s="448">
        <v>66.44</v>
      </c>
      <c r="E110" s="210"/>
    </row>
    <row r="111" spans="1:5" ht="54">
      <c r="A111" s="446">
        <v>102266</v>
      </c>
      <c r="B111" s="447" t="s">
        <v>6349</v>
      </c>
      <c r="C111" s="446" t="s">
        <v>34</v>
      </c>
      <c r="D111" s="448">
        <v>73.7</v>
      </c>
      <c r="E111" s="210"/>
    </row>
    <row r="112" spans="1:5" ht="54">
      <c r="A112" s="446">
        <v>102267</v>
      </c>
      <c r="B112" s="447" t="s">
        <v>6350</v>
      </c>
      <c r="C112" s="446" t="s">
        <v>34</v>
      </c>
      <c r="D112" s="448">
        <v>84.62</v>
      </c>
      <c r="E112" s="210"/>
    </row>
    <row r="113" spans="1:5" ht="54">
      <c r="A113" s="446">
        <v>102268</v>
      </c>
      <c r="B113" s="447" t="s">
        <v>6351</v>
      </c>
      <c r="C113" s="446" t="s">
        <v>34</v>
      </c>
      <c r="D113" s="448">
        <v>95.51</v>
      </c>
      <c r="E113" s="210"/>
    </row>
    <row r="114" spans="1:5" ht="54">
      <c r="A114" s="446">
        <v>102269</v>
      </c>
      <c r="B114" s="447" t="s">
        <v>6352</v>
      </c>
      <c r="C114" s="446" t="s">
        <v>34</v>
      </c>
      <c r="D114" s="448">
        <v>117.27</v>
      </c>
      <c r="E114" s="210"/>
    </row>
    <row r="115" spans="1:5" ht="67.5">
      <c r="A115" s="446">
        <v>92833</v>
      </c>
      <c r="B115" s="447" t="s">
        <v>2245</v>
      </c>
      <c r="C115" s="446" t="s">
        <v>14</v>
      </c>
      <c r="D115" s="448">
        <v>246.02</v>
      </c>
      <c r="E115" s="210"/>
    </row>
    <row r="116" spans="1:5" ht="81">
      <c r="A116" s="446">
        <v>92834</v>
      </c>
      <c r="B116" s="447" t="s">
        <v>2246</v>
      </c>
      <c r="C116" s="446" t="s">
        <v>14</v>
      </c>
      <c r="D116" s="448">
        <v>6.01</v>
      </c>
      <c r="E116" s="210"/>
    </row>
    <row r="117" spans="1:5" ht="67.5">
      <c r="A117" s="446">
        <v>92835</v>
      </c>
      <c r="B117" s="447" t="s">
        <v>2247</v>
      </c>
      <c r="C117" s="446" t="s">
        <v>14</v>
      </c>
      <c r="D117" s="448">
        <v>265.26</v>
      </c>
      <c r="E117" s="210"/>
    </row>
    <row r="118" spans="1:5" ht="81">
      <c r="A118" s="446">
        <v>92836</v>
      </c>
      <c r="B118" s="447" t="s">
        <v>2248</v>
      </c>
      <c r="C118" s="446" t="s">
        <v>14</v>
      </c>
      <c r="D118" s="448">
        <v>7.69</v>
      </c>
      <c r="E118" s="210"/>
    </row>
    <row r="119" spans="1:5" ht="67.5">
      <c r="A119" s="446">
        <v>92837</v>
      </c>
      <c r="B119" s="447" t="s">
        <v>2249</v>
      </c>
      <c r="C119" s="446" t="s">
        <v>14</v>
      </c>
      <c r="D119" s="448">
        <v>436.05</v>
      </c>
      <c r="E119" s="210"/>
    </row>
    <row r="120" spans="1:5" ht="81">
      <c r="A120" s="446">
        <v>92838</v>
      </c>
      <c r="B120" s="447" t="s">
        <v>2250</v>
      </c>
      <c r="C120" s="446" t="s">
        <v>14</v>
      </c>
      <c r="D120" s="448">
        <v>9.2100000000000009</v>
      </c>
      <c r="E120" s="210"/>
    </row>
    <row r="121" spans="1:5" ht="67.5">
      <c r="A121" s="446">
        <v>92839</v>
      </c>
      <c r="B121" s="447" t="s">
        <v>2251</v>
      </c>
      <c r="C121" s="446" t="s">
        <v>14</v>
      </c>
      <c r="D121" s="448">
        <v>534.65</v>
      </c>
      <c r="E121" s="210"/>
    </row>
    <row r="122" spans="1:5" ht="81">
      <c r="A122" s="446">
        <v>92840</v>
      </c>
      <c r="B122" s="447" t="s">
        <v>2252</v>
      </c>
      <c r="C122" s="446" t="s">
        <v>14</v>
      </c>
      <c r="D122" s="448">
        <v>10.93</v>
      </c>
      <c r="E122" s="210"/>
    </row>
    <row r="123" spans="1:5" ht="67.5">
      <c r="A123" s="446">
        <v>92841</v>
      </c>
      <c r="B123" s="447" t="s">
        <v>2253</v>
      </c>
      <c r="C123" s="446" t="s">
        <v>14</v>
      </c>
      <c r="D123" s="448">
        <v>663.48</v>
      </c>
      <c r="E123" s="210"/>
    </row>
    <row r="124" spans="1:5" ht="81">
      <c r="A124" s="446">
        <v>92842</v>
      </c>
      <c r="B124" s="447" t="s">
        <v>2254</v>
      </c>
      <c r="C124" s="446" t="s">
        <v>14</v>
      </c>
      <c r="D124" s="448">
        <v>12.46</v>
      </c>
      <c r="E124" s="210"/>
    </row>
    <row r="125" spans="1:5" ht="67.5">
      <c r="A125" s="446">
        <v>92843</v>
      </c>
      <c r="B125" s="447" t="s">
        <v>4485</v>
      </c>
      <c r="C125" s="446" t="s">
        <v>14</v>
      </c>
      <c r="D125" s="448">
        <v>711.61</v>
      </c>
      <c r="E125" s="210"/>
    </row>
    <row r="126" spans="1:5" ht="81">
      <c r="A126" s="446">
        <v>92844</v>
      </c>
      <c r="B126" s="447" t="s">
        <v>2255</v>
      </c>
      <c r="C126" s="446" t="s">
        <v>14</v>
      </c>
      <c r="D126" s="448">
        <v>14.19</v>
      </c>
      <c r="E126" s="210"/>
    </row>
    <row r="127" spans="1:5" ht="67.5">
      <c r="A127" s="446">
        <v>92845</v>
      </c>
      <c r="B127" s="447" t="s">
        <v>4486</v>
      </c>
      <c r="C127" s="446" t="s">
        <v>14</v>
      </c>
      <c r="D127" s="448">
        <v>972.2</v>
      </c>
      <c r="E127" s="210"/>
    </row>
    <row r="128" spans="1:5" ht="81">
      <c r="A128" s="446">
        <v>92846</v>
      </c>
      <c r="B128" s="447" t="s">
        <v>2256</v>
      </c>
      <c r="C128" s="446" t="s">
        <v>14</v>
      </c>
      <c r="D128" s="448">
        <v>15.71</v>
      </c>
      <c r="E128" s="210"/>
    </row>
    <row r="129" spans="1:5" ht="67.5">
      <c r="A129" s="446">
        <v>92847</v>
      </c>
      <c r="B129" s="447" t="s">
        <v>2257</v>
      </c>
      <c r="C129" s="446" t="s">
        <v>14</v>
      </c>
      <c r="D129" s="448">
        <v>1023.9</v>
      </c>
      <c r="E129" s="210"/>
    </row>
    <row r="130" spans="1:5" ht="81">
      <c r="A130" s="446">
        <v>92848</v>
      </c>
      <c r="B130" s="447" t="s">
        <v>2258</v>
      </c>
      <c r="C130" s="446" t="s">
        <v>14</v>
      </c>
      <c r="D130" s="448">
        <v>17.45</v>
      </c>
      <c r="E130" s="210"/>
    </row>
    <row r="131" spans="1:5" ht="67.5">
      <c r="A131" s="446">
        <v>92849</v>
      </c>
      <c r="B131" s="447" t="s">
        <v>2259</v>
      </c>
      <c r="C131" s="446" t="s">
        <v>14</v>
      </c>
      <c r="D131" s="448">
        <v>251.3</v>
      </c>
      <c r="E131" s="210"/>
    </row>
    <row r="132" spans="1:5" ht="81">
      <c r="A132" s="446">
        <v>92850</v>
      </c>
      <c r="B132" s="447" t="s">
        <v>2260</v>
      </c>
      <c r="C132" s="446" t="s">
        <v>14</v>
      </c>
      <c r="D132" s="448">
        <v>11.37</v>
      </c>
      <c r="E132" s="210"/>
    </row>
    <row r="133" spans="1:5" ht="67.5">
      <c r="A133" s="446">
        <v>92851</v>
      </c>
      <c r="B133" s="447" t="s">
        <v>2261</v>
      </c>
      <c r="C133" s="446" t="s">
        <v>14</v>
      </c>
      <c r="D133" s="448">
        <v>271.83999999999997</v>
      </c>
      <c r="E133" s="210"/>
    </row>
    <row r="134" spans="1:5" ht="81">
      <c r="A134" s="446">
        <v>92852</v>
      </c>
      <c r="B134" s="447" t="s">
        <v>2262</v>
      </c>
      <c r="C134" s="446" t="s">
        <v>14</v>
      </c>
      <c r="D134" s="448">
        <v>14.37</v>
      </c>
      <c r="E134" s="210"/>
    </row>
    <row r="135" spans="1:5" ht="67.5">
      <c r="A135" s="446">
        <v>92853</v>
      </c>
      <c r="B135" s="447" t="s">
        <v>2263</v>
      </c>
      <c r="C135" s="446" t="s">
        <v>14</v>
      </c>
      <c r="D135" s="448">
        <v>444.22</v>
      </c>
      <c r="E135" s="210"/>
    </row>
    <row r="136" spans="1:5" ht="81">
      <c r="A136" s="446">
        <v>92854</v>
      </c>
      <c r="B136" s="447" t="s">
        <v>2264</v>
      </c>
      <c r="C136" s="446" t="s">
        <v>14</v>
      </c>
      <c r="D136" s="448">
        <v>17.5</v>
      </c>
      <c r="E136" s="210"/>
    </row>
    <row r="137" spans="1:5" ht="67.5">
      <c r="A137" s="446">
        <v>92855</v>
      </c>
      <c r="B137" s="447" t="s">
        <v>2265</v>
      </c>
      <c r="C137" s="446" t="s">
        <v>14</v>
      </c>
      <c r="D137" s="448">
        <v>544.22</v>
      </c>
      <c r="E137" s="210"/>
    </row>
    <row r="138" spans="1:5" ht="81">
      <c r="A138" s="446">
        <v>92856</v>
      </c>
      <c r="B138" s="447" t="s">
        <v>2266</v>
      </c>
      <c r="C138" s="446" t="s">
        <v>14</v>
      </c>
      <c r="D138" s="448">
        <v>20.63</v>
      </c>
      <c r="E138" s="210"/>
    </row>
    <row r="139" spans="1:5" ht="67.5">
      <c r="A139" s="446">
        <v>92857</v>
      </c>
      <c r="B139" s="447" t="s">
        <v>2267</v>
      </c>
      <c r="C139" s="446" t="s">
        <v>14</v>
      </c>
      <c r="D139" s="448">
        <v>674.46</v>
      </c>
      <c r="E139" s="210"/>
    </row>
    <row r="140" spans="1:5" ht="81">
      <c r="A140" s="446">
        <v>92858</v>
      </c>
      <c r="B140" s="447" t="s">
        <v>2268</v>
      </c>
      <c r="C140" s="446" t="s">
        <v>14</v>
      </c>
      <c r="D140" s="448">
        <v>23.6</v>
      </c>
      <c r="E140" s="210"/>
    </row>
    <row r="141" spans="1:5" ht="67.5">
      <c r="A141" s="446">
        <v>92859</v>
      </c>
      <c r="B141" s="447" t="s">
        <v>4487</v>
      </c>
      <c r="C141" s="446" t="s">
        <v>14</v>
      </c>
      <c r="D141" s="448">
        <v>724.23</v>
      </c>
      <c r="E141" s="210"/>
    </row>
    <row r="142" spans="1:5" ht="81">
      <c r="A142" s="446">
        <v>92860</v>
      </c>
      <c r="B142" s="447" t="s">
        <v>2269</v>
      </c>
      <c r="C142" s="446" t="s">
        <v>14</v>
      </c>
      <c r="D142" s="448">
        <v>26.81</v>
      </c>
      <c r="E142" s="210"/>
    </row>
    <row r="143" spans="1:5" ht="67.5">
      <c r="A143" s="446">
        <v>92861</v>
      </c>
      <c r="B143" s="447" t="s">
        <v>4488</v>
      </c>
      <c r="C143" s="446" t="s">
        <v>14</v>
      </c>
      <c r="D143" s="448">
        <v>986.4</v>
      </c>
      <c r="E143" s="210"/>
    </row>
    <row r="144" spans="1:5" ht="81">
      <c r="A144" s="446">
        <v>92862</v>
      </c>
      <c r="B144" s="447" t="s">
        <v>2270</v>
      </c>
      <c r="C144" s="446" t="s">
        <v>14</v>
      </c>
      <c r="D144" s="448">
        <v>29.91</v>
      </c>
      <c r="E144" s="210"/>
    </row>
    <row r="145" spans="1:5" ht="67.5">
      <c r="A145" s="446">
        <v>92863</v>
      </c>
      <c r="B145" s="447" t="s">
        <v>2271</v>
      </c>
      <c r="C145" s="446" t="s">
        <v>14</v>
      </c>
      <c r="D145" s="448">
        <v>1039.28</v>
      </c>
      <c r="E145" s="210"/>
    </row>
    <row r="146" spans="1:5" ht="81">
      <c r="A146" s="446">
        <v>92864</v>
      </c>
      <c r="B146" s="447" t="s">
        <v>2272</v>
      </c>
      <c r="C146" s="446" t="s">
        <v>14</v>
      </c>
      <c r="D146" s="448">
        <v>33.049999999999997</v>
      </c>
      <c r="E146" s="210"/>
    </row>
    <row r="147" spans="1:5" ht="67.5">
      <c r="A147" s="446">
        <v>92210</v>
      </c>
      <c r="B147" s="447" t="s">
        <v>2086</v>
      </c>
      <c r="C147" s="446" t="s">
        <v>14</v>
      </c>
      <c r="D147" s="448">
        <v>140.87</v>
      </c>
      <c r="E147" s="210"/>
    </row>
    <row r="148" spans="1:5" ht="67.5">
      <c r="A148" s="446">
        <v>92211</v>
      </c>
      <c r="B148" s="447" t="s">
        <v>2087</v>
      </c>
      <c r="C148" s="446" t="s">
        <v>14</v>
      </c>
      <c r="D148" s="448">
        <v>169.17</v>
      </c>
      <c r="E148" s="210"/>
    </row>
    <row r="149" spans="1:5" ht="67.5">
      <c r="A149" s="446">
        <v>92212</v>
      </c>
      <c r="B149" s="447" t="s">
        <v>2088</v>
      </c>
      <c r="C149" s="446" t="s">
        <v>14</v>
      </c>
      <c r="D149" s="448">
        <v>255.83</v>
      </c>
      <c r="E149" s="210"/>
    </row>
    <row r="150" spans="1:5" ht="67.5">
      <c r="A150" s="446">
        <v>92213</v>
      </c>
      <c r="B150" s="447" t="s">
        <v>2089</v>
      </c>
      <c r="C150" s="446" t="s">
        <v>14</v>
      </c>
      <c r="D150" s="448">
        <v>338.36</v>
      </c>
      <c r="E150" s="210"/>
    </row>
    <row r="151" spans="1:5" ht="67.5">
      <c r="A151" s="446">
        <v>92214</v>
      </c>
      <c r="B151" s="447" t="s">
        <v>2090</v>
      </c>
      <c r="C151" s="446" t="s">
        <v>14</v>
      </c>
      <c r="D151" s="448">
        <v>409.81</v>
      </c>
      <c r="E151" s="210"/>
    </row>
    <row r="152" spans="1:5" ht="67.5">
      <c r="A152" s="446">
        <v>92215</v>
      </c>
      <c r="B152" s="447" t="s">
        <v>2091</v>
      </c>
      <c r="C152" s="446" t="s">
        <v>14</v>
      </c>
      <c r="D152" s="448">
        <v>470.96</v>
      </c>
      <c r="E152" s="210"/>
    </row>
    <row r="153" spans="1:5" ht="67.5">
      <c r="A153" s="446">
        <v>92216</v>
      </c>
      <c r="B153" s="447" t="s">
        <v>2092</v>
      </c>
      <c r="C153" s="446" t="s">
        <v>14</v>
      </c>
      <c r="D153" s="448">
        <v>490.84</v>
      </c>
      <c r="E153" s="210"/>
    </row>
    <row r="154" spans="1:5" ht="67.5">
      <c r="A154" s="446">
        <v>92219</v>
      </c>
      <c r="B154" s="447" t="s">
        <v>2093</v>
      </c>
      <c r="C154" s="446" t="s">
        <v>14</v>
      </c>
      <c r="D154" s="448">
        <v>147.56</v>
      </c>
      <c r="E154" s="210"/>
    </row>
    <row r="155" spans="1:5" ht="67.5">
      <c r="A155" s="446">
        <v>92220</v>
      </c>
      <c r="B155" s="447" t="s">
        <v>2094</v>
      </c>
      <c r="C155" s="446" t="s">
        <v>14</v>
      </c>
      <c r="D155" s="448">
        <v>177.45</v>
      </c>
      <c r="E155" s="210"/>
    </row>
    <row r="156" spans="1:5" ht="67.5">
      <c r="A156" s="446">
        <v>92221</v>
      </c>
      <c r="B156" s="447" t="s">
        <v>2095</v>
      </c>
      <c r="C156" s="446" t="s">
        <v>14</v>
      </c>
      <c r="D156" s="448">
        <v>265.52999999999997</v>
      </c>
      <c r="E156" s="210"/>
    </row>
    <row r="157" spans="1:5" ht="67.5">
      <c r="A157" s="446">
        <v>92222</v>
      </c>
      <c r="B157" s="447" t="s">
        <v>2096</v>
      </c>
      <c r="C157" s="446" t="s">
        <v>14</v>
      </c>
      <c r="D157" s="448">
        <v>349.65</v>
      </c>
      <c r="E157" s="210"/>
    </row>
    <row r="158" spans="1:5" ht="67.5">
      <c r="A158" s="446">
        <v>92223</v>
      </c>
      <c r="B158" s="447" t="s">
        <v>2097</v>
      </c>
      <c r="C158" s="446" t="s">
        <v>14</v>
      </c>
      <c r="D158" s="448">
        <v>422.43</v>
      </c>
      <c r="E158" s="210"/>
    </row>
    <row r="159" spans="1:5" ht="67.5">
      <c r="A159" s="446">
        <v>92224</v>
      </c>
      <c r="B159" s="447" t="s">
        <v>2098</v>
      </c>
      <c r="C159" s="446" t="s">
        <v>14</v>
      </c>
      <c r="D159" s="448">
        <v>484.97</v>
      </c>
      <c r="E159" s="210"/>
    </row>
    <row r="160" spans="1:5" ht="67.5">
      <c r="A160" s="446">
        <v>92226</v>
      </c>
      <c r="B160" s="447" t="s">
        <v>2099</v>
      </c>
      <c r="C160" s="446" t="s">
        <v>14</v>
      </c>
      <c r="D160" s="448">
        <v>506.52</v>
      </c>
      <c r="E160" s="210"/>
    </row>
    <row r="161" spans="1:5" ht="81">
      <c r="A161" s="446">
        <v>92808</v>
      </c>
      <c r="B161" s="447" t="s">
        <v>2221</v>
      </c>
      <c r="C161" s="446" t="s">
        <v>14</v>
      </c>
      <c r="D161" s="448">
        <v>27.19</v>
      </c>
      <c r="E161" s="210"/>
    </row>
    <row r="162" spans="1:5" ht="81">
      <c r="A162" s="446">
        <v>92809</v>
      </c>
      <c r="B162" s="447" t="s">
        <v>2222</v>
      </c>
      <c r="C162" s="446" t="s">
        <v>14</v>
      </c>
      <c r="D162" s="448">
        <v>34.950000000000003</v>
      </c>
      <c r="E162" s="210"/>
    </row>
    <row r="163" spans="1:5" ht="81">
      <c r="A163" s="446">
        <v>92810</v>
      </c>
      <c r="B163" s="447" t="s">
        <v>2223</v>
      </c>
      <c r="C163" s="446" t="s">
        <v>14</v>
      </c>
      <c r="D163" s="448">
        <v>42.58</v>
      </c>
      <c r="E163" s="210"/>
    </row>
    <row r="164" spans="1:5" ht="81">
      <c r="A164" s="446">
        <v>92811</v>
      </c>
      <c r="B164" s="447" t="s">
        <v>2224</v>
      </c>
      <c r="C164" s="446" t="s">
        <v>14</v>
      </c>
      <c r="D164" s="448">
        <v>50.86</v>
      </c>
      <c r="E164" s="210"/>
    </row>
    <row r="165" spans="1:5" ht="81">
      <c r="A165" s="446">
        <v>92812</v>
      </c>
      <c r="B165" s="447" t="s">
        <v>2225</v>
      </c>
      <c r="C165" s="446" t="s">
        <v>14</v>
      </c>
      <c r="D165" s="448">
        <v>58.99</v>
      </c>
      <c r="E165" s="210"/>
    </row>
    <row r="166" spans="1:5" ht="81">
      <c r="A166" s="446">
        <v>92813</v>
      </c>
      <c r="B166" s="447" t="s">
        <v>2226</v>
      </c>
      <c r="C166" s="446" t="s">
        <v>14</v>
      </c>
      <c r="D166" s="448">
        <v>68.78</v>
      </c>
      <c r="E166" s="210"/>
    </row>
    <row r="167" spans="1:5" ht="81">
      <c r="A167" s="446">
        <v>92814</v>
      </c>
      <c r="B167" s="447" t="s">
        <v>2227</v>
      </c>
      <c r="C167" s="446" t="s">
        <v>14</v>
      </c>
      <c r="D167" s="448">
        <v>79.11</v>
      </c>
      <c r="E167" s="210"/>
    </row>
    <row r="168" spans="1:5" ht="81">
      <c r="A168" s="446">
        <v>92815</v>
      </c>
      <c r="B168" s="447" t="s">
        <v>2228</v>
      </c>
      <c r="C168" s="446" t="s">
        <v>14</v>
      </c>
      <c r="D168" s="448">
        <v>91.25</v>
      </c>
      <c r="E168" s="210"/>
    </row>
    <row r="169" spans="1:5" ht="67.5">
      <c r="A169" s="446">
        <v>92816</v>
      </c>
      <c r="B169" s="447" t="s">
        <v>2229</v>
      </c>
      <c r="C169" s="446" t="s">
        <v>14</v>
      </c>
      <c r="D169" s="448">
        <v>711</v>
      </c>
      <c r="E169" s="210"/>
    </row>
    <row r="170" spans="1:5" ht="81">
      <c r="A170" s="446">
        <v>92817</v>
      </c>
      <c r="B170" s="447" t="s">
        <v>2230</v>
      </c>
      <c r="C170" s="446" t="s">
        <v>14</v>
      </c>
      <c r="D170" s="448">
        <v>114.18</v>
      </c>
      <c r="E170" s="210"/>
    </row>
    <row r="171" spans="1:5" ht="67.5">
      <c r="A171" s="446">
        <v>92818</v>
      </c>
      <c r="B171" s="447" t="s">
        <v>2231</v>
      </c>
      <c r="C171" s="446" t="s">
        <v>14</v>
      </c>
      <c r="D171" s="448">
        <v>1018.36</v>
      </c>
      <c r="E171" s="210"/>
    </row>
    <row r="172" spans="1:5" ht="81">
      <c r="A172" s="446">
        <v>92819</v>
      </c>
      <c r="B172" s="447" t="s">
        <v>2232</v>
      </c>
      <c r="C172" s="446" t="s">
        <v>14</v>
      </c>
      <c r="D172" s="448">
        <v>153.71</v>
      </c>
      <c r="E172" s="210"/>
    </row>
    <row r="173" spans="1:5" ht="81">
      <c r="A173" s="446">
        <v>92820</v>
      </c>
      <c r="B173" s="447" t="s">
        <v>2233</v>
      </c>
      <c r="C173" s="446" t="s">
        <v>14</v>
      </c>
      <c r="D173" s="448">
        <v>32.409999999999997</v>
      </c>
      <c r="E173" s="210"/>
    </row>
    <row r="174" spans="1:5" ht="81">
      <c r="A174" s="446">
        <v>92821</v>
      </c>
      <c r="B174" s="447" t="s">
        <v>2234</v>
      </c>
      <c r="C174" s="446" t="s">
        <v>14</v>
      </c>
      <c r="D174" s="448">
        <v>41.64</v>
      </c>
      <c r="E174" s="210"/>
    </row>
    <row r="175" spans="1:5" ht="81">
      <c r="A175" s="446">
        <v>92822</v>
      </c>
      <c r="B175" s="447" t="s">
        <v>2235</v>
      </c>
      <c r="C175" s="446" t="s">
        <v>14</v>
      </c>
      <c r="D175" s="448">
        <v>50.86</v>
      </c>
      <c r="E175" s="210"/>
    </row>
    <row r="176" spans="1:5" ht="81">
      <c r="A176" s="446">
        <v>92824</v>
      </c>
      <c r="B176" s="447" t="s">
        <v>2236</v>
      </c>
      <c r="C176" s="446" t="s">
        <v>14</v>
      </c>
      <c r="D176" s="448">
        <v>60.56</v>
      </c>
      <c r="E176" s="210"/>
    </row>
    <row r="177" spans="1:5" ht="81">
      <c r="A177" s="446">
        <v>92825</v>
      </c>
      <c r="B177" s="447" t="s">
        <v>2237</v>
      </c>
      <c r="C177" s="446" t="s">
        <v>14</v>
      </c>
      <c r="D177" s="448">
        <v>70.28</v>
      </c>
      <c r="E177" s="210"/>
    </row>
    <row r="178" spans="1:5" ht="81">
      <c r="A178" s="446">
        <v>92826</v>
      </c>
      <c r="B178" s="447" t="s">
        <v>2238</v>
      </c>
      <c r="C178" s="446" t="s">
        <v>14</v>
      </c>
      <c r="D178" s="448">
        <v>81.400000000000006</v>
      </c>
      <c r="E178" s="210"/>
    </row>
    <row r="179" spans="1:5" ht="81">
      <c r="A179" s="446">
        <v>92827</v>
      </c>
      <c r="B179" s="447" t="s">
        <v>2239</v>
      </c>
      <c r="C179" s="446" t="s">
        <v>14</v>
      </c>
      <c r="D179" s="448">
        <v>93.12</v>
      </c>
      <c r="E179" s="210"/>
    </row>
    <row r="180" spans="1:5" ht="81">
      <c r="A180" s="446">
        <v>92828</v>
      </c>
      <c r="B180" s="447" t="s">
        <v>2240</v>
      </c>
      <c r="C180" s="446" t="s">
        <v>14</v>
      </c>
      <c r="D180" s="448">
        <v>106.93</v>
      </c>
      <c r="E180" s="210"/>
    </row>
    <row r="181" spans="1:5" ht="67.5">
      <c r="A181" s="446">
        <v>92829</v>
      </c>
      <c r="B181" s="447" t="s">
        <v>2241</v>
      </c>
      <c r="C181" s="446" t="s">
        <v>14</v>
      </c>
      <c r="D181" s="448">
        <v>729.47</v>
      </c>
      <c r="E181" s="210"/>
    </row>
    <row r="182" spans="1:5" ht="81">
      <c r="A182" s="446">
        <v>92830</v>
      </c>
      <c r="B182" s="447" t="s">
        <v>2242</v>
      </c>
      <c r="C182" s="446" t="s">
        <v>14</v>
      </c>
      <c r="D182" s="448">
        <v>132.65</v>
      </c>
      <c r="E182" s="210"/>
    </row>
    <row r="183" spans="1:5" ht="67.5">
      <c r="A183" s="446">
        <v>92831</v>
      </c>
      <c r="B183" s="447" t="s">
        <v>2243</v>
      </c>
      <c r="C183" s="446" t="s">
        <v>14</v>
      </c>
      <c r="D183" s="448">
        <v>1040.99</v>
      </c>
      <c r="E183" s="210"/>
    </row>
    <row r="184" spans="1:5" ht="81">
      <c r="A184" s="446">
        <v>92832</v>
      </c>
      <c r="B184" s="447" t="s">
        <v>2244</v>
      </c>
      <c r="C184" s="446" t="s">
        <v>14</v>
      </c>
      <c r="D184" s="448">
        <v>176.34</v>
      </c>
      <c r="E184" s="210"/>
    </row>
    <row r="185" spans="1:5" ht="67.5">
      <c r="A185" s="446">
        <v>95565</v>
      </c>
      <c r="B185" s="447" t="s">
        <v>2834</v>
      </c>
      <c r="C185" s="446" t="s">
        <v>14</v>
      </c>
      <c r="D185" s="448">
        <v>120.67</v>
      </c>
      <c r="E185" s="210"/>
    </row>
    <row r="186" spans="1:5" ht="67.5">
      <c r="A186" s="446">
        <v>95566</v>
      </c>
      <c r="B186" s="447" t="s">
        <v>2835</v>
      </c>
      <c r="C186" s="446" t="s">
        <v>14</v>
      </c>
      <c r="D186" s="448">
        <v>125.81</v>
      </c>
      <c r="E186" s="210"/>
    </row>
    <row r="187" spans="1:5" ht="81">
      <c r="A187" s="446">
        <v>95567</v>
      </c>
      <c r="B187" s="447" t="s">
        <v>2836</v>
      </c>
      <c r="C187" s="446" t="s">
        <v>14</v>
      </c>
      <c r="D187" s="448">
        <v>65.95</v>
      </c>
      <c r="E187" s="210"/>
    </row>
    <row r="188" spans="1:5" ht="81">
      <c r="A188" s="446">
        <v>95568</v>
      </c>
      <c r="B188" s="447" t="s">
        <v>2837</v>
      </c>
      <c r="C188" s="446" t="s">
        <v>14</v>
      </c>
      <c r="D188" s="448">
        <v>80.709999999999994</v>
      </c>
      <c r="E188" s="210"/>
    </row>
    <row r="189" spans="1:5" ht="81">
      <c r="A189" s="446">
        <v>95569</v>
      </c>
      <c r="B189" s="447" t="s">
        <v>2838</v>
      </c>
      <c r="C189" s="446" t="s">
        <v>14</v>
      </c>
      <c r="D189" s="448">
        <v>110.83</v>
      </c>
      <c r="E189" s="210"/>
    </row>
    <row r="190" spans="1:5" ht="67.5">
      <c r="A190" s="446">
        <v>95570</v>
      </c>
      <c r="B190" s="447" t="s">
        <v>2839</v>
      </c>
      <c r="C190" s="446" t="s">
        <v>14</v>
      </c>
      <c r="D190" s="448">
        <v>71.09</v>
      </c>
      <c r="E190" s="210"/>
    </row>
    <row r="191" spans="1:5" ht="67.5">
      <c r="A191" s="446">
        <v>95571</v>
      </c>
      <c r="B191" s="447" t="s">
        <v>2840</v>
      </c>
      <c r="C191" s="446" t="s">
        <v>14</v>
      </c>
      <c r="D191" s="448">
        <v>87.3</v>
      </c>
      <c r="E191" s="210"/>
    </row>
    <row r="192" spans="1:5" ht="67.5">
      <c r="A192" s="446">
        <v>95572</v>
      </c>
      <c r="B192" s="447" t="s">
        <v>2841</v>
      </c>
      <c r="C192" s="446" t="s">
        <v>14</v>
      </c>
      <c r="D192" s="448">
        <v>118.99</v>
      </c>
      <c r="E192" s="210"/>
    </row>
    <row r="193" spans="1:5" ht="81">
      <c r="A193" s="446">
        <v>97127</v>
      </c>
      <c r="B193" s="447" t="s">
        <v>3368</v>
      </c>
      <c r="C193" s="446" t="s">
        <v>14</v>
      </c>
      <c r="D193" s="448">
        <v>3.47</v>
      </c>
      <c r="E193" s="210"/>
    </row>
    <row r="194" spans="1:5" ht="81">
      <c r="A194" s="446">
        <v>97128</v>
      </c>
      <c r="B194" s="447" t="s">
        <v>3369</v>
      </c>
      <c r="C194" s="446" t="s">
        <v>14</v>
      </c>
      <c r="D194" s="448">
        <v>6.88</v>
      </c>
      <c r="E194" s="210"/>
    </row>
    <row r="195" spans="1:5" ht="81">
      <c r="A195" s="446">
        <v>97129</v>
      </c>
      <c r="B195" s="447" t="s">
        <v>3370</v>
      </c>
      <c r="C195" s="446" t="s">
        <v>14</v>
      </c>
      <c r="D195" s="448">
        <v>8.4700000000000006</v>
      </c>
      <c r="E195" s="210"/>
    </row>
    <row r="196" spans="1:5" ht="81">
      <c r="A196" s="446">
        <v>97130</v>
      </c>
      <c r="B196" s="447" t="s">
        <v>3371</v>
      </c>
      <c r="C196" s="446" t="s">
        <v>14</v>
      </c>
      <c r="D196" s="448">
        <v>10.050000000000001</v>
      </c>
      <c r="E196" s="210"/>
    </row>
    <row r="197" spans="1:5" ht="81">
      <c r="A197" s="446">
        <v>97131</v>
      </c>
      <c r="B197" s="447" t="s">
        <v>3372</v>
      </c>
      <c r="C197" s="446" t="s">
        <v>14</v>
      </c>
      <c r="D197" s="448">
        <v>11.63</v>
      </c>
      <c r="E197" s="210"/>
    </row>
    <row r="198" spans="1:5" ht="81">
      <c r="A198" s="446">
        <v>97132</v>
      </c>
      <c r="B198" s="447" t="s">
        <v>3373</v>
      </c>
      <c r="C198" s="446" t="s">
        <v>14</v>
      </c>
      <c r="D198" s="448">
        <v>13.2</v>
      </c>
      <c r="E198" s="210"/>
    </row>
    <row r="199" spans="1:5" ht="81">
      <c r="A199" s="446">
        <v>97133</v>
      </c>
      <c r="B199" s="447" t="s">
        <v>3374</v>
      </c>
      <c r="C199" s="446" t="s">
        <v>14</v>
      </c>
      <c r="D199" s="448">
        <v>16.37</v>
      </c>
      <c r="E199" s="210"/>
    </row>
    <row r="200" spans="1:5" ht="81">
      <c r="A200" s="446">
        <v>97134</v>
      </c>
      <c r="B200" s="447" t="s">
        <v>3375</v>
      </c>
      <c r="C200" s="446" t="s">
        <v>14</v>
      </c>
      <c r="D200" s="448">
        <v>1.69</v>
      </c>
      <c r="E200" s="210"/>
    </row>
    <row r="201" spans="1:5" ht="81">
      <c r="A201" s="446">
        <v>97135</v>
      </c>
      <c r="B201" s="447" t="s">
        <v>3376</v>
      </c>
      <c r="C201" s="446" t="s">
        <v>14</v>
      </c>
      <c r="D201" s="448">
        <v>3.66</v>
      </c>
      <c r="E201" s="210"/>
    </row>
    <row r="202" spans="1:5" ht="81">
      <c r="A202" s="446">
        <v>97136</v>
      </c>
      <c r="B202" s="447" t="s">
        <v>3377</v>
      </c>
      <c r="C202" s="446" t="s">
        <v>14</v>
      </c>
      <c r="D202" s="448">
        <v>4.5199999999999996</v>
      </c>
      <c r="E202" s="210"/>
    </row>
    <row r="203" spans="1:5" ht="81">
      <c r="A203" s="446">
        <v>97137</v>
      </c>
      <c r="B203" s="447" t="s">
        <v>3378</v>
      </c>
      <c r="C203" s="446" t="s">
        <v>14</v>
      </c>
      <c r="D203" s="448">
        <v>5.37</v>
      </c>
      <c r="E203" s="210"/>
    </row>
    <row r="204" spans="1:5" ht="81">
      <c r="A204" s="446">
        <v>97138</v>
      </c>
      <c r="B204" s="447" t="s">
        <v>3379</v>
      </c>
      <c r="C204" s="446" t="s">
        <v>14</v>
      </c>
      <c r="D204" s="448">
        <v>6.22</v>
      </c>
      <c r="E204" s="210"/>
    </row>
    <row r="205" spans="1:5" ht="81">
      <c r="A205" s="446">
        <v>97139</v>
      </c>
      <c r="B205" s="447" t="s">
        <v>3380</v>
      </c>
      <c r="C205" s="446" t="s">
        <v>14</v>
      </c>
      <c r="D205" s="448">
        <v>7.05</v>
      </c>
      <c r="E205" s="210"/>
    </row>
    <row r="206" spans="1:5" ht="81">
      <c r="A206" s="446">
        <v>97140</v>
      </c>
      <c r="B206" s="447" t="s">
        <v>3381</v>
      </c>
      <c r="C206" s="446" t="s">
        <v>14</v>
      </c>
      <c r="D206" s="448">
        <v>8.74</v>
      </c>
      <c r="E206" s="210"/>
    </row>
    <row r="207" spans="1:5" ht="40.5">
      <c r="A207" s="446">
        <v>93206</v>
      </c>
      <c r="B207" s="447" t="s">
        <v>2365</v>
      </c>
      <c r="C207" s="446" t="s">
        <v>42</v>
      </c>
      <c r="D207" s="448">
        <v>949.17</v>
      </c>
      <c r="E207" s="210"/>
    </row>
    <row r="208" spans="1:5" ht="54">
      <c r="A208" s="446">
        <v>93207</v>
      </c>
      <c r="B208" s="447" t="s">
        <v>2366</v>
      </c>
      <c r="C208" s="446" t="s">
        <v>42</v>
      </c>
      <c r="D208" s="448">
        <v>867.32</v>
      </c>
      <c r="E208" s="210"/>
    </row>
    <row r="209" spans="1:5" ht="40.5">
      <c r="A209" s="446">
        <v>93208</v>
      </c>
      <c r="B209" s="447" t="s">
        <v>2367</v>
      </c>
      <c r="C209" s="446" t="s">
        <v>42</v>
      </c>
      <c r="D209" s="448">
        <v>686.09</v>
      </c>
      <c r="E209" s="210"/>
    </row>
    <row r="210" spans="1:5" ht="40.5">
      <c r="A210" s="446">
        <v>93209</v>
      </c>
      <c r="B210" s="447" t="s">
        <v>2368</v>
      </c>
      <c r="C210" s="446" t="s">
        <v>42</v>
      </c>
      <c r="D210" s="448">
        <v>774.58</v>
      </c>
      <c r="E210" s="210"/>
    </row>
    <row r="211" spans="1:5" ht="54">
      <c r="A211" s="446">
        <v>93210</v>
      </c>
      <c r="B211" s="447" t="s">
        <v>633</v>
      </c>
      <c r="C211" s="446" t="s">
        <v>42</v>
      </c>
      <c r="D211" s="448">
        <v>476.42</v>
      </c>
      <c r="E211" s="210"/>
    </row>
    <row r="212" spans="1:5" ht="40.5">
      <c r="A212" s="446">
        <v>93211</v>
      </c>
      <c r="B212" s="447" t="s">
        <v>2369</v>
      </c>
      <c r="C212" s="446" t="s">
        <v>42</v>
      </c>
      <c r="D212" s="448">
        <v>486.92</v>
      </c>
      <c r="E212" s="210"/>
    </row>
    <row r="213" spans="1:5" ht="54">
      <c r="A213" s="446">
        <v>93212</v>
      </c>
      <c r="B213" s="447" t="s">
        <v>2370</v>
      </c>
      <c r="C213" s="446" t="s">
        <v>42</v>
      </c>
      <c r="D213" s="448">
        <v>784.74</v>
      </c>
      <c r="E213" s="210"/>
    </row>
    <row r="214" spans="1:5" ht="40.5">
      <c r="A214" s="446">
        <v>93213</v>
      </c>
      <c r="B214" s="447" t="s">
        <v>2371</v>
      </c>
      <c r="C214" s="446" t="s">
        <v>42</v>
      </c>
      <c r="D214" s="448">
        <v>856.45</v>
      </c>
      <c r="E214" s="210"/>
    </row>
    <row r="215" spans="1:5" ht="54">
      <c r="A215" s="446">
        <v>93214</v>
      </c>
      <c r="B215" s="447" t="s">
        <v>3435</v>
      </c>
      <c r="C215" s="446" t="s">
        <v>34</v>
      </c>
      <c r="D215" s="448">
        <v>4033.32</v>
      </c>
      <c r="E215" s="210"/>
    </row>
    <row r="216" spans="1:5" ht="54">
      <c r="A216" s="446">
        <v>93243</v>
      </c>
      <c r="B216" s="447" t="s">
        <v>3436</v>
      </c>
      <c r="C216" s="446" t="s">
        <v>34</v>
      </c>
      <c r="D216" s="448">
        <v>6294.27</v>
      </c>
      <c r="E216" s="210"/>
    </row>
    <row r="217" spans="1:5" ht="40.5">
      <c r="A217" s="446">
        <v>93582</v>
      </c>
      <c r="B217" s="447" t="s">
        <v>2453</v>
      </c>
      <c r="C217" s="446" t="s">
        <v>42</v>
      </c>
      <c r="D217" s="448">
        <v>217.39</v>
      </c>
      <c r="E217" s="210"/>
    </row>
    <row r="218" spans="1:5" ht="54">
      <c r="A218" s="446">
        <v>93583</v>
      </c>
      <c r="B218" s="447" t="s">
        <v>2454</v>
      </c>
      <c r="C218" s="446" t="s">
        <v>42</v>
      </c>
      <c r="D218" s="448">
        <v>362.56</v>
      </c>
      <c r="E218" s="210"/>
    </row>
    <row r="219" spans="1:5" ht="40.5">
      <c r="A219" s="446">
        <v>93584</v>
      </c>
      <c r="B219" s="447" t="s">
        <v>2455</v>
      </c>
      <c r="C219" s="446" t="s">
        <v>42</v>
      </c>
      <c r="D219" s="448">
        <v>659.55</v>
      </c>
      <c r="E219" s="210"/>
    </row>
    <row r="220" spans="1:5" ht="40.5">
      <c r="A220" s="446">
        <v>93585</v>
      </c>
      <c r="B220" s="447" t="s">
        <v>2456</v>
      </c>
      <c r="C220" s="446" t="s">
        <v>42</v>
      </c>
      <c r="D220" s="448">
        <v>858.15</v>
      </c>
      <c r="E220" s="210"/>
    </row>
    <row r="221" spans="1:5" ht="54">
      <c r="A221" s="446">
        <v>98441</v>
      </c>
      <c r="B221" s="447" t="s">
        <v>3515</v>
      </c>
      <c r="C221" s="446" t="s">
        <v>42</v>
      </c>
      <c r="D221" s="448">
        <v>92.46</v>
      </c>
      <c r="E221" s="210"/>
    </row>
    <row r="222" spans="1:5" ht="54">
      <c r="A222" s="446">
        <v>98442</v>
      </c>
      <c r="B222" s="447" t="s">
        <v>3516</v>
      </c>
      <c r="C222" s="446" t="s">
        <v>42</v>
      </c>
      <c r="D222" s="448">
        <v>94.64</v>
      </c>
      <c r="E222" s="210"/>
    </row>
    <row r="223" spans="1:5" ht="54">
      <c r="A223" s="446">
        <v>98443</v>
      </c>
      <c r="B223" s="447" t="s">
        <v>3517</v>
      </c>
      <c r="C223" s="446" t="s">
        <v>42</v>
      </c>
      <c r="D223" s="448">
        <v>80.5</v>
      </c>
      <c r="E223" s="210"/>
    </row>
    <row r="224" spans="1:5" ht="54">
      <c r="A224" s="446">
        <v>98444</v>
      </c>
      <c r="B224" s="447" t="s">
        <v>3518</v>
      </c>
      <c r="C224" s="446" t="s">
        <v>42</v>
      </c>
      <c r="D224" s="448">
        <v>82.05</v>
      </c>
      <c r="E224" s="210"/>
    </row>
    <row r="225" spans="1:5" ht="54">
      <c r="A225" s="446">
        <v>98445</v>
      </c>
      <c r="B225" s="447" t="s">
        <v>3519</v>
      </c>
      <c r="C225" s="446" t="s">
        <v>42</v>
      </c>
      <c r="D225" s="448">
        <v>111.15</v>
      </c>
      <c r="E225" s="210"/>
    </row>
    <row r="226" spans="1:5" ht="54">
      <c r="A226" s="446">
        <v>98446</v>
      </c>
      <c r="B226" s="447" t="s">
        <v>3520</v>
      </c>
      <c r="C226" s="446" t="s">
        <v>42</v>
      </c>
      <c r="D226" s="448">
        <v>142.75</v>
      </c>
      <c r="E226" s="210"/>
    </row>
    <row r="227" spans="1:5" ht="54">
      <c r="A227" s="446">
        <v>98447</v>
      </c>
      <c r="B227" s="447" t="s">
        <v>3521</v>
      </c>
      <c r="C227" s="446" t="s">
        <v>42</v>
      </c>
      <c r="D227" s="448">
        <v>94.51</v>
      </c>
      <c r="E227" s="210"/>
    </row>
    <row r="228" spans="1:5" ht="54">
      <c r="A228" s="446">
        <v>98448</v>
      </c>
      <c r="B228" s="447" t="s">
        <v>3522</v>
      </c>
      <c r="C228" s="446" t="s">
        <v>42</v>
      </c>
      <c r="D228" s="448">
        <v>118.82</v>
      </c>
      <c r="E228" s="210"/>
    </row>
    <row r="229" spans="1:5" ht="54">
      <c r="A229" s="446">
        <v>98449</v>
      </c>
      <c r="B229" s="447" t="s">
        <v>3523</v>
      </c>
      <c r="C229" s="446" t="s">
        <v>42</v>
      </c>
      <c r="D229" s="448">
        <v>122.34</v>
      </c>
      <c r="E229" s="210"/>
    </row>
    <row r="230" spans="1:5" ht="54">
      <c r="A230" s="446">
        <v>98450</v>
      </c>
      <c r="B230" s="447" t="s">
        <v>3524</v>
      </c>
      <c r="C230" s="446" t="s">
        <v>42</v>
      </c>
      <c r="D230" s="448">
        <v>125.52</v>
      </c>
      <c r="E230" s="210"/>
    </row>
    <row r="231" spans="1:5" ht="54">
      <c r="A231" s="446">
        <v>98451</v>
      </c>
      <c r="B231" s="447" t="s">
        <v>3525</v>
      </c>
      <c r="C231" s="446" t="s">
        <v>42</v>
      </c>
      <c r="D231" s="448">
        <v>108.51</v>
      </c>
      <c r="E231" s="210"/>
    </row>
    <row r="232" spans="1:5" ht="54">
      <c r="A232" s="446">
        <v>98452</v>
      </c>
      <c r="B232" s="447" t="s">
        <v>3526</v>
      </c>
      <c r="C232" s="446" t="s">
        <v>42</v>
      </c>
      <c r="D232" s="448">
        <v>110.44</v>
      </c>
      <c r="E232" s="210"/>
    </row>
    <row r="233" spans="1:5" ht="54">
      <c r="A233" s="446">
        <v>98453</v>
      </c>
      <c r="B233" s="447" t="s">
        <v>3527</v>
      </c>
      <c r="C233" s="446" t="s">
        <v>42</v>
      </c>
      <c r="D233" s="448">
        <v>144.79</v>
      </c>
      <c r="E233" s="210"/>
    </row>
    <row r="234" spans="1:5" ht="54">
      <c r="A234" s="446">
        <v>98454</v>
      </c>
      <c r="B234" s="447" t="s">
        <v>3528</v>
      </c>
      <c r="C234" s="446" t="s">
        <v>42</v>
      </c>
      <c r="D234" s="448">
        <v>185.5</v>
      </c>
      <c r="E234" s="210"/>
    </row>
    <row r="235" spans="1:5" ht="54">
      <c r="A235" s="446">
        <v>98455</v>
      </c>
      <c r="B235" s="447" t="s">
        <v>3529</v>
      </c>
      <c r="C235" s="446" t="s">
        <v>42</v>
      </c>
      <c r="D235" s="448">
        <v>126.28</v>
      </c>
      <c r="E235" s="210"/>
    </row>
    <row r="236" spans="1:5" ht="54">
      <c r="A236" s="446">
        <v>98456</v>
      </c>
      <c r="B236" s="447" t="s">
        <v>3530</v>
      </c>
      <c r="C236" s="446" t="s">
        <v>42</v>
      </c>
      <c r="D236" s="448">
        <v>159.08000000000001</v>
      </c>
      <c r="E236" s="210"/>
    </row>
    <row r="237" spans="1:5" ht="27">
      <c r="A237" s="446">
        <v>98458</v>
      </c>
      <c r="B237" s="447" t="s">
        <v>3531</v>
      </c>
      <c r="C237" s="446" t="s">
        <v>42</v>
      </c>
      <c r="D237" s="448">
        <v>88.81</v>
      </c>
      <c r="E237" s="210"/>
    </row>
    <row r="238" spans="1:5" ht="13.5">
      <c r="A238" s="446">
        <v>98459</v>
      </c>
      <c r="B238" s="447" t="s">
        <v>3532</v>
      </c>
      <c r="C238" s="446" t="s">
        <v>42</v>
      </c>
      <c r="D238" s="448">
        <v>88</v>
      </c>
      <c r="E238" s="210"/>
    </row>
    <row r="239" spans="1:5" ht="40.5">
      <c r="A239" s="446">
        <v>98460</v>
      </c>
      <c r="B239" s="447" t="s">
        <v>3533</v>
      </c>
      <c r="C239" s="446" t="s">
        <v>42</v>
      </c>
      <c r="D239" s="448">
        <v>98.17</v>
      </c>
      <c r="E239" s="210"/>
    </row>
    <row r="240" spans="1:5" ht="40.5">
      <c r="A240" s="446">
        <v>98461</v>
      </c>
      <c r="B240" s="447" t="s">
        <v>4489</v>
      </c>
      <c r="C240" s="446" t="s">
        <v>34</v>
      </c>
      <c r="D240" s="448">
        <v>3337.25</v>
      </c>
      <c r="E240" s="210"/>
    </row>
    <row r="241" spans="1:5" ht="40.5">
      <c r="A241" s="446">
        <v>98462</v>
      </c>
      <c r="B241" s="447" t="s">
        <v>4490</v>
      </c>
      <c r="C241" s="446" t="s">
        <v>34</v>
      </c>
      <c r="D241" s="448">
        <v>5040.58</v>
      </c>
      <c r="E241" s="210"/>
    </row>
    <row r="242" spans="1:5" ht="54">
      <c r="A242" s="446">
        <v>5631</v>
      </c>
      <c r="B242" s="447" t="s">
        <v>695</v>
      </c>
      <c r="C242" s="446" t="s">
        <v>38</v>
      </c>
      <c r="D242" s="448">
        <v>146.6</v>
      </c>
      <c r="E242" s="210"/>
    </row>
    <row r="243" spans="1:5" ht="94.5">
      <c r="A243" s="446">
        <v>5678</v>
      </c>
      <c r="B243" s="447" t="s">
        <v>702</v>
      </c>
      <c r="C243" s="446" t="s">
        <v>38</v>
      </c>
      <c r="D243" s="448">
        <v>101.95</v>
      </c>
      <c r="E243" s="210"/>
    </row>
    <row r="244" spans="1:5" ht="94.5">
      <c r="A244" s="446">
        <v>5680</v>
      </c>
      <c r="B244" s="447" t="s">
        <v>704</v>
      </c>
      <c r="C244" s="446" t="s">
        <v>38</v>
      </c>
      <c r="D244" s="448">
        <v>94.02</v>
      </c>
      <c r="E244" s="210"/>
    </row>
    <row r="245" spans="1:5" ht="81">
      <c r="A245" s="446">
        <v>5684</v>
      </c>
      <c r="B245" s="447" t="s">
        <v>706</v>
      </c>
      <c r="C245" s="446" t="s">
        <v>38</v>
      </c>
      <c r="D245" s="448">
        <v>110.19</v>
      </c>
      <c r="E245" s="210"/>
    </row>
    <row r="246" spans="1:5" ht="54">
      <c r="A246" s="446">
        <v>5689</v>
      </c>
      <c r="B246" s="447" t="s">
        <v>54</v>
      </c>
      <c r="C246" s="446" t="s">
        <v>38</v>
      </c>
      <c r="D246" s="448">
        <v>6.07</v>
      </c>
      <c r="E246" s="210"/>
    </row>
    <row r="247" spans="1:5" ht="40.5">
      <c r="A247" s="446">
        <v>5795</v>
      </c>
      <c r="B247" s="447" t="s">
        <v>63</v>
      </c>
      <c r="C247" s="446" t="s">
        <v>38</v>
      </c>
      <c r="D247" s="448">
        <v>14.87</v>
      </c>
      <c r="E247" s="210"/>
    </row>
    <row r="248" spans="1:5" ht="67.5">
      <c r="A248" s="446">
        <v>5811</v>
      </c>
      <c r="B248" s="447" t="s">
        <v>734</v>
      </c>
      <c r="C248" s="446" t="s">
        <v>38</v>
      </c>
      <c r="D248" s="448">
        <v>150.54</v>
      </c>
      <c r="E248" s="210"/>
    </row>
    <row r="249" spans="1:5" ht="40.5">
      <c r="A249" s="446">
        <v>5823</v>
      </c>
      <c r="B249" s="447" t="s">
        <v>65</v>
      </c>
      <c r="C249" s="446" t="s">
        <v>38</v>
      </c>
      <c r="D249" s="448">
        <v>162.31</v>
      </c>
      <c r="E249" s="210"/>
    </row>
    <row r="250" spans="1:5" ht="94.5">
      <c r="A250" s="446">
        <v>5824</v>
      </c>
      <c r="B250" s="447" t="s">
        <v>735</v>
      </c>
      <c r="C250" s="446" t="s">
        <v>38</v>
      </c>
      <c r="D250" s="448">
        <v>143.62</v>
      </c>
      <c r="E250" s="210"/>
    </row>
    <row r="251" spans="1:5" ht="54">
      <c r="A251" s="446">
        <v>5835</v>
      </c>
      <c r="B251" s="447" t="s">
        <v>737</v>
      </c>
      <c r="C251" s="446" t="s">
        <v>38</v>
      </c>
      <c r="D251" s="448">
        <v>323.58</v>
      </c>
      <c r="E251" s="210"/>
    </row>
    <row r="252" spans="1:5" ht="40.5">
      <c r="A252" s="446">
        <v>5839</v>
      </c>
      <c r="B252" s="447" t="s">
        <v>739</v>
      </c>
      <c r="C252" s="446" t="s">
        <v>38</v>
      </c>
      <c r="D252" s="448">
        <v>9.11</v>
      </c>
      <c r="E252" s="210"/>
    </row>
    <row r="253" spans="1:5" ht="40.5">
      <c r="A253" s="446">
        <v>5843</v>
      </c>
      <c r="B253" s="447" t="s">
        <v>67</v>
      </c>
      <c r="C253" s="446" t="s">
        <v>38</v>
      </c>
      <c r="D253" s="448">
        <v>187.62</v>
      </c>
      <c r="E253" s="210"/>
    </row>
    <row r="254" spans="1:5" ht="40.5">
      <c r="A254" s="446">
        <v>5847</v>
      </c>
      <c r="B254" s="447" t="s">
        <v>741</v>
      </c>
      <c r="C254" s="446" t="s">
        <v>38</v>
      </c>
      <c r="D254" s="448">
        <v>195.07</v>
      </c>
      <c r="E254" s="210"/>
    </row>
    <row r="255" spans="1:5" ht="54">
      <c r="A255" s="446">
        <v>5851</v>
      </c>
      <c r="B255" s="447" t="s">
        <v>69</v>
      </c>
      <c r="C255" s="446" t="s">
        <v>38</v>
      </c>
      <c r="D255" s="448">
        <v>185.36</v>
      </c>
      <c r="E255" s="210"/>
    </row>
    <row r="256" spans="1:5" ht="40.5">
      <c r="A256" s="446">
        <v>5855</v>
      </c>
      <c r="B256" s="447" t="s">
        <v>743</v>
      </c>
      <c r="C256" s="446" t="s">
        <v>38</v>
      </c>
      <c r="D256" s="448">
        <v>502.11</v>
      </c>
      <c r="E256" s="210"/>
    </row>
    <row r="257" spans="1:5" ht="67.5">
      <c r="A257" s="446">
        <v>5863</v>
      </c>
      <c r="B257" s="447" t="s">
        <v>745</v>
      </c>
      <c r="C257" s="446" t="s">
        <v>38</v>
      </c>
      <c r="D257" s="448">
        <v>15.01</v>
      </c>
      <c r="E257" s="210"/>
    </row>
    <row r="258" spans="1:5" ht="54">
      <c r="A258" s="446">
        <v>5867</v>
      </c>
      <c r="B258" s="447" t="s">
        <v>747</v>
      </c>
      <c r="C258" s="446" t="s">
        <v>38</v>
      </c>
      <c r="D258" s="448">
        <v>108.57</v>
      </c>
      <c r="E258" s="210"/>
    </row>
    <row r="259" spans="1:5" ht="94.5">
      <c r="A259" s="446">
        <v>5875</v>
      </c>
      <c r="B259" s="447" t="s">
        <v>749</v>
      </c>
      <c r="C259" s="446" t="s">
        <v>38</v>
      </c>
      <c r="D259" s="448">
        <v>93.79</v>
      </c>
      <c r="E259" s="210"/>
    </row>
    <row r="260" spans="1:5" ht="67.5">
      <c r="A260" s="446">
        <v>5879</v>
      </c>
      <c r="B260" s="447" t="s">
        <v>751</v>
      </c>
      <c r="C260" s="446" t="s">
        <v>38</v>
      </c>
      <c r="D260" s="448">
        <v>91.21</v>
      </c>
      <c r="E260" s="210"/>
    </row>
    <row r="261" spans="1:5" ht="81">
      <c r="A261" s="446">
        <v>5882</v>
      </c>
      <c r="B261" s="447" t="s">
        <v>753</v>
      </c>
      <c r="C261" s="446" t="s">
        <v>38</v>
      </c>
      <c r="D261" s="448">
        <v>100.01</v>
      </c>
      <c r="E261" s="210"/>
    </row>
    <row r="262" spans="1:5" ht="67.5">
      <c r="A262" s="446">
        <v>5890</v>
      </c>
      <c r="B262" s="447" t="s">
        <v>71</v>
      </c>
      <c r="C262" s="446" t="s">
        <v>38</v>
      </c>
      <c r="D262" s="448">
        <v>144.13999999999999</v>
      </c>
      <c r="E262" s="210"/>
    </row>
    <row r="263" spans="1:5" ht="67.5">
      <c r="A263" s="446">
        <v>5894</v>
      </c>
      <c r="B263" s="447" t="s">
        <v>755</v>
      </c>
      <c r="C263" s="446" t="s">
        <v>38</v>
      </c>
      <c r="D263" s="448">
        <v>140.5</v>
      </c>
      <c r="E263" s="210"/>
    </row>
    <row r="264" spans="1:5" ht="81">
      <c r="A264" s="446">
        <v>5901</v>
      </c>
      <c r="B264" s="447" t="s">
        <v>757</v>
      </c>
      <c r="C264" s="446" t="s">
        <v>38</v>
      </c>
      <c r="D264" s="448">
        <v>226.25</v>
      </c>
      <c r="E264" s="210"/>
    </row>
    <row r="265" spans="1:5" ht="54">
      <c r="A265" s="446">
        <v>5909</v>
      </c>
      <c r="B265" s="447" t="s">
        <v>73</v>
      </c>
      <c r="C265" s="446" t="s">
        <v>38</v>
      </c>
      <c r="D265" s="448">
        <v>25.14</v>
      </c>
      <c r="E265" s="210"/>
    </row>
    <row r="266" spans="1:5" ht="40.5">
      <c r="A266" s="446">
        <v>5921</v>
      </c>
      <c r="B266" s="447" t="s">
        <v>759</v>
      </c>
      <c r="C266" s="446" t="s">
        <v>38</v>
      </c>
      <c r="D266" s="448">
        <v>4.75</v>
      </c>
      <c r="E266" s="210"/>
    </row>
    <row r="267" spans="1:5" ht="81">
      <c r="A267" s="446">
        <v>5928</v>
      </c>
      <c r="B267" s="447" t="s">
        <v>761</v>
      </c>
      <c r="C267" s="446" t="s">
        <v>38</v>
      </c>
      <c r="D267" s="448">
        <v>189.61</v>
      </c>
      <c r="E267" s="210"/>
    </row>
    <row r="268" spans="1:5" ht="54">
      <c r="A268" s="446">
        <v>5932</v>
      </c>
      <c r="B268" s="447" t="s">
        <v>75</v>
      </c>
      <c r="C268" s="446" t="s">
        <v>38</v>
      </c>
      <c r="D268" s="448">
        <v>170.7</v>
      </c>
      <c r="E268" s="210"/>
    </row>
    <row r="269" spans="1:5" ht="54">
      <c r="A269" s="446">
        <v>5940</v>
      </c>
      <c r="B269" s="447" t="s">
        <v>763</v>
      </c>
      <c r="C269" s="446" t="s">
        <v>38</v>
      </c>
      <c r="D269" s="448">
        <v>142.63</v>
      </c>
      <c r="E269" s="210"/>
    </row>
    <row r="270" spans="1:5" ht="54">
      <c r="A270" s="446">
        <v>5944</v>
      </c>
      <c r="B270" s="447" t="s">
        <v>765</v>
      </c>
      <c r="C270" s="446" t="s">
        <v>38</v>
      </c>
      <c r="D270" s="448">
        <v>158.82</v>
      </c>
      <c r="E270" s="210"/>
    </row>
    <row r="271" spans="1:5" ht="54">
      <c r="A271" s="446">
        <v>5953</v>
      </c>
      <c r="B271" s="447" t="s">
        <v>78</v>
      </c>
      <c r="C271" s="446" t="s">
        <v>38</v>
      </c>
      <c r="D271" s="448">
        <v>47.08</v>
      </c>
      <c r="E271" s="210"/>
    </row>
    <row r="272" spans="1:5" ht="67.5">
      <c r="A272" s="446">
        <v>6259</v>
      </c>
      <c r="B272" s="447" t="s">
        <v>768</v>
      </c>
      <c r="C272" s="446" t="s">
        <v>38</v>
      </c>
      <c r="D272" s="448">
        <v>186.25</v>
      </c>
      <c r="E272" s="210"/>
    </row>
    <row r="273" spans="1:5" ht="67.5">
      <c r="A273" s="446">
        <v>6879</v>
      </c>
      <c r="B273" s="447" t="s">
        <v>770</v>
      </c>
      <c r="C273" s="446" t="s">
        <v>38</v>
      </c>
      <c r="D273" s="448">
        <v>144.22</v>
      </c>
      <c r="E273" s="210"/>
    </row>
    <row r="274" spans="1:5" ht="40.5">
      <c r="A274" s="446">
        <v>7030</v>
      </c>
      <c r="B274" s="447" t="s">
        <v>772</v>
      </c>
      <c r="C274" s="446" t="s">
        <v>38</v>
      </c>
      <c r="D274" s="448">
        <v>190.5</v>
      </c>
      <c r="E274" s="210"/>
    </row>
    <row r="275" spans="1:5" ht="67.5">
      <c r="A275" s="446">
        <v>7042</v>
      </c>
      <c r="B275" s="447" t="s">
        <v>781</v>
      </c>
      <c r="C275" s="446" t="s">
        <v>38</v>
      </c>
      <c r="D275" s="448">
        <v>10.41</v>
      </c>
      <c r="E275" s="210"/>
    </row>
    <row r="276" spans="1:5" ht="81">
      <c r="A276" s="446">
        <v>7049</v>
      </c>
      <c r="B276" s="447" t="s">
        <v>787</v>
      </c>
      <c r="C276" s="446" t="s">
        <v>38</v>
      </c>
      <c r="D276" s="448">
        <v>155.88</v>
      </c>
      <c r="E276" s="210"/>
    </row>
    <row r="277" spans="1:5" ht="81">
      <c r="A277" s="446">
        <v>67826</v>
      </c>
      <c r="B277" s="447" t="s">
        <v>823</v>
      </c>
      <c r="C277" s="446" t="s">
        <v>38</v>
      </c>
      <c r="D277" s="448">
        <v>131.85</v>
      </c>
      <c r="E277" s="210"/>
    </row>
    <row r="278" spans="1:5" ht="40.5">
      <c r="A278" s="446">
        <v>73417</v>
      </c>
      <c r="B278" s="447" t="s">
        <v>830</v>
      </c>
      <c r="C278" s="446" t="s">
        <v>38</v>
      </c>
      <c r="D278" s="448">
        <v>154.26</v>
      </c>
      <c r="E278" s="210"/>
    </row>
    <row r="279" spans="1:5" ht="67.5">
      <c r="A279" s="446">
        <v>73436</v>
      </c>
      <c r="B279" s="447" t="s">
        <v>95</v>
      </c>
      <c r="C279" s="446" t="s">
        <v>38</v>
      </c>
      <c r="D279" s="448">
        <v>138.94</v>
      </c>
      <c r="E279" s="210"/>
    </row>
    <row r="280" spans="1:5" ht="94.5">
      <c r="A280" s="446">
        <v>73467</v>
      </c>
      <c r="B280" s="447" t="s">
        <v>831</v>
      </c>
      <c r="C280" s="446" t="s">
        <v>38</v>
      </c>
      <c r="D280" s="448">
        <v>120.88</v>
      </c>
      <c r="E280" s="210"/>
    </row>
    <row r="281" spans="1:5" ht="67.5">
      <c r="A281" s="446">
        <v>73536</v>
      </c>
      <c r="B281" s="447" t="s">
        <v>832</v>
      </c>
      <c r="C281" s="446" t="s">
        <v>38</v>
      </c>
      <c r="D281" s="448">
        <v>8.83</v>
      </c>
      <c r="E281" s="210"/>
    </row>
    <row r="282" spans="1:5" ht="81">
      <c r="A282" s="446">
        <v>83362</v>
      </c>
      <c r="B282" s="447" t="s">
        <v>834</v>
      </c>
      <c r="C282" s="446" t="s">
        <v>38</v>
      </c>
      <c r="D282" s="448">
        <v>229.03</v>
      </c>
      <c r="E282" s="210"/>
    </row>
    <row r="283" spans="1:5" ht="54">
      <c r="A283" s="446">
        <v>83765</v>
      </c>
      <c r="B283" s="447" t="s">
        <v>840</v>
      </c>
      <c r="C283" s="446" t="s">
        <v>38</v>
      </c>
      <c r="D283" s="448">
        <v>79.569999999999993</v>
      </c>
      <c r="E283" s="210"/>
    </row>
    <row r="284" spans="1:5" ht="54">
      <c r="A284" s="446">
        <v>87445</v>
      </c>
      <c r="B284" s="447" t="s">
        <v>105</v>
      </c>
      <c r="C284" s="446" t="s">
        <v>38</v>
      </c>
      <c r="D284" s="448">
        <v>4.37</v>
      </c>
      <c r="E284" s="210"/>
    </row>
    <row r="285" spans="1:5" ht="54">
      <c r="A285" s="446">
        <v>88386</v>
      </c>
      <c r="B285" s="447" t="s">
        <v>1098</v>
      </c>
      <c r="C285" s="446" t="s">
        <v>38</v>
      </c>
      <c r="D285" s="448">
        <v>4.57</v>
      </c>
      <c r="E285" s="210"/>
    </row>
    <row r="286" spans="1:5" ht="54">
      <c r="A286" s="446">
        <v>88393</v>
      </c>
      <c r="B286" s="447" t="s">
        <v>1104</v>
      </c>
      <c r="C286" s="446" t="s">
        <v>38</v>
      </c>
      <c r="D286" s="448">
        <v>6.25</v>
      </c>
      <c r="E286" s="210"/>
    </row>
    <row r="287" spans="1:5" ht="54">
      <c r="A287" s="446">
        <v>88399</v>
      </c>
      <c r="B287" s="447" t="s">
        <v>1110</v>
      </c>
      <c r="C287" s="446" t="s">
        <v>38</v>
      </c>
      <c r="D287" s="448">
        <v>3.42</v>
      </c>
      <c r="E287" s="210"/>
    </row>
    <row r="288" spans="1:5" ht="54">
      <c r="A288" s="446">
        <v>88418</v>
      </c>
      <c r="B288" s="447" t="s">
        <v>184</v>
      </c>
      <c r="C288" s="446" t="s">
        <v>38</v>
      </c>
      <c r="D288" s="448">
        <v>15.29</v>
      </c>
      <c r="E288" s="210"/>
    </row>
    <row r="289" spans="1:5" ht="54">
      <c r="A289" s="446">
        <v>88433</v>
      </c>
      <c r="B289" s="447" t="s">
        <v>1128</v>
      </c>
      <c r="C289" s="446" t="s">
        <v>38</v>
      </c>
      <c r="D289" s="448">
        <v>18.96</v>
      </c>
      <c r="E289" s="210"/>
    </row>
    <row r="290" spans="1:5" ht="54">
      <c r="A290" s="446">
        <v>88830</v>
      </c>
      <c r="B290" s="447" t="s">
        <v>1148</v>
      </c>
      <c r="C290" s="446" t="s">
        <v>38</v>
      </c>
      <c r="D290" s="448">
        <v>1.68</v>
      </c>
      <c r="E290" s="210"/>
    </row>
    <row r="291" spans="1:5" ht="40.5">
      <c r="A291" s="446">
        <v>88843</v>
      </c>
      <c r="B291" s="447" t="s">
        <v>1158</v>
      </c>
      <c r="C291" s="446" t="s">
        <v>38</v>
      </c>
      <c r="D291" s="448">
        <v>154.24</v>
      </c>
      <c r="E291" s="210"/>
    </row>
    <row r="292" spans="1:5" ht="54">
      <c r="A292" s="446">
        <v>88907</v>
      </c>
      <c r="B292" s="447" t="s">
        <v>1174</v>
      </c>
      <c r="C292" s="446" t="s">
        <v>38</v>
      </c>
      <c r="D292" s="448">
        <v>176.23</v>
      </c>
      <c r="E292" s="210"/>
    </row>
    <row r="293" spans="1:5" ht="67.5">
      <c r="A293" s="446">
        <v>89021</v>
      </c>
      <c r="B293" s="447" t="s">
        <v>1186</v>
      </c>
      <c r="C293" s="446" t="s">
        <v>38</v>
      </c>
      <c r="D293" s="448">
        <v>2.25</v>
      </c>
      <c r="E293" s="210"/>
    </row>
    <row r="294" spans="1:5" ht="40.5">
      <c r="A294" s="446">
        <v>89028</v>
      </c>
      <c r="B294" s="447" t="s">
        <v>203</v>
      </c>
      <c r="C294" s="446" t="s">
        <v>38</v>
      </c>
      <c r="D294" s="448">
        <v>175.8</v>
      </c>
      <c r="E294" s="210"/>
    </row>
    <row r="295" spans="1:5" ht="40.5">
      <c r="A295" s="446">
        <v>89032</v>
      </c>
      <c r="B295" s="447" t="s">
        <v>1195</v>
      </c>
      <c r="C295" s="446" t="s">
        <v>38</v>
      </c>
      <c r="D295" s="448">
        <v>137.91999999999999</v>
      </c>
      <c r="E295" s="210"/>
    </row>
    <row r="296" spans="1:5" ht="40.5">
      <c r="A296" s="446">
        <v>89035</v>
      </c>
      <c r="B296" s="447" t="s">
        <v>206</v>
      </c>
      <c r="C296" s="446" t="s">
        <v>38</v>
      </c>
      <c r="D296" s="448">
        <v>135.99</v>
      </c>
      <c r="E296" s="210"/>
    </row>
    <row r="297" spans="1:5" ht="54">
      <c r="A297" s="446">
        <v>89225</v>
      </c>
      <c r="B297" s="447" t="s">
        <v>1213</v>
      </c>
      <c r="C297" s="446" t="s">
        <v>38</v>
      </c>
      <c r="D297" s="448">
        <v>4.71</v>
      </c>
      <c r="E297" s="210"/>
    </row>
    <row r="298" spans="1:5" ht="54">
      <c r="A298" s="446">
        <v>89234</v>
      </c>
      <c r="B298" s="447" t="s">
        <v>1219</v>
      </c>
      <c r="C298" s="446" t="s">
        <v>38</v>
      </c>
      <c r="D298" s="448">
        <v>498.5</v>
      </c>
      <c r="E298" s="210"/>
    </row>
    <row r="299" spans="1:5" ht="54">
      <c r="A299" s="446">
        <v>89242</v>
      </c>
      <c r="B299" s="447" t="s">
        <v>1226</v>
      </c>
      <c r="C299" s="446" t="s">
        <v>38</v>
      </c>
      <c r="D299" s="448">
        <v>1185.5</v>
      </c>
      <c r="E299" s="210"/>
    </row>
    <row r="300" spans="1:5" ht="54">
      <c r="A300" s="446">
        <v>89250</v>
      </c>
      <c r="B300" s="447" t="s">
        <v>220</v>
      </c>
      <c r="C300" s="446" t="s">
        <v>38</v>
      </c>
      <c r="D300" s="448">
        <v>1026.21</v>
      </c>
      <c r="E300" s="210"/>
    </row>
    <row r="301" spans="1:5" ht="54">
      <c r="A301" s="446">
        <v>89257</v>
      </c>
      <c r="B301" s="447" t="s">
        <v>1231</v>
      </c>
      <c r="C301" s="446" t="s">
        <v>38</v>
      </c>
      <c r="D301" s="448">
        <v>277.8</v>
      </c>
      <c r="E301" s="210"/>
    </row>
    <row r="302" spans="1:5" ht="54">
      <c r="A302" s="446">
        <v>89272</v>
      </c>
      <c r="B302" s="447" t="s">
        <v>1244</v>
      </c>
      <c r="C302" s="446" t="s">
        <v>38</v>
      </c>
      <c r="D302" s="448">
        <v>158.12</v>
      </c>
      <c r="E302" s="210"/>
    </row>
    <row r="303" spans="1:5" ht="54">
      <c r="A303" s="446">
        <v>89278</v>
      </c>
      <c r="B303" s="447" t="s">
        <v>1250</v>
      </c>
      <c r="C303" s="446" t="s">
        <v>38</v>
      </c>
      <c r="D303" s="448">
        <v>10.17</v>
      </c>
      <c r="E303" s="210"/>
    </row>
    <row r="304" spans="1:5" ht="40.5">
      <c r="A304" s="446">
        <v>89843</v>
      </c>
      <c r="B304" s="447" t="s">
        <v>319</v>
      </c>
      <c r="C304" s="446" t="s">
        <v>38</v>
      </c>
      <c r="D304" s="448">
        <v>157.19</v>
      </c>
      <c r="E304" s="210"/>
    </row>
    <row r="305" spans="1:5" ht="67.5">
      <c r="A305" s="446">
        <v>89876</v>
      </c>
      <c r="B305" s="447" t="s">
        <v>327</v>
      </c>
      <c r="C305" s="446" t="s">
        <v>38</v>
      </c>
      <c r="D305" s="448">
        <v>246.92</v>
      </c>
      <c r="E305" s="210"/>
    </row>
    <row r="306" spans="1:5" ht="67.5">
      <c r="A306" s="446">
        <v>89883</v>
      </c>
      <c r="B306" s="447" t="s">
        <v>334</v>
      </c>
      <c r="C306" s="446" t="s">
        <v>38</v>
      </c>
      <c r="D306" s="448">
        <v>274.70999999999998</v>
      </c>
      <c r="E306" s="210"/>
    </row>
    <row r="307" spans="1:5" ht="54">
      <c r="A307" s="446">
        <v>90586</v>
      </c>
      <c r="B307" s="447" t="s">
        <v>1739</v>
      </c>
      <c r="C307" s="446" t="s">
        <v>38</v>
      </c>
      <c r="D307" s="448">
        <v>1.77</v>
      </c>
      <c r="E307" s="210"/>
    </row>
    <row r="308" spans="1:5" ht="40.5">
      <c r="A308" s="446">
        <v>90625</v>
      </c>
      <c r="B308" s="447" t="s">
        <v>356</v>
      </c>
      <c r="C308" s="446" t="s">
        <v>38</v>
      </c>
      <c r="D308" s="448">
        <v>7.56</v>
      </c>
      <c r="E308" s="210"/>
    </row>
    <row r="309" spans="1:5" ht="54">
      <c r="A309" s="446">
        <v>90631</v>
      </c>
      <c r="B309" s="447" t="s">
        <v>361</v>
      </c>
      <c r="C309" s="446" t="s">
        <v>38</v>
      </c>
      <c r="D309" s="448">
        <v>102.5</v>
      </c>
      <c r="E309" s="210"/>
    </row>
    <row r="310" spans="1:5" ht="67.5">
      <c r="A310" s="446">
        <v>90637</v>
      </c>
      <c r="B310" s="447" t="s">
        <v>367</v>
      </c>
      <c r="C310" s="446" t="s">
        <v>38</v>
      </c>
      <c r="D310" s="448">
        <v>13.94</v>
      </c>
      <c r="E310" s="210"/>
    </row>
    <row r="311" spans="1:5" ht="54">
      <c r="A311" s="446">
        <v>90643</v>
      </c>
      <c r="B311" s="447" t="s">
        <v>1746</v>
      </c>
      <c r="C311" s="446" t="s">
        <v>38</v>
      </c>
      <c r="D311" s="448">
        <v>20.55</v>
      </c>
      <c r="E311" s="210"/>
    </row>
    <row r="312" spans="1:5" ht="67.5">
      <c r="A312" s="446">
        <v>90650</v>
      </c>
      <c r="B312" s="447" t="s">
        <v>1752</v>
      </c>
      <c r="C312" s="446" t="s">
        <v>38</v>
      </c>
      <c r="D312" s="448">
        <v>9.74</v>
      </c>
      <c r="E312" s="210"/>
    </row>
    <row r="313" spans="1:5" ht="40.5">
      <c r="A313" s="446">
        <v>90656</v>
      </c>
      <c r="B313" s="447" t="s">
        <v>369</v>
      </c>
      <c r="C313" s="446" t="s">
        <v>38</v>
      </c>
      <c r="D313" s="448">
        <v>13.82</v>
      </c>
      <c r="E313" s="210"/>
    </row>
    <row r="314" spans="1:5" ht="40.5">
      <c r="A314" s="446">
        <v>90662</v>
      </c>
      <c r="B314" s="447" t="s">
        <v>371</v>
      </c>
      <c r="C314" s="446" t="s">
        <v>38</v>
      </c>
      <c r="D314" s="448">
        <v>14.42</v>
      </c>
      <c r="E314" s="210"/>
    </row>
    <row r="315" spans="1:5" ht="81">
      <c r="A315" s="446">
        <v>90668</v>
      </c>
      <c r="B315" s="447" t="s">
        <v>1766</v>
      </c>
      <c r="C315" s="446" t="s">
        <v>38</v>
      </c>
      <c r="D315" s="448">
        <v>24.63</v>
      </c>
      <c r="E315" s="210"/>
    </row>
    <row r="316" spans="1:5" ht="81">
      <c r="A316" s="446">
        <v>90674</v>
      </c>
      <c r="B316" s="447" t="s">
        <v>1772</v>
      </c>
      <c r="C316" s="446" t="s">
        <v>38</v>
      </c>
      <c r="D316" s="448">
        <v>471.52</v>
      </c>
      <c r="E316" s="210"/>
    </row>
    <row r="317" spans="1:5" ht="81">
      <c r="A317" s="446">
        <v>90680</v>
      </c>
      <c r="B317" s="447" t="s">
        <v>1778</v>
      </c>
      <c r="C317" s="446" t="s">
        <v>38</v>
      </c>
      <c r="D317" s="448">
        <v>281.81</v>
      </c>
      <c r="E317" s="210"/>
    </row>
    <row r="318" spans="1:5" ht="54">
      <c r="A318" s="446">
        <v>90686</v>
      </c>
      <c r="B318" s="447" t="s">
        <v>1784</v>
      </c>
      <c r="C318" s="446" t="s">
        <v>38</v>
      </c>
      <c r="D318" s="448">
        <v>118.03</v>
      </c>
      <c r="E318" s="210"/>
    </row>
    <row r="319" spans="1:5" ht="54">
      <c r="A319" s="446">
        <v>90692</v>
      </c>
      <c r="B319" s="447" t="s">
        <v>1790</v>
      </c>
      <c r="C319" s="446" t="s">
        <v>38</v>
      </c>
      <c r="D319" s="448">
        <v>88.55</v>
      </c>
      <c r="E319" s="210"/>
    </row>
    <row r="320" spans="1:5" ht="54">
      <c r="A320" s="446">
        <v>90964</v>
      </c>
      <c r="B320" s="447" t="s">
        <v>393</v>
      </c>
      <c r="C320" s="446" t="s">
        <v>38</v>
      </c>
      <c r="D320" s="448">
        <v>23.34</v>
      </c>
      <c r="E320" s="210"/>
    </row>
    <row r="321" spans="1:5" ht="54">
      <c r="A321" s="446">
        <v>90972</v>
      </c>
      <c r="B321" s="447" t="s">
        <v>1797</v>
      </c>
      <c r="C321" s="446" t="s">
        <v>38</v>
      </c>
      <c r="D321" s="448">
        <v>60.99</v>
      </c>
      <c r="E321" s="210"/>
    </row>
    <row r="322" spans="1:5" ht="54">
      <c r="A322" s="446">
        <v>90979</v>
      </c>
      <c r="B322" s="447" t="s">
        <v>398</v>
      </c>
      <c r="C322" s="446" t="s">
        <v>38</v>
      </c>
      <c r="D322" s="448">
        <v>157.63</v>
      </c>
      <c r="E322" s="210"/>
    </row>
    <row r="323" spans="1:5" ht="54">
      <c r="A323" s="446">
        <v>90991</v>
      </c>
      <c r="B323" s="447" t="s">
        <v>1800</v>
      </c>
      <c r="C323" s="446" t="s">
        <v>38</v>
      </c>
      <c r="D323" s="448">
        <v>142.57</v>
      </c>
      <c r="E323" s="210"/>
    </row>
    <row r="324" spans="1:5" ht="54">
      <c r="A324" s="446">
        <v>90999</v>
      </c>
      <c r="B324" s="447" t="s">
        <v>1805</v>
      </c>
      <c r="C324" s="446" t="s">
        <v>38</v>
      </c>
      <c r="D324" s="448">
        <v>80.930000000000007</v>
      </c>
      <c r="E324" s="210"/>
    </row>
    <row r="325" spans="1:5" ht="67.5">
      <c r="A325" s="446">
        <v>91031</v>
      </c>
      <c r="B325" s="447" t="s">
        <v>405</v>
      </c>
      <c r="C325" s="446" t="s">
        <v>38</v>
      </c>
      <c r="D325" s="448">
        <v>178.5</v>
      </c>
      <c r="E325" s="210"/>
    </row>
    <row r="326" spans="1:5" ht="54">
      <c r="A326" s="446">
        <v>91277</v>
      </c>
      <c r="B326" s="447" t="s">
        <v>1863</v>
      </c>
      <c r="C326" s="446" t="s">
        <v>38</v>
      </c>
      <c r="D326" s="448">
        <v>9.49</v>
      </c>
      <c r="E326" s="210"/>
    </row>
    <row r="327" spans="1:5" ht="67.5">
      <c r="A327" s="446">
        <v>91283</v>
      </c>
      <c r="B327" s="447" t="s">
        <v>1869</v>
      </c>
      <c r="C327" s="446" t="s">
        <v>38</v>
      </c>
      <c r="D327" s="448">
        <v>22.27</v>
      </c>
      <c r="E327" s="210"/>
    </row>
    <row r="328" spans="1:5" ht="81">
      <c r="A328" s="446">
        <v>91386</v>
      </c>
      <c r="B328" s="447" t="s">
        <v>1885</v>
      </c>
      <c r="C328" s="446" t="s">
        <v>38</v>
      </c>
      <c r="D328" s="448">
        <v>191.18</v>
      </c>
      <c r="E328" s="210"/>
    </row>
    <row r="329" spans="1:5" ht="54">
      <c r="A329" s="446">
        <v>91533</v>
      </c>
      <c r="B329" s="447" t="s">
        <v>1912</v>
      </c>
      <c r="C329" s="446" t="s">
        <v>38</v>
      </c>
      <c r="D329" s="448">
        <v>21.1</v>
      </c>
      <c r="E329" s="210"/>
    </row>
    <row r="330" spans="1:5" ht="81">
      <c r="A330" s="446">
        <v>91634</v>
      </c>
      <c r="B330" s="447" t="s">
        <v>1919</v>
      </c>
      <c r="C330" s="446" t="s">
        <v>38</v>
      </c>
      <c r="D330" s="448">
        <v>165.91</v>
      </c>
      <c r="E330" s="210"/>
    </row>
    <row r="331" spans="1:5" ht="81">
      <c r="A331" s="446">
        <v>91645</v>
      </c>
      <c r="B331" s="447" t="s">
        <v>1926</v>
      </c>
      <c r="C331" s="446" t="s">
        <v>38</v>
      </c>
      <c r="D331" s="448">
        <v>356.27</v>
      </c>
      <c r="E331" s="210"/>
    </row>
    <row r="332" spans="1:5" ht="40.5">
      <c r="A332" s="446">
        <v>91692</v>
      </c>
      <c r="B332" s="447" t="s">
        <v>1932</v>
      </c>
      <c r="C332" s="446" t="s">
        <v>38</v>
      </c>
      <c r="D332" s="448">
        <v>16.260000000000002</v>
      </c>
      <c r="E332" s="210"/>
    </row>
    <row r="333" spans="1:5" ht="40.5">
      <c r="A333" s="446">
        <v>92043</v>
      </c>
      <c r="B333" s="447" t="s">
        <v>2071</v>
      </c>
      <c r="C333" s="446" t="s">
        <v>38</v>
      </c>
      <c r="D333" s="448">
        <v>11.28</v>
      </c>
      <c r="E333" s="210"/>
    </row>
    <row r="334" spans="1:5" ht="94.5">
      <c r="A334" s="446">
        <v>92106</v>
      </c>
      <c r="B334" s="447" t="s">
        <v>2077</v>
      </c>
      <c r="C334" s="446" t="s">
        <v>38</v>
      </c>
      <c r="D334" s="448">
        <v>231.57</v>
      </c>
      <c r="E334" s="210"/>
    </row>
    <row r="335" spans="1:5" ht="54">
      <c r="A335" s="446">
        <v>92112</v>
      </c>
      <c r="B335" s="447" t="s">
        <v>459</v>
      </c>
      <c r="C335" s="446" t="s">
        <v>38</v>
      </c>
      <c r="D335" s="448">
        <v>2.77</v>
      </c>
      <c r="E335" s="210"/>
    </row>
    <row r="336" spans="1:5" ht="27">
      <c r="A336" s="446">
        <v>92118</v>
      </c>
      <c r="B336" s="447" t="s">
        <v>464</v>
      </c>
      <c r="C336" s="446" t="s">
        <v>38</v>
      </c>
      <c r="D336" s="448">
        <v>0.23</v>
      </c>
      <c r="E336" s="210"/>
    </row>
    <row r="337" spans="1:5" ht="40.5">
      <c r="A337" s="446">
        <v>92138</v>
      </c>
      <c r="B337" s="447" t="s">
        <v>2084</v>
      </c>
      <c r="C337" s="446" t="s">
        <v>38</v>
      </c>
      <c r="D337" s="448">
        <v>69.61</v>
      </c>
      <c r="E337" s="210"/>
    </row>
    <row r="338" spans="1:5" ht="54">
      <c r="A338" s="446">
        <v>92145</v>
      </c>
      <c r="B338" s="447" t="s">
        <v>474</v>
      </c>
      <c r="C338" s="446" t="s">
        <v>38</v>
      </c>
      <c r="D338" s="448">
        <v>60.07</v>
      </c>
      <c r="E338" s="210"/>
    </row>
    <row r="339" spans="1:5" ht="81">
      <c r="A339" s="446">
        <v>92242</v>
      </c>
      <c r="B339" s="447" t="s">
        <v>2105</v>
      </c>
      <c r="C339" s="446" t="s">
        <v>38</v>
      </c>
      <c r="D339" s="448">
        <v>311.57</v>
      </c>
      <c r="E339" s="210"/>
    </row>
    <row r="340" spans="1:5" ht="54">
      <c r="A340" s="446">
        <v>92716</v>
      </c>
      <c r="B340" s="447" t="s">
        <v>2145</v>
      </c>
      <c r="C340" s="446" t="s">
        <v>38</v>
      </c>
      <c r="D340" s="448">
        <v>26.76</v>
      </c>
      <c r="E340" s="210"/>
    </row>
    <row r="341" spans="1:5" ht="40.5">
      <c r="A341" s="446">
        <v>92960</v>
      </c>
      <c r="B341" s="447" t="s">
        <v>2296</v>
      </c>
      <c r="C341" s="446" t="s">
        <v>38</v>
      </c>
      <c r="D341" s="448">
        <v>15.49</v>
      </c>
      <c r="E341" s="210"/>
    </row>
    <row r="342" spans="1:5" ht="40.5">
      <c r="A342" s="446">
        <v>92966</v>
      </c>
      <c r="B342" s="447" t="s">
        <v>2300</v>
      </c>
      <c r="C342" s="446" t="s">
        <v>38</v>
      </c>
      <c r="D342" s="448">
        <v>14.98</v>
      </c>
      <c r="E342" s="210"/>
    </row>
    <row r="343" spans="1:5" ht="94.5">
      <c r="A343" s="446">
        <v>93224</v>
      </c>
      <c r="B343" s="447" t="s">
        <v>2376</v>
      </c>
      <c r="C343" s="446" t="s">
        <v>38</v>
      </c>
      <c r="D343" s="448">
        <v>701.21</v>
      </c>
      <c r="E343" s="210"/>
    </row>
    <row r="344" spans="1:5" ht="54">
      <c r="A344" s="446">
        <v>93233</v>
      </c>
      <c r="B344" s="447" t="s">
        <v>503</v>
      </c>
      <c r="C344" s="446" t="s">
        <v>38</v>
      </c>
      <c r="D344" s="448">
        <v>9.3000000000000007</v>
      </c>
      <c r="E344" s="210"/>
    </row>
    <row r="345" spans="1:5" ht="40.5">
      <c r="A345" s="446">
        <v>93272</v>
      </c>
      <c r="B345" s="447" t="s">
        <v>2387</v>
      </c>
      <c r="C345" s="446" t="s">
        <v>38</v>
      </c>
      <c r="D345" s="448">
        <v>106.7</v>
      </c>
      <c r="E345" s="210"/>
    </row>
    <row r="346" spans="1:5" ht="40.5">
      <c r="A346" s="446">
        <v>93281</v>
      </c>
      <c r="B346" s="447" t="s">
        <v>2393</v>
      </c>
      <c r="C346" s="446" t="s">
        <v>38</v>
      </c>
      <c r="D346" s="448">
        <v>14.17</v>
      </c>
      <c r="E346" s="210"/>
    </row>
    <row r="347" spans="1:5" ht="54">
      <c r="A347" s="446">
        <v>93287</v>
      </c>
      <c r="B347" s="447" t="s">
        <v>2399</v>
      </c>
      <c r="C347" s="446" t="s">
        <v>38</v>
      </c>
      <c r="D347" s="448">
        <v>432.66</v>
      </c>
      <c r="E347" s="210"/>
    </row>
    <row r="348" spans="1:5" ht="81">
      <c r="A348" s="446">
        <v>93402</v>
      </c>
      <c r="B348" s="447" t="s">
        <v>642</v>
      </c>
      <c r="C348" s="446" t="s">
        <v>38</v>
      </c>
      <c r="D348" s="448">
        <v>185.92</v>
      </c>
      <c r="E348" s="210"/>
    </row>
    <row r="349" spans="1:5" ht="94.5">
      <c r="A349" s="446">
        <v>93408</v>
      </c>
      <c r="B349" s="447" t="s">
        <v>4491</v>
      </c>
      <c r="C349" s="446" t="s">
        <v>38</v>
      </c>
      <c r="D349" s="448">
        <v>69.37</v>
      </c>
      <c r="E349" s="210"/>
    </row>
    <row r="350" spans="1:5" ht="40.5">
      <c r="A350" s="446">
        <v>93415</v>
      </c>
      <c r="B350" s="447" t="s">
        <v>2430</v>
      </c>
      <c r="C350" s="446" t="s">
        <v>38</v>
      </c>
      <c r="D350" s="448">
        <v>15.06</v>
      </c>
      <c r="E350" s="210"/>
    </row>
    <row r="351" spans="1:5" ht="40.5">
      <c r="A351" s="446">
        <v>93421</v>
      </c>
      <c r="B351" s="447" t="s">
        <v>508</v>
      </c>
      <c r="C351" s="446" t="s">
        <v>38</v>
      </c>
      <c r="D351" s="448">
        <v>60.41</v>
      </c>
      <c r="E351" s="210"/>
    </row>
    <row r="352" spans="1:5" ht="40.5">
      <c r="A352" s="446">
        <v>93427</v>
      </c>
      <c r="B352" s="447" t="s">
        <v>2439</v>
      </c>
      <c r="C352" s="446" t="s">
        <v>38</v>
      </c>
      <c r="D352" s="448">
        <v>139.38</v>
      </c>
      <c r="E352" s="210"/>
    </row>
    <row r="353" spans="1:5" ht="40.5">
      <c r="A353" s="446">
        <v>93433</v>
      </c>
      <c r="B353" s="447" t="s">
        <v>2445</v>
      </c>
      <c r="C353" s="446" t="s">
        <v>38</v>
      </c>
      <c r="D353" s="448">
        <v>2681.99</v>
      </c>
      <c r="E353" s="210"/>
    </row>
    <row r="354" spans="1:5" ht="40.5">
      <c r="A354" s="446">
        <v>93439</v>
      </c>
      <c r="B354" s="447" t="s">
        <v>2451</v>
      </c>
      <c r="C354" s="446" t="s">
        <v>38</v>
      </c>
      <c r="D354" s="448">
        <v>109.44</v>
      </c>
      <c r="E354" s="210"/>
    </row>
    <row r="355" spans="1:5" ht="40.5">
      <c r="A355" s="446">
        <v>95121</v>
      </c>
      <c r="B355" s="447" t="s">
        <v>2672</v>
      </c>
      <c r="C355" s="446" t="s">
        <v>38</v>
      </c>
      <c r="D355" s="448">
        <v>234.14</v>
      </c>
      <c r="E355" s="210"/>
    </row>
    <row r="356" spans="1:5" ht="40.5">
      <c r="A356" s="446">
        <v>95127</v>
      </c>
      <c r="B356" s="447" t="s">
        <v>539</v>
      </c>
      <c r="C356" s="446" t="s">
        <v>38</v>
      </c>
      <c r="D356" s="448">
        <v>170.9</v>
      </c>
      <c r="E356" s="210"/>
    </row>
    <row r="357" spans="1:5" ht="40.5">
      <c r="A357" s="446">
        <v>95133</v>
      </c>
      <c r="B357" s="447" t="s">
        <v>2679</v>
      </c>
      <c r="C357" s="446" t="s">
        <v>38</v>
      </c>
      <c r="D357" s="448">
        <v>129.15</v>
      </c>
      <c r="E357" s="210"/>
    </row>
    <row r="358" spans="1:5" ht="40.5">
      <c r="A358" s="446">
        <v>95139</v>
      </c>
      <c r="B358" s="447" t="s">
        <v>2683</v>
      </c>
      <c r="C358" s="446" t="s">
        <v>38</v>
      </c>
      <c r="D358" s="448">
        <v>7.0000000000000007E-2</v>
      </c>
      <c r="E358" s="210"/>
    </row>
    <row r="359" spans="1:5" ht="40.5">
      <c r="A359" s="446">
        <v>95212</v>
      </c>
      <c r="B359" s="447" t="s">
        <v>2690</v>
      </c>
      <c r="C359" s="446" t="s">
        <v>38</v>
      </c>
      <c r="D359" s="448">
        <v>118.12</v>
      </c>
      <c r="E359" s="210"/>
    </row>
    <row r="360" spans="1:5" ht="27">
      <c r="A360" s="446">
        <v>95258</v>
      </c>
      <c r="B360" s="447" t="s">
        <v>544</v>
      </c>
      <c r="C360" s="446" t="s">
        <v>38</v>
      </c>
      <c r="D360" s="448">
        <v>14.45</v>
      </c>
      <c r="E360" s="210"/>
    </row>
    <row r="361" spans="1:5" ht="40.5">
      <c r="A361" s="446">
        <v>95264</v>
      </c>
      <c r="B361" s="447" t="s">
        <v>2704</v>
      </c>
      <c r="C361" s="446" t="s">
        <v>38</v>
      </c>
      <c r="D361" s="448">
        <v>6.71</v>
      </c>
      <c r="E361" s="210"/>
    </row>
    <row r="362" spans="1:5" ht="54">
      <c r="A362" s="446">
        <v>95270</v>
      </c>
      <c r="B362" s="447" t="s">
        <v>2710</v>
      </c>
      <c r="C362" s="446" t="s">
        <v>38</v>
      </c>
      <c r="D362" s="448">
        <v>9.3800000000000008</v>
      </c>
      <c r="E362" s="210"/>
    </row>
    <row r="363" spans="1:5" ht="40.5">
      <c r="A363" s="446">
        <v>95276</v>
      </c>
      <c r="B363" s="447" t="s">
        <v>2716</v>
      </c>
      <c r="C363" s="446" t="s">
        <v>38</v>
      </c>
      <c r="D363" s="448">
        <v>2.9</v>
      </c>
      <c r="E363" s="210"/>
    </row>
    <row r="364" spans="1:5" ht="40.5">
      <c r="A364" s="446">
        <v>95282</v>
      </c>
      <c r="B364" s="447" t="s">
        <v>2722</v>
      </c>
      <c r="C364" s="446" t="s">
        <v>38</v>
      </c>
      <c r="D364" s="448">
        <v>9.35</v>
      </c>
      <c r="E364" s="210"/>
    </row>
    <row r="365" spans="1:5" ht="67.5">
      <c r="A365" s="446">
        <v>95620</v>
      </c>
      <c r="B365" s="447" t="s">
        <v>2858</v>
      </c>
      <c r="C365" s="446" t="s">
        <v>38</v>
      </c>
      <c r="D365" s="448">
        <v>13.86</v>
      </c>
      <c r="E365" s="210"/>
    </row>
    <row r="366" spans="1:5" ht="67.5">
      <c r="A366" s="446">
        <v>95631</v>
      </c>
      <c r="B366" s="447" t="s">
        <v>2866</v>
      </c>
      <c r="C366" s="446" t="s">
        <v>38</v>
      </c>
      <c r="D366" s="448">
        <v>161.34</v>
      </c>
      <c r="E366" s="210"/>
    </row>
    <row r="367" spans="1:5" ht="40.5">
      <c r="A367" s="446">
        <v>95702</v>
      </c>
      <c r="B367" s="447" t="s">
        <v>2887</v>
      </c>
      <c r="C367" s="446" t="s">
        <v>38</v>
      </c>
      <c r="D367" s="448">
        <v>27.01</v>
      </c>
      <c r="E367" s="210"/>
    </row>
    <row r="368" spans="1:5" ht="54">
      <c r="A368" s="446">
        <v>95708</v>
      </c>
      <c r="B368" s="447" t="s">
        <v>2893</v>
      </c>
      <c r="C368" s="446" t="s">
        <v>38</v>
      </c>
      <c r="D368" s="448">
        <v>117.88</v>
      </c>
      <c r="E368" s="210"/>
    </row>
    <row r="369" spans="1:5" ht="67.5">
      <c r="A369" s="446">
        <v>95714</v>
      </c>
      <c r="B369" s="447" t="s">
        <v>2899</v>
      </c>
      <c r="C369" s="446" t="s">
        <v>38</v>
      </c>
      <c r="D369" s="448">
        <v>180.84</v>
      </c>
      <c r="E369" s="210"/>
    </row>
    <row r="370" spans="1:5" ht="81">
      <c r="A370" s="446">
        <v>95720</v>
      </c>
      <c r="B370" s="447" t="s">
        <v>2905</v>
      </c>
      <c r="C370" s="446" t="s">
        <v>38</v>
      </c>
      <c r="D370" s="448">
        <v>177.48</v>
      </c>
      <c r="E370" s="210"/>
    </row>
    <row r="371" spans="1:5" ht="40.5">
      <c r="A371" s="446">
        <v>95872</v>
      </c>
      <c r="B371" s="447" t="s">
        <v>565</v>
      </c>
      <c r="C371" s="446" t="s">
        <v>38</v>
      </c>
      <c r="D371" s="448">
        <v>236.68</v>
      </c>
      <c r="E371" s="210"/>
    </row>
    <row r="372" spans="1:5" ht="40.5">
      <c r="A372" s="446">
        <v>96013</v>
      </c>
      <c r="B372" s="447" t="s">
        <v>2969</v>
      </c>
      <c r="C372" s="446" t="s">
        <v>38</v>
      </c>
      <c r="D372" s="448">
        <v>195.74</v>
      </c>
      <c r="E372" s="210"/>
    </row>
    <row r="373" spans="1:5" ht="40.5">
      <c r="A373" s="446">
        <v>96020</v>
      </c>
      <c r="B373" s="447" t="s">
        <v>2975</v>
      </c>
      <c r="C373" s="446" t="s">
        <v>38</v>
      </c>
      <c r="D373" s="448">
        <v>195.27</v>
      </c>
      <c r="E373" s="210"/>
    </row>
    <row r="374" spans="1:5" ht="40.5">
      <c r="A374" s="446">
        <v>96028</v>
      </c>
      <c r="B374" s="447" t="s">
        <v>657</v>
      </c>
      <c r="C374" s="446" t="s">
        <v>38</v>
      </c>
      <c r="D374" s="448">
        <v>143.63999999999999</v>
      </c>
      <c r="E374" s="210"/>
    </row>
    <row r="375" spans="1:5" ht="54">
      <c r="A375" s="446">
        <v>96035</v>
      </c>
      <c r="B375" s="447" t="s">
        <v>2981</v>
      </c>
      <c r="C375" s="446" t="s">
        <v>38</v>
      </c>
      <c r="D375" s="448">
        <v>201.29</v>
      </c>
      <c r="E375" s="210"/>
    </row>
    <row r="376" spans="1:5" ht="40.5">
      <c r="A376" s="446">
        <v>96157</v>
      </c>
      <c r="B376" s="447" t="s">
        <v>3010</v>
      </c>
      <c r="C376" s="446" t="s">
        <v>38</v>
      </c>
      <c r="D376" s="448">
        <v>144.11000000000001</v>
      </c>
      <c r="E376" s="210"/>
    </row>
    <row r="377" spans="1:5" ht="54">
      <c r="A377" s="446">
        <v>96158</v>
      </c>
      <c r="B377" s="447" t="s">
        <v>664</v>
      </c>
      <c r="C377" s="446" t="s">
        <v>38</v>
      </c>
      <c r="D377" s="448">
        <v>101.39</v>
      </c>
      <c r="E377" s="210"/>
    </row>
    <row r="378" spans="1:5" ht="54">
      <c r="A378" s="446">
        <v>96245</v>
      </c>
      <c r="B378" s="447" t="s">
        <v>3016</v>
      </c>
      <c r="C378" s="446" t="s">
        <v>38</v>
      </c>
      <c r="D378" s="448">
        <v>64.48</v>
      </c>
      <c r="E378" s="210"/>
    </row>
    <row r="379" spans="1:5" ht="54">
      <c r="A379" s="446">
        <v>96463</v>
      </c>
      <c r="B379" s="447" t="s">
        <v>3043</v>
      </c>
      <c r="C379" s="446" t="s">
        <v>38</v>
      </c>
      <c r="D379" s="448">
        <v>148.51</v>
      </c>
      <c r="E379" s="210"/>
    </row>
    <row r="380" spans="1:5" ht="67.5">
      <c r="A380" s="446">
        <v>98764</v>
      </c>
      <c r="B380" s="447" t="s">
        <v>3534</v>
      </c>
      <c r="C380" s="446" t="s">
        <v>38</v>
      </c>
      <c r="D380" s="448">
        <v>4.12</v>
      </c>
      <c r="E380" s="210"/>
    </row>
    <row r="381" spans="1:5" ht="67.5">
      <c r="A381" s="446">
        <v>99833</v>
      </c>
      <c r="B381" s="447" t="s">
        <v>3535</v>
      </c>
      <c r="C381" s="446" t="s">
        <v>38</v>
      </c>
      <c r="D381" s="448">
        <v>1.42</v>
      </c>
      <c r="E381" s="210"/>
    </row>
    <row r="382" spans="1:5" ht="40.5">
      <c r="A382" s="446">
        <v>100641</v>
      </c>
      <c r="B382" s="447" t="s">
        <v>4492</v>
      </c>
      <c r="C382" s="446" t="s">
        <v>38</v>
      </c>
      <c r="D382" s="448">
        <v>515.41999999999996</v>
      </c>
      <c r="E382" s="210"/>
    </row>
    <row r="383" spans="1:5" ht="40.5">
      <c r="A383" s="446">
        <v>100647</v>
      </c>
      <c r="B383" s="447" t="s">
        <v>4493</v>
      </c>
      <c r="C383" s="446" t="s">
        <v>38</v>
      </c>
      <c r="D383" s="448">
        <v>1093.1300000000001</v>
      </c>
      <c r="E383" s="210"/>
    </row>
    <row r="384" spans="1:5" ht="54">
      <c r="A384" s="446">
        <v>102275</v>
      </c>
      <c r="B384" s="447" t="s">
        <v>6353</v>
      </c>
      <c r="C384" s="446" t="s">
        <v>38</v>
      </c>
      <c r="D384" s="448">
        <v>14.15</v>
      </c>
      <c r="E384" s="210"/>
    </row>
    <row r="385" spans="1:5" ht="54">
      <c r="A385" s="446">
        <v>5632</v>
      </c>
      <c r="B385" s="447" t="s">
        <v>696</v>
      </c>
      <c r="C385" s="446" t="s">
        <v>53</v>
      </c>
      <c r="D385" s="448">
        <v>53.26</v>
      </c>
      <c r="E385" s="210"/>
    </row>
    <row r="386" spans="1:5" ht="94.5">
      <c r="A386" s="446">
        <v>5679</v>
      </c>
      <c r="B386" s="447" t="s">
        <v>703</v>
      </c>
      <c r="C386" s="446" t="s">
        <v>53</v>
      </c>
      <c r="D386" s="448">
        <v>36.340000000000003</v>
      </c>
      <c r="E386" s="210"/>
    </row>
    <row r="387" spans="1:5" ht="94.5">
      <c r="A387" s="446">
        <v>5681</v>
      </c>
      <c r="B387" s="447" t="s">
        <v>705</v>
      </c>
      <c r="C387" s="446" t="s">
        <v>53</v>
      </c>
      <c r="D387" s="448">
        <v>34.159999999999997</v>
      </c>
      <c r="E387" s="210"/>
    </row>
    <row r="388" spans="1:5" ht="81">
      <c r="A388" s="446">
        <v>5685</v>
      </c>
      <c r="B388" s="447" t="s">
        <v>707</v>
      </c>
      <c r="C388" s="446" t="s">
        <v>53</v>
      </c>
      <c r="D388" s="448">
        <v>37.07</v>
      </c>
      <c r="E388" s="210"/>
    </row>
    <row r="389" spans="1:5" ht="54">
      <c r="A389" s="446">
        <v>5690</v>
      </c>
      <c r="B389" s="447" t="s">
        <v>708</v>
      </c>
      <c r="C389" s="446" t="s">
        <v>53</v>
      </c>
      <c r="D389" s="448">
        <v>3.77</v>
      </c>
      <c r="E389" s="210"/>
    </row>
    <row r="390" spans="1:5" ht="67.5">
      <c r="A390" s="446">
        <v>5806</v>
      </c>
      <c r="B390" s="447" t="s">
        <v>733</v>
      </c>
      <c r="C390" s="446" t="s">
        <v>53</v>
      </c>
      <c r="D390" s="448">
        <v>0.22</v>
      </c>
      <c r="E390" s="210"/>
    </row>
    <row r="391" spans="1:5" ht="94.5">
      <c r="A391" s="446">
        <v>5826</v>
      </c>
      <c r="B391" s="447" t="s">
        <v>736</v>
      </c>
      <c r="C391" s="446" t="s">
        <v>53</v>
      </c>
      <c r="D391" s="448">
        <v>27.83</v>
      </c>
      <c r="E391" s="210"/>
    </row>
    <row r="392" spans="1:5" ht="40.5">
      <c r="A392" s="446">
        <v>5829</v>
      </c>
      <c r="B392" s="447" t="s">
        <v>66</v>
      </c>
      <c r="C392" s="446" t="s">
        <v>53</v>
      </c>
      <c r="D392" s="448">
        <v>107.32</v>
      </c>
      <c r="E392" s="210"/>
    </row>
    <row r="393" spans="1:5" ht="54">
      <c r="A393" s="446">
        <v>5837</v>
      </c>
      <c r="B393" s="447" t="s">
        <v>738</v>
      </c>
      <c r="C393" s="446" t="s">
        <v>53</v>
      </c>
      <c r="D393" s="448">
        <v>115.2</v>
      </c>
      <c r="E393" s="210"/>
    </row>
    <row r="394" spans="1:5" ht="40.5">
      <c r="A394" s="446">
        <v>5841</v>
      </c>
      <c r="B394" s="447" t="s">
        <v>740</v>
      </c>
      <c r="C394" s="446" t="s">
        <v>53</v>
      </c>
      <c r="D394" s="448">
        <v>4.33</v>
      </c>
      <c r="E394" s="210"/>
    </row>
    <row r="395" spans="1:5" ht="40.5">
      <c r="A395" s="446">
        <v>5845</v>
      </c>
      <c r="B395" s="447" t="s">
        <v>68</v>
      </c>
      <c r="C395" s="446" t="s">
        <v>53</v>
      </c>
      <c r="D395" s="448">
        <v>30.06</v>
      </c>
      <c r="E395" s="210"/>
    </row>
    <row r="396" spans="1:5" ht="40.5">
      <c r="A396" s="446">
        <v>5849</v>
      </c>
      <c r="B396" s="447" t="s">
        <v>742</v>
      </c>
      <c r="C396" s="446" t="s">
        <v>53</v>
      </c>
      <c r="D396" s="448">
        <v>51.71</v>
      </c>
      <c r="E396" s="210"/>
    </row>
    <row r="397" spans="1:5" ht="54">
      <c r="A397" s="446">
        <v>5853</v>
      </c>
      <c r="B397" s="447" t="s">
        <v>70</v>
      </c>
      <c r="C397" s="446" t="s">
        <v>53</v>
      </c>
      <c r="D397" s="448">
        <v>51.96</v>
      </c>
      <c r="E397" s="210"/>
    </row>
    <row r="398" spans="1:5" ht="40.5">
      <c r="A398" s="446">
        <v>5857</v>
      </c>
      <c r="B398" s="447" t="s">
        <v>744</v>
      </c>
      <c r="C398" s="446" t="s">
        <v>53</v>
      </c>
      <c r="D398" s="448">
        <v>139.51</v>
      </c>
      <c r="E398" s="210"/>
    </row>
    <row r="399" spans="1:5" ht="67.5">
      <c r="A399" s="446">
        <v>5865</v>
      </c>
      <c r="B399" s="447" t="s">
        <v>746</v>
      </c>
      <c r="C399" s="446" t="s">
        <v>53</v>
      </c>
      <c r="D399" s="448">
        <v>7.15</v>
      </c>
      <c r="E399" s="210"/>
    </row>
    <row r="400" spans="1:5" ht="54">
      <c r="A400" s="446">
        <v>5869</v>
      </c>
      <c r="B400" s="447" t="s">
        <v>748</v>
      </c>
      <c r="C400" s="446" t="s">
        <v>53</v>
      </c>
      <c r="D400" s="448">
        <v>42.48</v>
      </c>
      <c r="E400" s="210"/>
    </row>
    <row r="401" spans="1:5" ht="94.5">
      <c r="A401" s="446">
        <v>5877</v>
      </c>
      <c r="B401" s="447" t="s">
        <v>750</v>
      </c>
      <c r="C401" s="446" t="s">
        <v>53</v>
      </c>
      <c r="D401" s="448">
        <v>35.65</v>
      </c>
      <c r="E401" s="210"/>
    </row>
    <row r="402" spans="1:5" ht="67.5">
      <c r="A402" s="446">
        <v>5881</v>
      </c>
      <c r="B402" s="447" t="s">
        <v>752</v>
      </c>
      <c r="C402" s="446" t="s">
        <v>53</v>
      </c>
      <c r="D402" s="448">
        <v>45.76</v>
      </c>
      <c r="E402" s="210"/>
    </row>
    <row r="403" spans="1:5" ht="81">
      <c r="A403" s="446">
        <v>5884</v>
      </c>
      <c r="B403" s="447" t="s">
        <v>754</v>
      </c>
      <c r="C403" s="446" t="s">
        <v>53</v>
      </c>
      <c r="D403" s="448">
        <v>38.83</v>
      </c>
      <c r="E403" s="210"/>
    </row>
    <row r="404" spans="1:5" ht="67.5">
      <c r="A404" s="446">
        <v>5892</v>
      </c>
      <c r="B404" s="447" t="s">
        <v>72</v>
      </c>
      <c r="C404" s="446" t="s">
        <v>53</v>
      </c>
      <c r="D404" s="448">
        <v>28.86</v>
      </c>
      <c r="E404" s="210"/>
    </row>
    <row r="405" spans="1:5" ht="67.5">
      <c r="A405" s="446">
        <v>5896</v>
      </c>
      <c r="B405" s="447" t="s">
        <v>756</v>
      </c>
      <c r="C405" s="446" t="s">
        <v>53</v>
      </c>
      <c r="D405" s="448">
        <v>26.56</v>
      </c>
      <c r="E405" s="210"/>
    </row>
    <row r="406" spans="1:5" ht="81">
      <c r="A406" s="446">
        <v>5903</v>
      </c>
      <c r="B406" s="447" t="s">
        <v>758</v>
      </c>
      <c r="C406" s="446" t="s">
        <v>53</v>
      </c>
      <c r="D406" s="448">
        <v>36.01</v>
      </c>
      <c r="E406" s="210"/>
    </row>
    <row r="407" spans="1:5" ht="54">
      <c r="A407" s="446">
        <v>5911</v>
      </c>
      <c r="B407" s="447" t="s">
        <v>74</v>
      </c>
      <c r="C407" s="446" t="s">
        <v>53</v>
      </c>
      <c r="D407" s="448">
        <v>18.239999999999998</v>
      </c>
      <c r="E407" s="210"/>
    </row>
    <row r="408" spans="1:5" ht="40.5">
      <c r="A408" s="446">
        <v>5923</v>
      </c>
      <c r="B408" s="447" t="s">
        <v>760</v>
      </c>
      <c r="C408" s="446" t="s">
        <v>53</v>
      </c>
      <c r="D408" s="448">
        <v>2.95</v>
      </c>
      <c r="E408" s="210"/>
    </row>
    <row r="409" spans="1:5" ht="81">
      <c r="A409" s="446">
        <v>5930</v>
      </c>
      <c r="B409" s="447" t="s">
        <v>762</v>
      </c>
      <c r="C409" s="446" t="s">
        <v>53</v>
      </c>
      <c r="D409" s="448">
        <v>33.79</v>
      </c>
      <c r="E409" s="210"/>
    </row>
    <row r="410" spans="1:5" ht="54">
      <c r="A410" s="446">
        <v>5934</v>
      </c>
      <c r="B410" s="447" t="s">
        <v>76</v>
      </c>
      <c r="C410" s="446" t="s">
        <v>53</v>
      </c>
      <c r="D410" s="448">
        <v>53.77</v>
      </c>
      <c r="E410" s="210"/>
    </row>
    <row r="411" spans="1:5" ht="54">
      <c r="A411" s="446">
        <v>5942</v>
      </c>
      <c r="B411" s="447" t="s">
        <v>764</v>
      </c>
      <c r="C411" s="446" t="s">
        <v>53</v>
      </c>
      <c r="D411" s="448">
        <v>44.03</v>
      </c>
      <c r="E411" s="210"/>
    </row>
    <row r="412" spans="1:5" ht="54">
      <c r="A412" s="446">
        <v>5946</v>
      </c>
      <c r="B412" s="447" t="s">
        <v>766</v>
      </c>
      <c r="C412" s="446" t="s">
        <v>53</v>
      </c>
      <c r="D412" s="448">
        <v>55.52</v>
      </c>
      <c r="E412" s="210"/>
    </row>
    <row r="413" spans="1:5" ht="40.5">
      <c r="A413" s="446">
        <v>5952</v>
      </c>
      <c r="B413" s="447" t="s">
        <v>77</v>
      </c>
      <c r="C413" s="446" t="s">
        <v>53</v>
      </c>
      <c r="D413" s="448">
        <v>12.91</v>
      </c>
      <c r="E413" s="210"/>
    </row>
    <row r="414" spans="1:5" ht="54">
      <c r="A414" s="446">
        <v>5954</v>
      </c>
      <c r="B414" s="447" t="s">
        <v>79</v>
      </c>
      <c r="C414" s="446" t="s">
        <v>53</v>
      </c>
      <c r="D414" s="448">
        <v>3.92</v>
      </c>
      <c r="E414" s="210"/>
    </row>
    <row r="415" spans="1:5" ht="67.5">
      <c r="A415" s="446">
        <v>5961</v>
      </c>
      <c r="B415" s="447" t="s">
        <v>767</v>
      </c>
      <c r="C415" s="446" t="s">
        <v>53</v>
      </c>
      <c r="D415" s="448">
        <v>35.020000000000003</v>
      </c>
      <c r="E415" s="210"/>
    </row>
    <row r="416" spans="1:5" ht="67.5">
      <c r="A416" s="446">
        <v>6260</v>
      </c>
      <c r="B416" s="447" t="s">
        <v>769</v>
      </c>
      <c r="C416" s="446" t="s">
        <v>53</v>
      </c>
      <c r="D416" s="448">
        <v>31.21</v>
      </c>
      <c r="E416" s="210"/>
    </row>
    <row r="417" spans="1:5" ht="67.5">
      <c r="A417" s="446">
        <v>6880</v>
      </c>
      <c r="B417" s="447" t="s">
        <v>771</v>
      </c>
      <c r="C417" s="446" t="s">
        <v>53</v>
      </c>
      <c r="D417" s="448">
        <v>50.42</v>
      </c>
      <c r="E417" s="210"/>
    </row>
    <row r="418" spans="1:5" ht="40.5">
      <c r="A418" s="446">
        <v>7031</v>
      </c>
      <c r="B418" s="447" t="s">
        <v>773</v>
      </c>
      <c r="C418" s="446" t="s">
        <v>53</v>
      </c>
      <c r="D418" s="448">
        <v>5.52</v>
      </c>
      <c r="E418" s="210"/>
    </row>
    <row r="419" spans="1:5" ht="67.5">
      <c r="A419" s="446">
        <v>7043</v>
      </c>
      <c r="B419" s="447" t="s">
        <v>782</v>
      </c>
      <c r="C419" s="446" t="s">
        <v>53</v>
      </c>
      <c r="D419" s="448">
        <v>0.28000000000000003</v>
      </c>
      <c r="E419" s="210"/>
    </row>
    <row r="420" spans="1:5" ht="81">
      <c r="A420" s="446">
        <v>7050</v>
      </c>
      <c r="B420" s="447" t="s">
        <v>788</v>
      </c>
      <c r="C420" s="446" t="s">
        <v>53</v>
      </c>
      <c r="D420" s="448">
        <v>46.23</v>
      </c>
      <c r="E420" s="210"/>
    </row>
    <row r="421" spans="1:5" ht="81">
      <c r="A421" s="446">
        <v>67827</v>
      </c>
      <c r="B421" s="447" t="s">
        <v>824</v>
      </c>
      <c r="C421" s="446" t="s">
        <v>53</v>
      </c>
      <c r="D421" s="448">
        <v>34.06</v>
      </c>
      <c r="E421" s="210"/>
    </row>
    <row r="422" spans="1:5" ht="40.5">
      <c r="A422" s="446">
        <v>73395</v>
      </c>
      <c r="B422" s="447" t="s">
        <v>829</v>
      </c>
      <c r="C422" s="446" t="s">
        <v>53</v>
      </c>
      <c r="D422" s="448">
        <v>4.67</v>
      </c>
      <c r="E422" s="210"/>
    </row>
    <row r="423" spans="1:5" ht="54">
      <c r="A423" s="446">
        <v>83766</v>
      </c>
      <c r="B423" s="447" t="s">
        <v>841</v>
      </c>
      <c r="C423" s="446" t="s">
        <v>53</v>
      </c>
      <c r="D423" s="448">
        <v>27.64</v>
      </c>
      <c r="E423" s="210"/>
    </row>
    <row r="424" spans="1:5" ht="54">
      <c r="A424" s="446">
        <v>84013</v>
      </c>
      <c r="B424" s="447" t="s">
        <v>842</v>
      </c>
      <c r="C424" s="446" t="s">
        <v>53</v>
      </c>
      <c r="D424" s="448">
        <v>51.57</v>
      </c>
      <c r="E424" s="210"/>
    </row>
    <row r="425" spans="1:5" ht="54">
      <c r="A425" s="446">
        <v>87446</v>
      </c>
      <c r="B425" s="447" t="s">
        <v>106</v>
      </c>
      <c r="C425" s="446" t="s">
        <v>53</v>
      </c>
      <c r="D425" s="448">
        <v>0.47</v>
      </c>
      <c r="E425" s="210"/>
    </row>
    <row r="426" spans="1:5" ht="54">
      <c r="A426" s="446">
        <v>88392</v>
      </c>
      <c r="B426" s="447" t="s">
        <v>1103</v>
      </c>
      <c r="C426" s="446" t="s">
        <v>53</v>
      </c>
      <c r="D426" s="448">
        <v>0.92</v>
      </c>
      <c r="E426" s="210"/>
    </row>
    <row r="427" spans="1:5" ht="54">
      <c r="A427" s="446">
        <v>88398</v>
      </c>
      <c r="B427" s="447" t="s">
        <v>1109</v>
      </c>
      <c r="C427" s="446" t="s">
        <v>53</v>
      </c>
      <c r="D427" s="448">
        <v>1.0900000000000001</v>
      </c>
      <c r="E427" s="210"/>
    </row>
    <row r="428" spans="1:5" ht="54">
      <c r="A428" s="446">
        <v>88404</v>
      </c>
      <c r="B428" s="447" t="s">
        <v>1115</v>
      </c>
      <c r="C428" s="446" t="s">
        <v>53</v>
      </c>
      <c r="D428" s="448">
        <v>0.87</v>
      </c>
      <c r="E428" s="210"/>
    </row>
    <row r="429" spans="1:5" ht="54">
      <c r="A429" s="446">
        <v>88430</v>
      </c>
      <c r="B429" s="447" t="s">
        <v>189</v>
      </c>
      <c r="C429" s="446" t="s">
        <v>53</v>
      </c>
      <c r="D429" s="448">
        <v>5.71</v>
      </c>
      <c r="E429" s="210"/>
    </row>
    <row r="430" spans="1:5" ht="54">
      <c r="A430" s="446">
        <v>88438</v>
      </c>
      <c r="B430" s="447" t="s">
        <v>1133</v>
      </c>
      <c r="C430" s="446" t="s">
        <v>53</v>
      </c>
      <c r="D430" s="448">
        <v>7.57</v>
      </c>
      <c r="E430" s="210"/>
    </row>
    <row r="431" spans="1:5" ht="54">
      <c r="A431" s="446">
        <v>88831</v>
      </c>
      <c r="B431" s="447" t="s">
        <v>1149</v>
      </c>
      <c r="C431" s="446" t="s">
        <v>53</v>
      </c>
      <c r="D431" s="448">
        <v>0.34</v>
      </c>
      <c r="E431" s="210"/>
    </row>
    <row r="432" spans="1:5" ht="40.5">
      <c r="A432" s="446">
        <v>88844</v>
      </c>
      <c r="B432" s="447" t="s">
        <v>1159</v>
      </c>
      <c r="C432" s="446" t="s">
        <v>53</v>
      </c>
      <c r="D432" s="448">
        <v>44.53</v>
      </c>
      <c r="E432" s="210"/>
    </row>
    <row r="433" spans="1:5" ht="54">
      <c r="A433" s="446">
        <v>88908</v>
      </c>
      <c r="B433" s="447" t="s">
        <v>1175</v>
      </c>
      <c r="C433" s="446" t="s">
        <v>53</v>
      </c>
      <c r="D433" s="448">
        <v>57.37</v>
      </c>
      <c r="E433" s="210"/>
    </row>
    <row r="434" spans="1:5" ht="67.5">
      <c r="A434" s="446">
        <v>89022</v>
      </c>
      <c r="B434" s="447" t="s">
        <v>1187</v>
      </c>
      <c r="C434" s="446" t="s">
        <v>53</v>
      </c>
      <c r="D434" s="448">
        <v>0.32</v>
      </c>
      <c r="E434" s="210"/>
    </row>
    <row r="435" spans="1:5" ht="40.5">
      <c r="A435" s="446">
        <v>89027</v>
      </c>
      <c r="B435" s="447" t="s">
        <v>202</v>
      </c>
      <c r="C435" s="446" t="s">
        <v>53</v>
      </c>
      <c r="D435" s="448">
        <v>4.5</v>
      </c>
      <c r="E435" s="210"/>
    </row>
    <row r="436" spans="1:5" ht="40.5">
      <c r="A436" s="446">
        <v>89031</v>
      </c>
      <c r="B436" s="447" t="s">
        <v>1194</v>
      </c>
      <c r="C436" s="446" t="s">
        <v>53</v>
      </c>
      <c r="D436" s="448">
        <v>43.15</v>
      </c>
      <c r="E436" s="210"/>
    </row>
    <row r="437" spans="1:5" ht="40.5">
      <c r="A437" s="446">
        <v>89036</v>
      </c>
      <c r="B437" s="447" t="s">
        <v>207</v>
      </c>
      <c r="C437" s="446" t="s">
        <v>53</v>
      </c>
      <c r="D437" s="448">
        <v>25.63</v>
      </c>
      <c r="E437" s="210"/>
    </row>
    <row r="438" spans="1:5" ht="40.5">
      <c r="A438" s="446">
        <v>89218</v>
      </c>
      <c r="B438" s="447" t="s">
        <v>212</v>
      </c>
      <c r="C438" s="446" t="s">
        <v>53</v>
      </c>
      <c r="D438" s="448">
        <v>57.79</v>
      </c>
      <c r="E438" s="210"/>
    </row>
    <row r="439" spans="1:5" ht="54">
      <c r="A439" s="446">
        <v>89226</v>
      </c>
      <c r="B439" s="447" t="s">
        <v>1214</v>
      </c>
      <c r="C439" s="446" t="s">
        <v>53</v>
      </c>
      <c r="D439" s="448">
        <v>1.42</v>
      </c>
      <c r="E439" s="210"/>
    </row>
    <row r="440" spans="1:5" ht="54">
      <c r="A440" s="446">
        <v>89235</v>
      </c>
      <c r="B440" s="447" t="s">
        <v>1220</v>
      </c>
      <c r="C440" s="446" t="s">
        <v>53</v>
      </c>
      <c r="D440" s="448">
        <v>151.81</v>
      </c>
      <c r="E440" s="210"/>
    </row>
    <row r="441" spans="1:5" ht="54">
      <c r="A441" s="446">
        <v>89243</v>
      </c>
      <c r="B441" s="447" t="s">
        <v>1227</v>
      </c>
      <c r="C441" s="446" t="s">
        <v>53</v>
      </c>
      <c r="D441" s="448">
        <v>333.16</v>
      </c>
      <c r="E441" s="210"/>
    </row>
    <row r="442" spans="1:5" ht="54">
      <c r="A442" s="446">
        <v>89251</v>
      </c>
      <c r="B442" s="447" t="s">
        <v>221</v>
      </c>
      <c r="C442" s="446" t="s">
        <v>53</v>
      </c>
      <c r="D442" s="448">
        <v>291.58999999999997</v>
      </c>
      <c r="E442" s="210"/>
    </row>
    <row r="443" spans="1:5" ht="54">
      <c r="A443" s="446">
        <v>89258</v>
      </c>
      <c r="B443" s="447" t="s">
        <v>1232</v>
      </c>
      <c r="C443" s="446" t="s">
        <v>53</v>
      </c>
      <c r="D443" s="448">
        <v>97.3</v>
      </c>
      <c r="E443" s="210"/>
    </row>
    <row r="444" spans="1:5" ht="54">
      <c r="A444" s="446">
        <v>89273</v>
      </c>
      <c r="B444" s="447" t="s">
        <v>1245</v>
      </c>
      <c r="C444" s="446" t="s">
        <v>53</v>
      </c>
      <c r="D444" s="448">
        <v>65.959999999999994</v>
      </c>
      <c r="E444" s="210"/>
    </row>
    <row r="445" spans="1:5" ht="54">
      <c r="A445" s="446">
        <v>89279</v>
      </c>
      <c r="B445" s="447" t="s">
        <v>1251</v>
      </c>
      <c r="C445" s="446" t="s">
        <v>53</v>
      </c>
      <c r="D445" s="448">
        <v>1.72</v>
      </c>
      <c r="E445" s="210"/>
    </row>
    <row r="446" spans="1:5" ht="67.5">
      <c r="A446" s="446">
        <v>89877</v>
      </c>
      <c r="B446" s="447" t="s">
        <v>328</v>
      </c>
      <c r="C446" s="446" t="s">
        <v>53</v>
      </c>
      <c r="D446" s="448">
        <v>48.89</v>
      </c>
      <c r="E446" s="210"/>
    </row>
    <row r="447" spans="1:5" ht="67.5">
      <c r="A447" s="446">
        <v>89884</v>
      </c>
      <c r="B447" s="447" t="s">
        <v>335</v>
      </c>
      <c r="C447" s="446" t="s">
        <v>53</v>
      </c>
      <c r="D447" s="448">
        <v>51.08</v>
      </c>
      <c r="E447" s="210"/>
    </row>
    <row r="448" spans="1:5" ht="54">
      <c r="A448" s="446">
        <v>90587</v>
      </c>
      <c r="B448" s="447" t="s">
        <v>1740</v>
      </c>
      <c r="C448" s="446" t="s">
        <v>53</v>
      </c>
      <c r="D448" s="448">
        <v>0.42</v>
      </c>
      <c r="E448" s="210"/>
    </row>
    <row r="449" spans="1:5" ht="40.5">
      <c r="A449" s="446">
        <v>90626</v>
      </c>
      <c r="B449" s="447" t="s">
        <v>357</v>
      </c>
      <c r="C449" s="446" t="s">
        <v>53</v>
      </c>
      <c r="D449" s="448">
        <v>2.33</v>
      </c>
      <c r="E449" s="210"/>
    </row>
    <row r="450" spans="1:5" ht="54">
      <c r="A450" s="446">
        <v>90632</v>
      </c>
      <c r="B450" s="447" t="s">
        <v>362</v>
      </c>
      <c r="C450" s="446" t="s">
        <v>53</v>
      </c>
      <c r="D450" s="448">
        <v>50.84</v>
      </c>
      <c r="E450" s="210"/>
    </row>
    <row r="451" spans="1:5" ht="67.5">
      <c r="A451" s="446">
        <v>90638</v>
      </c>
      <c r="B451" s="447" t="s">
        <v>368</v>
      </c>
      <c r="C451" s="446" t="s">
        <v>53</v>
      </c>
      <c r="D451" s="448">
        <v>4.3899999999999997</v>
      </c>
      <c r="E451" s="210"/>
    </row>
    <row r="452" spans="1:5" ht="54">
      <c r="A452" s="446">
        <v>90644</v>
      </c>
      <c r="B452" s="447" t="s">
        <v>1747</v>
      </c>
      <c r="C452" s="446" t="s">
        <v>53</v>
      </c>
      <c r="D452" s="448">
        <v>6.55</v>
      </c>
      <c r="E452" s="210"/>
    </row>
    <row r="453" spans="1:5" ht="67.5">
      <c r="A453" s="446">
        <v>90651</v>
      </c>
      <c r="B453" s="447" t="s">
        <v>1753</v>
      </c>
      <c r="C453" s="446" t="s">
        <v>53</v>
      </c>
      <c r="D453" s="448">
        <v>0.79</v>
      </c>
      <c r="E453" s="210"/>
    </row>
    <row r="454" spans="1:5" ht="40.5">
      <c r="A454" s="446">
        <v>90657</v>
      </c>
      <c r="B454" s="447" t="s">
        <v>370</v>
      </c>
      <c r="C454" s="446" t="s">
        <v>53</v>
      </c>
      <c r="D454" s="448">
        <v>4.2699999999999996</v>
      </c>
      <c r="E454" s="210"/>
    </row>
    <row r="455" spans="1:5" ht="40.5">
      <c r="A455" s="446">
        <v>90663</v>
      </c>
      <c r="B455" s="447" t="s">
        <v>372</v>
      </c>
      <c r="C455" s="446" t="s">
        <v>53</v>
      </c>
      <c r="D455" s="448">
        <v>4.57</v>
      </c>
      <c r="E455" s="210"/>
    </row>
    <row r="456" spans="1:5" ht="81">
      <c r="A456" s="446">
        <v>90669</v>
      </c>
      <c r="B456" s="447" t="s">
        <v>1767</v>
      </c>
      <c r="C456" s="446" t="s">
        <v>53</v>
      </c>
      <c r="D456" s="448">
        <v>6.22</v>
      </c>
      <c r="E456" s="210"/>
    </row>
    <row r="457" spans="1:5" ht="81">
      <c r="A457" s="446">
        <v>90675</v>
      </c>
      <c r="B457" s="447" t="s">
        <v>1773</v>
      </c>
      <c r="C457" s="446" t="s">
        <v>53</v>
      </c>
      <c r="D457" s="448">
        <v>184.69</v>
      </c>
      <c r="E457" s="210"/>
    </row>
    <row r="458" spans="1:5" ht="81">
      <c r="A458" s="446">
        <v>90681</v>
      </c>
      <c r="B458" s="447" t="s">
        <v>1779</v>
      </c>
      <c r="C458" s="446" t="s">
        <v>53</v>
      </c>
      <c r="D458" s="448">
        <v>107.52</v>
      </c>
      <c r="E458" s="210"/>
    </row>
    <row r="459" spans="1:5" ht="54">
      <c r="A459" s="446">
        <v>90687</v>
      </c>
      <c r="B459" s="447" t="s">
        <v>1785</v>
      </c>
      <c r="C459" s="446" t="s">
        <v>53</v>
      </c>
      <c r="D459" s="448">
        <v>43.06</v>
      </c>
      <c r="E459" s="210"/>
    </row>
    <row r="460" spans="1:5" ht="54">
      <c r="A460" s="446">
        <v>90693</v>
      </c>
      <c r="B460" s="447" t="s">
        <v>1791</v>
      </c>
      <c r="C460" s="446" t="s">
        <v>53</v>
      </c>
      <c r="D460" s="448">
        <v>28.87</v>
      </c>
      <c r="E460" s="210"/>
    </row>
    <row r="461" spans="1:5" ht="54">
      <c r="A461" s="446">
        <v>90965</v>
      </c>
      <c r="B461" s="447" t="s">
        <v>394</v>
      </c>
      <c r="C461" s="446" t="s">
        <v>53</v>
      </c>
      <c r="D461" s="448">
        <v>5.25</v>
      </c>
      <c r="E461" s="210"/>
    </row>
    <row r="462" spans="1:5" ht="54">
      <c r="A462" s="446">
        <v>90973</v>
      </c>
      <c r="B462" s="447" t="s">
        <v>1798</v>
      </c>
      <c r="C462" s="446" t="s">
        <v>53</v>
      </c>
      <c r="D462" s="448">
        <v>5.26</v>
      </c>
      <c r="E462" s="210"/>
    </row>
    <row r="463" spans="1:5" ht="54">
      <c r="A463" s="446">
        <v>90982</v>
      </c>
      <c r="B463" s="447" t="s">
        <v>399</v>
      </c>
      <c r="C463" s="446" t="s">
        <v>53</v>
      </c>
      <c r="D463" s="448">
        <v>13.37</v>
      </c>
      <c r="E463" s="210"/>
    </row>
    <row r="464" spans="1:5" ht="54">
      <c r="A464" s="446">
        <v>91001</v>
      </c>
      <c r="B464" s="447" t="s">
        <v>1806</v>
      </c>
      <c r="C464" s="446" t="s">
        <v>53</v>
      </c>
      <c r="D464" s="448">
        <v>6.24</v>
      </c>
      <c r="E464" s="210"/>
    </row>
    <row r="465" spans="1:5" ht="67.5">
      <c r="A465" s="446">
        <v>91032</v>
      </c>
      <c r="B465" s="447" t="s">
        <v>406</v>
      </c>
      <c r="C465" s="446" t="s">
        <v>53</v>
      </c>
      <c r="D465" s="448">
        <v>33.340000000000003</v>
      </c>
      <c r="E465" s="210"/>
    </row>
    <row r="466" spans="1:5" ht="54">
      <c r="A466" s="446">
        <v>91278</v>
      </c>
      <c r="B466" s="447" t="s">
        <v>1864</v>
      </c>
      <c r="C466" s="446" t="s">
        <v>53</v>
      </c>
      <c r="D466" s="448">
        <v>0.52</v>
      </c>
      <c r="E466" s="210"/>
    </row>
    <row r="467" spans="1:5" ht="67.5">
      <c r="A467" s="446">
        <v>91285</v>
      </c>
      <c r="B467" s="447" t="s">
        <v>1870</v>
      </c>
      <c r="C467" s="446" t="s">
        <v>53</v>
      </c>
      <c r="D467" s="448">
        <v>1.04</v>
      </c>
      <c r="E467" s="210"/>
    </row>
    <row r="468" spans="1:5" ht="81">
      <c r="A468" s="446">
        <v>91387</v>
      </c>
      <c r="B468" s="447" t="s">
        <v>1886</v>
      </c>
      <c r="C468" s="446" t="s">
        <v>53</v>
      </c>
      <c r="D468" s="448">
        <v>37.94</v>
      </c>
      <c r="E468" s="210"/>
    </row>
    <row r="469" spans="1:5" ht="94.5">
      <c r="A469" s="446">
        <v>91395</v>
      </c>
      <c r="B469" s="447" t="s">
        <v>1890</v>
      </c>
      <c r="C469" s="446" t="s">
        <v>53</v>
      </c>
      <c r="D469" s="448">
        <v>30.31</v>
      </c>
      <c r="E469" s="210"/>
    </row>
    <row r="470" spans="1:5" ht="81">
      <c r="A470" s="446">
        <v>91486</v>
      </c>
      <c r="B470" s="447" t="s">
        <v>1900</v>
      </c>
      <c r="C470" s="446" t="s">
        <v>53</v>
      </c>
      <c r="D470" s="448">
        <v>37.83</v>
      </c>
      <c r="E470" s="210"/>
    </row>
    <row r="471" spans="1:5" ht="54">
      <c r="A471" s="446">
        <v>91534</v>
      </c>
      <c r="B471" s="447" t="s">
        <v>1913</v>
      </c>
      <c r="C471" s="446" t="s">
        <v>53</v>
      </c>
      <c r="D471" s="448">
        <v>14.17</v>
      </c>
      <c r="E471" s="210"/>
    </row>
    <row r="472" spans="1:5" ht="81">
      <c r="A472" s="446">
        <v>91635</v>
      </c>
      <c r="B472" s="447" t="s">
        <v>1920</v>
      </c>
      <c r="C472" s="446" t="s">
        <v>53</v>
      </c>
      <c r="D472" s="448">
        <v>32.29</v>
      </c>
      <c r="E472" s="210"/>
    </row>
    <row r="473" spans="1:5" ht="81">
      <c r="A473" s="446">
        <v>91646</v>
      </c>
      <c r="B473" s="447" t="s">
        <v>1927</v>
      </c>
      <c r="C473" s="446" t="s">
        <v>53</v>
      </c>
      <c r="D473" s="448">
        <v>54.72</v>
      </c>
      <c r="E473" s="210"/>
    </row>
    <row r="474" spans="1:5" ht="40.5">
      <c r="A474" s="446">
        <v>91693</v>
      </c>
      <c r="B474" s="447" t="s">
        <v>1933</v>
      </c>
      <c r="C474" s="446" t="s">
        <v>53</v>
      </c>
      <c r="D474" s="448">
        <v>13.53</v>
      </c>
      <c r="E474" s="210"/>
    </row>
    <row r="475" spans="1:5" ht="40.5">
      <c r="A475" s="446">
        <v>92044</v>
      </c>
      <c r="B475" s="447" t="s">
        <v>2072</v>
      </c>
      <c r="C475" s="446" t="s">
        <v>53</v>
      </c>
      <c r="D475" s="448">
        <v>6.43</v>
      </c>
      <c r="E475" s="210"/>
    </row>
    <row r="476" spans="1:5" ht="94.5">
      <c r="A476" s="446">
        <v>92107</v>
      </c>
      <c r="B476" s="447" t="s">
        <v>2078</v>
      </c>
      <c r="C476" s="446" t="s">
        <v>53</v>
      </c>
      <c r="D476" s="448">
        <v>38.18</v>
      </c>
      <c r="E476" s="210"/>
    </row>
    <row r="477" spans="1:5" ht="54">
      <c r="A477" s="446">
        <v>92113</v>
      </c>
      <c r="B477" s="447" t="s">
        <v>460</v>
      </c>
      <c r="C477" s="446" t="s">
        <v>53</v>
      </c>
      <c r="D477" s="448">
        <v>1.01</v>
      </c>
      <c r="E477" s="210"/>
    </row>
    <row r="478" spans="1:5" ht="27">
      <c r="A478" s="446">
        <v>92119</v>
      </c>
      <c r="B478" s="447" t="s">
        <v>465</v>
      </c>
      <c r="C478" s="446" t="s">
        <v>53</v>
      </c>
      <c r="D478" s="448">
        <v>0.11</v>
      </c>
      <c r="E478" s="210"/>
    </row>
    <row r="479" spans="1:5" ht="40.5">
      <c r="A479" s="446">
        <v>92139</v>
      </c>
      <c r="B479" s="447" t="s">
        <v>2085</v>
      </c>
      <c r="C479" s="446" t="s">
        <v>53</v>
      </c>
      <c r="D479" s="448">
        <v>25.02</v>
      </c>
      <c r="E479" s="210"/>
    </row>
    <row r="480" spans="1:5" ht="54">
      <c r="A480" s="446">
        <v>92146</v>
      </c>
      <c r="B480" s="447" t="s">
        <v>475</v>
      </c>
      <c r="C480" s="446" t="s">
        <v>53</v>
      </c>
      <c r="D480" s="448">
        <v>16.899999999999999</v>
      </c>
      <c r="E480" s="210"/>
    </row>
    <row r="481" spans="1:5" ht="81">
      <c r="A481" s="446">
        <v>92243</v>
      </c>
      <c r="B481" s="447" t="s">
        <v>2106</v>
      </c>
      <c r="C481" s="446" t="s">
        <v>53</v>
      </c>
      <c r="D481" s="448">
        <v>44.92</v>
      </c>
      <c r="E481" s="210"/>
    </row>
    <row r="482" spans="1:5" ht="54">
      <c r="A482" s="446">
        <v>92717</v>
      </c>
      <c r="B482" s="447" t="s">
        <v>2146</v>
      </c>
      <c r="C482" s="446" t="s">
        <v>53</v>
      </c>
      <c r="D482" s="448">
        <v>0.34</v>
      </c>
      <c r="E482" s="210"/>
    </row>
    <row r="483" spans="1:5" ht="40.5">
      <c r="A483" s="446">
        <v>92961</v>
      </c>
      <c r="B483" s="447" t="s">
        <v>2297</v>
      </c>
      <c r="C483" s="446" t="s">
        <v>53</v>
      </c>
      <c r="D483" s="448">
        <v>3.97</v>
      </c>
      <c r="E483" s="210"/>
    </row>
    <row r="484" spans="1:5" ht="40.5">
      <c r="A484" s="446">
        <v>92967</v>
      </c>
      <c r="B484" s="447" t="s">
        <v>2301</v>
      </c>
      <c r="C484" s="446" t="s">
        <v>53</v>
      </c>
      <c r="D484" s="448">
        <v>12.96</v>
      </c>
      <c r="E484" s="210"/>
    </row>
    <row r="485" spans="1:5" ht="94.5">
      <c r="A485" s="446">
        <v>93225</v>
      </c>
      <c r="B485" s="447" t="s">
        <v>2377</v>
      </c>
      <c r="C485" s="446" t="s">
        <v>53</v>
      </c>
      <c r="D485" s="448">
        <v>279.75</v>
      </c>
      <c r="E485" s="210"/>
    </row>
    <row r="486" spans="1:5" ht="54">
      <c r="A486" s="446">
        <v>93234</v>
      </c>
      <c r="B486" s="447" t="s">
        <v>504</v>
      </c>
      <c r="C486" s="446" t="s">
        <v>53</v>
      </c>
      <c r="D486" s="448">
        <v>0.43</v>
      </c>
      <c r="E486" s="210"/>
    </row>
    <row r="487" spans="1:5" ht="67.5">
      <c r="A487" s="446">
        <v>93244</v>
      </c>
      <c r="B487" s="447" t="s">
        <v>505</v>
      </c>
      <c r="C487" s="446" t="s">
        <v>53</v>
      </c>
      <c r="D487" s="448">
        <v>38.020000000000003</v>
      </c>
      <c r="E487" s="210"/>
    </row>
    <row r="488" spans="1:5" ht="40.5">
      <c r="A488" s="446">
        <v>93274</v>
      </c>
      <c r="B488" s="447" t="s">
        <v>2388</v>
      </c>
      <c r="C488" s="446" t="s">
        <v>53</v>
      </c>
      <c r="D488" s="448">
        <v>56.36</v>
      </c>
      <c r="E488" s="210"/>
    </row>
    <row r="489" spans="1:5" ht="40.5">
      <c r="A489" s="446">
        <v>93282</v>
      </c>
      <c r="B489" s="447" t="s">
        <v>2394</v>
      </c>
      <c r="C489" s="446" t="s">
        <v>53</v>
      </c>
      <c r="D489" s="448">
        <v>13.21</v>
      </c>
      <c r="E489" s="210"/>
    </row>
    <row r="490" spans="1:5" ht="54">
      <c r="A490" s="446">
        <v>93288</v>
      </c>
      <c r="B490" s="447" t="s">
        <v>2400</v>
      </c>
      <c r="C490" s="446" t="s">
        <v>53</v>
      </c>
      <c r="D490" s="448">
        <v>115.77</v>
      </c>
      <c r="E490" s="210"/>
    </row>
    <row r="491" spans="1:5" ht="81">
      <c r="A491" s="446">
        <v>93403</v>
      </c>
      <c r="B491" s="447" t="s">
        <v>2425</v>
      </c>
      <c r="C491" s="446" t="s">
        <v>53</v>
      </c>
      <c r="D491" s="448">
        <v>32.29</v>
      </c>
      <c r="E491" s="210"/>
    </row>
    <row r="492" spans="1:5" ht="94.5">
      <c r="A492" s="446">
        <v>93409</v>
      </c>
      <c r="B492" s="447" t="s">
        <v>4494</v>
      </c>
      <c r="C492" s="446" t="s">
        <v>53</v>
      </c>
      <c r="D492" s="448">
        <v>22.4</v>
      </c>
      <c r="E492" s="210"/>
    </row>
    <row r="493" spans="1:5" ht="40.5">
      <c r="A493" s="446">
        <v>93416</v>
      </c>
      <c r="B493" s="447" t="s">
        <v>2431</v>
      </c>
      <c r="C493" s="446" t="s">
        <v>53</v>
      </c>
      <c r="D493" s="448">
        <v>0.22</v>
      </c>
      <c r="E493" s="210"/>
    </row>
    <row r="494" spans="1:5" ht="40.5">
      <c r="A494" s="446">
        <v>93422</v>
      </c>
      <c r="B494" s="447" t="s">
        <v>509</v>
      </c>
      <c r="C494" s="446" t="s">
        <v>53</v>
      </c>
      <c r="D494" s="448">
        <v>2.93</v>
      </c>
      <c r="E494" s="210"/>
    </row>
    <row r="495" spans="1:5" ht="40.5">
      <c r="A495" s="446">
        <v>93428</v>
      </c>
      <c r="B495" s="447" t="s">
        <v>2440</v>
      </c>
      <c r="C495" s="446" t="s">
        <v>53</v>
      </c>
      <c r="D495" s="448">
        <v>4.16</v>
      </c>
      <c r="E495" s="210"/>
    </row>
    <row r="496" spans="1:5" ht="40.5">
      <c r="A496" s="446">
        <v>93434</v>
      </c>
      <c r="B496" s="447" t="s">
        <v>2446</v>
      </c>
      <c r="C496" s="446" t="s">
        <v>53</v>
      </c>
      <c r="D496" s="448">
        <v>174.13</v>
      </c>
      <c r="E496" s="210"/>
    </row>
    <row r="497" spans="1:5" ht="40.5">
      <c r="A497" s="446">
        <v>93440</v>
      </c>
      <c r="B497" s="447" t="s">
        <v>2452</v>
      </c>
      <c r="C497" s="446" t="s">
        <v>53</v>
      </c>
      <c r="D497" s="448">
        <v>76.05</v>
      </c>
      <c r="E497" s="210"/>
    </row>
    <row r="498" spans="1:5" ht="40.5">
      <c r="A498" s="446">
        <v>95122</v>
      </c>
      <c r="B498" s="447" t="s">
        <v>2673</v>
      </c>
      <c r="C498" s="446" t="s">
        <v>53</v>
      </c>
      <c r="D498" s="448">
        <v>123.85</v>
      </c>
      <c r="E498" s="210"/>
    </row>
    <row r="499" spans="1:5" ht="40.5">
      <c r="A499" s="446">
        <v>95128</v>
      </c>
      <c r="B499" s="447" t="s">
        <v>540</v>
      </c>
      <c r="C499" s="446" t="s">
        <v>53</v>
      </c>
      <c r="D499" s="448">
        <v>32</v>
      </c>
      <c r="E499" s="210"/>
    </row>
    <row r="500" spans="1:5" ht="40.5">
      <c r="A500" s="446">
        <v>95140</v>
      </c>
      <c r="B500" s="447" t="s">
        <v>2684</v>
      </c>
      <c r="C500" s="446" t="s">
        <v>53</v>
      </c>
      <c r="D500" s="448">
        <v>0.04</v>
      </c>
      <c r="E500" s="210"/>
    </row>
    <row r="501" spans="1:5" ht="40.5">
      <c r="A501" s="446">
        <v>95213</v>
      </c>
      <c r="B501" s="447" t="s">
        <v>2691</v>
      </c>
      <c r="C501" s="446" t="s">
        <v>53</v>
      </c>
      <c r="D501" s="448">
        <v>62.13</v>
      </c>
      <c r="E501" s="210"/>
    </row>
    <row r="502" spans="1:5" ht="27">
      <c r="A502" s="446">
        <v>95259</v>
      </c>
      <c r="B502" s="447" t="s">
        <v>545</v>
      </c>
      <c r="C502" s="446" t="s">
        <v>53</v>
      </c>
      <c r="D502" s="448">
        <v>12.71</v>
      </c>
      <c r="E502" s="210"/>
    </row>
    <row r="503" spans="1:5" ht="40.5">
      <c r="A503" s="446">
        <v>95265</v>
      </c>
      <c r="B503" s="447" t="s">
        <v>2705</v>
      </c>
      <c r="C503" s="446" t="s">
        <v>53</v>
      </c>
      <c r="D503" s="448">
        <v>0.71</v>
      </c>
      <c r="E503" s="210"/>
    </row>
    <row r="504" spans="1:5" ht="54">
      <c r="A504" s="446">
        <v>95271</v>
      </c>
      <c r="B504" s="447" t="s">
        <v>2711</v>
      </c>
      <c r="C504" s="446" t="s">
        <v>53</v>
      </c>
      <c r="D504" s="448">
        <v>0.46</v>
      </c>
      <c r="E504" s="210"/>
    </row>
    <row r="505" spans="1:5" ht="40.5">
      <c r="A505" s="446">
        <v>95277</v>
      </c>
      <c r="B505" s="447" t="s">
        <v>2717</v>
      </c>
      <c r="C505" s="446" t="s">
        <v>53</v>
      </c>
      <c r="D505" s="448">
        <v>0.45</v>
      </c>
      <c r="E505" s="210"/>
    </row>
    <row r="506" spans="1:5" ht="40.5">
      <c r="A506" s="446">
        <v>95283</v>
      </c>
      <c r="B506" s="447" t="s">
        <v>2723</v>
      </c>
      <c r="C506" s="446" t="s">
        <v>53</v>
      </c>
      <c r="D506" s="448">
        <v>0.49</v>
      </c>
      <c r="E506" s="210"/>
    </row>
    <row r="507" spans="1:5" ht="67.5">
      <c r="A507" s="446">
        <v>95621</v>
      </c>
      <c r="B507" s="447" t="s">
        <v>2859</v>
      </c>
      <c r="C507" s="446" t="s">
        <v>53</v>
      </c>
      <c r="D507" s="448">
        <v>12.43</v>
      </c>
      <c r="E507" s="210"/>
    </row>
    <row r="508" spans="1:5" ht="67.5">
      <c r="A508" s="446">
        <v>95632</v>
      </c>
      <c r="B508" s="447" t="s">
        <v>2867</v>
      </c>
      <c r="C508" s="446" t="s">
        <v>53</v>
      </c>
      <c r="D508" s="448">
        <v>48.83</v>
      </c>
      <c r="E508" s="210"/>
    </row>
    <row r="509" spans="1:5" ht="40.5">
      <c r="A509" s="446">
        <v>95703</v>
      </c>
      <c r="B509" s="447" t="s">
        <v>2888</v>
      </c>
      <c r="C509" s="446" t="s">
        <v>53</v>
      </c>
      <c r="D509" s="448">
        <v>18.59</v>
      </c>
      <c r="E509" s="210"/>
    </row>
    <row r="510" spans="1:5" ht="54">
      <c r="A510" s="446">
        <v>95709</v>
      </c>
      <c r="B510" s="447" t="s">
        <v>2894</v>
      </c>
      <c r="C510" s="446" t="s">
        <v>53</v>
      </c>
      <c r="D510" s="448">
        <v>49.28</v>
      </c>
      <c r="E510" s="210"/>
    </row>
    <row r="511" spans="1:5" ht="67.5">
      <c r="A511" s="446">
        <v>95715</v>
      </c>
      <c r="B511" s="447" t="s">
        <v>2900</v>
      </c>
      <c r="C511" s="446" t="s">
        <v>53</v>
      </c>
      <c r="D511" s="448">
        <v>59.56</v>
      </c>
      <c r="E511" s="210"/>
    </row>
    <row r="512" spans="1:5" ht="81">
      <c r="A512" s="446">
        <v>95721</v>
      </c>
      <c r="B512" s="447" t="s">
        <v>2906</v>
      </c>
      <c r="C512" s="446" t="s">
        <v>53</v>
      </c>
      <c r="D512" s="448">
        <v>57.96</v>
      </c>
      <c r="E512" s="210"/>
    </row>
    <row r="513" spans="1:5" ht="40.5">
      <c r="A513" s="446">
        <v>95873</v>
      </c>
      <c r="B513" s="447" t="s">
        <v>566</v>
      </c>
      <c r="C513" s="446" t="s">
        <v>53</v>
      </c>
      <c r="D513" s="448">
        <v>6.65</v>
      </c>
      <c r="E513" s="210"/>
    </row>
    <row r="514" spans="1:5" ht="40.5">
      <c r="A514" s="446">
        <v>96014</v>
      </c>
      <c r="B514" s="447" t="s">
        <v>2970</v>
      </c>
      <c r="C514" s="446" t="s">
        <v>53</v>
      </c>
      <c r="D514" s="448">
        <v>34.200000000000003</v>
      </c>
      <c r="E514" s="210"/>
    </row>
    <row r="515" spans="1:5" ht="40.5">
      <c r="A515" s="446">
        <v>96021</v>
      </c>
      <c r="B515" s="447" t="s">
        <v>2976</v>
      </c>
      <c r="C515" s="446" t="s">
        <v>53</v>
      </c>
      <c r="D515" s="448">
        <v>33.96</v>
      </c>
      <c r="E515" s="210"/>
    </row>
    <row r="516" spans="1:5" ht="40.5">
      <c r="A516" s="446">
        <v>96029</v>
      </c>
      <c r="B516" s="447" t="s">
        <v>658</v>
      </c>
      <c r="C516" s="446" t="s">
        <v>53</v>
      </c>
      <c r="D516" s="448">
        <v>29.53</v>
      </c>
      <c r="E516" s="210"/>
    </row>
    <row r="517" spans="1:5" ht="54">
      <c r="A517" s="446">
        <v>96036</v>
      </c>
      <c r="B517" s="447" t="s">
        <v>2982</v>
      </c>
      <c r="C517" s="446" t="s">
        <v>53</v>
      </c>
      <c r="D517" s="448">
        <v>41.99</v>
      </c>
      <c r="E517" s="210"/>
    </row>
    <row r="518" spans="1:5" ht="40.5">
      <c r="A518" s="446">
        <v>96155</v>
      </c>
      <c r="B518" s="447" t="s">
        <v>3009</v>
      </c>
      <c r="C518" s="446" t="s">
        <v>53</v>
      </c>
      <c r="D518" s="448">
        <v>29.77</v>
      </c>
      <c r="E518" s="210"/>
    </row>
    <row r="519" spans="1:5" ht="54">
      <c r="A519" s="446">
        <v>96156</v>
      </c>
      <c r="B519" s="447" t="s">
        <v>665</v>
      </c>
      <c r="C519" s="446" t="s">
        <v>53</v>
      </c>
      <c r="D519" s="448">
        <v>34.880000000000003</v>
      </c>
      <c r="E519" s="210"/>
    </row>
    <row r="520" spans="1:5" ht="40.5">
      <c r="A520" s="446">
        <v>96159</v>
      </c>
      <c r="B520" s="447" t="s">
        <v>3011</v>
      </c>
      <c r="C520" s="446" t="s">
        <v>53</v>
      </c>
      <c r="D520" s="448">
        <v>49.1</v>
      </c>
      <c r="E520" s="210"/>
    </row>
    <row r="521" spans="1:5" ht="54">
      <c r="A521" s="446">
        <v>96246</v>
      </c>
      <c r="B521" s="447" t="s">
        <v>3017</v>
      </c>
      <c r="C521" s="446" t="s">
        <v>53</v>
      </c>
      <c r="D521" s="448">
        <v>32.61</v>
      </c>
      <c r="E521" s="210"/>
    </row>
    <row r="522" spans="1:5" ht="54">
      <c r="A522" s="446">
        <v>96464</v>
      </c>
      <c r="B522" s="447" t="s">
        <v>3044</v>
      </c>
      <c r="C522" s="446" t="s">
        <v>53</v>
      </c>
      <c r="D522" s="448">
        <v>52.7</v>
      </c>
      <c r="E522" s="210"/>
    </row>
    <row r="523" spans="1:5" ht="67.5">
      <c r="A523" s="446">
        <v>98765</v>
      </c>
      <c r="B523" s="447" t="s">
        <v>3536</v>
      </c>
      <c r="C523" s="446" t="s">
        <v>53</v>
      </c>
      <c r="D523" s="448">
        <v>0.13</v>
      </c>
      <c r="E523" s="210"/>
    </row>
    <row r="524" spans="1:5" ht="67.5">
      <c r="A524" s="446">
        <v>99834</v>
      </c>
      <c r="B524" s="447" t="s">
        <v>3537</v>
      </c>
      <c r="C524" s="446" t="s">
        <v>53</v>
      </c>
      <c r="D524" s="448">
        <v>0.19</v>
      </c>
      <c r="E524" s="210"/>
    </row>
    <row r="525" spans="1:5" ht="40.5">
      <c r="A525" s="446">
        <v>100642</v>
      </c>
      <c r="B525" s="447" t="s">
        <v>4495</v>
      </c>
      <c r="C525" s="446" t="s">
        <v>53</v>
      </c>
      <c r="D525" s="448">
        <v>141.75</v>
      </c>
      <c r="E525" s="210"/>
    </row>
    <row r="526" spans="1:5" ht="40.5">
      <c r="A526" s="446">
        <v>100648</v>
      </c>
      <c r="B526" s="447" t="s">
        <v>4496</v>
      </c>
      <c r="C526" s="446" t="s">
        <v>53</v>
      </c>
      <c r="D526" s="448">
        <v>350.03</v>
      </c>
      <c r="E526" s="210"/>
    </row>
    <row r="527" spans="1:5" ht="54">
      <c r="A527" s="446">
        <v>102274</v>
      </c>
      <c r="B527" s="447" t="s">
        <v>6354</v>
      </c>
      <c r="C527" s="446" t="s">
        <v>53</v>
      </c>
      <c r="D527" s="448">
        <v>12.2</v>
      </c>
      <c r="E527" s="210"/>
    </row>
    <row r="528" spans="1:5" ht="67.5">
      <c r="A528" s="446">
        <v>5089</v>
      </c>
      <c r="B528" s="447" t="s">
        <v>52</v>
      </c>
      <c r="C528" s="446" t="s">
        <v>19</v>
      </c>
      <c r="D528" s="448">
        <v>27.08</v>
      </c>
      <c r="E528" s="210"/>
    </row>
    <row r="529" spans="1:5" ht="54">
      <c r="A529" s="446">
        <v>5627</v>
      </c>
      <c r="B529" s="447" t="s">
        <v>691</v>
      </c>
      <c r="C529" s="446" t="s">
        <v>19</v>
      </c>
      <c r="D529" s="448">
        <v>32.200000000000003</v>
      </c>
      <c r="E529" s="210"/>
    </row>
    <row r="530" spans="1:5" ht="54">
      <c r="A530" s="446">
        <v>5628</v>
      </c>
      <c r="B530" s="447" t="s">
        <v>692</v>
      </c>
      <c r="C530" s="446" t="s">
        <v>19</v>
      </c>
      <c r="D530" s="448">
        <v>4.37</v>
      </c>
      <c r="E530" s="210"/>
    </row>
    <row r="531" spans="1:5" ht="54">
      <c r="A531" s="446">
        <v>5629</v>
      </c>
      <c r="B531" s="447" t="s">
        <v>693</v>
      </c>
      <c r="C531" s="446" t="s">
        <v>19</v>
      </c>
      <c r="D531" s="448">
        <v>40.25</v>
      </c>
      <c r="E531" s="210"/>
    </row>
    <row r="532" spans="1:5" ht="54">
      <c r="A532" s="446">
        <v>5630</v>
      </c>
      <c r="B532" s="447" t="s">
        <v>694</v>
      </c>
      <c r="C532" s="446" t="s">
        <v>19</v>
      </c>
      <c r="D532" s="448">
        <v>53.09</v>
      </c>
      <c r="E532" s="210"/>
    </row>
    <row r="533" spans="1:5" ht="54">
      <c r="A533" s="446">
        <v>5658</v>
      </c>
      <c r="B533" s="447" t="s">
        <v>697</v>
      </c>
      <c r="C533" s="446" t="s">
        <v>19</v>
      </c>
      <c r="D533" s="448">
        <v>2.2999999999999998</v>
      </c>
      <c r="E533" s="210"/>
    </row>
    <row r="534" spans="1:5" ht="94.5">
      <c r="A534" s="446">
        <v>5664</v>
      </c>
      <c r="B534" s="447" t="s">
        <v>698</v>
      </c>
      <c r="C534" s="446" t="s">
        <v>19</v>
      </c>
      <c r="D534" s="448">
        <v>21.64</v>
      </c>
      <c r="E534" s="210"/>
    </row>
    <row r="535" spans="1:5" ht="94.5">
      <c r="A535" s="446">
        <v>5667</v>
      </c>
      <c r="B535" s="447" t="s">
        <v>699</v>
      </c>
      <c r="C535" s="446" t="s">
        <v>19</v>
      </c>
      <c r="D535" s="448">
        <v>19.239999999999998</v>
      </c>
      <c r="E535" s="210"/>
    </row>
    <row r="536" spans="1:5" ht="94.5">
      <c r="A536" s="446">
        <v>5668</v>
      </c>
      <c r="B536" s="447" t="s">
        <v>700</v>
      </c>
      <c r="C536" s="446" t="s">
        <v>19</v>
      </c>
      <c r="D536" s="448">
        <v>40.619999999999997</v>
      </c>
      <c r="E536" s="210"/>
    </row>
    <row r="537" spans="1:5" ht="81">
      <c r="A537" s="446">
        <v>5674</v>
      </c>
      <c r="B537" s="447" t="s">
        <v>701</v>
      </c>
      <c r="C537" s="446" t="s">
        <v>19</v>
      </c>
      <c r="D537" s="448">
        <v>26.04</v>
      </c>
      <c r="E537" s="210"/>
    </row>
    <row r="538" spans="1:5" ht="67.5">
      <c r="A538" s="446">
        <v>5692</v>
      </c>
      <c r="B538" s="447" t="s">
        <v>709</v>
      </c>
      <c r="C538" s="446" t="s">
        <v>19</v>
      </c>
      <c r="D538" s="448">
        <v>0.22</v>
      </c>
      <c r="E538" s="210"/>
    </row>
    <row r="539" spans="1:5" ht="67.5">
      <c r="A539" s="446">
        <v>5693</v>
      </c>
      <c r="B539" s="447" t="s">
        <v>710</v>
      </c>
      <c r="C539" s="446" t="s">
        <v>19</v>
      </c>
      <c r="D539" s="448">
        <v>8.39</v>
      </c>
      <c r="E539" s="210"/>
    </row>
    <row r="540" spans="1:5" ht="67.5">
      <c r="A540" s="446">
        <v>5695</v>
      </c>
      <c r="B540" s="447" t="s">
        <v>711</v>
      </c>
      <c r="C540" s="446" t="s">
        <v>19</v>
      </c>
      <c r="D540" s="448">
        <v>32.06</v>
      </c>
      <c r="E540" s="210"/>
    </row>
    <row r="541" spans="1:5" ht="40.5">
      <c r="A541" s="446">
        <v>5703</v>
      </c>
      <c r="B541" s="447" t="s">
        <v>55</v>
      </c>
      <c r="C541" s="446" t="s">
        <v>19</v>
      </c>
      <c r="D541" s="448">
        <v>19.989999999999998</v>
      </c>
      <c r="E541" s="210"/>
    </row>
    <row r="542" spans="1:5" ht="94.5">
      <c r="A542" s="446">
        <v>5705</v>
      </c>
      <c r="B542" s="447" t="s">
        <v>712</v>
      </c>
      <c r="C542" s="446" t="s">
        <v>19</v>
      </c>
      <c r="D542" s="448">
        <v>19.809999999999999</v>
      </c>
      <c r="E542" s="210"/>
    </row>
    <row r="543" spans="1:5" ht="40.5">
      <c r="A543" s="446">
        <v>5707</v>
      </c>
      <c r="B543" s="447" t="s">
        <v>713</v>
      </c>
      <c r="C543" s="446" t="s">
        <v>19</v>
      </c>
      <c r="D543" s="448">
        <v>56.74</v>
      </c>
      <c r="E543" s="210"/>
    </row>
    <row r="544" spans="1:5" ht="54">
      <c r="A544" s="446">
        <v>5710</v>
      </c>
      <c r="B544" s="447" t="s">
        <v>714</v>
      </c>
      <c r="C544" s="446" t="s">
        <v>19</v>
      </c>
      <c r="D544" s="448">
        <v>135.03</v>
      </c>
      <c r="E544" s="210"/>
    </row>
    <row r="545" spans="1:5" ht="67.5">
      <c r="A545" s="446">
        <v>5711</v>
      </c>
      <c r="B545" s="447" t="s">
        <v>715</v>
      </c>
      <c r="C545" s="446" t="s">
        <v>19</v>
      </c>
      <c r="D545" s="448">
        <v>73.349999999999994</v>
      </c>
      <c r="E545" s="210"/>
    </row>
    <row r="546" spans="1:5" ht="40.5">
      <c r="A546" s="446">
        <v>5714</v>
      </c>
      <c r="B546" s="447" t="s">
        <v>56</v>
      </c>
      <c r="C546" s="446" t="s">
        <v>19</v>
      </c>
      <c r="D546" s="448">
        <v>11.67</v>
      </c>
      <c r="E546" s="210"/>
    </row>
    <row r="547" spans="1:5" ht="40.5">
      <c r="A547" s="446">
        <v>5715</v>
      </c>
      <c r="B547" s="447" t="s">
        <v>57</v>
      </c>
      <c r="C547" s="446" t="s">
        <v>19</v>
      </c>
      <c r="D547" s="448">
        <v>98.69</v>
      </c>
      <c r="E547" s="210"/>
    </row>
    <row r="548" spans="1:5" ht="40.5">
      <c r="A548" s="446">
        <v>5718</v>
      </c>
      <c r="B548" s="447" t="s">
        <v>716</v>
      </c>
      <c r="C548" s="446" t="s">
        <v>19</v>
      </c>
      <c r="D548" s="448">
        <v>87.55</v>
      </c>
      <c r="E548" s="210"/>
    </row>
    <row r="549" spans="1:5" ht="54">
      <c r="A549" s="446">
        <v>5721</v>
      </c>
      <c r="B549" s="447" t="s">
        <v>58</v>
      </c>
      <c r="C549" s="446" t="s">
        <v>19</v>
      </c>
      <c r="D549" s="448">
        <v>77.25</v>
      </c>
      <c r="E549" s="210"/>
    </row>
    <row r="550" spans="1:5" ht="54">
      <c r="A550" s="446">
        <v>5722</v>
      </c>
      <c r="B550" s="447" t="s">
        <v>717</v>
      </c>
      <c r="C550" s="446" t="s">
        <v>19</v>
      </c>
      <c r="D550" s="448">
        <v>178.66</v>
      </c>
      <c r="E550" s="210"/>
    </row>
    <row r="551" spans="1:5" ht="40.5">
      <c r="A551" s="446">
        <v>5724</v>
      </c>
      <c r="B551" s="447" t="s">
        <v>718</v>
      </c>
      <c r="C551" s="446" t="s">
        <v>19</v>
      </c>
      <c r="D551" s="448">
        <v>43.31</v>
      </c>
      <c r="E551" s="210"/>
    </row>
    <row r="552" spans="1:5" ht="67.5">
      <c r="A552" s="446">
        <v>5727</v>
      </c>
      <c r="B552" s="447" t="s">
        <v>719</v>
      </c>
      <c r="C552" s="446" t="s">
        <v>19</v>
      </c>
      <c r="D552" s="448">
        <v>7.86</v>
      </c>
      <c r="E552" s="210"/>
    </row>
    <row r="553" spans="1:5" ht="54">
      <c r="A553" s="446">
        <v>5729</v>
      </c>
      <c r="B553" s="447" t="s">
        <v>720</v>
      </c>
      <c r="C553" s="446" t="s">
        <v>19</v>
      </c>
      <c r="D553" s="448">
        <v>31.98</v>
      </c>
      <c r="E553" s="210"/>
    </row>
    <row r="554" spans="1:5" ht="67.5">
      <c r="A554" s="446">
        <v>5730</v>
      </c>
      <c r="B554" s="447" t="s">
        <v>721</v>
      </c>
      <c r="C554" s="446" t="s">
        <v>19</v>
      </c>
      <c r="D554" s="448">
        <v>34.11</v>
      </c>
      <c r="E554" s="210"/>
    </row>
    <row r="555" spans="1:5" ht="94.5">
      <c r="A555" s="446">
        <v>5735</v>
      </c>
      <c r="B555" s="447" t="s">
        <v>722</v>
      </c>
      <c r="C555" s="446" t="s">
        <v>19</v>
      </c>
      <c r="D555" s="448">
        <v>20.87</v>
      </c>
      <c r="E555" s="210"/>
    </row>
    <row r="556" spans="1:5" ht="94.5">
      <c r="A556" s="446">
        <v>5736</v>
      </c>
      <c r="B556" s="447" t="s">
        <v>723</v>
      </c>
      <c r="C556" s="446" t="s">
        <v>19</v>
      </c>
      <c r="D556" s="448">
        <v>37.270000000000003</v>
      </c>
      <c r="E556" s="210"/>
    </row>
    <row r="557" spans="1:5" ht="67.5">
      <c r="A557" s="446">
        <v>5738</v>
      </c>
      <c r="B557" s="447" t="s">
        <v>724</v>
      </c>
      <c r="C557" s="446" t="s">
        <v>19</v>
      </c>
      <c r="D557" s="448">
        <v>28.44</v>
      </c>
      <c r="E557" s="210"/>
    </row>
    <row r="558" spans="1:5" ht="67.5">
      <c r="A558" s="446">
        <v>5739</v>
      </c>
      <c r="B558" s="447" t="s">
        <v>725</v>
      </c>
      <c r="C558" s="446" t="s">
        <v>19</v>
      </c>
      <c r="D558" s="448">
        <v>35.590000000000003</v>
      </c>
      <c r="E558" s="210"/>
    </row>
    <row r="559" spans="1:5" ht="81">
      <c r="A559" s="446">
        <v>5741</v>
      </c>
      <c r="B559" s="447" t="s">
        <v>726</v>
      </c>
      <c r="C559" s="446" t="s">
        <v>19</v>
      </c>
      <c r="D559" s="448">
        <v>38.46</v>
      </c>
      <c r="E559" s="210"/>
    </row>
    <row r="560" spans="1:5" ht="81">
      <c r="A560" s="446">
        <v>5742</v>
      </c>
      <c r="B560" s="447" t="s">
        <v>727</v>
      </c>
      <c r="C560" s="446" t="s">
        <v>19</v>
      </c>
      <c r="D560" s="448">
        <v>22.72</v>
      </c>
      <c r="E560" s="210"/>
    </row>
    <row r="561" spans="1:5" ht="81">
      <c r="A561" s="446">
        <v>5747</v>
      </c>
      <c r="B561" s="447" t="s">
        <v>728</v>
      </c>
      <c r="C561" s="446" t="s">
        <v>19</v>
      </c>
      <c r="D561" s="448">
        <v>130.29</v>
      </c>
      <c r="E561" s="210"/>
    </row>
    <row r="562" spans="1:5" ht="67.5">
      <c r="A562" s="446">
        <v>5751</v>
      </c>
      <c r="B562" s="447" t="s">
        <v>59</v>
      </c>
      <c r="C562" s="446" t="s">
        <v>19</v>
      </c>
      <c r="D562" s="448">
        <v>21.32</v>
      </c>
      <c r="E562" s="210"/>
    </row>
    <row r="563" spans="1:5" ht="67.5">
      <c r="A563" s="446">
        <v>5754</v>
      </c>
      <c r="B563" s="447" t="s">
        <v>729</v>
      </c>
      <c r="C563" s="446" t="s">
        <v>19</v>
      </c>
      <c r="D563" s="448">
        <v>17.96</v>
      </c>
      <c r="E563" s="210"/>
    </row>
    <row r="564" spans="1:5" ht="81">
      <c r="A564" s="446">
        <v>5763</v>
      </c>
      <c r="B564" s="447" t="s">
        <v>730</v>
      </c>
      <c r="C564" s="446" t="s">
        <v>19</v>
      </c>
      <c r="D564" s="448">
        <v>31.7</v>
      </c>
      <c r="E564" s="210"/>
    </row>
    <row r="565" spans="1:5" ht="54">
      <c r="A565" s="446">
        <v>5765</v>
      </c>
      <c r="B565" s="447" t="s">
        <v>60</v>
      </c>
      <c r="C565" s="446" t="s">
        <v>19</v>
      </c>
      <c r="D565" s="448">
        <v>2.71</v>
      </c>
      <c r="E565" s="210"/>
    </row>
    <row r="566" spans="1:5" ht="54">
      <c r="A566" s="446">
        <v>5766</v>
      </c>
      <c r="B566" s="447" t="s">
        <v>61</v>
      </c>
      <c r="C566" s="446" t="s">
        <v>19</v>
      </c>
      <c r="D566" s="448">
        <v>4.1900000000000004</v>
      </c>
      <c r="E566" s="210"/>
    </row>
    <row r="567" spans="1:5" ht="54">
      <c r="A567" s="446">
        <v>5779</v>
      </c>
      <c r="B567" s="447" t="s">
        <v>62</v>
      </c>
      <c r="C567" s="446" t="s">
        <v>19</v>
      </c>
      <c r="D567" s="448">
        <v>47.96</v>
      </c>
      <c r="E567" s="210"/>
    </row>
    <row r="568" spans="1:5" ht="54">
      <c r="A568" s="446">
        <v>5787</v>
      </c>
      <c r="B568" s="447" t="s">
        <v>731</v>
      </c>
      <c r="C568" s="446" t="s">
        <v>19</v>
      </c>
      <c r="D568" s="448">
        <v>57.97</v>
      </c>
      <c r="E568" s="210"/>
    </row>
    <row r="569" spans="1:5" ht="54">
      <c r="A569" s="446">
        <v>5797</v>
      </c>
      <c r="B569" s="447" t="s">
        <v>64</v>
      </c>
      <c r="C569" s="446" t="s">
        <v>19</v>
      </c>
      <c r="D569" s="448">
        <v>4.32</v>
      </c>
      <c r="E569" s="210"/>
    </row>
    <row r="570" spans="1:5" ht="67.5">
      <c r="A570" s="446">
        <v>5800</v>
      </c>
      <c r="B570" s="447" t="s">
        <v>732</v>
      </c>
      <c r="C570" s="446" t="s">
        <v>19</v>
      </c>
      <c r="D570" s="448">
        <v>0.32</v>
      </c>
      <c r="E570" s="210"/>
    </row>
    <row r="571" spans="1:5" ht="40.5">
      <c r="A571" s="446">
        <v>7032</v>
      </c>
      <c r="B571" s="447" t="s">
        <v>774</v>
      </c>
      <c r="C571" s="446" t="s">
        <v>19</v>
      </c>
      <c r="D571" s="448">
        <v>4.74</v>
      </c>
      <c r="E571" s="210"/>
    </row>
    <row r="572" spans="1:5" ht="40.5">
      <c r="A572" s="446">
        <v>7033</v>
      </c>
      <c r="B572" s="447" t="s">
        <v>775</v>
      </c>
      <c r="C572" s="446" t="s">
        <v>19</v>
      </c>
      <c r="D572" s="448">
        <v>0.78</v>
      </c>
      <c r="E572" s="210"/>
    </row>
    <row r="573" spans="1:5" ht="40.5">
      <c r="A573" s="446">
        <v>7034</v>
      </c>
      <c r="B573" s="447" t="s">
        <v>776</v>
      </c>
      <c r="C573" s="446" t="s">
        <v>19</v>
      </c>
      <c r="D573" s="448">
        <v>8.9</v>
      </c>
      <c r="E573" s="210"/>
    </row>
    <row r="574" spans="1:5" ht="40.5">
      <c r="A574" s="446">
        <v>7035</v>
      </c>
      <c r="B574" s="447" t="s">
        <v>777</v>
      </c>
      <c r="C574" s="446" t="s">
        <v>19</v>
      </c>
      <c r="D574" s="448">
        <v>176.08</v>
      </c>
      <c r="E574" s="210"/>
    </row>
    <row r="575" spans="1:5" ht="67.5">
      <c r="A575" s="446">
        <v>7038</v>
      </c>
      <c r="B575" s="447" t="s">
        <v>778</v>
      </c>
      <c r="C575" s="446" t="s">
        <v>19</v>
      </c>
      <c r="D575" s="448">
        <v>32.53</v>
      </c>
      <c r="E575" s="210"/>
    </row>
    <row r="576" spans="1:5" ht="54">
      <c r="A576" s="446">
        <v>7039</v>
      </c>
      <c r="B576" s="447" t="s">
        <v>779</v>
      </c>
      <c r="C576" s="446" t="s">
        <v>19</v>
      </c>
      <c r="D576" s="448">
        <v>4.51</v>
      </c>
      <c r="E576" s="210"/>
    </row>
    <row r="577" spans="1:5" ht="67.5">
      <c r="A577" s="446">
        <v>7040</v>
      </c>
      <c r="B577" s="447" t="s">
        <v>780</v>
      </c>
      <c r="C577" s="446" t="s">
        <v>19</v>
      </c>
      <c r="D577" s="448">
        <v>40.71</v>
      </c>
      <c r="E577" s="210"/>
    </row>
    <row r="578" spans="1:5" ht="67.5">
      <c r="A578" s="446">
        <v>7044</v>
      </c>
      <c r="B578" s="447" t="s">
        <v>783</v>
      </c>
      <c r="C578" s="446" t="s">
        <v>19</v>
      </c>
      <c r="D578" s="448">
        <v>0.25</v>
      </c>
      <c r="E578" s="210"/>
    </row>
    <row r="579" spans="1:5" ht="67.5">
      <c r="A579" s="446">
        <v>7045</v>
      </c>
      <c r="B579" s="447" t="s">
        <v>784</v>
      </c>
      <c r="C579" s="446" t="s">
        <v>19</v>
      </c>
      <c r="D579" s="448">
        <v>0.03</v>
      </c>
      <c r="E579" s="210"/>
    </row>
    <row r="580" spans="1:5" ht="67.5">
      <c r="A580" s="446">
        <v>7046</v>
      </c>
      <c r="B580" s="447" t="s">
        <v>785</v>
      </c>
      <c r="C580" s="446" t="s">
        <v>19</v>
      </c>
      <c r="D580" s="448">
        <v>0.27</v>
      </c>
      <c r="E580" s="210"/>
    </row>
    <row r="581" spans="1:5" ht="81">
      <c r="A581" s="446">
        <v>7047</v>
      </c>
      <c r="B581" s="447" t="s">
        <v>786</v>
      </c>
      <c r="C581" s="446" t="s">
        <v>19</v>
      </c>
      <c r="D581" s="448">
        <v>9.86</v>
      </c>
      <c r="E581" s="210"/>
    </row>
    <row r="582" spans="1:5" ht="81">
      <c r="A582" s="446">
        <v>7051</v>
      </c>
      <c r="B582" s="447" t="s">
        <v>789</v>
      </c>
      <c r="C582" s="446" t="s">
        <v>19</v>
      </c>
      <c r="D582" s="448">
        <v>28.85</v>
      </c>
      <c r="E582" s="210"/>
    </row>
    <row r="583" spans="1:5" ht="81">
      <c r="A583" s="446">
        <v>7052</v>
      </c>
      <c r="B583" s="447" t="s">
        <v>790</v>
      </c>
      <c r="C583" s="446" t="s">
        <v>19</v>
      </c>
      <c r="D583" s="448">
        <v>4</v>
      </c>
      <c r="E583" s="210"/>
    </row>
    <row r="584" spans="1:5" ht="81">
      <c r="A584" s="446">
        <v>7053</v>
      </c>
      <c r="B584" s="447" t="s">
        <v>791</v>
      </c>
      <c r="C584" s="446" t="s">
        <v>19</v>
      </c>
      <c r="D584" s="448">
        <v>36.1</v>
      </c>
      <c r="E584" s="210"/>
    </row>
    <row r="585" spans="1:5" ht="81">
      <c r="A585" s="446">
        <v>7054</v>
      </c>
      <c r="B585" s="447" t="s">
        <v>792</v>
      </c>
      <c r="C585" s="446" t="s">
        <v>19</v>
      </c>
      <c r="D585" s="448">
        <v>73.55</v>
      </c>
      <c r="E585" s="210"/>
    </row>
    <row r="586" spans="1:5" ht="81">
      <c r="A586" s="446">
        <v>7058</v>
      </c>
      <c r="B586" s="447" t="s">
        <v>793</v>
      </c>
      <c r="C586" s="446" t="s">
        <v>19</v>
      </c>
      <c r="D586" s="448">
        <v>16.34</v>
      </c>
      <c r="E586" s="210"/>
    </row>
    <row r="587" spans="1:5" ht="67.5">
      <c r="A587" s="446">
        <v>7059</v>
      </c>
      <c r="B587" s="447" t="s">
        <v>794</v>
      </c>
      <c r="C587" s="446" t="s">
        <v>19</v>
      </c>
      <c r="D587" s="448">
        <v>3.01</v>
      </c>
      <c r="E587" s="210"/>
    </row>
    <row r="588" spans="1:5" ht="81">
      <c r="A588" s="446">
        <v>7060</v>
      </c>
      <c r="B588" s="447" t="s">
        <v>795</v>
      </c>
      <c r="C588" s="446" t="s">
        <v>19</v>
      </c>
      <c r="D588" s="448">
        <v>30.65</v>
      </c>
      <c r="E588" s="210"/>
    </row>
    <row r="589" spans="1:5" ht="81">
      <c r="A589" s="446">
        <v>7061</v>
      </c>
      <c r="B589" s="447" t="s">
        <v>796</v>
      </c>
      <c r="C589" s="446" t="s">
        <v>19</v>
      </c>
      <c r="D589" s="448">
        <v>67.14</v>
      </c>
      <c r="E589" s="210"/>
    </row>
    <row r="590" spans="1:5" ht="40.5">
      <c r="A590" s="446">
        <v>7063</v>
      </c>
      <c r="B590" s="447" t="s">
        <v>80</v>
      </c>
      <c r="C590" s="446" t="s">
        <v>19</v>
      </c>
      <c r="D590" s="448">
        <v>14.56</v>
      </c>
      <c r="E590" s="210"/>
    </row>
    <row r="591" spans="1:5" ht="40.5">
      <c r="A591" s="446">
        <v>7064</v>
      </c>
      <c r="B591" s="447" t="s">
        <v>81</v>
      </c>
      <c r="C591" s="446" t="s">
        <v>19</v>
      </c>
      <c r="D591" s="448">
        <v>2.02</v>
      </c>
      <c r="E591" s="210"/>
    </row>
    <row r="592" spans="1:5" ht="40.5">
      <c r="A592" s="446">
        <v>7065</v>
      </c>
      <c r="B592" s="447" t="s">
        <v>82</v>
      </c>
      <c r="C592" s="446" t="s">
        <v>19</v>
      </c>
      <c r="D592" s="448">
        <v>15.93</v>
      </c>
      <c r="E592" s="210"/>
    </row>
    <row r="593" spans="1:5" ht="40.5">
      <c r="A593" s="446">
        <v>7066</v>
      </c>
      <c r="B593" s="447" t="s">
        <v>83</v>
      </c>
      <c r="C593" s="446" t="s">
        <v>19</v>
      </c>
      <c r="D593" s="448">
        <v>141.63</v>
      </c>
      <c r="E593" s="210"/>
    </row>
    <row r="594" spans="1:5" ht="94.5">
      <c r="A594" s="446">
        <v>53786</v>
      </c>
      <c r="B594" s="447" t="s">
        <v>801</v>
      </c>
      <c r="C594" s="446" t="s">
        <v>19</v>
      </c>
      <c r="D594" s="448">
        <v>43.97</v>
      </c>
      <c r="E594" s="210"/>
    </row>
    <row r="595" spans="1:5" ht="81">
      <c r="A595" s="446">
        <v>53788</v>
      </c>
      <c r="B595" s="447" t="s">
        <v>802</v>
      </c>
      <c r="C595" s="446" t="s">
        <v>19</v>
      </c>
      <c r="D595" s="448">
        <v>47.08</v>
      </c>
      <c r="E595" s="210"/>
    </row>
    <row r="596" spans="1:5" ht="81">
      <c r="A596" s="446">
        <v>53792</v>
      </c>
      <c r="B596" s="447" t="s">
        <v>803</v>
      </c>
      <c r="C596" s="446" t="s">
        <v>19</v>
      </c>
      <c r="D596" s="448">
        <v>83.46</v>
      </c>
      <c r="E596" s="210"/>
    </row>
    <row r="597" spans="1:5" ht="40.5">
      <c r="A597" s="446">
        <v>53794</v>
      </c>
      <c r="B597" s="447" t="s">
        <v>86</v>
      </c>
      <c r="C597" s="446" t="s">
        <v>19</v>
      </c>
      <c r="D597" s="448">
        <v>35</v>
      </c>
      <c r="E597" s="210"/>
    </row>
    <row r="598" spans="1:5" ht="94.5">
      <c r="A598" s="446">
        <v>53797</v>
      </c>
      <c r="B598" s="447" t="s">
        <v>804</v>
      </c>
      <c r="C598" s="446" t="s">
        <v>19</v>
      </c>
      <c r="D598" s="448">
        <v>95.98</v>
      </c>
      <c r="E598" s="210"/>
    </row>
    <row r="599" spans="1:5" ht="40.5">
      <c r="A599" s="446">
        <v>53804</v>
      </c>
      <c r="B599" s="447" t="s">
        <v>805</v>
      </c>
      <c r="C599" s="446" t="s">
        <v>19</v>
      </c>
      <c r="D599" s="448">
        <v>4.78</v>
      </c>
      <c r="E599" s="210"/>
    </row>
    <row r="600" spans="1:5" ht="40.5">
      <c r="A600" s="446">
        <v>53806</v>
      </c>
      <c r="B600" s="447" t="s">
        <v>806</v>
      </c>
      <c r="C600" s="446" t="s">
        <v>19</v>
      </c>
      <c r="D600" s="448">
        <v>55.81</v>
      </c>
      <c r="E600" s="210"/>
    </row>
    <row r="601" spans="1:5" ht="54">
      <c r="A601" s="446">
        <v>53810</v>
      </c>
      <c r="B601" s="447" t="s">
        <v>87</v>
      </c>
      <c r="C601" s="446" t="s">
        <v>19</v>
      </c>
      <c r="D601" s="448">
        <v>56.15</v>
      </c>
      <c r="E601" s="210"/>
    </row>
    <row r="602" spans="1:5" ht="40.5">
      <c r="A602" s="446">
        <v>53814</v>
      </c>
      <c r="B602" s="447" t="s">
        <v>807</v>
      </c>
      <c r="C602" s="446" t="s">
        <v>19</v>
      </c>
      <c r="D602" s="448">
        <v>183.94</v>
      </c>
      <c r="E602" s="210"/>
    </row>
    <row r="603" spans="1:5" ht="40.5">
      <c r="A603" s="446">
        <v>53817</v>
      </c>
      <c r="B603" s="447" t="s">
        <v>808</v>
      </c>
      <c r="C603" s="446" t="s">
        <v>19</v>
      </c>
      <c r="D603" s="448">
        <v>51.46</v>
      </c>
      <c r="E603" s="210"/>
    </row>
    <row r="604" spans="1:5" ht="67.5">
      <c r="A604" s="446">
        <v>53818</v>
      </c>
      <c r="B604" s="447" t="s">
        <v>809</v>
      </c>
      <c r="C604" s="446" t="s">
        <v>19</v>
      </c>
      <c r="D604" s="448">
        <v>6.28</v>
      </c>
      <c r="E604" s="210"/>
    </row>
    <row r="605" spans="1:5" ht="67.5">
      <c r="A605" s="446">
        <v>53827</v>
      </c>
      <c r="B605" s="447" t="s">
        <v>88</v>
      </c>
      <c r="C605" s="446" t="s">
        <v>19</v>
      </c>
      <c r="D605" s="448">
        <v>93.96</v>
      </c>
      <c r="E605" s="210"/>
    </row>
    <row r="606" spans="1:5" ht="67.5">
      <c r="A606" s="446">
        <v>53829</v>
      </c>
      <c r="B606" s="447" t="s">
        <v>810</v>
      </c>
      <c r="C606" s="446" t="s">
        <v>19</v>
      </c>
      <c r="D606" s="448">
        <v>95.98</v>
      </c>
      <c r="E606" s="210"/>
    </row>
    <row r="607" spans="1:5" ht="81">
      <c r="A607" s="446">
        <v>53831</v>
      </c>
      <c r="B607" s="447" t="s">
        <v>811</v>
      </c>
      <c r="C607" s="446" t="s">
        <v>19</v>
      </c>
      <c r="D607" s="448">
        <v>158.54</v>
      </c>
      <c r="E607" s="210"/>
    </row>
    <row r="608" spans="1:5" ht="40.5">
      <c r="A608" s="446">
        <v>53840</v>
      </c>
      <c r="B608" s="447" t="s">
        <v>812</v>
      </c>
      <c r="C608" s="446" t="s">
        <v>19</v>
      </c>
      <c r="D608" s="448">
        <v>2.59</v>
      </c>
      <c r="E608" s="210"/>
    </row>
    <row r="609" spans="1:5" ht="40.5">
      <c r="A609" s="446">
        <v>53841</v>
      </c>
      <c r="B609" s="447" t="s">
        <v>813</v>
      </c>
      <c r="C609" s="446" t="s">
        <v>19</v>
      </c>
      <c r="D609" s="448">
        <v>1.8</v>
      </c>
      <c r="E609" s="210"/>
    </row>
    <row r="610" spans="1:5" ht="54">
      <c r="A610" s="446">
        <v>53849</v>
      </c>
      <c r="B610" s="447" t="s">
        <v>814</v>
      </c>
      <c r="C610" s="446" t="s">
        <v>19</v>
      </c>
      <c r="D610" s="448">
        <v>68.97</v>
      </c>
      <c r="E610" s="210"/>
    </row>
    <row r="611" spans="1:5" ht="54">
      <c r="A611" s="446">
        <v>53857</v>
      </c>
      <c r="B611" s="447" t="s">
        <v>815</v>
      </c>
      <c r="C611" s="446" t="s">
        <v>19</v>
      </c>
      <c r="D611" s="448">
        <v>32.69</v>
      </c>
      <c r="E611" s="210"/>
    </row>
    <row r="612" spans="1:5" ht="54">
      <c r="A612" s="446">
        <v>53858</v>
      </c>
      <c r="B612" s="447" t="s">
        <v>816</v>
      </c>
      <c r="C612" s="446" t="s">
        <v>19</v>
      </c>
      <c r="D612" s="448">
        <v>65.91</v>
      </c>
      <c r="E612" s="210"/>
    </row>
    <row r="613" spans="1:5" ht="54">
      <c r="A613" s="446">
        <v>53861</v>
      </c>
      <c r="B613" s="447" t="s">
        <v>817</v>
      </c>
      <c r="C613" s="446" t="s">
        <v>19</v>
      </c>
      <c r="D613" s="448">
        <v>45.33</v>
      </c>
      <c r="E613" s="210"/>
    </row>
    <row r="614" spans="1:5" ht="40.5">
      <c r="A614" s="446">
        <v>53863</v>
      </c>
      <c r="B614" s="447" t="s">
        <v>818</v>
      </c>
      <c r="C614" s="446" t="s">
        <v>19</v>
      </c>
      <c r="D614" s="448">
        <v>1.96</v>
      </c>
      <c r="E614" s="210"/>
    </row>
    <row r="615" spans="1:5" ht="54">
      <c r="A615" s="446">
        <v>53865</v>
      </c>
      <c r="B615" s="447" t="s">
        <v>819</v>
      </c>
      <c r="C615" s="446" t="s">
        <v>19</v>
      </c>
      <c r="D615" s="448">
        <v>38.840000000000003</v>
      </c>
      <c r="E615" s="210"/>
    </row>
    <row r="616" spans="1:5" ht="67.5">
      <c r="A616" s="446">
        <v>53866</v>
      </c>
      <c r="B616" s="447" t="s">
        <v>820</v>
      </c>
      <c r="C616" s="446" t="s">
        <v>19</v>
      </c>
      <c r="D616" s="448">
        <v>1.61</v>
      </c>
      <c r="E616" s="210"/>
    </row>
    <row r="617" spans="1:5" ht="67.5">
      <c r="A617" s="446">
        <v>53882</v>
      </c>
      <c r="B617" s="447" t="s">
        <v>821</v>
      </c>
      <c r="C617" s="446" t="s">
        <v>19</v>
      </c>
      <c r="D617" s="448">
        <v>24.75</v>
      </c>
      <c r="E617" s="210"/>
    </row>
    <row r="618" spans="1:5" ht="67.5">
      <c r="A618" s="446">
        <v>55263</v>
      </c>
      <c r="B618" s="447" t="s">
        <v>822</v>
      </c>
      <c r="C618" s="446" t="s">
        <v>19</v>
      </c>
      <c r="D618" s="448">
        <v>53.09</v>
      </c>
      <c r="E618" s="210"/>
    </row>
    <row r="619" spans="1:5" ht="40.5">
      <c r="A619" s="446">
        <v>73303</v>
      </c>
      <c r="B619" s="447" t="s">
        <v>825</v>
      </c>
      <c r="C619" s="446" t="s">
        <v>19</v>
      </c>
      <c r="D619" s="448">
        <v>3.96</v>
      </c>
      <c r="E619" s="210"/>
    </row>
    <row r="620" spans="1:5" ht="40.5">
      <c r="A620" s="446">
        <v>73307</v>
      </c>
      <c r="B620" s="447" t="s">
        <v>826</v>
      </c>
      <c r="C620" s="446" t="s">
        <v>19</v>
      </c>
      <c r="D620" s="448">
        <v>3.54</v>
      </c>
      <c r="E620" s="210"/>
    </row>
    <row r="621" spans="1:5" ht="67.5">
      <c r="A621" s="446">
        <v>73309</v>
      </c>
      <c r="B621" s="447" t="s">
        <v>91</v>
      </c>
      <c r="C621" s="446" t="s">
        <v>19</v>
      </c>
      <c r="D621" s="448">
        <v>21.64</v>
      </c>
      <c r="E621" s="210"/>
    </row>
    <row r="622" spans="1:5" ht="40.5">
      <c r="A622" s="446">
        <v>73311</v>
      </c>
      <c r="B622" s="447" t="s">
        <v>92</v>
      </c>
      <c r="C622" s="446" t="s">
        <v>19</v>
      </c>
      <c r="D622" s="448">
        <v>146.76</v>
      </c>
      <c r="E622" s="210"/>
    </row>
    <row r="623" spans="1:5" ht="67.5">
      <c r="A623" s="446">
        <v>73313</v>
      </c>
      <c r="B623" s="447" t="s">
        <v>93</v>
      </c>
      <c r="C623" s="446" t="s">
        <v>19</v>
      </c>
      <c r="D623" s="448">
        <v>3</v>
      </c>
      <c r="E623" s="210"/>
    </row>
    <row r="624" spans="1:5" ht="67.5">
      <c r="A624" s="446">
        <v>73315</v>
      </c>
      <c r="B624" s="447" t="s">
        <v>94</v>
      </c>
      <c r="C624" s="446" t="s">
        <v>19</v>
      </c>
      <c r="D624" s="448">
        <v>47.08</v>
      </c>
      <c r="E624" s="210"/>
    </row>
    <row r="625" spans="1:5" ht="94.5">
      <c r="A625" s="446">
        <v>73335</v>
      </c>
      <c r="B625" s="447" t="s">
        <v>827</v>
      </c>
      <c r="C625" s="446" t="s">
        <v>19</v>
      </c>
      <c r="D625" s="448">
        <v>23.43</v>
      </c>
      <c r="E625" s="210"/>
    </row>
    <row r="626" spans="1:5" ht="94.5">
      <c r="A626" s="446">
        <v>73340</v>
      </c>
      <c r="B626" s="447" t="s">
        <v>828</v>
      </c>
      <c r="C626" s="446" t="s">
        <v>19</v>
      </c>
      <c r="D626" s="448">
        <v>67.14</v>
      </c>
      <c r="E626" s="210"/>
    </row>
    <row r="627" spans="1:5" ht="81">
      <c r="A627" s="446">
        <v>83361</v>
      </c>
      <c r="B627" s="447" t="s">
        <v>833</v>
      </c>
      <c r="C627" s="446" t="s">
        <v>19</v>
      </c>
      <c r="D627" s="448">
        <v>14.37</v>
      </c>
      <c r="E627" s="210"/>
    </row>
    <row r="628" spans="1:5" ht="54">
      <c r="A628" s="446">
        <v>83761</v>
      </c>
      <c r="B628" s="447" t="s">
        <v>836</v>
      </c>
      <c r="C628" s="446" t="s">
        <v>19</v>
      </c>
      <c r="D628" s="448">
        <v>8.4499999999999993</v>
      </c>
      <c r="E628" s="210"/>
    </row>
    <row r="629" spans="1:5" ht="54">
      <c r="A629" s="446">
        <v>83762</v>
      </c>
      <c r="B629" s="447" t="s">
        <v>837</v>
      </c>
      <c r="C629" s="446" t="s">
        <v>19</v>
      </c>
      <c r="D629" s="448">
        <v>10.57</v>
      </c>
      <c r="E629" s="210"/>
    </row>
    <row r="630" spans="1:5" ht="54">
      <c r="A630" s="446">
        <v>83763</v>
      </c>
      <c r="B630" s="447" t="s">
        <v>838</v>
      </c>
      <c r="C630" s="446" t="s">
        <v>19</v>
      </c>
      <c r="D630" s="448">
        <v>41.36</v>
      </c>
      <c r="E630" s="210"/>
    </row>
    <row r="631" spans="1:5" ht="54">
      <c r="A631" s="446">
        <v>83764</v>
      </c>
      <c r="B631" s="447" t="s">
        <v>839</v>
      </c>
      <c r="C631" s="446" t="s">
        <v>19</v>
      </c>
      <c r="D631" s="448">
        <v>0.95</v>
      </c>
      <c r="E631" s="210"/>
    </row>
    <row r="632" spans="1:5" ht="40.5">
      <c r="A632" s="446">
        <v>87026</v>
      </c>
      <c r="B632" s="447" t="s">
        <v>843</v>
      </c>
      <c r="C632" s="446" t="s">
        <v>19</v>
      </c>
      <c r="D632" s="448">
        <v>0.36</v>
      </c>
      <c r="E632" s="210"/>
    </row>
    <row r="633" spans="1:5" ht="54">
      <c r="A633" s="446">
        <v>87441</v>
      </c>
      <c r="B633" s="447" t="s">
        <v>102</v>
      </c>
      <c r="C633" s="446" t="s">
        <v>19</v>
      </c>
      <c r="D633" s="448">
        <v>0.42</v>
      </c>
      <c r="E633" s="210"/>
    </row>
    <row r="634" spans="1:5" ht="54">
      <c r="A634" s="446">
        <v>87442</v>
      </c>
      <c r="B634" s="447" t="s">
        <v>103</v>
      </c>
      <c r="C634" s="446" t="s">
        <v>19</v>
      </c>
      <c r="D634" s="448">
        <v>0.05</v>
      </c>
      <c r="E634" s="210"/>
    </row>
    <row r="635" spans="1:5" ht="54">
      <c r="A635" s="446">
        <v>87443</v>
      </c>
      <c r="B635" s="447" t="s">
        <v>104</v>
      </c>
      <c r="C635" s="446" t="s">
        <v>19</v>
      </c>
      <c r="D635" s="448">
        <v>0.4</v>
      </c>
      <c r="E635" s="210"/>
    </row>
    <row r="636" spans="1:5" ht="54">
      <c r="A636" s="446">
        <v>87444</v>
      </c>
      <c r="B636" s="447" t="s">
        <v>901</v>
      </c>
      <c r="C636" s="446" t="s">
        <v>19</v>
      </c>
      <c r="D636" s="448">
        <v>3.5</v>
      </c>
      <c r="E636" s="210"/>
    </row>
    <row r="637" spans="1:5" ht="54">
      <c r="A637" s="446">
        <v>88387</v>
      </c>
      <c r="B637" s="447" t="s">
        <v>1099</v>
      </c>
      <c r="C637" s="446" t="s">
        <v>19</v>
      </c>
      <c r="D637" s="448">
        <v>0.83</v>
      </c>
      <c r="E637" s="210"/>
    </row>
    <row r="638" spans="1:5" ht="54">
      <c r="A638" s="446">
        <v>88389</v>
      </c>
      <c r="B638" s="447" t="s">
        <v>1100</v>
      </c>
      <c r="C638" s="446" t="s">
        <v>19</v>
      </c>
      <c r="D638" s="448">
        <v>0.09</v>
      </c>
      <c r="E638" s="210"/>
    </row>
    <row r="639" spans="1:5" ht="54">
      <c r="A639" s="446">
        <v>88390</v>
      </c>
      <c r="B639" s="447" t="s">
        <v>1101</v>
      </c>
      <c r="C639" s="446" t="s">
        <v>19</v>
      </c>
      <c r="D639" s="448">
        <v>1.03</v>
      </c>
      <c r="E639" s="210"/>
    </row>
    <row r="640" spans="1:5" ht="54">
      <c r="A640" s="446">
        <v>88391</v>
      </c>
      <c r="B640" s="447" t="s">
        <v>1102</v>
      </c>
      <c r="C640" s="446" t="s">
        <v>19</v>
      </c>
      <c r="D640" s="448">
        <v>2.62</v>
      </c>
      <c r="E640" s="210"/>
    </row>
    <row r="641" spans="1:5" ht="54">
      <c r="A641" s="446">
        <v>88394</v>
      </c>
      <c r="B641" s="447" t="s">
        <v>1105</v>
      </c>
      <c r="C641" s="446" t="s">
        <v>19</v>
      </c>
      <c r="D641" s="448">
        <v>0.98</v>
      </c>
      <c r="E641" s="210"/>
    </row>
    <row r="642" spans="1:5" ht="54">
      <c r="A642" s="446">
        <v>88395</v>
      </c>
      <c r="B642" s="447" t="s">
        <v>1106</v>
      </c>
      <c r="C642" s="446" t="s">
        <v>19</v>
      </c>
      <c r="D642" s="448">
        <v>0.11</v>
      </c>
      <c r="E642" s="210"/>
    </row>
    <row r="643" spans="1:5" ht="54">
      <c r="A643" s="446">
        <v>88396</v>
      </c>
      <c r="B643" s="447" t="s">
        <v>1107</v>
      </c>
      <c r="C643" s="446" t="s">
        <v>19</v>
      </c>
      <c r="D643" s="448">
        <v>1.23</v>
      </c>
      <c r="E643" s="210"/>
    </row>
    <row r="644" spans="1:5" ht="54">
      <c r="A644" s="446">
        <v>88397</v>
      </c>
      <c r="B644" s="447" t="s">
        <v>1108</v>
      </c>
      <c r="C644" s="446" t="s">
        <v>19</v>
      </c>
      <c r="D644" s="448">
        <v>3.93</v>
      </c>
      <c r="E644" s="210"/>
    </row>
    <row r="645" spans="1:5" ht="54">
      <c r="A645" s="446">
        <v>88400</v>
      </c>
      <c r="B645" s="447" t="s">
        <v>1111</v>
      </c>
      <c r="C645" s="446" t="s">
        <v>19</v>
      </c>
      <c r="D645" s="448">
        <v>0.78</v>
      </c>
      <c r="E645" s="210"/>
    </row>
    <row r="646" spans="1:5" ht="54">
      <c r="A646" s="446">
        <v>88401</v>
      </c>
      <c r="B646" s="447" t="s">
        <v>1112</v>
      </c>
      <c r="C646" s="446" t="s">
        <v>19</v>
      </c>
      <c r="D646" s="448">
        <v>0.09</v>
      </c>
      <c r="E646" s="210"/>
    </row>
    <row r="647" spans="1:5" ht="54">
      <c r="A647" s="446">
        <v>88402</v>
      </c>
      <c r="B647" s="447" t="s">
        <v>1113</v>
      </c>
      <c r="C647" s="446" t="s">
        <v>19</v>
      </c>
      <c r="D647" s="448">
        <v>0.98</v>
      </c>
      <c r="E647" s="210"/>
    </row>
    <row r="648" spans="1:5" ht="54">
      <c r="A648" s="446">
        <v>88403</v>
      </c>
      <c r="B648" s="447" t="s">
        <v>1114</v>
      </c>
      <c r="C648" s="446" t="s">
        <v>19</v>
      </c>
      <c r="D648" s="448">
        <v>1.57</v>
      </c>
      <c r="E648" s="210"/>
    </row>
    <row r="649" spans="1:5" ht="54">
      <c r="A649" s="446">
        <v>88419</v>
      </c>
      <c r="B649" s="447" t="s">
        <v>185</v>
      </c>
      <c r="C649" s="446" t="s">
        <v>19</v>
      </c>
      <c r="D649" s="448">
        <v>5.1100000000000003</v>
      </c>
      <c r="E649" s="210"/>
    </row>
    <row r="650" spans="1:5" ht="54">
      <c r="A650" s="446">
        <v>88422</v>
      </c>
      <c r="B650" s="447" t="s">
        <v>186</v>
      </c>
      <c r="C650" s="446" t="s">
        <v>19</v>
      </c>
      <c r="D650" s="448">
        <v>0.6</v>
      </c>
      <c r="E650" s="210"/>
    </row>
    <row r="651" spans="1:5" ht="54">
      <c r="A651" s="446">
        <v>88425</v>
      </c>
      <c r="B651" s="447" t="s">
        <v>188</v>
      </c>
      <c r="C651" s="446" t="s">
        <v>19</v>
      </c>
      <c r="D651" s="448">
        <v>5.59</v>
      </c>
      <c r="E651" s="210"/>
    </row>
    <row r="652" spans="1:5" ht="54">
      <c r="A652" s="446">
        <v>88427</v>
      </c>
      <c r="B652" s="447" t="s">
        <v>1125</v>
      </c>
      <c r="C652" s="446" t="s">
        <v>19</v>
      </c>
      <c r="D652" s="448">
        <v>3.99</v>
      </c>
      <c r="E652" s="210"/>
    </row>
    <row r="653" spans="1:5" ht="54">
      <c r="A653" s="446">
        <v>88434</v>
      </c>
      <c r="B653" s="447" t="s">
        <v>1129</v>
      </c>
      <c r="C653" s="446" t="s">
        <v>19</v>
      </c>
      <c r="D653" s="448">
        <v>6.77</v>
      </c>
      <c r="E653" s="210"/>
    </row>
    <row r="654" spans="1:5" ht="54">
      <c r="A654" s="446">
        <v>88435</v>
      </c>
      <c r="B654" s="447" t="s">
        <v>1130</v>
      </c>
      <c r="C654" s="446" t="s">
        <v>19</v>
      </c>
      <c r="D654" s="448">
        <v>0.8</v>
      </c>
      <c r="E654" s="210"/>
    </row>
    <row r="655" spans="1:5" ht="54">
      <c r="A655" s="446">
        <v>88436</v>
      </c>
      <c r="B655" s="447" t="s">
        <v>1131</v>
      </c>
      <c r="C655" s="446" t="s">
        <v>19</v>
      </c>
      <c r="D655" s="448">
        <v>7.4</v>
      </c>
      <c r="E655" s="210"/>
    </row>
    <row r="656" spans="1:5" ht="54">
      <c r="A656" s="446">
        <v>88437</v>
      </c>
      <c r="B656" s="447" t="s">
        <v>1132</v>
      </c>
      <c r="C656" s="446" t="s">
        <v>19</v>
      </c>
      <c r="D656" s="448">
        <v>3.99</v>
      </c>
      <c r="E656" s="210"/>
    </row>
    <row r="657" spans="1:5" ht="54">
      <c r="A657" s="446">
        <v>88569</v>
      </c>
      <c r="B657" s="447" t="s">
        <v>197</v>
      </c>
      <c r="C657" s="446" t="s">
        <v>19</v>
      </c>
      <c r="D657" s="448">
        <v>3.47</v>
      </c>
      <c r="E657" s="210"/>
    </row>
    <row r="658" spans="1:5" ht="54">
      <c r="A658" s="446">
        <v>88570</v>
      </c>
      <c r="B658" s="447" t="s">
        <v>198</v>
      </c>
      <c r="C658" s="446" t="s">
        <v>19</v>
      </c>
      <c r="D658" s="448">
        <v>0.75</v>
      </c>
      <c r="E658" s="210"/>
    </row>
    <row r="659" spans="1:5" ht="67.5">
      <c r="A659" s="446">
        <v>88826</v>
      </c>
      <c r="B659" s="447" t="s">
        <v>1144</v>
      </c>
      <c r="C659" s="446" t="s">
        <v>19</v>
      </c>
      <c r="D659" s="448">
        <v>0.31</v>
      </c>
      <c r="E659" s="210"/>
    </row>
    <row r="660" spans="1:5" ht="54">
      <c r="A660" s="446">
        <v>88827</v>
      </c>
      <c r="B660" s="447" t="s">
        <v>1145</v>
      </c>
      <c r="C660" s="446" t="s">
        <v>19</v>
      </c>
      <c r="D660" s="448">
        <v>0.03</v>
      </c>
      <c r="E660" s="210"/>
    </row>
    <row r="661" spans="1:5" ht="54">
      <c r="A661" s="446">
        <v>88828</v>
      </c>
      <c r="B661" s="447" t="s">
        <v>1146</v>
      </c>
      <c r="C661" s="446" t="s">
        <v>19</v>
      </c>
      <c r="D661" s="448">
        <v>0.28999999999999998</v>
      </c>
      <c r="E661" s="210"/>
    </row>
    <row r="662" spans="1:5" ht="67.5">
      <c r="A662" s="446">
        <v>88829</v>
      </c>
      <c r="B662" s="447" t="s">
        <v>1147</v>
      </c>
      <c r="C662" s="446" t="s">
        <v>19</v>
      </c>
      <c r="D662" s="448">
        <v>1.05</v>
      </c>
      <c r="E662" s="210"/>
    </row>
    <row r="663" spans="1:5" ht="54">
      <c r="A663" s="446">
        <v>88832</v>
      </c>
      <c r="B663" s="447" t="s">
        <v>1150</v>
      </c>
      <c r="C663" s="446" t="s">
        <v>19</v>
      </c>
      <c r="D663" s="448">
        <v>30.72</v>
      </c>
      <c r="E663" s="210"/>
    </row>
    <row r="664" spans="1:5" ht="54">
      <c r="A664" s="446">
        <v>88834</v>
      </c>
      <c r="B664" s="447" t="s">
        <v>1151</v>
      </c>
      <c r="C664" s="446" t="s">
        <v>19</v>
      </c>
      <c r="D664" s="448">
        <v>4.16</v>
      </c>
      <c r="E664" s="210"/>
    </row>
    <row r="665" spans="1:5" ht="54">
      <c r="A665" s="446">
        <v>88835</v>
      </c>
      <c r="B665" s="447" t="s">
        <v>1152</v>
      </c>
      <c r="C665" s="446" t="s">
        <v>19</v>
      </c>
      <c r="D665" s="448">
        <v>38.4</v>
      </c>
      <c r="E665" s="210"/>
    </row>
    <row r="666" spans="1:5" ht="54">
      <c r="A666" s="446">
        <v>88836</v>
      </c>
      <c r="B666" s="447" t="s">
        <v>1153</v>
      </c>
      <c r="C666" s="446" t="s">
        <v>19</v>
      </c>
      <c r="D666" s="448">
        <v>52.6</v>
      </c>
      <c r="E666" s="210"/>
    </row>
    <row r="667" spans="1:5" ht="40.5">
      <c r="A667" s="446">
        <v>88839</v>
      </c>
      <c r="B667" s="447" t="s">
        <v>1154</v>
      </c>
      <c r="C667" s="446" t="s">
        <v>19</v>
      </c>
      <c r="D667" s="448">
        <v>25.35</v>
      </c>
      <c r="E667" s="210"/>
    </row>
    <row r="668" spans="1:5" ht="40.5">
      <c r="A668" s="446">
        <v>88840</v>
      </c>
      <c r="B668" s="447" t="s">
        <v>1155</v>
      </c>
      <c r="C668" s="446" t="s">
        <v>19</v>
      </c>
      <c r="D668" s="448">
        <v>5.7</v>
      </c>
      <c r="E668" s="210"/>
    </row>
    <row r="669" spans="1:5" ht="40.5">
      <c r="A669" s="446">
        <v>88841</v>
      </c>
      <c r="B669" s="447" t="s">
        <v>1156</v>
      </c>
      <c r="C669" s="446" t="s">
        <v>19</v>
      </c>
      <c r="D669" s="448">
        <v>45.33</v>
      </c>
      <c r="E669" s="210"/>
    </row>
    <row r="670" spans="1:5" ht="40.5">
      <c r="A670" s="446">
        <v>88842</v>
      </c>
      <c r="B670" s="447" t="s">
        <v>1157</v>
      </c>
      <c r="C670" s="446" t="s">
        <v>19</v>
      </c>
      <c r="D670" s="448">
        <v>64.38</v>
      </c>
      <c r="E670" s="210"/>
    </row>
    <row r="671" spans="1:5" ht="81">
      <c r="A671" s="446">
        <v>88847</v>
      </c>
      <c r="B671" s="447" t="s">
        <v>1160</v>
      </c>
      <c r="C671" s="446" t="s">
        <v>19</v>
      </c>
      <c r="D671" s="448">
        <v>20.51</v>
      </c>
      <c r="E671" s="210"/>
    </row>
    <row r="672" spans="1:5" ht="81">
      <c r="A672" s="446">
        <v>88848</v>
      </c>
      <c r="B672" s="447" t="s">
        <v>1161</v>
      </c>
      <c r="C672" s="446" t="s">
        <v>19</v>
      </c>
      <c r="D672" s="448">
        <v>4.3</v>
      </c>
      <c r="E672" s="210"/>
    </row>
    <row r="673" spans="1:5" ht="67.5">
      <c r="A673" s="446">
        <v>88853</v>
      </c>
      <c r="B673" s="447" t="s">
        <v>1162</v>
      </c>
      <c r="C673" s="446" t="s">
        <v>19</v>
      </c>
      <c r="D673" s="448">
        <v>0.2</v>
      </c>
      <c r="E673" s="210"/>
    </row>
    <row r="674" spans="1:5" ht="67.5">
      <c r="A674" s="446">
        <v>88854</v>
      </c>
      <c r="B674" s="447" t="s">
        <v>1163</v>
      </c>
      <c r="C674" s="446" t="s">
        <v>19</v>
      </c>
      <c r="D674" s="448">
        <v>0.02</v>
      </c>
      <c r="E674" s="210"/>
    </row>
    <row r="675" spans="1:5" ht="54">
      <c r="A675" s="446">
        <v>88855</v>
      </c>
      <c r="B675" s="447" t="s">
        <v>1164</v>
      </c>
      <c r="C675" s="446" t="s">
        <v>19</v>
      </c>
      <c r="D675" s="448">
        <v>3.31</v>
      </c>
      <c r="E675" s="210"/>
    </row>
    <row r="676" spans="1:5" ht="54">
      <c r="A676" s="446">
        <v>88856</v>
      </c>
      <c r="B676" s="447" t="s">
        <v>1165</v>
      </c>
      <c r="C676" s="446" t="s">
        <v>19</v>
      </c>
      <c r="D676" s="448">
        <v>0.46</v>
      </c>
      <c r="E676" s="210"/>
    </row>
    <row r="677" spans="1:5" ht="94.5">
      <c r="A677" s="446">
        <v>88857</v>
      </c>
      <c r="B677" s="447" t="s">
        <v>1166</v>
      </c>
      <c r="C677" s="446" t="s">
        <v>19</v>
      </c>
      <c r="D677" s="448">
        <v>17.309999999999999</v>
      </c>
      <c r="E677" s="210"/>
    </row>
    <row r="678" spans="1:5" ht="94.5">
      <c r="A678" s="446">
        <v>88858</v>
      </c>
      <c r="B678" s="447" t="s">
        <v>1167</v>
      </c>
      <c r="C678" s="446" t="s">
        <v>19</v>
      </c>
      <c r="D678" s="448">
        <v>2.34</v>
      </c>
      <c r="E678" s="210"/>
    </row>
    <row r="679" spans="1:5" ht="94.5">
      <c r="A679" s="446">
        <v>88859</v>
      </c>
      <c r="B679" s="447" t="s">
        <v>1168</v>
      </c>
      <c r="C679" s="446" t="s">
        <v>19</v>
      </c>
      <c r="D679" s="448">
        <v>15.39</v>
      </c>
      <c r="E679" s="210"/>
    </row>
    <row r="680" spans="1:5" ht="94.5">
      <c r="A680" s="446">
        <v>88860</v>
      </c>
      <c r="B680" s="447" t="s">
        <v>1169</v>
      </c>
      <c r="C680" s="446" t="s">
        <v>19</v>
      </c>
      <c r="D680" s="448">
        <v>2.08</v>
      </c>
      <c r="E680" s="210"/>
    </row>
    <row r="681" spans="1:5" ht="54">
      <c r="A681" s="446">
        <v>88900</v>
      </c>
      <c r="B681" s="447" t="s">
        <v>1170</v>
      </c>
      <c r="C681" s="446" t="s">
        <v>19</v>
      </c>
      <c r="D681" s="448">
        <v>35.82</v>
      </c>
      <c r="E681" s="210"/>
    </row>
    <row r="682" spans="1:5" ht="54">
      <c r="A682" s="446">
        <v>88902</v>
      </c>
      <c r="B682" s="447" t="s">
        <v>1171</v>
      </c>
      <c r="C682" s="446" t="s">
        <v>19</v>
      </c>
      <c r="D682" s="448">
        <v>4.8600000000000003</v>
      </c>
      <c r="E682" s="210"/>
    </row>
    <row r="683" spans="1:5" ht="54">
      <c r="A683" s="446">
        <v>88903</v>
      </c>
      <c r="B683" s="447" t="s">
        <v>1172</v>
      </c>
      <c r="C683" s="446" t="s">
        <v>19</v>
      </c>
      <c r="D683" s="448">
        <v>44.77</v>
      </c>
      <c r="E683" s="210"/>
    </row>
    <row r="684" spans="1:5" ht="54">
      <c r="A684" s="446">
        <v>88904</v>
      </c>
      <c r="B684" s="447" t="s">
        <v>1173</v>
      </c>
      <c r="C684" s="446" t="s">
        <v>19</v>
      </c>
      <c r="D684" s="448">
        <v>74.09</v>
      </c>
      <c r="E684" s="210"/>
    </row>
    <row r="685" spans="1:5" ht="54">
      <c r="A685" s="446">
        <v>89009</v>
      </c>
      <c r="B685" s="447" t="s">
        <v>200</v>
      </c>
      <c r="C685" s="446" t="s">
        <v>19</v>
      </c>
      <c r="D685" s="448">
        <v>31.41</v>
      </c>
      <c r="E685" s="210"/>
    </row>
    <row r="686" spans="1:5" ht="54">
      <c r="A686" s="446">
        <v>89010</v>
      </c>
      <c r="B686" s="447" t="s">
        <v>201</v>
      </c>
      <c r="C686" s="446" t="s">
        <v>19</v>
      </c>
      <c r="D686" s="448">
        <v>7.07</v>
      </c>
      <c r="E686" s="210"/>
    </row>
    <row r="687" spans="1:5" ht="94.5">
      <c r="A687" s="446">
        <v>89011</v>
      </c>
      <c r="B687" s="447" t="s">
        <v>1176</v>
      </c>
      <c r="C687" s="446" t="s">
        <v>19</v>
      </c>
      <c r="D687" s="448">
        <v>16.7</v>
      </c>
      <c r="E687" s="210"/>
    </row>
    <row r="688" spans="1:5" ht="94.5">
      <c r="A688" s="446">
        <v>89012</v>
      </c>
      <c r="B688" s="447" t="s">
        <v>1177</v>
      </c>
      <c r="C688" s="446" t="s">
        <v>19</v>
      </c>
      <c r="D688" s="448">
        <v>2.2599999999999998</v>
      </c>
      <c r="E688" s="210"/>
    </row>
    <row r="689" spans="1:5" ht="40.5">
      <c r="A689" s="446">
        <v>89013</v>
      </c>
      <c r="B689" s="447" t="s">
        <v>1178</v>
      </c>
      <c r="C689" s="446" t="s">
        <v>19</v>
      </c>
      <c r="D689" s="448">
        <v>102.88</v>
      </c>
      <c r="E689" s="210"/>
    </row>
    <row r="690" spans="1:5" ht="40.5">
      <c r="A690" s="446">
        <v>89014</v>
      </c>
      <c r="B690" s="447" t="s">
        <v>1179</v>
      </c>
      <c r="C690" s="446" t="s">
        <v>19</v>
      </c>
      <c r="D690" s="448">
        <v>23.15</v>
      </c>
      <c r="E690" s="210"/>
    </row>
    <row r="691" spans="1:5" ht="40.5">
      <c r="A691" s="446">
        <v>89015</v>
      </c>
      <c r="B691" s="447" t="s">
        <v>1180</v>
      </c>
      <c r="C691" s="446" t="s">
        <v>19</v>
      </c>
      <c r="D691" s="448">
        <v>3.82</v>
      </c>
      <c r="E691" s="210"/>
    </row>
    <row r="692" spans="1:5" ht="40.5">
      <c r="A692" s="446">
        <v>89016</v>
      </c>
      <c r="B692" s="447" t="s">
        <v>1181</v>
      </c>
      <c r="C692" s="446" t="s">
        <v>19</v>
      </c>
      <c r="D692" s="448">
        <v>0.51</v>
      </c>
      <c r="E692" s="210"/>
    </row>
    <row r="693" spans="1:5" ht="40.5">
      <c r="A693" s="446">
        <v>89017</v>
      </c>
      <c r="B693" s="447" t="s">
        <v>1182</v>
      </c>
      <c r="C693" s="446" t="s">
        <v>19</v>
      </c>
      <c r="D693" s="448">
        <v>31.21</v>
      </c>
      <c r="E693" s="210"/>
    </row>
    <row r="694" spans="1:5" ht="40.5">
      <c r="A694" s="446">
        <v>89018</v>
      </c>
      <c r="B694" s="447" t="s">
        <v>1183</v>
      </c>
      <c r="C694" s="446" t="s">
        <v>19</v>
      </c>
      <c r="D694" s="448">
        <v>7.02</v>
      </c>
      <c r="E694" s="210"/>
    </row>
    <row r="695" spans="1:5" ht="67.5">
      <c r="A695" s="446">
        <v>89019</v>
      </c>
      <c r="B695" s="447" t="s">
        <v>1184</v>
      </c>
      <c r="C695" s="446" t="s">
        <v>19</v>
      </c>
      <c r="D695" s="448">
        <v>0.28999999999999998</v>
      </c>
      <c r="E695" s="210"/>
    </row>
    <row r="696" spans="1:5" ht="67.5">
      <c r="A696" s="446">
        <v>89020</v>
      </c>
      <c r="B696" s="447" t="s">
        <v>1185</v>
      </c>
      <c r="C696" s="446" t="s">
        <v>19</v>
      </c>
      <c r="D696" s="448">
        <v>0.03</v>
      </c>
      <c r="E696" s="210"/>
    </row>
    <row r="697" spans="1:5" ht="40.5">
      <c r="A697" s="446">
        <v>89023</v>
      </c>
      <c r="B697" s="447" t="s">
        <v>1188</v>
      </c>
      <c r="C697" s="446" t="s">
        <v>19</v>
      </c>
      <c r="D697" s="448">
        <v>3.86</v>
      </c>
      <c r="E697" s="210"/>
    </row>
    <row r="698" spans="1:5" ht="40.5">
      <c r="A698" s="446">
        <v>89024</v>
      </c>
      <c r="B698" s="447" t="s">
        <v>1189</v>
      </c>
      <c r="C698" s="446" t="s">
        <v>19</v>
      </c>
      <c r="D698" s="448">
        <v>0.64</v>
      </c>
      <c r="E698" s="210"/>
    </row>
    <row r="699" spans="1:5" ht="40.5">
      <c r="A699" s="446">
        <v>89025</v>
      </c>
      <c r="B699" s="447" t="s">
        <v>1190</v>
      </c>
      <c r="C699" s="446" t="s">
        <v>19</v>
      </c>
      <c r="D699" s="448">
        <v>7.23</v>
      </c>
      <c r="E699" s="210"/>
    </row>
    <row r="700" spans="1:5" ht="40.5">
      <c r="A700" s="446">
        <v>89026</v>
      </c>
      <c r="B700" s="447" t="s">
        <v>1191</v>
      </c>
      <c r="C700" s="446" t="s">
        <v>19</v>
      </c>
      <c r="D700" s="448">
        <v>164.07</v>
      </c>
      <c r="E700" s="210"/>
    </row>
    <row r="701" spans="1:5" ht="40.5">
      <c r="A701" s="446">
        <v>89029</v>
      </c>
      <c r="B701" s="447" t="s">
        <v>1192</v>
      </c>
      <c r="C701" s="446" t="s">
        <v>19</v>
      </c>
      <c r="D701" s="448">
        <v>24.22</v>
      </c>
      <c r="E701" s="210"/>
    </row>
    <row r="702" spans="1:5" ht="40.5">
      <c r="A702" s="446">
        <v>89030</v>
      </c>
      <c r="B702" s="447" t="s">
        <v>1193</v>
      </c>
      <c r="C702" s="446" t="s">
        <v>19</v>
      </c>
      <c r="D702" s="448">
        <v>5.45</v>
      </c>
      <c r="E702" s="210"/>
    </row>
    <row r="703" spans="1:5" ht="40.5">
      <c r="A703" s="446">
        <v>89033</v>
      </c>
      <c r="B703" s="447" t="s">
        <v>204</v>
      </c>
      <c r="C703" s="446" t="s">
        <v>19</v>
      </c>
      <c r="D703" s="448">
        <v>10.67</v>
      </c>
      <c r="E703" s="210"/>
    </row>
    <row r="704" spans="1:5" ht="40.5">
      <c r="A704" s="446">
        <v>89034</v>
      </c>
      <c r="B704" s="447" t="s">
        <v>205</v>
      </c>
      <c r="C704" s="446" t="s">
        <v>19</v>
      </c>
      <c r="D704" s="448">
        <v>1.48</v>
      </c>
      <c r="E704" s="210"/>
    </row>
    <row r="705" spans="1:5" ht="54">
      <c r="A705" s="446">
        <v>89128</v>
      </c>
      <c r="B705" s="447" t="s">
        <v>1200</v>
      </c>
      <c r="C705" s="446" t="s">
        <v>19</v>
      </c>
      <c r="D705" s="448">
        <v>26.15</v>
      </c>
      <c r="E705" s="210"/>
    </row>
    <row r="706" spans="1:5" ht="54">
      <c r="A706" s="446">
        <v>89129</v>
      </c>
      <c r="B706" s="447" t="s">
        <v>1201</v>
      </c>
      <c r="C706" s="446" t="s">
        <v>19</v>
      </c>
      <c r="D706" s="448">
        <v>3.54</v>
      </c>
      <c r="E706" s="210"/>
    </row>
    <row r="707" spans="1:5" ht="54">
      <c r="A707" s="446">
        <v>89130</v>
      </c>
      <c r="B707" s="447" t="s">
        <v>1202</v>
      </c>
      <c r="C707" s="446" t="s">
        <v>19</v>
      </c>
      <c r="D707" s="448">
        <v>36.26</v>
      </c>
      <c r="E707" s="210"/>
    </row>
    <row r="708" spans="1:5" ht="54">
      <c r="A708" s="446">
        <v>89131</v>
      </c>
      <c r="B708" s="447" t="s">
        <v>1203</v>
      </c>
      <c r="C708" s="446" t="s">
        <v>19</v>
      </c>
      <c r="D708" s="448">
        <v>4.92</v>
      </c>
      <c r="E708" s="210"/>
    </row>
    <row r="709" spans="1:5" ht="81">
      <c r="A709" s="446">
        <v>89210</v>
      </c>
      <c r="B709" s="447" t="s">
        <v>1207</v>
      </c>
      <c r="C709" s="446" t="s">
        <v>19</v>
      </c>
      <c r="D709" s="448">
        <v>20.81</v>
      </c>
      <c r="E709" s="210"/>
    </row>
    <row r="710" spans="1:5" ht="67.5">
      <c r="A710" s="446">
        <v>89211</v>
      </c>
      <c r="B710" s="447" t="s">
        <v>1208</v>
      </c>
      <c r="C710" s="446" t="s">
        <v>19</v>
      </c>
      <c r="D710" s="448">
        <v>2.88</v>
      </c>
      <c r="E710" s="210"/>
    </row>
    <row r="711" spans="1:5" ht="40.5">
      <c r="A711" s="446">
        <v>89212</v>
      </c>
      <c r="B711" s="447" t="s">
        <v>208</v>
      </c>
      <c r="C711" s="446" t="s">
        <v>19</v>
      </c>
      <c r="D711" s="448">
        <v>24.39</v>
      </c>
      <c r="E711" s="210"/>
    </row>
    <row r="712" spans="1:5" ht="40.5">
      <c r="A712" s="446">
        <v>89213</v>
      </c>
      <c r="B712" s="447" t="s">
        <v>209</v>
      </c>
      <c r="C712" s="446" t="s">
        <v>19</v>
      </c>
      <c r="D712" s="448">
        <v>3.84</v>
      </c>
      <c r="E712" s="210"/>
    </row>
    <row r="713" spans="1:5" ht="40.5">
      <c r="A713" s="446">
        <v>89214</v>
      </c>
      <c r="B713" s="447" t="s">
        <v>210</v>
      </c>
      <c r="C713" s="446" t="s">
        <v>19</v>
      </c>
      <c r="D713" s="448">
        <v>22.89</v>
      </c>
      <c r="E713" s="210"/>
    </row>
    <row r="714" spans="1:5" ht="40.5">
      <c r="A714" s="446">
        <v>89215</v>
      </c>
      <c r="B714" s="447" t="s">
        <v>211</v>
      </c>
      <c r="C714" s="446" t="s">
        <v>19</v>
      </c>
      <c r="D714" s="448">
        <v>76.510000000000005</v>
      </c>
      <c r="E714" s="210"/>
    </row>
    <row r="715" spans="1:5" ht="67.5">
      <c r="A715" s="446">
        <v>89221</v>
      </c>
      <c r="B715" s="447" t="s">
        <v>1209</v>
      </c>
      <c r="C715" s="446" t="s">
        <v>19</v>
      </c>
      <c r="D715" s="448">
        <v>1.27</v>
      </c>
      <c r="E715" s="210"/>
    </row>
    <row r="716" spans="1:5" ht="54">
      <c r="A716" s="446">
        <v>89222</v>
      </c>
      <c r="B716" s="447" t="s">
        <v>1210</v>
      </c>
      <c r="C716" s="446" t="s">
        <v>19</v>
      </c>
      <c r="D716" s="448">
        <v>0.15</v>
      </c>
      <c r="E716" s="210"/>
    </row>
    <row r="717" spans="1:5" ht="54">
      <c r="A717" s="446">
        <v>89223</v>
      </c>
      <c r="B717" s="447" t="s">
        <v>1211</v>
      </c>
      <c r="C717" s="446" t="s">
        <v>19</v>
      </c>
      <c r="D717" s="448">
        <v>1.19</v>
      </c>
      <c r="E717" s="210"/>
    </row>
    <row r="718" spans="1:5" ht="67.5">
      <c r="A718" s="446">
        <v>89224</v>
      </c>
      <c r="B718" s="447" t="s">
        <v>1212</v>
      </c>
      <c r="C718" s="446" t="s">
        <v>19</v>
      </c>
      <c r="D718" s="448">
        <v>2.1</v>
      </c>
      <c r="E718" s="210"/>
    </row>
    <row r="719" spans="1:5" ht="54">
      <c r="A719" s="446">
        <v>89228</v>
      </c>
      <c r="B719" s="447" t="s">
        <v>213</v>
      </c>
      <c r="C719" s="446" t="s">
        <v>19</v>
      </c>
      <c r="D719" s="448">
        <v>29.84</v>
      </c>
      <c r="E719" s="210"/>
    </row>
    <row r="720" spans="1:5" ht="54">
      <c r="A720" s="446">
        <v>89229</v>
      </c>
      <c r="B720" s="447" t="s">
        <v>214</v>
      </c>
      <c r="C720" s="446" t="s">
        <v>19</v>
      </c>
      <c r="D720" s="448">
        <v>5.37</v>
      </c>
      <c r="E720" s="210"/>
    </row>
    <row r="721" spans="1:5" ht="54">
      <c r="A721" s="446">
        <v>89230</v>
      </c>
      <c r="B721" s="447" t="s">
        <v>1215</v>
      </c>
      <c r="C721" s="446" t="s">
        <v>19</v>
      </c>
      <c r="D721" s="448">
        <v>117.17</v>
      </c>
      <c r="E721" s="210"/>
    </row>
    <row r="722" spans="1:5" ht="40.5">
      <c r="A722" s="446">
        <v>89231</v>
      </c>
      <c r="B722" s="447" t="s">
        <v>1216</v>
      </c>
      <c r="C722" s="446" t="s">
        <v>19</v>
      </c>
      <c r="D722" s="448">
        <v>18.559999999999999</v>
      </c>
      <c r="E722" s="210"/>
    </row>
    <row r="723" spans="1:5" ht="54">
      <c r="A723" s="446">
        <v>89232</v>
      </c>
      <c r="B723" s="447" t="s">
        <v>1217</v>
      </c>
      <c r="C723" s="446" t="s">
        <v>19</v>
      </c>
      <c r="D723" s="448">
        <v>209</v>
      </c>
      <c r="E723" s="210"/>
    </row>
    <row r="724" spans="1:5" ht="54">
      <c r="A724" s="446">
        <v>89233</v>
      </c>
      <c r="B724" s="447" t="s">
        <v>1218</v>
      </c>
      <c r="C724" s="446" t="s">
        <v>19</v>
      </c>
      <c r="D724" s="448">
        <v>137.69</v>
      </c>
      <c r="E724" s="210"/>
    </row>
    <row r="725" spans="1:5" ht="54">
      <c r="A725" s="446">
        <v>89236</v>
      </c>
      <c r="B725" s="447" t="s">
        <v>1221</v>
      </c>
      <c r="C725" s="446" t="s">
        <v>19</v>
      </c>
      <c r="D725" s="448">
        <v>273.70999999999998</v>
      </c>
      <c r="E725" s="210"/>
    </row>
    <row r="726" spans="1:5" ht="40.5">
      <c r="A726" s="446">
        <v>89237</v>
      </c>
      <c r="B726" s="447" t="s">
        <v>1222</v>
      </c>
      <c r="C726" s="446" t="s">
        <v>19</v>
      </c>
      <c r="D726" s="448">
        <v>43.37</v>
      </c>
      <c r="E726" s="210"/>
    </row>
    <row r="727" spans="1:5" ht="54">
      <c r="A727" s="446">
        <v>89238</v>
      </c>
      <c r="B727" s="447" t="s">
        <v>1223</v>
      </c>
      <c r="C727" s="446" t="s">
        <v>19</v>
      </c>
      <c r="D727" s="448">
        <v>488.22</v>
      </c>
      <c r="E727" s="210"/>
    </row>
    <row r="728" spans="1:5" ht="54">
      <c r="A728" s="446">
        <v>89239</v>
      </c>
      <c r="B728" s="447" t="s">
        <v>1224</v>
      </c>
      <c r="C728" s="446" t="s">
        <v>19</v>
      </c>
      <c r="D728" s="448">
        <v>364.12</v>
      </c>
      <c r="E728" s="210"/>
    </row>
    <row r="729" spans="1:5" ht="54">
      <c r="A729" s="446">
        <v>89240</v>
      </c>
      <c r="B729" s="447" t="s">
        <v>1225</v>
      </c>
      <c r="C729" s="446" t="s">
        <v>19</v>
      </c>
      <c r="D729" s="448">
        <v>84</v>
      </c>
      <c r="E729" s="210"/>
    </row>
    <row r="730" spans="1:5" ht="54">
      <c r="A730" s="446">
        <v>89241</v>
      </c>
      <c r="B730" s="447" t="s">
        <v>215</v>
      </c>
      <c r="C730" s="446" t="s">
        <v>19</v>
      </c>
      <c r="D730" s="448">
        <v>15.12</v>
      </c>
      <c r="E730" s="210"/>
    </row>
    <row r="731" spans="1:5" ht="54">
      <c r="A731" s="446">
        <v>89246</v>
      </c>
      <c r="B731" s="447" t="s">
        <v>216</v>
      </c>
      <c r="C731" s="446" t="s">
        <v>19</v>
      </c>
      <c r="D731" s="448">
        <v>237.83</v>
      </c>
      <c r="E731" s="210"/>
    </row>
    <row r="732" spans="1:5" ht="40.5">
      <c r="A732" s="446">
        <v>89247</v>
      </c>
      <c r="B732" s="447" t="s">
        <v>217</v>
      </c>
      <c r="C732" s="446" t="s">
        <v>19</v>
      </c>
      <c r="D732" s="448">
        <v>37.68</v>
      </c>
      <c r="E732" s="210"/>
    </row>
    <row r="733" spans="1:5" ht="54">
      <c r="A733" s="446">
        <v>89248</v>
      </c>
      <c r="B733" s="447" t="s">
        <v>218</v>
      </c>
      <c r="C733" s="446" t="s">
        <v>19</v>
      </c>
      <c r="D733" s="448">
        <v>424.23</v>
      </c>
      <c r="E733" s="210"/>
    </row>
    <row r="734" spans="1:5" ht="54">
      <c r="A734" s="446">
        <v>89249</v>
      </c>
      <c r="B734" s="447" t="s">
        <v>219</v>
      </c>
      <c r="C734" s="446" t="s">
        <v>19</v>
      </c>
      <c r="D734" s="448">
        <v>310.39</v>
      </c>
      <c r="E734" s="210"/>
    </row>
    <row r="735" spans="1:5" ht="54">
      <c r="A735" s="446">
        <v>89253</v>
      </c>
      <c r="B735" s="447" t="s">
        <v>1228</v>
      </c>
      <c r="C735" s="446" t="s">
        <v>19</v>
      </c>
      <c r="D735" s="448">
        <v>68.83</v>
      </c>
      <c r="E735" s="210"/>
    </row>
    <row r="736" spans="1:5" ht="54">
      <c r="A736" s="446">
        <v>89254</v>
      </c>
      <c r="B736" s="447" t="s">
        <v>222</v>
      </c>
      <c r="C736" s="446" t="s">
        <v>19</v>
      </c>
      <c r="D736" s="448">
        <v>12.39</v>
      </c>
      <c r="E736" s="210"/>
    </row>
    <row r="737" spans="1:5" ht="54">
      <c r="A737" s="446">
        <v>89255</v>
      </c>
      <c r="B737" s="447" t="s">
        <v>1229</v>
      </c>
      <c r="C737" s="446" t="s">
        <v>19</v>
      </c>
      <c r="D737" s="448">
        <v>110.65</v>
      </c>
      <c r="E737" s="210"/>
    </row>
    <row r="738" spans="1:5" ht="67.5">
      <c r="A738" s="446">
        <v>89256</v>
      </c>
      <c r="B738" s="447" t="s">
        <v>1230</v>
      </c>
      <c r="C738" s="446" t="s">
        <v>19</v>
      </c>
      <c r="D738" s="448">
        <v>69.849999999999994</v>
      </c>
      <c r="E738" s="210"/>
    </row>
    <row r="739" spans="1:5" ht="81">
      <c r="A739" s="446">
        <v>89259</v>
      </c>
      <c r="B739" s="447" t="s">
        <v>1233</v>
      </c>
      <c r="C739" s="446" t="s">
        <v>19</v>
      </c>
      <c r="D739" s="448">
        <v>13.62</v>
      </c>
      <c r="E739" s="210"/>
    </row>
    <row r="740" spans="1:5" ht="81">
      <c r="A740" s="446">
        <v>89260</v>
      </c>
      <c r="B740" s="447" t="s">
        <v>1234</v>
      </c>
      <c r="C740" s="446" t="s">
        <v>19</v>
      </c>
      <c r="D740" s="448">
        <v>2.85</v>
      </c>
      <c r="E740" s="210"/>
    </row>
    <row r="741" spans="1:5" ht="81">
      <c r="A741" s="446">
        <v>89262</v>
      </c>
      <c r="B741" s="447" t="s">
        <v>1235</v>
      </c>
      <c r="C741" s="446" t="s">
        <v>19</v>
      </c>
      <c r="D741" s="448">
        <v>25.53</v>
      </c>
      <c r="E741" s="210"/>
    </row>
    <row r="742" spans="1:5" ht="94.5">
      <c r="A742" s="446">
        <v>89264</v>
      </c>
      <c r="B742" s="447" t="s">
        <v>1236</v>
      </c>
      <c r="C742" s="446" t="s">
        <v>19</v>
      </c>
      <c r="D742" s="448">
        <v>10.57</v>
      </c>
      <c r="E742" s="210"/>
    </row>
    <row r="743" spans="1:5" ht="94.5">
      <c r="A743" s="446">
        <v>89265</v>
      </c>
      <c r="B743" s="447" t="s">
        <v>1237</v>
      </c>
      <c r="C743" s="446" t="s">
        <v>19</v>
      </c>
      <c r="D743" s="448">
        <v>2.21</v>
      </c>
      <c r="E743" s="210"/>
    </row>
    <row r="744" spans="1:5" ht="94.5">
      <c r="A744" s="446">
        <v>89266</v>
      </c>
      <c r="B744" s="447" t="s">
        <v>1238</v>
      </c>
      <c r="C744" s="446" t="s">
        <v>19</v>
      </c>
      <c r="D744" s="448">
        <v>0.86</v>
      </c>
      <c r="E744" s="210"/>
    </row>
    <row r="745" spans="1:5" ht="54">
      <c r="A745" s="446">
        <v>89267</v>
      </c>
      <c r="B745" s="447" t="s">
        <v>1239</v>
      </c>
      <c r="C745" s="446" t="s">
        <v>19</v>
      </c>
      <c r="D745" s="448">
        <v>42.45</v>
      </c>
      <c r="E745" s="210"/>
    </row>
    <row r="746" spans="1:5" ht="54">
      <c r="A746" s="446">
        <v>89268</v>
      </c>
      <c r="B746" s="447" t="s">
        <v>1240</v>
      </c>
      <c r="C746" s="446" t="s">
        <v>19</v>
      </c>
      <c r="D746" s="448">
        <v>7.64</v>
      </c>
      <c r="E746" s="210"/>
    </row>
    <row r="747" spans="1:5" ht="54">
      <c r="A747" s="446">
        <v>89269</v>
      </c>
      <c r="B747" s="447" t="s">
        <v>1241</v>
      </c>
      <c r="C747" s="446" t="s">
        <v>19</v>
      </c>
      <c r="D747" s="448">
        <v>2.97</v>
      </c>
      <c r="E747" s="210"/>
    </row>
    <row r="748" spans="1:5" ht="54">
      <c r="A748" s="446">
        <v>89270</v>
      </c>
      <c r="B748" s="447" t="s">
        <v>1242</v>
      </c>
      <c r="C748" s="446" t="s">
        <v>19</v>
      </c>
      <c r="D748" s="448">
        <v>68.25</v>
      </c>
      <c r="E748" s="210"/>
    </row>
    <row r="749" spans="1:5" ht="54">
      <c r="A749" s="446">
        <v>89271</v>
      </c>
      <c r="B749" s="447" t="s">
        <v>1243</v>
      </c>
      <c r="C749" s="446" t="s">
        <v>19</v>
      </c>
      <c r="D749" s="448">
        <v>23.91</v>
      </c>
      <c r="E749" s="210"/>
    </row>
    <row r="750" spans="1:5" ht="54">
      <c r="A750" s="446">
        <v>89274</v>
      </c>
      <c r="B750" s="447" t="s">
        <v>1246</v>
      </c>
      <c r="C750" s="446" t="s">
        <v>19</v>
      </c>
      <c r="D750" s="448">
        <v>1.54</v>
      </c>
      <c r="E750" s="210"/>
    </row>
    <row r="751" spans="1:5" ht="54">
      <c r="A751" s="446">
        <v>89275</v>
      </c>
      <c r="B751" s="447" t="s">
        <v>1247</v>
      </c>
      <c r="C751" s="446" t="s">
        <v>19</v>
      </c>
      <c r="D751" s="448">
        <v>0.18</v>
      </c>
      <c r="E751" s="210"/>
    </row>
    <row r="752" spans="1:5" ht="54">
      <c r="A752" s="446">
        <v>89276</v>
      </c>
      <c r="B752" s="447" t="s">
        <v>1248</v>
      </c>
      <c r="C752" s="446" t="s">
        <v>19</v>
      </c>
      <c r="D752" s="448">
        <v>1.45</v>
      </c>
      <c r="E752" s="210"/>
    </row>
    <row r="753" spans="1:5" ht="54">
      <c r="A753" s="446">
        <v>89277</v>
      </c>
      <c r="B753" s="447" t="s">
        <v>1249</v>
      </c>
      <c r="C753" s="446" t="s">
        <v>19</v>
      </c>
      <c r="D753" s="448">
        <v>7</v>
      </c>
      <c r="E753" s="210"/>
    </row>
    <row r="754" spans="1:5" ht="54">
      <c r="A754" s="446">
        <v>89280</v>
      </c>
      <c r="B754" s="447" t="s">
        <v>1252</v>
      </c>
      <c r="C754" s="446" t="s">
        <v>19</v>
      </c>
      <c r="D754" s="448">
        <v>25.56</v>
      </c>
      <c r="E754" s="210"/>
    </row>
    <row r="755" spans="1:5" ht="54">
      <c r="A755" s="446">
        <v>89281</v>
      </c>
      <c r="B755" s="447" t="s">
        <v>1253</v>
      </c>
      <c r="C755" s="446" t="s">
        <v>19</v>
      </c>
      <c r="D755" s="448">
        <v>3.54</v>
      </c>
      <c r="E755" s="210"/>
    </row>
    <row r="756" spans="1:5" ht="67.5">
      <c r="A756" s="446">
        <v>89870</v>
      </c>
      <c r="B756" s="447" t="s">
        <v>322</v>
      </c>
      <c r="C756" s="446" t="s">
        <v>19</v>
      </c>
      <c r="D756" s="448">
        <v>28.13</v>
      </c>
      <c r="E756" s="210"/>
    </row>
    <row r="757" spans="1:5" ht="67.5">
      <c r="A757" s="446">
        <v>89871</v>
      </c>
      <c r="B757" s="447" t="s">
        <v>323</v>
      </c>
      <c r="C757" s="446" t="s">
        <v>19</v>
      </c>
      <c r="D757" s="448">
        <v>5.19</v>
      </c>
      <c r="E757" s="210"/>
    </row>
    <row r="758" spans="1:5" ht="81">
      <c r="A758" s="446">
        <v>89872</v>
      </c>
      <c r="B758" s="447" t="s">
        <v>324</v>
      </c>
      <c r="C758" s="446" t="s">
        <v>19</v>
      </c>
      <c r="D758" s="448">
        <v>2.0299999999999998</v>
      </c>
      <c r="E758" s="210"/>
    </row>
    <row r="759" spans="1:5" ht="67.5">
      <c r="A759" s="446">
        <v>89873</v>
      </c>
      <c r="B759" s="447" t="s">
        <v>325</v>
      </c>
      <c r="C759" s="446" t="s">
        <v>19</v>
      </c>
      <c r="D759" s="448">
        <v>52.75</v>
      </c>
      <c r="E759" s="210"/>
    </row>
    <row r="760" spans="1:5" ht="81">
      <c r="A760" s="446">
        <v>89874</v>
      </c>
      <c r="B760" s="447" t="s">
        <v>326</v>
      </c>
      <c r="C760" s="446" t="s">
        <v>19</v>
      </c>
      <c r="D760" s="448">
        <v>145.28</v>
      </c>
      <c r="E760" s="210"/>
    </row>
    <row r="761" spans="1:5" ht="67.5">
      <c r="A761" s="446">
        <v>89878</v>
      </c>
      <c r="B761" s="447" t="s">
        <v>329</v>
      </c>
      <c r="C761" s="446" t="s">
        <v>19</v>
      </c>
      <c r="D761" s="448">
        <v>29.87</v>
      </c>
      <c r="E761" s="210"/>
    </row>
    <row r="762" spans="1:5" ht="67.5">
      <c r="A762" s="446">
        <v>89879</v>
      </c>
      <c r="B762" s="447" t="s">
        <v>330</v>
      </c>
      <c r="C762" s="446" t="s">
        <v>19</v>
      </c>
      <c r="D762" s="448">
        <v>5.52</v>
      </c>
      <c r="E762" s="210"/>
    </row>
    <row r="763" spans="1:5" ht="81">
      <c r="A763" s="446">
        <v>89880</v>
      </c>
      <c r="B763" s="447" t="s">
        <v>331</v>
      </c>
      <c r="C763" s="446" t="s">
        <v>19</v>
      </c>
      <c r="D763" s="448">
        <v>2.15</v>
      </c>
      <c r="E763" s="210"/>
    </row>
    <row r="764" spans="1:5" ht="67.5">
      <c r="A764" s="446">
        <v>89881</v>
      </c>
      <c r="B764" s="447" t="s">
        <v>332</v>
      </c>
      <c r="C764" s="446" t="s">
        <v>19</v>
      </c>
      <c r="D764" s="448">
        <v>56.01</v>
      </c>
      <c r="E764" s="210"/>
    </row>
    <row r="765" spans="1:5" ht="81">
      <c r="A765" s="446">
        <v>89882</v>
      </c>
      <c r="B765" s="447" t="s">
        <v>333</v>
      </c>
      <c r="C765" s="446" t="s">
        <v>19</v>
      </c>
      <c r="D765" s="448">
        <v>167.62</v>
      </c>
      <c r="E765" s="210"/>
    </row>
    <row r="766" spans="1:5" ht="54">
      <c r="A766" s="446">
        <v>90582</v>
      </c>
      <c r="B766" s="447" t="s">
        <v>1735</v>
      </c>
      <c r="C766" s="446" t="s">
        <v>19</v>
      </c>
      <c r="D766" s="448">
        <v>0.38</v>
      </c>
      <c r="E766" s="210"/>
    </row>
    <row r="767" spans="1:5" ht="40.5">
      <c r="A767" s="446">
        <v>90583</v>
      </c>
      <c r="B767" s="447" t="s">
        <v>1736</v>
      </c>
      <c r="C767" s="446" t="s">
        <v>19</v>
      </c>
      <c r="D767" s="448">
        <v>0.04</v>
      </c>
      <c r="E767" s="210"/>
    </row>
    <row r="768" spans="1:5" ht="54">
      <c r="A768" s="446">
        <v>90584</v>
      </c>
      <c r="B768" s="447" t="s">
        <v>1737</v>
      </c>
      <c r="C768" s="446" t="s">
        <v>19</v>
      </c>
      <c r="D768" s="448">
        <v>0.3</v>
      </c>
      <c r="E768" s="210"/>
    </row>
    <row r="769" spans="1:5" ht="54">
      <c r="A769" s="446">
        <v>90585</v>
      </c>
      <c r="B769" s="447" t="s">
        <v>1738</v>
      </c>
      <c r="C769" s="446" t="s">
        <v>19</v>
      </c>
      <c r="D769" s="448">
        <v>1.05</v>
      </c>
      <c r="E769" s="210"/>
    </row>
    <row r="770" spans="1:5" ht="40.5">
      <c r="A770" s="446">
        <v>90621</v>
      </c>
      <c r="B770" s="447" t="s">
        <v>352</v>
      </c>
      <c r="C770" s="446" t="s">
        <v>19</v>
      </c>
      <c r="D770" s="448">
        <v>2.09</v>
      </c>
      <c r="E770" s="210"/>
    </row>
    <row r="771" spans="1:5" ht="40.5">
      <c r="A771" s="446">
        <v>90622</v>
      </c>
      <c r="B771" s="447" t="s">
        <v>353</v>
      </c>
      <c r="C771" s="446" t="s">
        <v>19</v>
      </c>
      <c r="D771" s="448">
        <v>0.24</v>
      </c>
      <c r="E771" s="210"/>
    </row>
    <row r="772" spans="1:5" ht="40.5">
      <c r="A772" s="446">
        <v>90623</v>
      </c>
      <c r="B772" s="447" t="s">
        <v>354</v>
      </c>
      <c r="C772" s="446" t="s">
        <v>19</v>
      </c>
      <c r="D772" s="448">
        <v>2.61</v>
      </c>
      <c r="E772" s="210"/>
    </row>
    <row r="773" spans="1:5" ht="40.5">
      <c r="A773" s="446">
        <v>90624</v>
      </c>
      <c r="B773" s="447" t="s">
        <v>355</v>
      </c>
      <c r="C773" s="446" t="s">
        <v>19</v>
      </c>
      <c r="D773" s="448">
        <v>2.62</v>
      </c>
      <c r="E773" s="210"/>
    </row>
    <row r="774" spans="1:5" ht="54">
      <c r="A774" s="446">
        <v>90627</v>
      </c>
      <c r="B774" s="447" t="s">
        <v>358</v>
      </c>
      <c r="C774" s="446" t="s">
        <v>19</v>
      </c>
      <c r="D774" s="448">
        <v>32.770000000000003</v>
      </c>
      <c r="E774" s="210"/>
    </row>
    <row r="775" spans="1:5" ht="54">
      <c r="A775" s="446">
        <v>90628</v>
      </c>
      <c r="B775" s="447" t="s">
        <v>359</v>
      </c>
      <c r="C775" s="446" t="s">
        <v>19</v>
      </c>
      <c r="D775" s="448">
        <v>4.67</v>
      </c>
      <c r="E775" s="210"/>
    </row>
    <row r="776" spans="1:5" ht="54">
      <c r="A776" s="446">
        <v>90629</v>
      </c>
      <c r="B776" s="447" t="s">
        <v>360</v>
      </c>
      <c r="C776" s="446" t="s">
        <v>19</v>
      </c>
      <c r="D776" s="448">
        <v>41.01</v>
      </c>
      <c r="E776" s="210"/>
    </row>
    <row r="777" spans="1:5" ht="54">
      <c r="A777" s="446">
        <v>90630</v>
      </c>
      <c r="B777" s="447" t="s">
        <v>1741</v>
      </c>
      <c r="C777" s="446" t="s">
        <v>19</v>
      </c>
      <c r="D777" s="448">
        <v>10.65</v>
      </c>
      <c r="E777" s="210"/>
    </row>
    <row r="778" spans="1:5" ht="67.5">
      <c r="A778" s="446">
        <v>90633</v>
      </c>
      <c r="B778" s="447" t="s">
        <v>363</v>
      </c>
      <c r="C778" s="446" t="s">
        <v>19</v>
      </c>
      <c r="D778" s="448">
        <v>3.93</v>
      </c>
      <c r="E778" s="210"/>
    </row>
    <row r="779" spans="1:5" ht="67.5">
      <c r="A779" s="446">
        <v>90634</v>
      </c>
      <c r="B779" s="447" t="s">
        <v>364</v>
      </c>
      <c r="C779" s="446" t="s">
        <v>19</v>
      </c>
      <c r="D779" s="448">
        <v>0.46</v>
      </c>
      <c r="E779" s="210"/>
    </row>
    <row r="780" spans="1:5" ht="67.5">
      <c r="A780" s="446">
        <v>90635</v>
      </c>
      <c r="B780" s="447" t="s">
        <v>365</v>
      </c>
      <c r="C780" s="446" t="s">
        <v>19</v>
      </c>
      <c r="D780" s="448">
        <v>4.3</v>
      </c>
      <c r="E780" s="210"/>
    </row>
    <row r="781" spans="1:5" ht="81">
      <c r="A781" s="446">
        <v>90636</v>
      </c>
      <c r="B781" s="447" t="s">
        <v>366</v>
      </c>
      <c r="C781" s="446" t="s">
        <v>19</v>
      </c>
      <c r="D781" s="448">
        <v>5.25</v>
      </c>
      <c r="E781" s="210"/>
    </row>
    <row r="782" spans="1:5" ht="54">
      <c r="A782" s="446">
        <v>90639</v>
      </c>
      <c r="B782" s="447" t="s">
        <v>1742</v>
      </c>
      <c r="C782" s="446" t="s">
        <v>19</v>
      </c>
      <c r="D782" s="448">
        <v>5.86</v>
      </c>
      <c r="E782" s="210"/>
    </row>
    <row r="783" spans="1:5" ht="54">
      <c r="A783" s="446">
        <v>90640</v>
      </c>
      <c r="B783" s="447" t="s">
        <v>1743</v>
      </c>
      <c r="C783" s="446" t="s">
        <v>19</v>
      </c>
      <c r="D783" s="448">
        <v>0.69</v>
      </c>
      <c r="E783" s="210"/>
    </row>
    <row r="784" spans="1:5" ht="54">
      <c r="A784" s="446">
        <v>90641</v>
      </c>
      <c r="B784" s="447" t="s">
        <v>1744</v>
      </c>
      <c r="C784" s="446" t="s">
        <v>19</v>
      </c>
      <c r="D784" s="448">
        <v>6.41</v>
      </c>
      <c r="E784" s="210"/>
    </row>
    <row r="785" spans="1:5" ht="54">
      <c r="A785" s="446">
        <v>90642</v>
      </c>
      <c r="B785" s="447" t="s">
        <v>1745</v>
      </c>
      <c r="C785" s="446" t="s">
        <v>19</v>
      </c>
      <c r="D785" s="448">
        <v>7.59</v>
      </c>
      <c r="E785" s="210"/>
    </row>
    <row r="786" spans="1:5" ht="67.5">
      <c r="A786" s="446">
        <v>90646</v>
      </c>
      <c r="B786" s="447" t="s">
        <v>1748</v>
      </c>
      <c r="C786" s="446" t="s">
        <v>19</v>
      </c>
      <c r="D786" s="448">
        <v>0.71</v>
      </c>
      <c r="E786" s="210"/>
    </row>
    <row r="787" spans="1:5" ht="67.5">
      <c r="A787" s="446">
        <v>90647</v>
      </c>
      <c r="B787" s="447" t="s">
        <v>1749</v>
      </c>
      <c r="C787" s="446" t="s">
        <v>19</v>
      </c>
      <c r="D787" s="448">
        <v>0.08</v>
      </c>
      <c r="E787" s="210"/>
    </row>
    <row r="788" spans="1:5" ht="67.5">
      <c r="A788" s="446">
        <v>90648</v>
      </c>
      <c r="B788" s="447" t="s">
        <v>1750</v>
      </c>
      <c r="C788" s="446" t="s">
        <v>19</v>
      </c>
      <c r="D788" s="448">
        <v>0.78</v>
      </c>
      <c r="E788" s="210"/>
    </row>
    <row r="789" spans="1:5" ht="67.5">
      <c r="A789" s="446">
        <v>90649</v>
      </c>
      <c r="B789" s="447" t="s">
        <v>1751</v>
      </c>
      <c r="C789" s="446" t="s">
        <v>19</v>
      </c>
      <c r="D789" s="448">
        <v>8.17</v>
      </c>
      <c r="E789" s="210"/>
    </row>
    <row r="790" spans="1:5" ht="40.5">
      <c r="A790" s="446">
        <v>90652</v>
      </c>
      <c r="B790" s="447" t="s">
        <v>1754</v>
      </c>
      <c r="C790" s="446" t="s">
        <v>19</v>
      </c>
      <c r="D790" s="448">
        <v>3.82</v>
      </c>
      <c r="E790" s="210"/>
    </row>
    <row r="791" spans="1:5" ht="40.5">
      <c r="A791" s="446">
        <v>90653</v>
      </c>
      <c r="B791" s="447" t="s">
        <v>1755</v>
      </c>
      <c r="C791" s="446" t="s">
        <v>19</v>
      </c>
      <c r="D791" s="448">
        <v>0.45</v>
      </c>
      <c r="E791" s="210"/>
    </row>
    <row r="792" spans="1:5" ht="40.5">
      <c r="A792" s="446">
        <v>90654</v>
      </c>
      <c r="B792" s="447" t="s">
        <v>1756</v>
      </c>
      <c r="C792" s="446" t="s">
        <v>19</v>
      </c>
      <c r="D792" s="448">
        <v>4.17</v>
      </c>
      <c r="E792" s="210"/>
    </row>
    <row r="793" spans="1:5" ht="40.5">
      <c r="A793" s="446">
        <v>90655</v>
      </c>
      <c r="B793" s="447" t="s">
        <v>1757</v>
      </c>
      <c r="C793" s="446" t="s">
        <v>19</v>
      </c>
      <c r="D793" s="448">
        <v>5.38</v>
      </c>
      <c r="E793" s="210"/>
    </row>
    <row r="794" spans="1:5" ht="40.5">
      <c r="A794" s="446">
        <v>90658</v>
      </c>
      <c r="B794" s="447" t="s">
        <v>1758</v>
      </c>
      <c r="C794" s="446" t="s">
        <v>19</v>
      </c>
      <c r="D794" s="448">
        <v>4.09</v>
      </c>
      <c r="E794" s="210"/>
    </row>
    <row r="795" spans="1:5" ht="40.5">
      <c r="A795" s="446">
        <v>90659</v>
      </c>
      <c r="B795" s="447" t="s">
        <v>1759</v>
      </c>
      <c r="C795" s="446" t="s">
        <v>19</v>
      </c>
      <c r="D795" s="448">
        <v>0.48</v>
      </c>
      <c r="E795" s="210"/>
    </row>
    <row r="796" spans="1:5" ht="40.5">
      <c r="A796" s="446">
        <v>90660</v>
      </c>
      <c r="B796" s="447" t="s">
        <v>1760</v>
      </c>
      <c r="C796" s="446" t="s">
        <v>19</v>
      </c>
      <c r="D796" s="448">
        <v>4.47</v>
      </c>
      <c r="E796" s="210"/>
    </row>
    <row r="797" spans="1:5" ht="40.5">
      <c r="A797" s="446">
        <v>90661</v>
      </c>
      <c r="B797" s="447" t="s">
        <v>1761</v>
      </c>
      <c r="C797" s="446" t="s">
        <v>19</v>
      </c>
      <c r="D797" s="448">
        <v>5.38</v>
      </c>
      <c r="E797" s="210"/>
    </row>
    <row r="798" spans="1:5" ht="81">
      <c r="A798" s="446">
        <v>90664</v>
      </c>
      <c r="B798" s="447" t="s">
        <v>1762</v>
      </c>
      <c r="C798" s="446" t="s">
        <v>19</v>
      </c>
      <c r="D798" s="448">
        <v>5.58</v>
      </c>
      <c r="E798" s="210"/>
    </row>
    <row r="799" spans="1:5" ht="81">
      <c r="A799" s="446">
        <v>90665</v>
      </c>
      <c r="B799" s="447" t="s">
        <v>1763</v>
      </c>
      <c r="C799" s="446" t="s">
        <v>19</v>
      </c>
      <c r="D799" s="448">
        <v>0.64</v>
      </c>
      <c r="E799" s="210"/>
    </row>
    <row r="800" spans="1:5" ht="81">
      <c r="A800" s="446">
        <v>90666</v>
      </c>
      <c r="B800" s="447" t="s">
        <v>1764</v>
      </c>
      <c r="C800" s="446" t="s">
        <v>19</v>
      </c>
      <c r="D800" s="448">
        <v>6.09</v>
      </c>
      <c r="E800" s="210"/>
    </row>
    <row r="801" spans="1:5" ht="81">
      <c r="A801" s="446">
        <v>90667</v>
      </c>
      <c r="B801" s="447" t="s">
        <v>1765</v>
      </c>
      <c r="C801" s="446" t="s">
        <v>19</v>
      </c>
      <c r="D801" s="448">
        <v>12.32</v>
      </c>
      <c r="E801" s="210"/>
    </row>
    <row r="802" spans="1:5" ht="81">
      <c r="A802" s="446">
        <v>90670</v>
      </c>
      <c r="B802" s="447" t="s">
        <v>1768</v>
      </c>
      <c r="C802" s="446" t="s">
        <v>19</v>
      </c>
      <c r="D802" s="448">
        <v>150.41</v>
      </c>
      <c r="E802" s="210"/>
    </row>
    <row r="803" spans="1:5" ht="81">
      <c r="A803" s="446">
        <v>90671</v>
      </c>
      <c r="B803" s="447" t="s">
        <v>1769</v>
      </c>
      <c r="C803" s="446" t="s">
        <v>19</v>
      </c>
      <c r="D803" s="448">
        <v>20.88</v>
      </c>
      <c r="E803" s="210"/>
    </row>
    <row r="804" spans="1:5" ht="81">
      <c r="A804" s="446">
        <v>90672</v>
      </c>
      <c r="B804" s="447" t="s">
        <v>1770</v>
      </c>
      <c r="C804" s="446" t="s">
        <v>19</v>
      </c>
      <c r="D804" s="448">
        <v>188.23</v>
      </c>
      <c r="E804" s="210"/>
    </row>
    <row r="805" spans="1:5" ht="94.5">
      <c r="A805" s="446">
        <v>90673</v>
      </c>
      <c r="B805" s="447" t="s">
        <v>1771</v>
      </c>
      <c r="C805" s="446" t="s">
        <v>19</v>
      </c>
      <c r="D805" s="448">
        <v>98.6</v>
      </c>
      <c r="E805" s="210"/>
    </row>
    <row r="806" spans="1:5" ht="81">
      <c r="A806" s="446">
        <v>90676</v>
      </c>
      <c r="B806" s="447" t="s">
        <v>1774</v>
      </c>
      <c r="C806" s="446" t="s">
        <v>19</v>
      </c>
      <c r="D806" s="448">
        <v>78.89</v>
      </c>
      <c r="E806" s="210"/>
    </row>
    <row r="807" spans="1:5" ht="81">
      <c r="A807" s="446">
        <v>90677</v>
      </c>
      <c r="B807" s="447" t="s">
        <v>1775</v>
      </c>
      <c r="C807" s="446" t="s">
        <v>19</v>
      </c>
      <c r="D807" s="448">
        <v>10.95</v>
      </c>
      <c r="E807" s="210"/>
    </row>
    <row r="808" spans="1:5" ht="81">
      <c r="A808" s="446">
        <v>90678</v>
      </c>
      <c r="B808" s="447" t="s">
        <v>1776</v>
      </c>
      <c r="C808" s="446" t="s">
        <v>19</v>
      </c>
      <c r="D808" s="448">
        <v>98.72</v>
      </c>
      <c r="E808" s="210"/>
    </row>
    <row r="809" spans="1:5" ht="81">
      <c r="A809" s="446">
        <v>90679</v>
      </c>
      <c r="B809" s="447" t="s">
        <v>1777</v>
      </c>
      <c r="C809" s="446" t="s">
        <v>19</v>
      </c>
      <c r="D809" s="448">
        <v>75.569999999999993</v>
      </c>
      <c r="E809" s="210"/>
    </row>
    <row r="810" spans="1:5" ht="54">
      <c r="A810" s="446">
        <v>90682</v>
      </c>
      <c r="B810" s="447" t="s">
        <v>1780</v>
      </c>
      <c r="C810" s="446" t="s">
        <v>19</v>
      </c>
      <c r="D810" s="448">
        <v>25.68</v>
      </c>
      <c r="E810" s="210"/>
    </row>
    <row r="811" spans="1:5" ht="54">
      <c r="A811" s="446">
        <v>90683</v>
      </c>
      <c r="B811" s="447" t="s">
        <v>1781</v>
      </c>
      <c r="C811" s="446" t="s">
        <v>19</v>
      </c>
      <c r="D811" s="448">
        <v>3.04</v>
      </c>
      <c r="E811" s="210"/>
    </row>
    <row r="812" spans="1:5" ht="54">
      <c r="A812" s="446">
        <v>90684</v>
      </c>
      <c r="B812" s="447" t="s">
        <v>1782</v>
      </c>
      <c r="C812" s="446" t="s">
        <v>19</v>
      </c>
      <c r="D812" s="448">
        <v>28.09</v>
      </c>
      <c r="E812" s="210"/>
    </row>
    <row r="813" spans="1:5" ht="54">
      <c r="A813" s="446">
        <v>90685</v>
      </c>
      <c r="B813" s="447" t="s">
        <v>1783</v>
      </c>
      <c r="C813" s="446" t="s">
        <v>19</v>
      </c>
      <c r="D813" s="448">
        <v>46.88</v>
      </c>
      <c r="E813" s="210"/>
    </row>
    <row r="814" spans="1:5" ht="54">
      <c r="A814" s="446">
        <v>90688</v>
      </c>
      <c r="B814" s="447" t="s">
        <v>1786</v>
      </c>
      <c r="C814" s="446" t="s">
        <v>19</v>
      </c>
      <c r="D814" s="448">
        <v>13.2</v>
      </c>
      <c r="E814" s="210"/>
    </row>
    <row r="815" spans="1:5" ht="40.5">
      <c r="A815" s="446">
        <v>90689</v>
      </c>
      <c r="B815" s="447" t="s">
        <v>1787</v>
      </c>
      <c r="C815" s="446" t="s">
        <v>19</v>
      </c>
      <c r="D815" s="448">
        <v>1.33</v>
      </c>
      <c r="E815" s="210"/>
    </row>
    <row r="816" spans="1:5" ht="54">
      <c r="A816" s="446">
        <v>90690</v>
      </c>
      <c r="B816" s="447" t="s">
        <v>1788</v>
      </c>
      <c r="C816" s="446" t="s">
        <v>19</v>
      </c>
      <c r="D816" s="448">
        <v>16.5</v>
      </c>
      <c r="E816" s="210"/>
    </row>
    <row r="817" spans="1:5" ht="54">
      <c r="A817" s="446">
        <v>90691</v>
      </c>
      <c r="B817" s="447" t="s">
        <v>1789</v>
      </c>
      <c r="C817" s="446" t="s">
        <v>19</v>
      </c>
      <c r="D817" s="448">
        <v>43.18</v>
      </c>
      <c r="E817" s="210"/>
    </row>
    <row r="818" spans="1:5" ht="54">
      <c r="A818" s="446">
        <v>90957</v>
      </c>
      <c r="B818" s="447" t="s">
        <v>388</v>
      </c>
      <c r="C818" s="446" t="s">
        <v>19</v>
      </c>
      <c r="D818" s="448">
        <v>3.45</v>
      </c>
      <c r="E818" s="210"/>
    </row>
    <row r="819" spans="1:5" ht="54">
      <c r="A819" s="446">
        <v>90958</v>
      </c>
      <c r="B819" s="447" t="s">
        <v>389</v>
      </c>
      <c r="C819" s="446" t="s">
        <v>19</v>
      </c>
      <c r="D819" s="448">
        <v>0.47</v>
      </c>
      <c r="E819" s="210"/>
    </row>
    <row r="820" spans="1:5" ht="54">
      <c r="A820" s="446">
        <v>90960</v>
      </c>
      <c r="B820" s="447" t="s">
        <v>390</v>
      </c>
      <c r="C820" s="446" t="s">
        <v>19</v>
      </c>
      <c r="D820" s="448">
        <v>4.6100000000000003</v>
      </c>
      <c r="E820" s="210"/>
    </row>
    <row r="821" spans="1:5" ht="54">
      <c r="A821" s="446">
        <v>90961</v>
      </c>
      <c r="B821" s="447" t="s">
        <v>391</v>
      </c>
      <c r="C821" s="446" t="s">
        <v>19</v>
      </c>
      <c r="D821" s="448">
        <v>0.64</v>
      </c>
      <c r="E821" s="210"/>
    </row>
    <row r="822" spans="1:5" ht="54">
      <c r="A822" s="446">
        <v>90962</v>
      </c>
      <c r="B822" s="447" t="s">
        <v>392</v>
      </c>
      <c r="C822" s="446" t="s">
        <v>19</v>
      </c>
      <c r="D822" s="448">
        <v>5.77</v>
      </c>
      <c r="E822" s="210"/>
    </row>
    <row r="823" spans="1:5" ht="54">
      <c r="A823" s="446">
        <v>90963</v>
      </c>
      <c r="B823" s="447" t="s">
        <v>1792</v>
      </c>
      <c r="C823" s="446" t="s">
        <v>19</v>
      </c>
      <c r="D823" s="448">
        <v>12.32</v>
      </c>
      <c r="E823" s="210"/>
    </row>
    <row r="824" spans="1:5" ht="54">
      <c r="A824" s="446">
        <v>90968</v>
      </c>
      <c r="B824" s="447" t="s">
        <v>1793</v>
      </c>
      <c r="C824" s="446" t="s">
        <v>19</v>
      </c>
      <c r="D824" s="448">
        <v>4.62</v>
      </c>
      <c r="E824" s="210"/>
    </row>
    <row r="825" spans="1:5" ht="54">
      <c r="A825" s="446">
        <v>90969</v>
      </c>
      <c r="B825" s="447" t="s">
        <v>1794</v>
      </c>
      <c r="C825" s="446" t="s">
        <v>19</v>
      </c>
      <c r="D825" s="448">
        <v>0.64</v>
      </c>
      <c r="E825" s="210"/>
    </row>
    <row r="826" spans="1:5" ht="54">
      <c r="A826" s="446">
        <v>90970</v>
      </c>
      <c r="B826" s="447" t="s">
        <v>1795</v>
      </c>
      <c r="C826" s="446" t="s">
        <v>19</v>
      </c>
      <c r="D826" s="448">
        <v>5.79</v>
      </c>
      <c r="E826" s="210"/>
    </row>
    <row r="827" spans="1:5" ht="54">
      <c r="A827" s="446">
        <v>90971</v>
      </c>
      <c r="B827" s="447" t="s">
        <v>1796</v>
      </c>
      <c r="C827" s="446" t="s">
        <v>19</v>
      </c>
      <c r="D827" s="448">
        <v>49.94</v>
      </c>
      <c r="E827" s="210"/>
    </row>
    <row r="828" spans="1:5" ht="54">
      <c r="A828" s="446">
        <v>90975</v>
      </c>
      <c r="B828" s="447" t="s">
        <v>395</v>
      </c>
      <c r="C828" s="446" t="s">
        <v>19</v>
      </c>
      <c r="D828" s="448">
        <v>11.74</v>
      </c>
      <c r="E828" s="210"/>
    </row>
    <row r="829" spans="1:5" ht="54">
      <c r="A829" s="446">
        <v>90976</v>
      </c>
      <c r="B829" s="447" t="s">
        <v>396</v>
      </c>
      <c r="C829" s="446" t="s">
        <v>19</v>
      </c>
      <c r="D829" s="448">
        <v>1.63</v>
      </c>
      <c r="E829" s="210"/>
    </row>
    <row r="830" spans="1:5" ht="54">
      <c r="A830" s="446">
        <v>90977</v>
      </c>
      <c r="B830" s="447" t="s">
        <v>397</v>
      </c>
      <c r="C830" s="446" t="s">
        <v>19</v>
      </c>
      <c r="D830" s="448">
        <v>14.7</v>
      </c>
      <c r="E830" s="210"/>
    </row>
    <row r="831" spans="1:5" ht="54">
      <c r="A831" s="446">
        <v>90978</v>
      </c>
      <c r="B831" s="447" t="s">
        <v>1799</v>
      </c>
      <c r="C831" s="446" t="s">
        <v>19</v>
      </c>
      <c r="D831" s="448">
        <v>129.56</v>
      </c>
      <c r="E831" s="210"/>
    </row>
    <row r="832" spans="1:5" ht="54">
      <c r="A832" s="446">
        <v>90992</v>
      </c>
      <c r="B832" s="447" t="s">
        <v>1801</v>
      </c>
      <c r="C832" s="446" t="s">
        <v>19</v>
      </c>
      <c r="D832" s="448">
        <v>5.48</v>
      </c>
      <c r="E832" s="210"/>
    </row>
    <row r="833" spans="1:5" ht="54">
      <c r="A833" s="446">
        <v>90993</v>
      </c>
      <c r="B833" s="447" t="s">
        <v>1802</v>
      </c>
      <c r="C833" s="446" t="s">
        <v>19</v>
      </c>
      <c r="D833" s="448">
        <v>0.76</v>
      </c>
      <c r="E833" s="210"/>
    </row>
    <row r="834" spans="1:5" ht="54">
      <c r="A834" s="446">
        <v>90994</v>
      </c>
      <c r="B834" s="447" t="s">
        <v>1803</v>
      </c>
      <c r="C834" s="446" t="s">
        <v>19</v>
      </c>
      <c r="D834" s="448">
        <v>6.86</v>
      </c>
      <c r="E834" s="210"/>
    </row>
    <row r="835" spans="1:5" ht="54">
      <c r="A835" s="446">
        <v>90995</v>
      </c>
      <c r="B835" s="447" t="s">
        <v>1804</v>
      </c>
      <c r="C835" s="446" t="s">
        <v>19</v>
      </c>
      <c r="D835" s="448">
        <v>67.83</v>
      </c>
      <c r="E835" s="210"/>
    </row>
    <row r="836" spans="1:5" ht="81">
      <c r="A836" s="446">
        <v>91021</v>
      </c>
      <c r="B836" s="447" t="s">
        <v>1807</v>
      </c>
      <c r="C836" s="446" t="s">
        <v>19</v>
      </c>
      <c r="D836" s="448">
        <v>4.28</v>
      </c>
      <c r="E836" s="210"/>
    </row>
    <row r="837" spans="1:5" ht="67.5">
      <c r="A837" s="446">
        <v>91026</v>
      </c>
      <c r="B837" s="447" t="s">
        <v>400</v>
      </c>
      <c r="C837" s="446" t="s">
        <v>19</v>
      </c>
      <c r="D837" s="448">
        <v>14.84</v>
      </c>
      <c r="E837" s="210"/>
    </row>
    <row r="838" spans="1:5" ht="67.5">
      <c r="A838" s="446">
        <v>91027</v>
      </c>
      <c r="B838" s="447" t="s">
        <v>401</v>
      </c>
      <c r="C838" s="446" t="s">
        <v>19</v>
      </c>
      <c r="D838" s="448">
        <v>3.11</v>
      </c>
      <c r="E838" s="210"/>
    </row>
    <row r="839" spans="1:5" ht="81">
      <c r="A839" s="446">
        <v>91028</v>
      </c>
      <c r="B839" s="447" t="s">
        <v>402</v>
      </c>
      <c r="C839" s="446" t="s">
        <v>19</v>
      </c>
      <c r="D839" s="448">
        <v>1.2</v>
      </c>
      <c r="E839" s="210"/>
    </row>
    <row r="840" spans="1:5" ht="67.5">
      <c r="A840" s="446">
        <v>91029</v>
      </c>
      <c r="B840" s="447" t="s">
        <v>403</v>
      </c>
      <c r="C840" s="446" t="s">
        <v>19</v>
      </c>
      <c r="D840" s="448">
        <v>27.83</v>
      </c>
      <c r="E840" s="210"/>
    </row>
    <row r="841" spans="1:5" ht="81">
      <c r="A841" s="446">
        <v>91030</v>
      </c>
      <c r="B841" s="447" t="s">
        <v>404</v>
      </c>
      <c r="C841" s="446" t="s">
        <v>19</v>
      </c>
      <c r="D841" s="448">
        <v>117.33</v>
      </c>
      <c r="E841" s="210"/>
    </row>
    <row r="842" spans="1:5" ht="54">
      <c r="A842" s="446">
        <v>91273</v>
      </c>
      <c r="B842" s="447" t="s">
        <v>1859</v>
      </c>
      <c r="C842" s="446" t="s">
        <v>19</v>
      </c>
      <c r="D842" s="448">
        <v>0.46</v>
      </c>
      <c r="E842" s="210"/>
    </row>
    <row r="843" spans="1:5" ht="54">
      <c r="A843" s="446">
        <v>91274</v>
      </c>
      <c r="B843" s="447" t="s">
        <v>1860</v>
      </c>
      <c r="C843" s="446" t="s">
        <v>19</v>
      </c>
      <c r="D843" s="448">
        <v>0.06</v>
      </c>
      <c r="E843" s="210"/>
    </row>
    <row r="844" spans="1:5" ht="54">
      <c r="A844" s="446">
        <v>91275</v>
      </c>
      <c r="B844" s="447" t="s">
        <v>1861</v>
      </c>
      <c r="C844" s="446" t="s">
        <v>19</v>
      </c>
      <c r="D844" s="448">
        <v>0.57999999999999996</v>
      </c>
      <c r="E844" s="210"/>
    </row>
    <row r="845" spans="1:5" ht="54">
      <c r="A845" s="446">
        <v>91276</v>
      </c>
      <c r="B845" s="447" t="s">
        <v>1862</v>
      </c>
      <c r="C845" s="446" t="s">
        <v>19</v>
      </c>
      <c r="D845" s="448">
        <v>8.39</v>
      </c>
      <c r="E845" s="210"/>
    </row>
    <row r="846" spans="1:5" ht="67.5">
      <c r="A846" s="446">
        <v>91279</v>
      </c>
      <c r="B846" s="447" t="s">
        <v>1865</v>
      </c>
      <c r="C846" s="446" t="s">
        <v>19</v>
      </c>
      <c r="D846" s="448">
        <v>0.94</v>
      </c>
      <c r="E846" s="210"/>
    </row>
    <row r="847" spans="1:5" ht="67.5">
      <c r="A847" s="446">
        <v>91280</v>
      </c>
      <c r="B847" s="447" t="s">
        <v>1866</v>
      </c>
      <c r="C847" s="446" t="s">
        <v>19</v>
      </c>
      <c r="D847" s="448">
        <v>0.1</v>
      </c>
      <c r="E847" s="210"/>
    </row>
    <row r="848" spans="1:5" ht="67.5">
      <c r="A848" s="446">
        <v>91281</v>
      </c>
      <c r="B848" s="447" t="s">
        <v>1867</v>
      </c>
      <c r="C848" s="446" t="s">
        <v>19</v>
      </c>
      <c r="D848" s="448">
        <v>1.17</v>
      </c>
      <c r="E848" s="210"/>
    </row>
    <row r="849" spans="1:5" ht="81">
      <c r="A849" s="446">
        <v>91282</v>
      </c>
      <c r="B849" s="447" t="s">
        <v>1868</v>
      </c>
      <c r="C849" s="446" t="s">
        <v>19</v>
      </c>
      <c r="D849" s="448">
        <v>20.059999999999999</v>
      </c>
      <c r="E849" s="210"/>
    </row>
    <row r="850" spans="1:5" ht="67.5">
      <c r="A850" s="446">
        <v>91354</v>
      </c>
      <c r="B850" s="447" t="s">
        <v>416</v>
      </c>
      <c r="C850" s="446" t="s">
        <v>19</v>
      </c>
      <c r="D850" s="448">
        <v>11.37</v>
      </c>
      <c r="E850" s="210"/>
    </row>
    <row r="851" spans="1:5" ht="67.5">
      <c r="A851" s="446">
        <v>91355</v>
      </c>
      <c r="B851" s="447" t="s">
        <v>417</v>
      </c>
      <c r="C851" s="446" t="s">
        <v>19</v>
      </c>
      <c r="D851" s="448">
        <v>2.38</v>
      </c>
      <c r="E851" s="210"/>
    </row>
    <row r="852" spans="1:5" ht="67.5">
      <c r="A852" s="446">
        <v>91356</v>
      </c>
      <c r="B852" s="447" t="s">
        <v>418</v>
      </c>
      <c r="C852" s="446" t="s">
        <v>19</v>
      </c>
      <c r="D852" s="448">
        <v>0.92</v>
      </c>
      <c r="E852" s="210"/>
    </row>
    <row r="853" spans="1:5" ht="67.5">
      <c r="A853" s="446">
        <v>91359</v>
      </c>
      <c r="B853" s="447" t="s">
        <v>1871</v>
      </c>
      <c r="C853" s="446" t="s">
        <v>19</v>
      </c>
      <c r="D853" s="448">
        <v>13.2</v>
      </c>
      <c r="E853" s="210"/>
    </row>
    <row r="854" spans="1:5" ht="67.5">
      <c r="A854" s="446">
        <v>91360</v>
      </c>
      <c r="B854" s="447" t="s">
        <v>1872</v>
      </c>
      <c r="C854" s="446" t="s">
        <v>19</v>
      </c>
      <c r="D854" s="448">
        <v>2.76</v>
      </c>
      <c r="E854" s="210"/>
    </row>
    <row r="855" spans="1:5" ht="67.5">
      <c r="A855" s="446">
        <v>91361</v>
      </c>
      <c r="B855" s="447" t="s">
        <v>1873</v>
      </c>
      <c r="C855" s="446" t="s">
        <v>19</v>
      </c>
      <c r="D855" s="448">
        <v>1.06</v>
      </c>
      <c r="E855" s="210"/>
    </row>
    <row r="856" spans="1:5" ht="67.5">
      <c r="A856" s="446">
        <v>91367</v>
      </c>
      <c r="B856" s="447" t="s">
        <v>1874</v>
      </c>
      <c r="C856" s="446" t="s">
        <v>19</v>
      </c>
      <c r="D856" s="448">
        <v>17.100000000000001</v>
      </c>
      <c r="E856" s="210"/>
    </row>
    <row r="857" spans="1:5" ht="67.5">
      <c r="A857" s="446">
        <v>91368</v>
      </c>
      <c r="B857" s="447" t="s">
        <v>1875</v>
      </c>
      <c r="C857" s="446" t="s">
        <v>19</v>
      </c>
      <c r="D857" s="448">
        <v>3.15</v>
      </c>
      <c r="E857" s="210"/>
    </row>
    <row r="858" spans="1:5" ht="81">
      <c r="A858" s="446">
        <v>91369</v>
      </c>
      <c r="B858" s="447" t="s">
        <v>1876</v>
      </c>
      <c r="C858" s="446" t="s">
        <v>19</v>
      </c>
      <c r="D858" s="448">
        <v>1.23</v>
      </c>
      <c r="E858" s="210"/>
    </row>
    <row r="859" spans="1:5" ht="67.5">
      <c r="A859" s="446">
        <v>91375</v>
      </c>
      <c r="B859" s="447" t="s">
        <v>1877</v>
      </c>
      <c r="C859" s="446" t="s">
        <v>19</v>
      </c>
      <c r="D859" s="448">
        <v>9.58</v>
      </c>
      <c r="E859" s="210"/>
    </row>
    <row r="860" spans="1:5" ht="67.5">
      <c r="A860" s="446">
        <v>91376</v>
      </c>
      <c r="B860" s="447" t="s">
        <v>1878</v>
      </c>
      <c r="C860" s="446" t="s">
        <v>19</v>
      </c>
      <c r="D860" s="448">
        <v>2.0099999999999998</v>
      </c>
      <c r="E860" s="210"/>
    </row>
    <row r="861" spans="1:5" ht="67.5">
      <c r="A861" s="446">
        <v>91377</v>
      </c>
      <c r="B861" s="447" t="s">
        <v>1879</v>
      </c>
      <c r="C861" s="446" t="s">
        <v>19</v>
      </c>
      <c r="D861" s="448">
        <v>0.78</v>
      </c>
      <c r="E861" s="210"/>
    </row>
    <row r="862" spans="1:5" ht="81">
      <c r="A862" s="446">
        <v>91380</v>
      </c>
      <c r="B862" s="447" t="s">
        <v>1880</v>
      </c>
      <c r="C862" s="446" t="s">
        <v>19</v>
      </c>
      <c r="D862" s="448">
        <v>19.41</v>
      </c>
      <c r="E862" s="210"/>
    </row>
    <row r="863" spans="1:5" ht="81">
      <c r="A863" s="446">
        <v>91381</v>
      </c>
      <c r="B863" s="447" t="s">
        <v>1881</v>
      </c>
      <c r="C863" s="446" t="s">
        <v>19</v>
      </c>
      <c r="D863" s="448">
        <v>3.59</v>
      </c>
      <c r="E863" s="210"/>
    </row>
    <row r="864" spans="1:5" ht="81">
      <c r="A864" s="446">
        <v>91382</v>
      </c>
      <c r="B864" s="447" t="s">
        <v>1882</v>
      </c>
      <c r="C864" s="446" t="s">
        <v>19</v>
      </c>
      <c r="D864" s="448">
        <v>1.4</v>
      </c>
      <c r="E864" s="210"/>
    </row>
    <row r="865" spans="1:5" ht="81">
      <c r="A865" s="446">
        <v>91383</v>
      </c>
      <c r="B865" s="447" t="s">
        <v>1883</v>
      </c>
      <c r="C865" s="446" t="s">
        <v>19</v>
      </c>
      <c r="D865" s="448">
        <v>36.4</v>
      </c>
      <c r="E865" s="210"/>
    </row>
    <row r="866" spans="1:5" ht="81">
      <c r="A866" s="446">
        <v>91384</v>
      </c>
      <c r="B866" s="447" t="s">
        <v>1884</v>
      </c>
      <c r="C866" s="446" t="s">
        <v>19</v>
      </c>
      <c r="D866" s="448">
        <v>116.84</v>
      </c>
      <c r="E866" s="210"/>
    </row>
    <row r="867" spans="1:5" ht="94.5">
      <c r="A867" s="446">
        <v>91390</v>
      </c>
      <c r="B867" s="447" t="s">
        <v>1887</v>
      </c>
      <c r="C867" s="446" t="s">
        <v>19</v>
      </c>
      <c r="D867" s="448">
        <v>12.49</v>
      </c>
      <c r="E867" s="210"/>
    </row>
    <row r="868" spans="1:5" ht="94.5">
      <c r="A868" s="446">
        <v>91391</v>
      </c>
      <c r="B868" s="447" t="s">
        <v>1888</v>
      </c>
      <c r="C868" s="446" t="s">
        <v>19</v>
      </c>
      <c r="D868" s="448">
        <v>2.62</v>
      </c>
      <c r="E868" s="210"/>
    </row>
    <row r="869" spans="1:5" ht="94.5">
      <c r="A869" s="446">
        <v>91392</v>
      </c>
      <c r="B869" s="447" t="s">
        <v>1889</v>
      </c>
      <c r="C869" s="446" t="s">
        <v>19</v>
      </c>
      <c r="D869" s="448">
        <v>1.01</v>
      </c>
      <c r="E869" s="210"/>
    </row>
    <row r="870" spans="1:5" ht="81">
      <c r="A870" s="446">
        <v>91396</v>
      </c>
      <c r="B870" s="447" t="s">
        <v>1891</v>
      </c>
      <c r="C870" s="446" t="s">
        <v>19</v>
      </c>
      <c r="D870" s="448">
        <v>16.91</v>
      </c>
      <c r="E870" s="210"/>
    </row>
    <row r="871" spans="1:5" ht="81">
      <c r="A871" s="446">
        <v>91397</v>
      </c>
      <c r="B871" s="447" t="s">
        <v>1892</v>
      </c>
      <c r="C871" s="446" t="s">
        <v>19</v>
      </c>
      <c r="D871" s="448">
        <v>3.54</v>
      </c>
      <c r="E871" s="210"/>
    </row>
    <row r="872" spans="1:5" ht="81">
      <c r="A872" s="446">
        <v>91398</v>
      </c>
      <c r="B872" s="447" t="s">
        <v>1893</v>
      </c>
      <c r="C872" s="446" t="s">
        <v>19</v>
      </c>
      <c r="D872" s="448">
        <v>1.37</v>
      </c>
      <c r="E872" s="210"/>
    </row>
    <row r="873" spans="1:5" ht="81">
      <c r="A873" s="446">
        <v>91402</v>
      </c>
      <c r="B873" s="447" t="s">
        <v>1894</v>
      </c>
      <c r="C873" s="446" t="s">
        <v>19</v>
      </c>
      <c r="D873" s="448">
        <v>1.17</v>
      </c>
      <c r="E873" s="210"/>
    </row>
    <row r="874" spans="1:5" ht="81">
      <c r="A874" s="446">
        <v>91466</v>
      </c>
      <c r="B874" s="447" t="s">
        <v>1895</v>
      </c>
      <c r="C874" s="446" t="s">
        <v>19</v>
      </c>
      <c r="D874" s="448">
        <v>1.1000000000000001</v>
      </c>
      <c r="E874" s="210"/>
    </row>
    <row r="875" spans="1:5" ht="81">
      <c r="A875" s="446">
        <v>91467</v>
      </c>
      <c r="B875" s="447" t="s">
        <v>1896</v>
      </c>
      <c r="C875" s="446" t="s">
        <v>19</v>
      </c>
      <c r="D875" s="448">
        <v>130.29</v>
      </c>
      <c r="E875" s="210"/>
    </row>
    <row r="876" spans="1:5" ht="81">
      <c r="A876" s="446">
        <v>91468</v>
      </c>
      <c r="B876" s="447" t="s">
        <v>1897</v>
      </c>
      <c r="C876" s="446" t="s">
        <v>19</v>
      </c>
      <c r="D876" s="448">
        <v>18.41</v>
      </c>
      <c r="E876" s="210"/>
    </row>
    <row r="877" spans="1:5" ht="81">
      <c r="A877" s="446">
        <v>91469</v>
      </c>
      <c r="B877" s="447" t="s">
        <v>419</v>
      </c>
      <c r="C877" s="446" t="s">
        <v>19</v>
      </c>
      <c r="D877" s="448">
        <v>3.97</v>
      </c>
      <c r="E877" s="210"/>
    </row>
    <row r="878" spans="1:5" ht="81">
      <c r="A878" s="446">
        <v>91484</v>
      </c>
      <c r="B878" s="447" t="s">
        <v>1898</v>
      </c>
      <c r="C878" s="446" t="s">
        <v>19</v>
      </c>
      <c r="D878" s="448">
        <v>1.26</v>
      </c>
      <c r="E878" s="210"/>
    </row>
    <row r="879" spans="1:5" ht="94.5">
      <c r="A879" s="446">
        <v>91485</v>
      </c>
      <c r="B879" s="447" t="s">
        <v>1899</v>
      </c>
      <c r="C879" s="446" t="s">
        <v>19</v>
      </c>
      <c r="D879" s="448">
        <v>176.83</v>
      </c>
      <c r="E879" s="210"/>
    </row>
    <row r="880" spans="1:5" ht="54">
      <c r="A880" s="446">
        <v>91529</v>
      </c>
      <c r="B880" s="447" t="s">
        <v>1908</v>
      </c>
      <c r="C880" s="446" t="s">
        <v>19</v>
      </c>
      <c r="D880" s="448">
        <v>0.68</v>
      </c>
      <c r="E880" s="210"/>
    </row>
    <row r="881" spans="1:5" ht="54">
      <c r="A881" s="446">
        <v>91530</v>
      </c>
      <c r="B881" s="447" t="s">
        <v>1909</v>
      </c>
      <c r="C881" s="446" t="s">
        <v>19</v>
      </c>
      <c r="D881" s="448">
        <v>0.09</v>
      </c>
      <c r="E881" s="210"/>
    </row>
    <row r="882" spans="1:5" ht="54">
      <c r="A882" s="446">
        <v>91531</v>
      </c>
      <c r="B882" s="447" t="s">
        <v>1910</v>
      </c>
      <c r="C882" s="446" t="s">
        <v>19</v>
      </c>
      <c r="D882" s="448">
        <v>0.85</v>
      </c>
      <c r="E882" s="210"/>
    </row>
    <row r="883" spans="1:5" ht="54">
      <c r="A883" s="446">
        <v>91532</v>
      </c>
      <c r="B883" s="447" t="s">
        <v>1911</v>
      </c>
      <c r="C883" s="446" t="s">
        <v>19</v>
      </c>
      <c r="D883" s="448">
        <v>6.08</v>
      </c>
      <c r="E883" s="210"/>
    </row>
    <row r="884" spans="1:5" ht="81">
      <c r="A884" s="446">
        <v>91629</v>
      </c>
      <c r="B884" s="447" t="s">
        <v>1914</v>
      </c>
      <c r="C884" s="446" t="s">
        <v>19</v>
      </c>
      <c r="D884" s="448">
        <v>12.45</v>
      </c>
      <c r="E884" s="210"/>
    </row>
    <row r="885" spans="1:5" ht="81">
      <c r="A885" s="446">
        <v>91630</v>
      </c>
      <c r="B885" s="447" t="s">
        <v>1915</v>
      </c>
      <c r="C885" s="446" t="s">
        <v>19</v>
      </c>
      <c r="D885" s="448">
        <v>2.61</v>
      </c>
      <c r="E885" s="210"/>
    </row>
    <row r="886" spans="1:5" ht="81">
      <c r="A886" s="446">
        <v>91631</v>
      </c>
      <c r="B886" s="447" t="s">
        <v>1916</v>
      </c>
      <c r="C886" s="446" t="s">
        <v>19</v>
      </c>
      <c r="D886" s="448">
        <v>1.01</v>
      </c>
      <c r="E886" s="210"/>
    </row>
    <row r="887" spans="1:5" ht="81">
      <c r="A887" s="446">
        <v>91632</v>
      </c>
      <c r="B887" s="447" t="s">
        <v>1917</v>
      </c>
      <c r="C887" s="446" t="s">
        <v>19</v>
      </c>
      <c r="D887" s="448">
        <v>23.34</v>
      </c>
      <c r="E887" s="210"/>
    </row>
    <row r="888" spans="1:5" ht="81">
      <c r="A888" s="446">
        <v>91633</v>
      </c>
      <c r="B888" s="447" t="s">
        <v>1918</v>
      </c>
      <c r="C888" s="446" t="s">
        <v>19</v>
      </c>
      <c r="D888" s="448">
        <v>110.28</v>
      </c>
      <c r="E888" s="210"/>
    </row>
    <row r="889" spans="1:5" ht="81">
      <c r="A889" s="446">
        <v>91640</v>
      </c>
      <c r="B889" s="447" t="s">
        <v>1921</v>
      </c>
      <c r="C889" s="446" t="s">
        <v>19</v>
      </c>
      <c r="D889" s="448">
        <v>28.47</v>
      </c>
      <c r="E889" s="210"/>
    </row>
    <row r="890" spans="1:5" ht="81">
      <c r="A890" s="446">
        <v>91641</v>
      </c>
      <c r="B890" s="447" t="s">
        <v>1922</v>
      </c>
      <c r="C890" s="446" t="s">
        <v>19</v>
      </c>
      <c r="D890" s="448">
        <v>5.97</v>
      </c>
      <c r="E890" s="210"/>
    </row>
    <row r="891" spans="1:5" ht="94.5">
      <c r="A891" s="446">
        <v>91642</v>
      </c>
      <c r="B891" s="447" t="s">
        <v>1923</v>
      </c>
      <c r="C891" s="446" t="s">
        <v>19</v>
      </c>
      <c r="D891" s="448">
        <v>2.31</v>
      </c>
      <c r="E891" s="210"/>
    </row>
    <row r="892" spans="1:5" ht="81">
      <c r="A892" s="446">
        <v>91643</v>
      </c>
      <c r="B892" s="447" t="s">
        <v>1924</v>
      </c>
      <c r="C892" s="446" t="s">
        <v>19</v>
      </c>
      <c r="D892" s="448">
        <v>53.38</v>
      </c>
      <c r="E892" s="210"/>
    </row>
    <row r="893" spans="1:5" ht="94.5">
      <c r="A893" s="446">
        <v>91644</v>
      </c>
      <c r="B893" s="447" t="s">
        <v>1925</v>
      </c>
      <c r="C893" s="446" t="s">
        <v>19</v>
      </c>
      <c r="D893" s="448">
        <v>248.17</v>
      </c>
      <c r="E893" s="210"/>
    </row>
    <row r="894" spans="1:5" ht="54">
      <c r="A894" s="446">
        <v>91688</v>
      </c>
      <c r="B894" s="447" t="s">
        <v>1928</v>
      </c>
      <c r="C894" s="446" t="s">
        <v>19</v>
      </c>
      <c r="D894" s="448">
        <v>0.11</v>
      </c>
      <c r="E894" s="210"/>
    </row>
    <row r="895" spans="1:5" ht="40.5">
      <c r="A895" s="446">
        <v>91689</v>
      </c>
      <c r="B895" s="447" t="s">
        <v>1929</v>
      </c>
      <c r="C895" s="446" t="s">
        <v>19</v>
      </c>
      <c r="D895" s="448">
        <v>0.02</v>
      </c>
      <c r="E895" s="210"/>
    </row>
    <row r="896" spans="1:5" ht="40.5">
      <c r="A896" s="446">
        <v>91690</v>
      </c>
      <c r="B896" s="447" t="s">
        <v>1930</v>
      </c>
      <c r="C896" s="446" t="s">
        <v>19</v>
      </c>
      <c r="D896" s="448">
        <v>7.0000000000000007E-2</v>
      </c>
      <c r="E896" s="210"/>
    </row>
    <row r="897" spans="1:5" ht="54">
      <c r="A897" s="446">
        <v>91691</v>
      </c>
      <c r="B897" s="447" t="s">
        <v>1931</v>
      </c>
      <c r="C897" s="446" t="s">
        <v>19</v>
      </c>
      <c r="D897" s="448">
        <v>2.66</v>
      </c>
      <c r="E897" s="210"/>
    </row>
    <row r="898" spans="1:5" ht="40.5">
      <c r="A898" s="446">
        <v>92040</v>
      </c>
      <c r="B898" s="447" t="s">
        <v>2068</v>
      </c>
      <c r="C898" s="446" t="s">
        <v>19</v>
      </c>
      <c r="D898" s="448">
        <v>5.82</v>
      </c>
      <c r="E898" s="210"/>
    </row>
    <row r="899" spans="1:5" ht="40.5">
      <c r="A899" s="446">
        <v>92041</v>
      </c>
      <c r="B899" s="447" t="s">
        <v>2069</v>
      </c>
      <c r="C899" s="446" t="s">
        <v>19</v>
      </c>
      <c r="D899" s="448">
        <v>0.61</v>
      </c>
      <c r="E899" s="210"/>
    </row>
    <row r="900" spans="1:5" ht="40.5">
      <c r="A900" s="446">
        <v>92042</v>
      </c>
      <c r="B900" s="447" t="s">
        <v>2070</v>
      </c>
      <c r="C900" s="446" t="s">
        <v>19</v>
      </c>
      <c r="D900" s="448">
        <v>4.8499999999999996</v>
      </c>
      <c r="E900" s="210"/>
    </row>
    <row r="901" spans="1:5" ht="94.5">
      <c r="A901" s="446">
        <v>92101</v>
      </c>
      <c r="B901" s="447" t="s">
        <v>2073</v>
      </c>
      <c r="C901" s="446" t="s">
        <v>19</v>
      </c>
      <c r="D901" s="448">
        <v>18.59</v>
      </c>
      <c r="E901" s="210"/>
    </row>
    <row r="902" spans="1:5" ht="94.5">
      <c r="A902" s="446">
        <v>92102</v>
      </c>
      <c r="B902" s="447" t="s">
        <v>2074</v>
      </c>
      <c r="C902" s="446" t="s">
        <v>19</v>
      </c>
      <c r="D902" s="448">
        <v>3.89</v>
      </c>
      <c r="E902" s="210"/>
    </row>
    <row r="903" spans="1:5" ht="94.5">
      <c r="A903" s="446">
        <v>92103</v>
      </c>
      <c r="B903" s="447" t="s">
        <v>2075</v>
      </c>
      <c r="C903" s="446" t="s">
        <v>19</v>
      </c>
      <c r="D903" s="448">
        <v>1.51</v>
      </c>
      <c r="E903" s="210"/>
    </row>
    <row r="904" spans="1:5" ht="94.5">
      <c r="A904" s="446">
        <v>92104</v>
      </c>
      <c r="B904" s="447" t="s">
        <v>2076</v>
      </c>
      <c r="C904" s="446" t="s">
        <v>19</v>
      </c>
      <c r="D904" s="448">
        <v>34.85</v>
      </c>
      <c r="E904" s="210"/>
    </row>
    <row r="905" spans="1:5" ht="94.5">
      <c r="A905" s="446">
        <v>92105</v>
      </c>
      <c r="B905" s="447" t="s">
        <v>3538</v>
      </c>
      <c r="C905" s="446" t="s">
        <v>19</v>
      </c>
      <c r="D905" s="448">
        <v>158.54</v>
      </c>
      <c r="E905" s="210"/>
    </row>
    <row r="906" spans="1:5" ht="54">
      <c r="A906" s="446">
        <v>92108</v>
      </c>
      <c r="B906" s="447" t="s">
        <v>455</v>
      </c>
      <c r="C906" s="446" t="s">
        <v>19</v>
      </c>
      <c r="D906" s="448">
        <v>0.91</v>
      </c>
      <c r="E906" s="210"/>
    </row>
    <row r="907" spans="1:5" ht="54">
      <c r="A907" s="446">
        <v>92109</v>
      </c>
      <c r="B907" s="447" t="s">
        <v>456</v>
      </c>
      <c r="C907" s="446" t="s">
        <v>19</v>
      </c>
      <c r="D907" s="448">
        <v>0.1</v>
      </c>
      <c r="E907" s="210"/>
    </row>
    <row r="908" spans="1:5" ht="54">
      <c r="A908" s="446">
        <v>92110</v>
      </c>
      <c r="B908" s="447" t="s">
        <v>457</v>
      </c>
      <c r="C908" s="446" t="s">
        <v>19</v>
      </c>
      <c r="D908" s="448">
        <v>0.71</v>
      </c>
      <c r="E908" s="210"/>
    </row>
    <row r="909" spans="1:5" ht="54">
      <c r="A909" s="446">
        <v>92111</v>
      </c>
      <c r="B909" s="447" t="s">
        <v>458</v>
      </c>
      <c r="C909" s="446" t="s">
        <v>19</v>
      </c>
      <c r="D909" s="448">
        <v>1.05</v>
      </c>
      <c r="E909" s="210"/>
    </row>
    <row r="910" spans="1:5" ht="27">
      <c r="A910" s="446">
        <v>92114</v>
      </c>
      <c r="B910" s="447" t="s">
        <v>461</v>
      </c>
      <c r="C910" s="446" t="s">
        <v>19</v>
      </c>
      <c r="D910" s="448">
        <v>0.1</v>
      </c>
      <c r="E910" s="210"/>
    </row>
    <row r="911" spans="1:5" ht="27">
      <c r="A911" s="446">
        <v>92115</v>
      </c>
      <c r="B911" s="447" t="s">
        <v>462</v>
      </c>
      <c r="C911" s="446" t="s">
        <v>19</v>
      </c>
      <c r="D911" s="448">
        <v>0.01</v>
      </c>
      <c r="E911" s="210"/>
    </row>
    <row r="912" spans="1:5" ht="27">
      <c r="A912" s="446">
        <v>92116</v>
      </c>
      <c r="B912" s="447" t="s">
        <v>463</v>
      </c>
      <c r="C912" s="446" t="s">
        <v>19</v>
      </c>
      <c r="D912" s="448">
        <v>0.12</v>
      </c>
      <c r="E912" s="210"/>
    </row>
    <row r="913" spans="1:5" ht="40.5">
      <c r="A913" s="446">
        <v>92133</v>
      </c>
      <c r="B913" s="447" t="s">
        <v>2079</v>
      </c>
      <c r="C913" s="446" t="s">
        <v>19</v>
      </c>
      <c r="D913" s="448">
        <v>9.57</v>
      </c>
      <c r="E913" s="210"/>
    </row>
    <row r="914" spans="1:5" ht="40.5">
      <c r="A914" s="446">
        <v>92134</v>
      </c>
      <c r="B914" s="447" t="s">
        <v>2080</v>
      </c>
      <c r="C914" s="446" t="s">
        <v>19</v>
      </c>
      <c r="D914" s="448">
        <v>1.51</v>
      </c>
      <c r="E914" s="210"/>
    </row>
    <row r="915" spans="1:5" ht="40.5">
      <c r="A915" s="446">
        <v>92135</v>
      </c>
      <c r="B915" s="447" t="s">
        <v>2081</v>
      </c>
      <c r="C915" s="446" t="s">
        <v>19</v>
      </c>
      <c r="D915" s="448">
        <v>0.59</v>
      </c>
      <c r="E915" s="210"/>
    </row>
    <row r="916" spans="1:5" ht="40.5">
      <c r="A916" s="446">
        <v>92136</v>
      </c>
      <c r="B916" s="447" t="s">
        <v>2082</v>
      </c>
      <c r="C916" s="446" t="s">
        <v>19</v>
      </c>
      <c r="D916" s="448">
        <v>11.96</v>
      </c>
      <c r="E916" s="210"/>
    </row>
    <row r="917" spans="1:5" ht="40.5">
      <c r="A917" s="446">
        <v>92137</v>
      </c>
      <c r="B917" s="447" t="s">
        <v>2083</v>
      </c>
      <c r="C917" s="446" t="s">
        <v>19</v>
      </c>
      <c r="D917" s="448">
        <v>32.630000000000003</v>
      </c>
      <c r="E917" s="210"/>
    </row>
    <row r="918" spans="1:5" ht="54">
      <c r="A918" s="446">
        <v>92140</v>
      </c>
      <c r="B918" s="447" t="s">
        <v>469</v>
      </c>
      <c r="C918" s="446" t="s">
        <v>19</v>
      </c>
      <c r="D918" s="448">
        <v>2.91</v>
      </c>
      <c r="E918" s="210"/>
    </row>
    <row r="919" spans="1:5" ht="54">
      <c r="A919" s="446">
        <v>92141</v>
      </c>
      <c r="B919" s="447" t="s">
        <v>470</v>
      </c>
      <c r="C919" s="446" t="s">
        <v>19</v>
      </c>
      <c r="D919" s="448">
        <v>0.46</v>
      </c>
      <c r="E919" s="210"/>
    </row>
    <row r="920" spans="1:5" ht="54">
      <c r="A920" s="446">
        <v>92142</v>
      </c>
      <c r="B920" s="447" t="s">
        <v>471</v>
      </c>
      <c r="C920" s="446" t="s">
        <v>19</v>
      </c>
      <c r="D920" s="448">
        <v>0.18</v>
      </c>
      <c r="E920" s="210"/>
    </row>
    <row r="921" spans="1:5" ht="54">
      <c r="A921" s="446">
        <v>92143</v>
      </c>
      <c r="B921" s="447" t="s">
        <v>472</v>
      </c>
      <c r="C921" s="446" t="s">
        <v>19</v>
      </c>
      <c r="D921" s="448">
        <v>3.64</v>
      </c>
      <c r="E921" s="210"/>
    </row>
    <row r="922" spans="1:5" ht="54">
      <c r="A922" s="446">
        <v>92144</v>
      </c>
      <c r="B922" s="447" t="s">
        <v>473</v>
      </c>
      <c r="C922" s="446" t="s">
        <v>19</v>
      </c>
      <c r="D922" s="448">
        <v>39.53</v>
      </c>
      <c r="E922" s="210"/>
    </row>
    <row r="923" spans="1:5" ht="81">
      <c r="A923" s="446">
        <v>92237</v>
      </c>
      <c r="B923" s="447" t="s">
        <v>2100</v>
      </c>
      <c r="C923" s="446" t="s">
        <v>19</v>
      </c>
      <c r="D923" s="448">
        <v>20.88</v>
      </c>
      <c r="E923" s="210"/>
    </row>
    <row r="924" spans="1:5" ht="81">
      <c r="A924" s="446">
        <v>92238</v>
      </c>
      <c r="B924" s="447" t="s">
        <v>2101</v>
      </c>
      <c r="C924" s="446" t="s">
        <v>19</v>
      </c>
      <c r="D924" s="448">
        <v>4.38</v>
      </c>
      <c r="E924" s="210"/>
    </row>
    <row r="925" spans="1:5" ht="94.5">
      <c r="A925" s="446">
        <v>92239</v>
      </c>
      <c r="B925" s="447" t="s">
        <v>2102</v>
      </c>
      <c r="C925" s="446" t="s">
        <v>19</v>
      </c>
      <c r="D925" s="448">
        <v>1.69</v>
      </c>
      <c r="E925" s="210"/>
    </row>
    <row r="926" spans="1:5" ht="81">
      <c r="A926" s="446">
        <v>92240</v>
      </c>
      <c r="B926" s="447" t="s">
        <v>2103</v>
      </c>
      <c r="C926" s="446" t="s">
        <v>19</v>
      </c>
      <c r="D926" s="448">
        <v>39.14</v>
      </c>
      <c r="E926" s="210"/>
    </row>
    <row r="927" spans="1:5" ht="94.5">
      <c r="A927" s="446">
        <v>92241</v>
      </c>
      <c r="B927" s="447" t="s">
        <v>2104</v>
      </c>
      <c r="C927" s="446" t="s">
        <v>19</v>
      </c>
      <c r="D927" s="448">
        <v>227.51</v>
      </c>
      <c r="E927" s="210"/>
    </row>
    <row r="928" spans="1:5" ht="54">
      <c r="A928" s="446">
        <v>92712</v>
      </c>
      <c r="B928" s="447" t="s">
        <v>2141</v>
      </c>
      <c r="C928" s="446" t="s">
        <v>19</v>
      </c>
      <c r="D928" s="448">
        <v>0.31</v>
      </c>
      <c r="E928" s="210"/>
    </row>
    <row r="929" spans="1:5" ht="54">
      <c r="A929" s="446">
        <v>92713</v>
      </c>
      <c r="B929" s="447" t="s">
        <v>2142</v>
      </c>
      <c r="C929" s="446" t="s">
        <v>19</v>
      </c>
      <c r="D929" s="448">
        <v>0.03</v>
      </c>
      <c r="E929" s="210"/>
    </row>
    <row r="930" spans="1:5" ht="54">
      <c r="A930" s="446">
        <v>92714</v>
      </c>
      <c r="B930" s="447" t="s">
        <v>2143</v>
      </c>
      <c r="C930" s="446" t="s">
        <v>19</v>
      </c>
      <c r="D930" s="448">
        <v>0.38</v>
      </c>
      <c r="E930" s="210"/>
    </row>
    <row r="931" spans="1:5" ht="54">
      <c r="A931" s="446">
        <v>92715</v>
      </c>
      <c r="B931" s="447" t="s">
        <v>2144</v>
      </c>
      <c r="C931" s="446" t="s">
        <v>19</v>
      </c>
      <c r="D931" s="448">
        <v>26.04</v>
      </c>
      <c r="E931" s="210"/>
    </row>
    <row r="932" spans="1:5" ht="54">
      <c r="A932" s="446">
        <v>92956</v>
      </c>
      <c r="B932" s="447" t="s">
        <v>2292</v>
      </c>
      <c r="C932" s="446" t="s">
        <v>19</v>
      </c>
      <c r="D932" s="448">
        <v>3.55</v>
      </c>
      <c r="E932" s="210"/>
    </row>
    <row r="933" spans="1:5" ht="40.5">
      <c r="A933" s="446">
        <v>92957</v>
      </c>
      <c r="B933" s="447" t="s">
        <v>2293</v>
      </c>
      <c r="C933" s="446" t="s">
        <v>19</v>
      </c>
      <c r="D933" s="448">
        <v>0.42</v>
      </c>
      <c r="E933" s="210"/>
    </row>
    <row r="934" spans="1:5" ht="40.5">
      <c r="A934" s="446">
        <v>92958</v>
      </c>
      <c r="B934" s="447" t="s">
        <v>2294</v>
      </c>
      <c r="C934" s="446" t="s">
        <v>19</v>
      </c>
      <c r="D934" s="448">
        <v>3.88</v>
      </c>
      <c r="E934" s="210"/>
    </row>
    <row r="935" spans="1:5" ht="54">
      <c r="A935" s="446">
        <v>92959</v>
      </c>
      <c r="B935" s="447" t="s">
        <v>2295</v>
      </c>
      <c r="C935" s="446" t="s">
        <v>19</v>
      </c>
      <c r="D935" s="448">
        <v>7.64</v>
      </c>
      <c r="E935" s="210"/>
    </row>
    <row r="936" spans="1:5" ht="40.5">
      <c r="A936" s="446">
        <v>92963</v>
      </c>
      <c r="B936" s="447" t="s">
        <v>2298</v>
      </c>
      <c r="C936" s="446" t="s">
        <v>19</v>
      </c>
      <c r="D936" s="448">
        <v>1.61</v>
      </c>
      <c r="E936" s="210"/>
    </row>
    <row r="937" spans="1:5" ht="40.5">
      <c r="A937" s="446">
        <v>92964</v>
      </c>
      <c r="B937" s="447" t="s">
        <v>488</v>
      </c>
      <c r="C937" s="446" t="s">
        <v>19</v>
      </c>
      <c r="D937" s="448">
        <v>0.19</v>
      </c>
      <c r="E937" s="210"/>
    </row>
    <row r="938" spans="1:5" ht="40.5">
      <c r="A938" s="446">
        <v>92965</v>
      </c>
      <c r="B938" s="447" t="s">
        <v>2299</v>
      </c>
      <c r="C938" s="446" t="s">
        <v>19</v>
      </c>
      <c r="D938" s="448">
        <v>2.02</v>
      </c>
      <c r="E938" s="210"/>
    </row>
    <row r="939" spans="1:5" ht="94.5">
      <c r="A939" s="446">
        <v>93220</v>
      </c>
      <c r="B939" s="447" t="s">
        <v>2372</v>
      </c>
      <c r="C939" s="446" t="s">
        <v>19</v>
      </c>
      <c r="D939" s="448">
        <v>233.88</v>
      </c>
      <c r="E939" s="210"/>
    </row>
    <row r="940" spans="1:5" ht="81">
      <c r="A940" s="446">
        <v>93221</v>
      </c>
      <c r="B940" s="447" t="s">
        <v>2373</v>
      </c>
      <c r="C940" s="446" t="s">
        <v>19</v>
      </c>
      <c r="D940" s="448">
        <v>32.47</v>
      </c>
      <c r="E940" s="210"/>
    </row>
    <row r="941" spans="1:5" ht="94.5">
      <c r="A941" s="446">
        <v>93222</v>
      </c>
      <c r="B941" s="447" t="s">
        <v>2374</v>
      </c>
      <c r="C941" s="446" t="s">
        <v>19</v>
      </c>
      <c r="D941" s="448">
        <v>292.69</v>
      </c>
      <c r="E941" s="210"/>
    </row>
    <row r="942" spans="1:5" ht="94.5">
      <c r="A942" s="446">
        <v>93223</v>
      </c>
      <c r="B942" s="447" t="s">
        <v>2375</v>
      </c>
      <c r="C942" s="446" t="s">
        <v>19</v>
      </c>
      <c r="D942" s="448">
        <v>128.77000000000001</v>
      </c>
      <c r="E942" s="210"/>
    </row>
    <row r="943" spans="1:5" ht="54">
      <c r="A943" s="446">
        <v>93229</v>
      </c>
      <c r="B943" s="447" t="s">
        <v>500</v>
      </c>
      <c r="C943" s="446" t="s">
        <v>19</v>
      </c>
      <c r="D943" s="448">
        <v>0.39</v>
      </c>
      <c r="E943" s="210"/>
    </row>
    <row r="944" spans="1:5" ht="54">
      <c r="A944" s="446">
        <v>93230</v>
      </c>
      <c r="B944" s="447" t="s">
        <v>501</v>
      </c>
      <c r="C944" s="446" t="s">
        <v>19</v>
      </c>
      <c r="D944" s="448">
        <v>0.04</v>
      </c>
      <c r="E944" s="210"/>
    </row>
    <row r="945" spans="1:5" ht="54">
      <c r="A945" s="446">
        <v>93231</v>
      </c>
      <c r="B945" s="447" t="s">
        <v>502</v>
      </c>
      <c r="C945" s="446" t="s">
        <v>19</v>
      </c>
      <c r="D945" s="448">
        <v>0.36</v>
      </c>
      <c r="E945" s="210"/>
    </row>
    <row r="946" spans="1:5" ht="67.5">
      <c r="A946" s="446">
        <v>93232</v>
      </c>
      <c r="B946" s="447" t="s">
        <v>2378</v>
      </c>
      <c r="C946" s="446" t="s">
        <v>19</v>
      </c>
      <c r="D946" s="448">
        <v>8.51</v>
      </c>
      <c r="E946" s="210"/>
    </row>
    <row r="947" spans="1:5" ht="40.5">
      <c r="A947" s="446">
        <v>93235</v>
      </c>
      <c r="B947" s="447" t="s">
        <v>2379</v>
      </c>
      <c r="C947" s="446" t="s">
        <v>19</v>
      </c>
      <c r="D947" s="448">
        <v>0.71</v>
      </c>
      <c r="E947" s="210"/>
    </row>
    <row r="948" spans="1:5" ht="67.5">
      <c r="A948" s="446">
        <v>93238</v>
      </c>
      <c r="B948" s="447" t="s">
        <v>2380</v>
      </c>
      <c r="C948" s="446" t="s">
        <v>19</v>
      </c>
      <c r="D948" s="448">
        <v>0.87</v>
      </c>
      <c r="E948" s="210"/>
    </row>
    <row r="949" spans="1:5" ht="67.5">
      <c r="A949" s="446">
        <v>93239</v>
      </c>
      <c r="B949" s="447" t="s">
        <v>2381</v>
      </c>
      <c r="C949" s="446" t="s">
        <v>19</v>
      </c>
      <c r="D949" s="448">
        <v>3.94</v>
      </c>
      <c r="E949" s="210"/>
    </row>
    <row r="950" spans="1:5" ht="67.5">
      <c r="A950" s="446">
        <v>93240</v>
      </c>
      <c r="B950" s="447" t="s">
        <v>2382</v>
      </c>
      <c r="C950" s="446" t="s">
        <v>19</v>
      </c>
      <c r="D950" s="448">
        <v>9.86</v>
      </c>
      <c r="E950" s="210"/>
    </row>
    <row r="951" spans="1:5" ht="40.5">
      <c r="A951" s="446">
        <v>93267</v>
      </c>
      <c r="B951" s="447" t="s">
        <v>2383</v>
      </c>
      <c r="C951" s="446" t="s">
        <v>19</v>
      </c>
      <c r="D951" s="448">
        <v>38.85</v>
      </c>
      <c r="E951" s="210"/>
    </row>
    <row r="952" spans="1:5" ht="40.5">
      <c r="A952" s="446">
        <v>93269</v>
      </c>
      <c r="B952" s="447" t="s">
        <v>2384</v>
      </c>
      <c r="C952" s="446" t="s">
        <v>19</v>
      </c>
      <c r="D952" s="448">
        <v>4.6100000000000003</v>
      </c>
      <c r="E952" s="210"/>
    </row>
    <row r="953" spans="1:5" ht="40.5">
      <c r="A953" s="446">
        <v>93270</v>
      </c>
      <c r="B953" s="447" t="s">
        <v>2385</v>
      </c>
      <c r="C953" s="446" t="s">
        <v>19</v>
      </c>
      <c r="D953" s="448">
        <v>42.49</v>
      </c>
      <c r="E953" s="210"/>
    </row>
    <row r="954" spans="1:5" ht="54">
      <c r="A954" s="446">
        <v>93271</v>
      </c>
      <c r="B954" s="447" t="s">
        <v>2386</v>
      </c>
      <c r="C954" s="446" t="s">
        <v>19</v>
      </c>
      <c r="D954" s="448">
        <v>7.85</v>
      </c>
      <c r="E954" s="210"/>
    </row>
    <row r="955" spans="1:5" ht="40.5">
      <c r="A955" s="446">
        <v>93277</v>
      </c>
      <c r="B955" s="447" t="s">
        <v>2389</v>
      </c>
      <c r="C955" s="446" t="s">
        <v>19</v>
      </c>
      <c r="D955" s="448">
        <v>0.33</v>
      </c>
      <c r="E955" s="210"/>
    </row>
    <row r="956" spans="1:5" ht="40.5">
      <c r="A956" s="446">
        <v>93278</v>
      </c>
      <c r="B956" s="447" t="s">
        <v>2390</v>
      </c>
      <c r="C956" s="446" t="s">
        <v>19</v>
      </c>
      <c r="D956" s="448">
        <v>0.03</v>
      </c>
      <c r="E956" s="210"/>
    </row>
    <row r="957" spans="1:5" ht="40.5">
      <c r="A957" s="446">
        <v>93279</v>
      </c>
      <c r="B957" s="447" t="s">
        <v>2391</v>
      </c>
      <c r="C957" s="446" t="s">
        <v>19</v>
      </c>
      <c r="D957" s="448">
        <v>0.31</v>
      </c>
      <c r="E957" s="210"/>
    </row>
    <row r="958" spans="1:5" ht="54">
      <c r="A958" s="446">
        <v>93280</v>
      </c>
      <c r="B958" s="447" t="s">
        <v>2392</v>
      </c>
      <c r="C958" s="446" t="s">
        <v>19</v>
      </c>
      <c r="D958" s="448">
        <v>0.65</v>
      </c>
      <c r="E958" s="210"/>
    </row>
    <row r="959" spans="1:5" ht="54">
      <c r="A959" s="446">
        <v>93283</v>
      </c>
      <c r="B959" s="447" t="s">
        <v>2395</v>
      </c>
      <c r="C959" s="446" t="s">
        <v>19</v>
      </c>
      <c r="D959" s="448">
        <v>81.650000000000006</v>
      </c>
      <c r="E959" s="210"/>
    </row>
    <row r="960" spans="1:5" ht="54">
      <c r="A960" s="446">
        <v>93284</v>
      </c>
      <c r="B960" s="447" t="s">
        <v>2396</v>
      </c>
      <c r="C960" s="446" t="s">
        <v>19</v>
      </c>
      <c r="D960" s="448">
        <v>15.51</v>
      </c>
      <c r="E960" s="210"/>
    </row>
    <row r="961" spans="1:5" ht="54">
      <c r="A961" s="446">
        <v>93285</v>
      </c>
      <c r="B961" s="447" t="s">
        <v>2397</v>
      </c>
      <c r="C961" s="446" t="s">
        <v>19</v>
      </c>
      <c r="D961" s="448">
        <v>131.25</v>
      </c>
      <c r="E961" s="210"/>
    </row>
    <row r="962" spans="1:5" ht="54">
      <c r="A962" s="446">
        <v>93286</v>
      </c>
      <c r="B962" s="447" t="s">
        <v>2398</v>
      </c>
      <c r="C962" s="446" t="s">
        <v>19</v>
      </c>
      <c r="D962" s="448">
        <v>185.64</v>
      </c>
      <c r="E962" s="210"/>
    </row>
    <row r="963" spans="1:5" ht="54">
      <c r="A963" s="446">
        <v>93296</v>
      </c>
      <c r="B963" s="447" t="s">
        <v>2401</v>
      </c>
      <c r="C963" s="446" t="s">
        <v>19</v>
      </c>
      <c r="D963" s="448">
        <v>5.71</v>
      </c>
      <c r="E963" s="210"/>
    </row>
    <row r="964" spans="1:5" ht="81">
      <c r="A964" s="446">
        <v>93397</v>
      </c>
      <c r="B964" s="447" t="s">
        <v>2420</v>
      </c>
      <c r="C964" s="446" t="s">
        <v>19</v>
      </c>
      <c r="D964" s="448">
        <v>12.45</v>
      </c>
      <c r="E964" s="210"/>
    </row>
    <row r="965" spans="1:5" ht="81">
      <c r="A965" s="446">
        <v>93398</v>
      </c>
      <c r="B965" s="447" t="s">
        <v>2421</v>
      </c>
      <c r="C965" s="446" t="s">
        <v>19</v>
      </c>
      <c r="D965" s="448">
        <v>2.61</v>
      </c>
      <c r="E965" s="210"/>
    </row>
    <row r="966" spans="1:5" ht="81">
      <c r="A966" s="446">
        <v>93399</v>
      </c>
      <c r="B966" s="447" t="s">
        <v>2422</v>
      </c>
      <c r="C966" s="446" t="s">
        <v>19</v>
      </c>
      <c r="D966" s="448">
        <v>1.01</v>
      </c>
      <c r="E966" s="210"/>
    </row>
    <row r="967" spans="1:5" ht="81">
      <c r="A967" s="446">
        <v>93400</v>
      </c>
      <c r="B967" s="447" t="s">
        <v>2423</v>
      </c>
      <c r="C967" s="446" t="s">
        <v>19</v>
      </c>
      <c r="D967" s="448">
        <v>23.34</v>
      </c>
      <c r="E967" s="210"/>
    </row>
    <row r="968" spans="1:5" ht="81">
      <c r="A968" s="446">
        <v>93401</v>
      </c>
      <c r="B968" s="447" t="s">
        <v>2424</v>
      </c>
      <c r="C968" s="446" t="s">
        <v>19</v>
      </c>
      <c r="D968" s="448">
        <v>130.29</v>
      </c>
      <c r="E968" s="210"/>
    </row>
    <row r="969" spans="1:5" ht="94.5">
      <c r="A969" s="446">
        <v>93404</v>
      </c>
      <c r="B969" s="447" t="s">
        <v>4497</v>
      </c>
      <c r="C969" s="446" t="s">
        <v>19</v>
      </c>
      <c r="D969" s="448">
        <v>6.5</v>
      </c>
      <c r="E969" s="210"/>
    </row>
    <row r="970" spans="1:5" ht="94.5">
      <c r="A970" s="446">
        <v>93405</v>
      </c>
      <c r="B970" s="447" t="s">
        <v>4498</v>
      </c>
      <c r="C970" s="446" t="s">
        <v>19</v>
      </c>
      <c r="D970" s="448">
        <v>0.65</v>
      </c>
      <c r="E970" s="210"/>
    </row>
    <row r="971" spans="1:5" ht="94.5">
      <c r="A971" s="446">
        <v>93406</v>
      </c>
      <c r="B971" s="447" t="s">
        <v>4499</v>
      </c>
      <c r="C971" s="446" t="s">
        <v>19</v>
      </c>
      <c r="D971" s="448">
        <v>8.1300000000000008</v>
      </c>
      <c r="E971" s="210"/>
    </row>
    <row r="972" spans="1:5" ht="94.5">
      <c r="A972" s="446">
        <v>93407</v>
      </c>
      <c r="B972" s="447" t="s">
        <v>4500</v>
      </c>
      <c r="C972" s="446" t="s">
        <v>19</v>
      </c>
      <c r="D972" s="448">
        <v>38.840000000000003</v>
      </c>
      <c r="E972" s="210"/>
    </row>
    <row r="973" spans="1:5" ht="40.5">
      <c r="A973" s="446">
        <v>93411</v>
      </c>
      <c r="B973" s="447" t="s">
        <v>2426</v>
      </c>
      <c r="C973" s="446" t="s">
        <v>19</v>
      </c>
      <c r="D973" s="448">
        <v>0.19</v>
      </c>
      <c r="E973" s="210"/>
    </row>
    <row r="974" spans="1:5" ht="40.5">
      <c r="A974" s="446">
        <v>93412</v>
      </c>
      <c r="B974" s="447" t="s">
        <v>2427</v>
      </c>
      <c r="C974" s="446" t="s">
        <v>19</v>
      </c>
      <c r="D974" s="448">
        <v>0.03</v>
      </c>
      <c r="E974" s="210"/>
    </row>
    <row r="975" spans="1:5" ht="40.5">
      <c r="A975" s="446">
        <v>93413</v>
      </c>
      <c r="B975" s="447" t="s">
        <v>2428</v>
      </c>
      <c r="C975" s="446" t="s">
        <v>19</v>
      </c>
      <c r="D975" s="448">
        <v>0.17</v>
      </c>
      <c r="E975" s="210"/>
    </row>
    <row r="976" spans="1:5" ht="54">
      <c r="A976" s="446">
        <v>93414</v>
      </c>
      <c r="B976" s="447" t="s">
        <v>2429</v>
      </c>
      <c r="C976" s="446" t="s">
        <v>19</v>
      </c>
      <c r="D976" s="448">
        <v>14.67</v>
      </c>
      <c r="E976" s="210"/>
    </row>
    <row r="977" spans="1:5" ht="40.5">
      <c r="A977" s="446">
        <v>93417</v>
      </c>
      <c r="B977" s="447" t="s">
        <v>2432</v>
      </c>
      <c r="C977" s="446" t="s">
        <v>19</v>
      </c>
      <c r="D977" s="448">
        <v>2.4900000000000002</v>
      </c>
      <c r="E977" s="210"/>
    </row>
    <row r="978" spans="1:5" ht="27">
      <c r="A978" s="446">
        <v>93418</v>
      </c>
      <c r="B978" s="447" t="s">
        <v>2433</v>
      </c>
      <c r="C978" s="446" t="s">
        <v>19</v>
      </c>
      <c r="D978" s="448">
        <v>0.44</v>
      </c>
      <c r="E978" s="210"/>
    </row>
    <row r="979" spans="1:5" ht="40.5">
      <c r="A979" s="446">
        <v>93419</v>
      </c>
      <c r="B979" s="447" t="s">
        <v>507</v>
      </c>
      <c r="C979" s="446" t="s">
        <v>19</v>
      </c>
      <c r="D979" s="448">
        <v>2.2200000000000002</v>
      </c>
      <c r="E979" s="210"/>
    </row>
    <row r="980" spans="1:5" ht="40.5">
      <c r="A980" s="446">
        <v>93420</v>
      </c>
      <c r="B980" s="447" t="s">
        <v>2434</v>
      </c>
      <c r="C980" s="446" t="s">
        <v>19</v>
      </c>
      <c r="D980" s="448">
        <v>55.26</v>
      </c>
      <c r="E980" s="210"/>
    </row>
    <row r="981" spans="1:5" ht="40.5">
      <c r="A981" s="446">
        <v>93423</v>
      </c>
      <c r="B981" s="447" t="s">
        <v>2435</v>
      </c>
      <c r="C981" s="446" t="s">
        <v>19</v>
      </c>
      <c r="D981" s="448">
        <v>3.53</v>
      </c>
      <c r="E981" s="210"/>
    </row>
    <row r="982" spans="1:5" ht="40.5">
      <c r="A982" s="446">
        <v>93424</v>
      </c>
      <c r="B982" s="447" t="s">
        <v>2436</v>
      </c>
      <c r="C982" s="446" t="s">
        <v>19</v>
      </c>
      <c r="D982" s="448">
        <v>0.63</v>
      </c>
      <c r="E982" s="210"/>
    </row>
    <row r="983" spans="1:5" ht="40.5">
      <c r="A983" s="446">
        <v>93425</v>
      </c>
      <c r="B983" s="447" t="s">
        <v>2437</v>
      </c>
      <c r="C983" s="446" t="s">
        <v>19</v>
      </c>
      <c r="D983" s="448">
        <v>3.15</v>
      </c>
      <c r="E983" s="210"/>
    </row>
    <row r="984" spans="1:5" ht="40.5">
      <c r="A984" s="446">
        <v>93426</v>
      </c>
      <c r="B984" s="447" t="s">
        <v>2438</v>
      </c>
      <c r="C984" s="446" t="s">
        <v>19</v>
      </c>
      <c r="D984" s="448">
        <v>132.07</v>
      </c>
      <c r="E984" s="210"/>
    </row>
    <row r="985" spans="1:5" ht="40.5">
      <c r="A985" s="446">
        <v>93429</v>
      </c>
      <c r="B985" s="447" t="s">
        <v>2441</v>
      </c>
      <c r="C985" s="446" t="s">
        <v>19</v>
      </c>
      <c r="D985" s="448">
        <v>88</v>
      </c>
      <c r="E985" s="210"/>
    </row>
    <row r="986" spans="1:5" ht="40.5">
      <c r="A986" s="446">
        <v>93430</v>
      </c>
      <c r="B986" s="447" t="s">
        <v>2442</v>
      </c>
      <c r="C986" s="446" t="s">
        <v>19</v>
      </c>
      <c r="D986" s="448">
        <v>15.84</v>
      </c>
      <c r="E986" s="210"/>
    </row>
    <row r="987" spans="1:5" ht="40.5">
      <c r="A987" s="446">
        <v>93431</v>
      </c>
      <c r="B987" s="447" t="s">
        <v>2443</v>
      </c>
      <c r="C987" s="446" t="s">
        <v>19</v>
      </c>
      <c r="D987" s="448">
        <v>141.46</v>
      </c>
      <c r="E987" s="210"/>
    </row>
    <row r="988" spans="1:5" ht="54">
      <c r="A988" s="446">
        <v>93432</v>
      </c>
      <c r="B988" s="447" t="s">
        <v>2444</v>
      </c>
      <c r="C988" s="446" t="s">
        <v>19</v>
      </c>
      <c r="D988" s="448">
        <v>2366.4</v>
      </c>
      <c r="E988" s="210"/>
    </row>
    <row r="989" spans="1:5" ht="40.5">
      <c r="A989" s="446">
        <v>93435</v>
      </c>
      <c r="B989" s="447" t="s">
        <v>2447</v>
      </c>
      <c r="C989" s="446" t="s">
        <v>19</v>
      </c>
      <c r="D989" s="448">
        <v>4.76</v>
      </c>
      <c r="E989" s="210"/>
    </row>
    <row r="990" spans="1:5" ht="40.5">
      <c r="A990" s="446">
        <v>93436</v>
      </c>
      <c r="B990" s="447" t="s">
        <v>2448</v>
      </c>
      <c r="C990" s="446" t="s">
        <v>19</v>
      </c>
      <c r="D990" s="448">
        <v>1</v>
      </c>
      <c r="E990" s="210"/>
    </row>
    <row r="991" spans="1:5" ht="40.5">
      <c r="A991" s="446">
        <v>93437</v>
      </c>
      <c r="B991" s="447" t="s">
        <v>2449</v>
      </c>
      <c r="C991" s="446" t="s">
        <v>19</v>
      </c>
      <c r="D991" s="448">
        <v>8.93</v>
      </c>
      <c r="E991" s="210"/>
    </row>
    <row r="992" spans="1:5" ht="40.5">
      <c r="A992" s="446">
        <v>93438</v>
      </c>
      <c r="B992" s="447" t="s">
        <v>2450</v>
      </c>
      <c r="C992" s="446" t="s">
        <v>19</v>
      </c>
      <c r="D992" s="448">
        <v>24.46</v>
      </c>
      <c r="E992" s="210"/>
    </row>
    <row r="993" spans="1:5" ht="40.5">
      <c r="A993" s="446">
        <v>95114</v>
      </c>
      <c r="B993" s="447" t="s">
        <v>2667</v>
      </c>
      <c r="C993" s="446" t="s">
        <v>19</v>
      </c>
      <c r="D993" s="448">
        <v>1.57</v>
      </c>
      <c r="E993" s="210"/>
    </row>
    <row r="994" spans="1:5" ht="40.5">
      <c r="A994" s="446">
        <v>95115</v>
      </c>
      <c r="B994" s="447" t="s">
        <v>2668</v>
      </c>
      <c r="C994" s="446" t="s">
        <v>19</v>
      </c>
      <c r="D994" s="448">
        <v>0.18</v>
      </c>
      <c r="E994" s="210"/>
    </row>
    <row r="995" spans="1:5" ht="40.5">
      <c r="A995" s="446">
        <v>95116</v>
      </c>
      <c r="B995" s="447" t="s">
        <v>534</v>
      </c>
      <c r="C995" s="446" t="s">
        <v>19</v>
      </c>
      <c r="D995" s="448">
        <v>31.99</v>
      </c>
      <c r="E995" s="210"/>
    </row>
    <row r="996" spans="1:5" ht="40.5">
      <c r="A996" s="446">
        <v>95117</v>
      </c>
      <c r="B996" s="447" t="s">
        <v>535</v>
      </c>
      <c r="C996" s="446" t="s">
        <v>19</v>
      </c>
      <c r="D996" s="448">
        <v>5.04</v>
      </c>
      <c r="E996" s="210"/>
    </row>
    <row r="997" spans="1:5" ht="40.5">
      <c r="A997" s="446">
        <v>95118</v>
      </c>
      <c r="B997" s="447" t="s">
        <v>2669</v>
      </c>
      <c r="C997" s="446" t="s">
        <v>19</v>
      </c>
      <c r="D997" s="448">
        <v>45.39</v>
      </c>
      <c r="E997" s="210"/>
    </row>
    <row r="998" spans="1:5" ht="40.5">
      <c r="A998" s="446">
        <v>95119</v>
      </c>
      <c r="B998" s="447" t="s">
        <v>2670</v>
      </c>
      <c r="C998" s="446" t="s">
        <v>19</v>
      </c>
      <c r="D998" s="448">
        <v>8.17</v>
      </c>
      <c r="E998" s="210"/>
    </row>
    <row r="999" spans="1:5" ht="40.5">
      <c r="A999" s="446">
        <v>95120</v>
      </c>
      <c r="B999" s="447" t="s">
        <v>2671</v>
      </c>
      <c r="C999" s="446" t="s">
        <v>19</v>
      </c>
      <c r="D999" s="448">
        <v>53.55</v>
      </c>
      <c r="E999" s="210"/>
    </row>
    <row r="1000" spans="1:5" ht="54">
      <c r="A1000" s="446">
        <v>95123</v>
      </c>
      <c r="B1000" s="447" t="s">
        <v>536</v>
      </c>
      <c r="C1000" s="446" t="s">
        <v>19</v>
      </c>
      <c r="D1000" s="448">
        <v>16.07</v>
      </c>
      <c r="E1000" s="210"/>
    </row>
    <row r="1001" spans="1:5" ht="40.5">
      <c r="A1001" s="446">
        <v>95124</v>
      </c>
      <c r="B1001" s="447" t="s">
        <v>537</v>
      </c>
      <c r="C1001" s="446" t="s">
        <v>19</v>
      </c>
      <c r="D1001" s="448">
        <v>2.5299999999999998</v>
      </c>
      <c r="E1001" s="210"/>
    </row>
    <row r="1002" spans="1:5" ht="40.5">
      <c r="A1002" s="446">
        <v>95125</v>
      </c>
      <c r="B1002" s="447" t="s">
        <v>538</v>
      </c>
      <c r="C1002" s="446" t="s">
        <v>19</v>
      </c>
      <c r="D1002" s="448">
        <v>17.579999999999998</v>
      </c>
      <c r="E1002" s="210"/>
    </row>
    <row r="1003" spans="1:5" ht="54">
      <c r="A1003" s="446">
        <v>95126</v>
      </c>
      <c r="B1003" s="447" t="s">
        <v>2674</v>
      </c>
      <c r="C1003" s="446" t="s">
        <v>19</v>
      </c>
      <c r="D1003" s="448">
        <v>121.32</v>
      </c>
      <c r="E1003" s="210"/>
    </row>
    <row r="1004" spans="1:5" ht="40.5">
      <c r="A1004" s="446">
        <v>95129</v>
      </c>
      <c r="B1004" s="447" t="s">
        <v>2675</v>
      </c>
      <c r="C1004" s="446" t="s">
        <v>19</v>
      </c>
      <c r="D1004" s="448">
        <v>28.52</v>
      </c>
      <c r="E1004" s="210"/>
    </row>
    <row r="1005" spans="1:5" ht="40.5">
      <c r="A1005" s="446">
        <v>95130</v>
      </c>
      <c r="B1005" s="447" t="s">
        <v>2676</v>
      </c>
      <c r="C1005" s="446" t="s">
        <v>19</v>
      </c>
      <c r="D1005" s="448">
        <v>5.13</v>
      </c>
      <c r="E1005" s="210"/>
    </row>
    <row r="1006" spans="1:5" ht="40.5">
      <c r="A1006" s="446">
        <v>95131</v>
      </c>
      <c r="B1006" s="447" t="s">
        <v>2677</v>
      </c>
      <c r="C1006" s="446" t="s">
        <v>19</v>
      </c>
      <c r="D1006" s="448">
        <v>53.48</v>
      </c>
      <c r="E1006" s="210"/>
    </row>
    <row r="1007" spans="1:5" ht="40.5">
      <c r="A1007" s="446">
        <v>95132</v>
      </c>
      <c r="B1007" s="447" t="s">
        <v>2678</v>
      </c>
      <c r="C1007" s="446" t="s">
        <v>19</v>
      </c>
      <c r="D1007" s="448">
        <v>26.57</v>
      </c>
      <c r="E1007" s="210"/>
    </row>
    <row r="1008" spans="1:5" ht="40.5">
      <c r="A1008" s="446">
        <v>95136</v>
      </c>
      <c r="B1008" s="447" t="s">
        <v>2680</v>
      </c>
      <c r="C1008" s="446" t="s">
        <v>19</v>
      </c>
      <c r="D1008" s="448">
        <v>0.03</v>
      </c>
      <c r="E1008" s="210"/>
    </row>
    <row r="1009" spans="1:5" ht="40.5">
      <c r="A1009" s="446">
        <v>95137</v>
      </c>
      <c r="B1009" s="447" t="s">
        <v>2681</v>
      </c>
      <c r="C1009" s="446" t="s">
        <v>19</v>
      </c>
      <c r="D1009" s="448">
        <v>0.01</v>
      </c>
      <c r="E1009" s="210"/>
    </row>
    <row r="1010" spans="1:5" ht="40.5">
      <c r="A1010" s="446">
        <v>95138</v>
      </c>
      <c r="B1010" s="447" t="s">
        <v>2682</v>
      </c>
      <c r="C1010" s="446" t="s">
        <v>19</v>
      </c>
      <c r="D1010" s="448">
        <v>0.03</v>
      </c>
      <c r="E1010" s="210"/>
    </row>
    <row r="1011" spans="1:5" ht="40.5">
      <c r="A1011" s="446">
        <v>95208</v>
      </c>
      <c r="B1011" s="447" t="s">
        <v>2686</v>
      </c>
      <c r="C1011" s="446" t="s">
        <v>19</v>
      </c>
      <c r="D1011" s="448">
        <v>44.01</v>
      </c>
      <c r="E1011" s="210"/>
    </row>
    <row r="1012" spans="1:5" ht="40.5">
      <c r="A1012" s="446">
        <v>95209</v>
      </c>
      <c r="B1012" s="447" t="s">
        <v>2687</v>
      </c>
      <c r="C1012" s="446" t="s">
        <v>19</v>
      </c>
      <c r="D1012" s="448">
        <v>5.22</v>
      </c>
      <c r="E1012" s="210"/>
    </row>
    <row r="1013" spans="1:5" ht="40.5">
      <c r="A1013" s="446">
        <v>95210</v>
      </c>
      <c r="B1013" s="447" t="s">
        <v>2688</v>
      </c>
      <c r="C1013" s="446" t="s">
        <v>19</v>
      </c>
      <c r="D1013" s="448">
        <v>48.14</v>
      </c>
      <c r="E1013" s="210"/>
    </row>
    <row r="1014" spans="1:5" ht="40.5">
      <c r="A1014" s="446">
        <v>95211</v>
      </c>
      <c r="B1014" s="447" t="s">
        <v>2689</v>
      </c>
      <c r="C1014" s="446" t="s">
        <v>19</v>
      </c>
      <c r="D1014" s="448">
        <v>7.85</v>
      </c>
      <c r="E1014" s="210"/>
    </row>
    <row r="1015" spans="1:5" ht="40.5">
      <c r="A1015" s="446">
        <v>95217</v>
      </c>
      <c r="B1015" s="447" t="s">
        <v>2692</v>
      </c>
      <c r="C1015" s="446" t="s">
        <v>19</v>
      </c>
      <c r="D1015" s="448">
        <v>0.52</v>
      </c>
      <c r="E1015" s="210"/>
    </row>
    <row r="1016" spans="1:5" ht="27">
      <c r="A1016" s="446">
        <v>95255</v>
      </c>
      <c r="B1016" s="447" t="s">
        <v>541</v>
      </c>
      <c r="C1016" s="446" t="s">
        <v>19</v>
      </c>
      <c r="D1016" s="448">
        <v>1.39</v>
      </c>
      <c r="E1016" s="210"/>
    </row>
    <row r="1017" spans="1:5" ht="27">
      <c r="A1017" s="446">
        <v>95256</v>
      </c>
      <c r="B1017" s="447" t="s">
        <v>542</v>
      </c>
      <c r="C1017" s="446" t="s">
        <v>19</v>
      </c>
      <c r="D1017" s="448">
        <v>0.16</v>
      </c>
      <c r="E1017" s="210"/>
    </row>
    <row r="1018" spans="1:5" ht="27">
      <c r="A1018" s="446">
        <v>95257</v>
      </c>
      <c r="B1018" s="447" t="s">
        <v>543</v>
      </c>
      <c r="C1018" s="446" t="s">
        <v>19</v>
      </c>
      <c r="D1018" s="448">
        <v>1.74</v>
      </c>
      <c r="E1018" s="210"/>
    </row>
    <row r="1019" spans="1:5" ht="40.5">
      <c r="A1019" s="446">
        <v>95260</v>
      </c>
      <c r="B1019" s="447" t="s">
        <v>2700</v>
      </c>
      <c r="C1019" s="446" t="s">
        <v>19</v>
      </c>
      <c r="D1019" s="448">
        <v>0.55000000000000004</v>
      </c>
      <c r="E1019" s="210"/>
    </row>
    <row r="1020" spans="1:5" ht="40.5">
      <c r="A1020" s="446">
        <v>95261</v>
      </c>
      <c r="B1020" s="447" t="s">
        <v>2701</v>
      </c>
      <c r="C1020" s="446" t="s">
        <v>19</v>
      </c>
      <c r="D1020" s="448">
        <v>0.16</v>
      </c>
      <c r="E1020" s="210"/>
    </row>
    <row r="1021" spans="1:5" ht="40.5">
      <c r="A1021" s="446">
        <v>95262</v>
      </c>
      <c r="B1021" s="447" t="s">
        <v>2702</v>
      </c>
      <c r="C1021" s="446" t="s">
        <v>19</v>
      </c>
      <c r="D1021" s="448">
        <v>1.45</v>
      </c>
      <c r="E1021" s="210"/>
    </row>
    <row r="1022" spans="1:5" ht="54">
      <c r="A1022" s="446">
        <v>95263</v>
      </c>
      <c r="B1022" s="447" t="s">
        <v>2703</v>
      </c>
      <c r="C1022" s="446" t="s">
        <v>19</v>
      </c>
      <c r="D1022" s="448">
        <v>4.55</v>
      </c>
      <c r="E1022" s="210"/>
    </row>
    <row r="1023" spans="1:5" ht="54">
      <c r="A1023" s="446">
        <v>95266</v>
      </c>
      <c r="B1023" s="447" t="s">
        <v>2706</v>
      </c>
      <c r="C1023" s="446" t="s">
        <v>19</v>
      </c>
      <c r="D1023" s="448">
        <v>0.42</v>
      </c>
      <c r="E1023" s="210"/>
    </row>
    <row r="1024" spans="1:5" ht="54">
      <c r="A1024" s="446">
        <v>95267</v>
      </c>
      <c r="B1024" s="447" t="s">
        <v>2707</v>
      </c>
      <c r="C1024" s="446" t="s">
        <v>19</v>
      </c>
      <c r="D1024" s="448">
        <v>0.04</v>
      </c>
      <c r="E1024" s="210"/>
    </row>
    <row r="1025" spans="1:5" ht="54">
      <c r="A1025" s="446">
        <v>95268</v>
      </c>
      <c r="B1025" s="447" t="s">
        <v>2708</v>
      </c>
      <c r="C1025" s="446" t="s">
        <v>19</v>
      </c>
      <c r="D1025" s="448">
        <v>0.41</v>
      </c>
      <c r="E1025" s="210"/>
    </row>
    <row r="1026" spans="1:5" ht="54">
      <c r="A1026" s="446">
        <v>95269</v>
      </c>
      <c r="B1026" s="447" t="s">
        <v>2709</v>
      </c>
      <c r="C1026" s="446" t="s">
        <v>19</v>
      </c>
      <c r="D1026" s="448">
        <v>8.51</v>
      </c>
      <c r="E1026" s="210"/>
    </row>
    <row r="1027" spans="1:5" ht="40.5">
      <c r="A1027" s="446">
        <v>95272</v>
      </c>
      <c r="B1027" s="447" t="s">
        <v>2712</v>
      </c>
      <c r="C1027" s="446" t="s">
        <v>19</v>
      </c>
      <c r="D1027" s="448">
        <v>0.41</v>
      </c>
      <c r="E1027" s="210"/>
    </row>
    <row r="1028" spans="1:5" ht="40.5">
      <c r="A1028" s="446">
        <v>95273</v>
      </c>
      <c r="B1028" s="447" t="s">
        <v>2713</v>
      </c>
      <c r="C1028" s="446" t="s">
        <v>19</v>
      </c>
      <c r="D1028" s="448">
        <v>0.04</v>
      </c>
      <c r="E1028" s="210"/>
    </row>
    <row r="1029" spans="1:5" ht="40.5">
      <c r="A1029" s="446">
        <v>95274</v>
      </c>
      <c r="B1029" s="447" t="s">
        <v>2714</v>
      </c>
      <c r="C1029" s="446" t="s">
        <v>19</v>
      </c>
      <c r="D1029" s="448">
        <v>0.32</v>
      </c>
      <c r="E1029" s="210"/>
    </row>
    <row r="1030" spans="1:5" ht="54">
      <c r="A1030" s="446">
        <v>95275</v>
      </c>
      <c r="B1030" s="447" t="s">
        <v>2715</v>
      </c>
      <c r="C1030" s="446" t="s">
        <v>19</v>
      </c>
      <c r="D1030" s="448">
        <v>2.13</v>
      </c>
      <c r="E1030" s="210"/>
    </row>
    <row r="1031" spans="1:5" ht="40.5">
      <c r="A1031" s="446">
        <v>95278</v>
      </c>
      <c r="B1031" s="447" t="s">
        <v>2718</v>
      </c>
      <c r="C1031" s="446" t="s">
        <v>19</v>
      </c>
      <c r="D1031" s="448">
        <v>0.44</v>
      </c>
      <c r="E1031" s="210"/>
    </row>
    <row r="1032" spans="1:5" ht="40.5">
      <c r="A1032" s="446">
        <v>95279</v>
      </c>
      <c r="B1032" s="447" t="s">
        <v>2719</v>
      </c>
      <c r="C1032" s="446" t="s">
        <v>19</v>
      </c>
      <c r="D1032" s="448">
        <v>0.05</v>
      </c>
      <c r="E1032" s="210"/>
    </row>
    <row r="1033" spans="1:5" ht="40.5">
      <c r="A1033" s="446">
        <v>95280</v>
      </c>
      <c r="B1033" s="447" t="s">
        <v>2720</v>
      </c>
      <c r="C1033" s="446" t="s">
        <v>19</v>
      </c>
      <c r="D1033" s="448">
        <v>0.35</v>
      </c>
      <c r="E1033" s="210"/>
    </row>
    <row r="1034" spans="1:5" ht="54">
      <c r="A1034" s="446">
        <v>95281</v>
      </c>
      <c r="B1034" s="447" t="s">
        <v>2721</v>
      </c>
      <c r="C1034" s="446" t="s">
        <v>19</v>
      </c>
      <c r="D1034" s="448">
        <v>8.51</v>
      </c>
      <c r="E1034" s="210"/>
    </row>
    <row r="1035" spans="1:5" ht="67.5">
      <c r="A1035" s="446">
        <v>95617</v>
      </c>
      <c r="B1035" s="447" t="s">
        <v>2855</v>
      </c>
      <c r="C1035" s="446" t="s">
        <v>19</v>
      </c>
      <c r="D1035" s="448">
        <v>1.1399999999999999</v>
      </c>
      <c r="E1035" s="210"/>
    </row>
    <row r="1036" spans="1:5" ht="54">
      <c r="A1036" s="446">
        <v>95618</v>
      </c>
      <c r="B1036" s="447" t="s">
        <v>2856</v>
      </c>
      <c r="C1036" s="446" t="s">
        <v>19</v>
      </c>
      <c r="D1036" s="448">
        <v>0.13</v>
      </c>
      <c r="E1036" s="210"/>
    </row>
    <row r="1037" spans="1:5" ht="67.5">
      <c r="A1037" s="446">
        <v>95619</v>
      </c>
      <c r="B1037" s="447" t="s">
        <v>2857</v>
      </c>
      <c r="C1037" s="446" t="s">
        <v>19</v>
      </c>
      <c r="D1037" s="448">
        <v>1.43</v>
      </c>
      <c r="E1037" s="210"/>
    </row>
    <row r="1038" spans="1:5" ht="67.5">
      <c r="A1038" s="446">
        <v>95627</v>
      </c>
      <c r="B1038" s="447" t="s">
        <v>2862</v>
      </c>
      <c r="C1038" s="446" t="s">
        <v>19</v>
      </c>
      <c r="D1038" s="448">
        <v>31.13</v>
      </c>
      <c r="E1038" s="210"/>
    </row>
    <row r="1039" spans="1:5" ht="54">
      <c r="A1039" s="446">
        <v>95628</v>
      </c>
      <c r="B1039" s="447" t="s">
        <v>2863</v>
      </c>
      <c r="C1039" s="446" t="s">
        <v>19</v>
      </c>
      <c r="D1039" s="448">
        <v>4.32</v>
      </c>
      <c r="E1039" s="210"/>
    </row>
    <row r="1040" spans="1:5" ht="67.5">
      <c r="A1040" s="446">
        <v>95629</v>
      </c>
      <c r="B1040" s="447" t="s">
        <v>2864</v>
      </c>
      <c r="C1040" s="446" t="s">
        <v>19</v>
      </c>
      <c r="D1040" s="448">
        <v>38.96</v>
      </c>
      <c r="E1040" s="210"/>
    </row>
    <row r="1041" spans="1:5" ht="67.5">
      <c r="A1041" s="446">
        <v>95630</v>
      </c>
      <c r="B1041" s="447" t="s">
        <v>2865</v>
      </c>
      <c r="C1041" s="446" t="s">
        <v>19</v>
      </c>
      <c r="D1041" s="448">
        <v>73.55</v>
      </c>
      <c r="E1041" s="210"/>
    </row>
    <row r="1042" spans="1:5" ht="40.5">
      <c r="A1042" s="446">
        <v>95698</v>
      </c>
      <c r="B1042" s="447" t="s">
        <v>2883</v>
      </c>
      <c r="C1042" s="446" t="s">
        <v>19</v>
      </c>
      <c r="D1042" s="448">
        <v>4.6399999999999997</v>
      </c>
      <c r="E1042" s="210"/>
    </row>
    <row r="1043" spans="1:5" ht="40.5">
      <c r="A1043" s="446">
        <v>95699</v>
      </c>
      <c r="B1043" s="447" t="s">
        <v>2884</v>
      </c>
      <c r="C1043" s="446" t="s">
        <v>19</v>
      </c>
      <c r="D1043" s="448">
        <v>0.55000000000000004</v>
      </c>
      <c r="E1043" s="210"/>
    </row>
    <row r="1044" spans="1:5" ht="40.5">
      <c r="A1044" s="446">
        <v>95700</v>
      </c>
      <c r="B1044" s="447" t="s">
        <v>2885</v>
      </c>
      <c r="C1044" s="446" t="s">
        <v>19</v>
      </c>
      <c r="D1044" s="448">
        <v>5.8</v>
      </c>
      <c r="E1044" s="210"/>
    </row>
    <row r="1045" spans="1:5" ht="54">
      <c r="A1045" s="446">
        <v>95701</v>
      </c>
      <c r="B1045" s="447" t="s">
        <v>2886</v>
      </c>
      <c r="C1045" s="446" t="s">
        <v>19</v>
      </c>
      <c r="D1045" s="448">
        <v>2.62</v>
      </c>
      <c r="E1045" s="210"/>
    </row>
    <row r="1046" spans="1:5" ht="54">
      <c r="A1046" s="446">
        <v>95704</v>
      </c>
      <c r="B1046" s="447" t="s">
        <v>2889</v>
      </c>
      <c r="C1046" s="446" t="s">
        <v>19</v>
      </c>
      <c r="D1046" s="448">
        <v>31.41</v>
      </c>
      <c r="E1046" s="210"/>
    </row>
    <row r="1047" spans="1:5" ht="54">
      <c r="A1047" s="446">
        <v>95705</v>
      </c>
      <c r="B1047" s="447" t="s">
        <v>2890</v>
      </c>
      <c r="C1047" s="446" t="s">
        <v>19</v>
      </c>
      <c r="D1047" s="448">
        <v>4.47</v>
      </c>
      <c r="E1047" s="210"/>
    </row>
    <row r="1048" spans="1:5" ht="54">
      <c r="A1048" s="446">
        <v>95706</v>
      </c>
      <c r="B1048" s="447" t="s">
        <v>2891</v>
      </c>
      <c r="C1048" s="446" t="s">
        <v>19</v>
      </c>
      <c r="D1048" s="448">
        <v>39.31</v>
      </c>
      <c r="E1048" s="210"/>
    </row>
    <row r="1049" spans="1:5" ht="54">
      <c r="A1049" s="446">
        <v>95707</v>
      </c>
      <c r="B1049" s="447" t="s">
        <v>2892</v>
      </c>
      <c r="C1049" s="446" t="s">
        <v>19</v>
      </c>
      <c r="D1049" s="448">
        <v>29.29</v>
      </c>
      <c r="E1049" s="210"/>
    </row>
    <row r="1050" spans="1:5" ht="67.5">
      <c r="A1050" s="446">
        <v>95710</v>
      </c>
      <c r="B1050" s="447" t="s">
        <v>2895</v>
      </c>
      <c r="C1050" s="446" t="s">
        <v>19</v>
      </c>
      <c r="D1050" s="448">
        <v>37.75</v>
      </c>
      <c r="E1050" s="210"/>
    </row>
    <row r="1051" spans="1:5" ht="67.5">
      <c r="A1051" s="446">
        <v>95711</v>
      </c>
      <c r="B1051" s="447" t="s">
        <v>2896</v>
      </c>
      <c r="C1051" s="446" t="s">
        <v>19</v>
      </c>
      <c r="D1051" s="448">
        <v>5.12</v>
      </c>
      <c r="E1051" s="210"/>
    </row>
    <row r="1052" spans="1:5" ht="67.5">
      <c r="A1052" s="446">
        <v>95712</v>
      </c>
      <c r="B1052" s="447" t="s">
        <v>2897</v>
      </c>
      <c r="C1052" s="446" t="s">
        <v>19</v>
      </c>
      <c r="D1052" s="448">
        <v>47.19</v>
      </c>
      <c r="E1052" s="210"/>
    </row>
    <row r="1053" spans="1:5" ht="67.5">
      <c r="A1053" s="446">
        <v>95713</v>
      </c>
      <c r="B1053" s="447" t="s">
        <v>2898</v>
      </c>
      <c r="C1053" s="446" t="s">
        <v>19</v>
      </c>
      <c r="D1053" s="448">
        <v>74.09</v>
      </c>
      <c r="E1053" s="210"/>
    </row>
    <row r="1054" spans="1:5" ht="81">
      <c r="A1054" s="446">
        <v>95716</v>
      </c>
      <c r="B1054" s="447" t="s">
        <v>2901</v>
      </c>
      <c r="C1054" s="446" t="s">
        <v>19</v>
      </c>
      <c r="D1054" s="448">
        <v>36.340000000000003</v>
      </c>
      <c r="E1054" s="210"/>
    </row>
    <row r="1055" spans="1:5" ht="81">
      <c r="A1055" s="446">
        <v>95717</v>
      </c>
      <c r="B1055" s="447" t="s">
        <v>2902</v>
      </c>
      <c r="C1055" s="446" t="s">
        <v>19</v>
      </c>
      <c r="D1055" s="448">
        <v>4.93</v>
      </c>
      <c r="E1055" s="210"/>
    </row>
    <row r="1056" spans="1:5" ht="81">
      <c r="A1056" s="446">
        <v>95718</v>
      </c>
      <c r="B1056" s="447" t="s">
        <v>2903</v>
      </c>
      <c r="C1056" s="446" t="s">
        <v>19</v>
      </c>
      <c r="D1056" s="448">
        <v>45.43</v>
      </c>
      <c r="E1056" s="210"/>
    </row>
    <row r="1057" spans="1:5" ht="81">
      <c r="A1057" s="446">
        <v>95719</v>
      </c>
      <c r="B1057" s="447" t="s">
        <v>2904</v>
      </c>
      <c r="C1057" s="446" t="s">
        <v>19</v>
      </c>
      <c r="D1057" s="448">
        <v>74.09</v>
      </c>
      <c r="E1057" s="210"/>
    </row>
    <row r="1058" spans="1:5" ht="40.5">
      <c r="A1058" s="446">
        <v>95869</v>
      </c>
      <c r="B1058" s="447" t="s">
        <v>562</v>
      </c>
      <c r="C1058" s="446" t="s">
        <v>19</v>
      </c>
      <c r="D1058" s="448">
        <v>1.01</v>
      </c>
      <c r="E1058" s="210"/>
    </row>
    <row r="1059" spans="1:5" ht="40.5">
      <c r="A1059" s="446">
        <v>95870</v>
      </c>
      <c r="B1059" s="447" t="s">
        <v>563</v>
      </c>
      <c r="C1059" s="446" t="s">
        <v>19</v>
      </c>
      <c r="D1059" s="448">
        <v>5.03</v>
      </c>
      <c r="E1059" s="210"/>
    </row>
    <row r="1060" spans="1:5" ht="54">
      <c r="A1060" s="446">
        <v>95871</v>
      </c>
      <c r="B1060" s="447" t="s">
        <v>564</v>
      </c>
      <c r="C1060" s="446" t="s">
        <v>19</v>
      </c>
      <c r="D1060" s="448">
        <v>225</v>
      </c>
      <c r="E1060" s="210"/>
    </row>
    <row r="1061" spans="1:5" ht="40.5">
      <c r="A1061" s="446">
        <v>95874</v>
      </c>
      <c r="B1061" s="447" t="s">
        <v>567</v>
      </c>
      <c r="C1061" s="446" t="s">
        <v>19</v>
      </c>
      <c r="D1061" s="448">
        <v>5.64</v>
      </c>
      <c r="E1061" s="210"/>
    </row>
    <row r="1062" spans="1:5" ht="40.5">
      <c r="A1062" s="446">
        <v>96008</v>
      </c>
      <c r="B1062" s="447" t="s">
        <v>2965</v>
      </c>
      <c r="C1062" s="446" t="s">
        <v>19</v>
      </c>
      <c r="D1062" s="448">
        <v>18.2</v>
      </c>
      <c r="E1062" s="210"/>
    </row>
    <row r="1063" spans="1:5" ht="40.5">
      <c r="A1063" s="446">
        <v>96009</v>
      </c>
      <c r="B1063" s="447" t="s">
        <v>2966</v>
      </c>
      <c r="C1063" s="446" t="s">
        <v>19</v>
      </c>
      <c r="D1063" s="448">
        <v>2.52</v>
      </c>
      <c r="E1063" s="210"/>
    </row>
    <row r="1064" spans="1:5" ht="40.5">
      <c r="A1064" s="446">
        <v>96011</v>
      </c>
      <c r="B1064" s="447" t="s">
        <v>2967</v>
      </c>
      <c r="C1064" s="446" t="s">
        <v>19</v>
      </c>
      <c r="D1064" s="448">
        <v>19.91</v>
      </c>
      <c r="E1064" s="210"/>
    </row>
    <row r="1065" spans="1:5" ht="54">
      <c r="A1065" s="446">
        <v>96012</v>
      </c>
      <c r="B1065" s="447" t="s">
        <v>2968</v>
      </c>
      <c r="C1065" s="446" t="s">
        <v>19</v>
      </c>
      <c r="D1065" s="448">
        <v>141.63</v>
      </c>
      <c r="E1065" s="210"/>
    </row>
    <row r="1066" spans="1:5" ht="40.5">
      <c r="A1066" s="446">
        <v>96015</v>
      </c>
      <c r="B1066" s="447" t="s">
        <v>2971</v>
      </c>
      <c r="C1066" s="446" t="s">
        <v>19</v>
      </c>
      <c r="D1066" s="448">
        <v>17.989999999999998</v>
      </c>
      <c r="E1066" s="210"/>
    </row>
    <row r="1067" spans="1:5" ht="40.5">
      <c r="A1067" s="446">
        <v>96016</v>
      </c>
      <c r="B1067" s="447" t="s">
        <v>2972</v>
      </c>
      <c r="C1067" s="446" t="s">
        <v>19</v>
      </c>
      <c r="D1067" s="448">
        <v>2.4900000000000002</v>
      </c>
      <c r="E1067" s="210"/>
    </row>
    <row r="1068" spans="1:5" ht="40.5">
      <c r="A1068" s="446">
        <v>96018</v>
      </c>
      <c r="B1068" s="447" t="s">
        <v>2973</v>
      </c>
      <c r="C1068" s="446" t="s">
        <v>19</v>
      </c>
      <c r="D1068" s="448">
        <v>19.68</v>
      </c>
      <c r="E1068" s="210"/>
    </row>
    <row r="1069" spans="1:5" ht="54">
      <c r="A1069" s="446">
        <v>96019</v>
      </c>
      <c r="B1069" s="447" t="s">
        <v>2974</v>
      </c>
      <c r="C1069" s="446" t="s">
        <v>19</v>
      </c>
      <c r="D1069" s="448">
        <v>141.63</v>
      </c>
      <c r="E1069" s="210"/>
    </row>
    <row r="1070" spans="1:5" ht="40.5">
      <c r="A1070" s="446">
        <v>96023</v>
      </c>
      <c r="B1070" s="447" t="s">
        <v>653</v>
      </c>
      <c r="C1070" s="446" t="s">
        <v>19</v>
      </c>
      <c r="D1070" s="448">
        <v>14.1</v>
      </c>
      <c r="E1070" s="210"/>
    </row>
    <row r="1071" spans="1:5" ht="40.5">
      <c r="A1071" s="446">
        <v>96024</v>
      </c>
      <c r="B1071" s="447" t="s">
        <v>654</v>
      </c>
      <c r="C1071" s="446" t="s">
        <v>19</v>
      </c>
      <c r="D1071" s="448">
        <v>1.95</v>
      </c>
      <c r="E1071" s="210"/>
    </row>
    <row r="1072" spans="1:5" ht="40.5">
      <c r="A1072" s="446">
        <v>96026</v>
      </c>
      <c r="B1072" s="447" t="s">
        <v>655</v>
      </c>
      <c r="C1072" s="446" t="s">
        <v>19</v>
      </c>
      <c r="D1072" s="448">
        <v>15.42</v>
      </c>
      <c r="E1072" s="210"/>
    </row>
    <row r="1073" spans="1:5" ht="54">
      <c r="A1073" s="446">
        <v>96027</v>
      </c>
      <c r="B1073" s="447" t="s">
        <v>656</v>
      </c>
      <c r="C1073" s="446" t="s">
        <v>19</v>
      </c>
      <c r="D1073" s="448">
        <v>98.69</v>
      </c>
      <c r="E1073" s="210"/>
    </row>
    <row r="1074" spans="1:5" ht="54">
      <c r="A1074" s="446">
        <v>96030</v>
      </c>
      <c r="B1074" s="447" t="s">
        <v>2977</v>
      </c>
      <c r="C1074" s="446" t="s">
        <v>19</v>
      </c>
      <c r="D1074" s="448">
        <v>22.64</v>
      </c>
      <c r="E1074" s="210"/>
    </row>
    <row r="1075" spans="1:5" ht="54">
      <c r="A1075" s="446">
        <v>96031</v>
      </c>
      <c r="B1075" s="447" t="s">
        <v>659</v>
      </c>
      <c r="C1075" s="446" t="s">
        <v>19</v>
      </c>
      <c r="D1075" s="448">
        <v>4.18</v>
      </c>
      <c r="E1075" s="210"/>
    </row>
    <row r="1076" spans="1:5" ht="67.5">
      <c r="A1076" s="446">
        <v>96032</v>
      </c>
      <c r="B1076" s="447" t="s">
        <v>2978</v>
      </c>
      <c r="C1076" s="446" t="s">
        <v>19</v>
      </c>
      <c r="D1076" s="448">
        <v>1.63</v>
      </c>
      <c r="E1076" s="210"/>
    </row>
    <row r="1077" spans="1:5" ht="54">
      <c r="A1077" s="446">
        <v>96033</v>
      </c>
      <c r="B1077" s="447" t="s">
        <v>2979</v>
      </c>
      <c r="C1077" s="446" t="s">
        <v>19</v>
      </c>
      <c r="D1077" s="448">
        <v>42.46</v>
      </c>
      <c r="E1077" s="210"/>
    </row>
    <row r="1078" spans="1:5" ht="67.5">
      <c r="A1078" s="446">
        <v>96034</v>
      </c>
      <c r="B1078" s="447" t="s">
        <v>2980</v>
      </c>
      <c r="C1078" s="446" t="s">
        <v>19</v>
      </c>
      <c r="D1078" s="448">
        <v>116.84</v>
      </c>
      <c r="E1078" s="210"/>
    </row>
    <row r="1079" spans="1:5" ht="40.5">
      <c r="A1079" s="446">
        <v>96053</v>
      </c>
      <c r="B1079" s="447" t="s">
        <v>2983</v>
      </c>
      <c r="C1079" s="446" t="s">
        <v>19</v>
      </c>
      <c r="D1079" s="448">
        <v>14.31</v>
      </c>
      <c r="E1079" s="210"/>
    </row>
    <row r="1080" spans="1:5" ht="54">
      <c r="A1080" s="446">
        <v>96054</v>
      </c>
      <c r="B1080" s="447" t="s">
        <v>660</v>
      </c>
      <c r="C1080" s="446" t="s">
        <v>19</v>
      </c>
      <c r="D1080" s="448">
        <v>18.66</v>
      </c>
      <c r="E1080" s="210"/>
    </row>
    <row r="1081" spans="1:5" ht="40.5">
      <c r="A1081" s="446">
        <v>96055</v>
      </c>
      <c r="B1081" s="447" t="s">
        <v>2984</v>
      </c>
      <c r="C1081" s="446" t="s">
        <v>19</v>
      </c>
      <c r="D1081" s="448">
        <v>1.98</v>
      </c>
      <c r="E1081" s="210"/>
    </row>
    <row r="1082" spans="1:5" ht="40.5">
      <c r="A1082" s="446">
        <v>96056</v>
      </c>
      <c r="B1082" s="447" t="s">
        <v>2985</v>
      </c>
      <c r="C1082" s="446" t="s">
        <v>19</v>
      </c>
      <c r="D1082" s="448">
        <v>15.65</v>
      </c>
      <c r="E1082" s="210"/>
    </row>
    <row r="1083" spans="1:5" ht="54">
      <c r="A1083" s="446">
        <v>96057</v>
      </c>
      <c r="B1083" s="447" t="s">
        <v>2986</v>
      </c>
      <c r="C1083" s="446" t="s">
        <v>19</v>
      </c>
      <c r="D1083" s="448">
        <v>98.69</v>
      </c>
      <c r="E1083" s="210"/>
    </row>
    <row r="1084" spans="1:5" ht="54">
      <c r="A1084" s="446">
        <v>96060</v>
      </c>
      <c r="B1084" s="447" t="s">
        <v>661</v>
      </c>
      <c r="C1084" s="446" t="s">
        <v>19</v>
      </c>
      <c r="D1084" s="448">
        <v>1.88</v>
      </c>
      <c r="E1084" s="210"/>
    </row>
    <row r="1085" spans="1:5" ht="54">
      <c r="A1085" s="446">
        <v>96061</v>
      </c>
      <c r="B1085" s="447" t="s">
        <v>662</v>
      </c>
      <c r="C1085" s="446" t="s">
        <v>19</v>
      </c>
      <c r="D1085" s="448">
        <v>23.33</v>
      </c>
      <c r="E1085" s="210"/>
    </row>
    <row r="1086" spans="1:5" ht="54">
      <c r="A1086" s="446">
        <v>96062</v>
      </c>
      <c r="B1086" s="447" t="s">
        <v>663</v>
      </c>
      <c r="C1086" s="446" t="s">
        <v>19</v>
      </c>
      <c r="D1086" s="448">
        <v>43.18</v>
      </c>
      <c r="E1086" s="210"/>
    </row>
    <row r="1087" spans="1:5" ht="54">
      <c r="A1087" s="446">
        <v>96241</v>
      </c>
      <c r="B1087" s="447" t="s">
        <v>3012</v>
      </c>
      <c r="C1087" s="446" t="s">
        <v>19</v>
      </c>
      <c r="D1087" s="448">
        <v>14.02</v>
      </c>
      <c r="E1087" s="210"/>
    </row>
    <row r="1088" spans="1:5" ht="54">
      <c r="A1088" s="446">
        <v>96242</v>
      </c>
      <c r="B1088" s="447" t="s">
        <v>3013</v>
      </c>
      <c r="C1088" s="446" t="s">
        <v>19</v>
      </c>
      <c r="D1088" s="448">
        <v>1.9</v>
      </c>
      <c r="E1088" s="210"/>
    </row>
    <row r="1089" spans="1:5" ht="54">
      <c r="A1089" s="446">
        <v>96243</v>
      </c>
      <c r="B1089" s="447" t="s">
        <v>3014</v>
      </c>
      <c r="C1089" s="446" t="s">
        <v>19</v>
      </c>
      <c r="D1089" s="448">
        <v>17.53</v>
      </c>
      <c r="E1089" s="210"/>
    </row>
    <row r="1090" spans="1:5" ht="54">
      <c r="A1090" s="446">
        <v>96244</v>
      </c>
      <c r="B1090" s="447" t="s">
        <v>3015</v>
      </c>
      <c r="C1090" s="446" t="s">
        <v>19</v>
      </c>
      <c r="D1090" s="448">
        <v>14.34</v>
      </c>
      <c r="E1090" s="210"/>
    </row>
    <row r="1091" spans="1:5" ht="54">
      <c r="A1091" s="446">
        <v>96301</v>
      </c>
      <c r="B1091" s="447" t="s">
        <v>3022</v>
      </c>
      <c r="C1091" s="446" t="s">
        <v>19</v>
      </c>
      <c r="D1091" s="448">
        <v>40.47</v>
      </c>
      <c r="E1091" s="210"/>
    </row>
    <row r="1092" spans="1:5" ht="67.5">
      <c r="A1092" s="446">
        <v>96457</v>
      </c>
      <c r="B1092" s="447" t="s">
        <v>3039</v>
      </c>
      <c r="C1092" s="446" t="s">
        <v>19</v>
      </c>
      <c r="D1092" s="448">
        <v>52.6</v>
      </c>
      <c r="E1092" s="210"/>
    </row>
    <row r="1093" spans="1:5" ht="54">
      <c r="A1093" s="446">
        <v>96458</v>
      </c>
      <c r="B1093" s="447" t="s">
        <v>3040</v>
      </c>
      <c r="C1093" s="446" t="s">
        <v>19</v>
      </c>
      <c r="D1093" s="448">
        <v>43.21</v>
      </c>
      <c r="E1093" s="210"/>
    </row>
    <row r="1094" spans="1:5" ht="54">
      <c r="A1094" s="446">
        <v>96459</v>
      </c>
      <c r="B1094" s="447" t="s">
        <v>3041</v>
      </c>
      <c r="C1094" s="446" t="s">
        <v>19</v>
      </c>
      <c r="D1094" s="448">
        <v>4.79</v>
      </c>
      <c r="E1094" s="210"/>
    </row>
    <row r="1095" spans="1:5" ht="67.5">
      <c r="A1095" s="446">
        <v>96460</v>
      </c>
      <c r="B1095" s="447" t="s">
        <v>3042</v>
      </c>
      <c r="C1095" s="446" t="s">
        <v>19</v>
      </c>
      <c r="D1095" s="448">
        <v>34.53</v>
      </c>
      <c r="E1095" s="210"/>
    </row>
    <row r="1096" spans="1:5" ht="67.5">
      <c r="A1096" s="446">
        <v>98760</v>
      </c>
      <c r="B1096" s="447" t="s">
        <v>3539</v>
      </c>
      <c r="C1096" s="446" t="s">
        <v>19</v>
      </c>
      <c r="D1096" s="448">
        <v>0.11</v>
      </c>
      <c r="E1096" s="210"/>
    </row>
    <row r="1097" spans="1:5" ht="54">
      <c r="A1097" s="446">
        <v>98761</v>
      </c>
      <c r="B1097" s="447" t="s">
        <v>3540</v>
      </c>
      <c r="C1097" s="446" t="s">
        <v>19</v>
      </c>
      <c r="D1097" s="448">
        <v>0.02</v>
      </c>
      <c r="E1097" s="210"/>
    </row>
    <row r="1098" spans="1:5" ht="67.5">
      <c r="A1098" s="446">
        <v>98762</v>
      </c>
      <c r="B1098" s="447" t="s">
        <v>3541</v>
      </c>
      <c r="C1098" s="446" t="s">
        <v>19</v>
      </c>
      <c r="D1098" s="448">
        <v>0.14000000000000001</v>
      </c>
      <c r="E1098" s="210"/>
    </row>
    <row r="1099" spans="1:5" ht="67.5">
      <c r="A1099" s="446">
        <v>98763</v>
      </c>
      <c r="B1099" s="447" t="s">
        <v>3542</v>
      </c>
      <c r="C1099" s="446" t="s">
        <v>19</v>
      </c>
      <c r="D1099" s="448">
        <v>3.85</v>
      </c>
      <c r="E1099" s="210"/>
    </row>
    <row r="1100" spans="1:5" ht="67.5">
      <c r="A1100" s="446">
        <v>99829</v>
      </c>
      <c r="B1100" s="447" t="s">
        <v>3543</v>
      </c>
      <c r="C1100" s="446" t="s">
        <v>19</v>
      </c>
      <c r="D1100" s="448">
        <v>0.17</v>
      </c>
      <c r="E1100" s="210"/>
    </row>
    <row r="1101" spans="1:5" ht="67.5">
      <c r="A1101" s="446">
        <v>99830</v>
      </c>
      <c r="B1101" s="447" t="s">
        <v>3544</v>
      </c>
      <c r="C1101" s="446" t="s">
        <v>19</v>
      </c>
      <c r="D1101" s="448">
        <v>0.02</v>
      </c>
      <c r="E1101" s="210"/>
    </row>
    <row r="1102" spans="1:5" ht="67.5">
      <c r="A1102" s="446">
        <v>99831</v>
      </c>
      <c r="B1102" s="447" t="s">
        <v>3545</v>
      </c>
      <c r="C1102" s="446" t="s">
        <v>19</v>
      </c>
      <c r="D1102" s="448">
        <v>0.24</v>
      </c>
      <c r="E1102" s="210"/>
    </row>
    <row r="1103" spans="1:5" ht="67.5">
      <c r="A1103" s="446">
        <v>99832</v>
      </c>
      <c r="B1103" s="447" t="s">
        <v>3546</v>
      </c>
      <c r="C1103" s="446" t="s">
        <v>19</v>
      </c>
      <c r="D1103" s="448">
        <v>0.99</v>
      </c>
      <c r="E1103" s="210"/>
    </row>
    <row r="1104" spans="1:5" ht="40.5">
      <c r="A1104" s="446">
        <v>100637</v>
      </c>
      <c r="B1104" s="447" t="s">
        <v>4501</v>
      </c>
      <c r="C1104" s="446" t="s">
        <v>19</v>
      </c>
      <c r="D1104" s="448">
        <v>108.09</v>
      </c>
      <c r="E1104" s="210"/>
    </row>
    <row r="1105" spans="1:5" ht="40.5">
      <c r="A1105" s="446">
        <v>100638</v>
      </c>
      <c r="B1105" s="447" t="s">
        <v>4502</v>
      </c>
      <c r="C1105" s="446" t="s">
        <v>19</v>
      </c>
      <c r="D1105" s="448">
        <v>19.45</v>
      </c>
      <c r="E1105" s="210"/>
    </row>
    <row r="1106" spans="1:5" ht="40.5">
      <c r="A1106" s="446">
        <v>100639</v>
      </c>
      <c r="B1106" s="447" t="s">
        <v>4503</v>
      </c>
      <c r="C1106" s="446" t="s">
        <v>19</v>
      </c>
      <c r="D1106" s="448">
        <v>173.75</v>
      </c>
      <c r="E1106" s="210"/>
    </row>
    <row r="1107" spans="1:5" ht="54">
      <c r="A1107" s="446">
        <v>100640</v>
      </c>
      <c r="B1107" s="447" t="s">
        <v>4504</v>
      </c>
      <c r="C1107" s="446" t="s">
        <v>19</v>
      </c>
      <c r="D1107" s="448">
        <v>199.92</v>
      </c>
      <c r="E1107" s="210"/>
    </row>
    <row r="1108" spans="1:5" ht="40.5">
      <c r="A1108" s="446">
        <v>100643</v>
      </c>
      <c r="B1108" s="447" t="s">
        <v>4505</v>
      </c>
      <c r="C1108" s="446" t="s">
        <v>19</v>
      </c>
      <c r="D1108" s="448">
        <v>284.60000000000002</v>
      </c>
      <c r="E1108" s="210"/>
    </row>
    <row r="1109" spans="1:5" ht="27">
      <c r="A1109" s="446">
        <v>100644</v>
      </c>
      <c r="B1109" s="447" t="s">
        <v>4506</v>
      </c>
      <c r="C1109" s="446" t="s">
        <v>19</v>
      </c>
      <c r="D1109" s="448">
        <v>51.22</v>
      </c>
      <c r="E1109" s="210"/>
    </row>
    <row r="1110" spans="1:5" ht="40.5">
      <c r="A1110" s="446">
        <v>100645</v>
      </c>
      <c r="B1110" s="447" t="s">
        <v>4507</v>
      </c>
      <c r="C1110" s="446" t="s">
        <v>19</v>
      </c>
      <c r="D1110" s="448">
        <v>457.5</v>
      </c>
      <c r="E1110" s="210"/>
    </row>
    <row r="1111" spans="1:5" ht="40.5">
      <c r="A1111" s="446">
        <v>100646</v>
      </c>
      <c r="B1111" s="447" t="s">
        <v>4508</v>
      </c>
      <c r="C1111" s="446" t="s">
        <v>19</v>
      </c>
      <c r="D1111" s="448">
        <v>285.60000000000002</v>
      </c>
      <c r="E1111" s="210"/>
    </row>
    <row r="1112" spans="1:5" ht="54">
      <c r="A1112" s="446">
        <v>102270</v>
      </c>
      <c r="B1112" s="447" t="s">
        <v>6355</v>
      </c>
      <c r="C1112" s="446" t="s">
        <v>19</v>
      </c>
      <c r="D1112" s="448">
        <v>0.81</v>
      </c>
      <c r="E1112" s="210"/>
    </row>
    <row r="1113" spans="1:5" ht="54">
      <c r="A1113" s="446">
        <v>102271</v>
      </c>
      <c r="B1113" s="447" t="s">
        <v>6356</v>
      </c>
      <c r="C1113" s="446" t="s">
        <v>19</v>
      </c>
      <c r="D1113" s="448">
        <v>0.23</v>
      </c>
      <c r="E1113" s="210"/>
    </row>
    <row r="1114" spans="1:5" ht="54">
      <c r="A1114" s="446">
        <v>102272</v>
      </c>
      <c r="B1114" s="447" t="s">
        <v>6357</v>
      </c>
      <c r="C1114" s="446" t="s">
        <v>19</v>
      </c>
      <c r="D1114" s="448">
        <v>0.53</v>
      </c>
      <c r="E1114" s="210"/>
    </row>
    <row r="1115" spans="1:5" ht="54">
      <c r="A1115" s="446">
        <v>102273</v>
      </c>
      <c r="B1115" s="447" t="s">
        <v>6358</v>
      </c>
      <c r="C1115" s="446" t="s">
        <v>19</v>
      </c>
      <c r="D1115" s="448">
        <v>1.42</v>
      </c>
      <c r="E1115" s="210"/>
    </row>
    <row r="1116" spans="1:5" ht="67.5">
      <c r="A1116" s="446">
        <v>92259</v>
      </c>
      <c r="B1116" s="447" t="s">
        <v>3547</v>
      </c>
      <c r="C1116" s="446" t="s">
        <v>34</v>
      </c>
      <c r="D1116" s="448">
        <v>314.25</v>
      </c>
      <c r="E1116" s="210"/>
    </row>
    <row r="1117" spans="1:5" ht="67.5">
      <c r="A1117" s="446">
        <v>92260</v>
      </c>
      <c r="B1117" s="447" t="s">
        <v>3548</v>
      </c>
      <c r="C1117" s="446" t="s">
        <v>34</v>
      </c>
      <c r="D1117" s="448">
        <v>355.91</v>
      </c>
      <c r="E1117" s="210"/>
    </row>
    <row r="1118" spans="1:5" ht="67.5">
      <c r="A1118" s="446">
        <v>92261</v>
      </c>
      <c r="B1118" s="447" t="s">
        <v>3549</v>
      </c>
      <c r="C1118" s="446" t="s">
        <v>34</v>
      </c>
      <c r="D1118" s="448">
        <v>396.3</v>
      </c>
      <c r="E1118" s="210"/>
    </row>
    <row r="1119" spans="1:5" ht="67.5">
      <c r="A1119" s="446">
        <v>92262</v>
      </c>
      <c r="B1119" s="447" t="s">
        <v>3550</v>
      </c>
      <c r="C1119" s="446" t="s">
        <v>34</v>
      </c>
      <c r="D1119" s="448">
        <v>461.32</v>
      </c>
      <c r="E1119" s="210"/>
    </row>
    <row r="1120" spans="1:5" ht="67.5">
      <c r="A1120" s="446">
        <v>92539</v>
      </c>
      <c r="B1120" s="447" t="s">
        <v>3551</v>
      </c>
      <c r="C1120" s="446" t="s">
        <v>42</v>
      </c>
      <c r="D1120" s="448">
        <v>46.55</v>
      </c>
      <c r="E1120" s="210"/>
    </row>
    <row r="1121" spans="1:5" ht="67.5">
      <c r="A1121" s="446">
        <v>92540</v>
      </c>
      <c r="B1121" s="447" t="s">
        <v>3552</v>
      </c>
      <c r="C1121" s="446" t="s">
        <v>42</v>
      </c>
      <c r="D1121" s="448">
        <v>52.74</v>
      </c>
      <c r="E1121" s="210"/>
    </row>
    <row r="1122" spans="1:5" ht="54">
      <c r="A1122" s="446">
        <v>92541</v>
      </c>
      <c r="B1122" s="447" t="s">
        <v>3553</v>
      </c>
      <c r="C1122" s="446" t="s">
        <v>42</v>
      </c>
      <c r="D1122" s="448">
        <v>50.07</v>
      </c>
      <c r="E1122" s="210"/>
    </row>
    <row r="1123" spans="1:5" ht="67.5">
      <c r="A1123" s="446">
        <v>92542</v>
      </c>
      <c r="B1123" s="447" t="s">
        <v>3554</v>
      </c>
      <c r="C1123" s="446" t="s">
        <v>42</v>
      </c>
      <c r="D1123" s="448">
        <v>61.02</v>
      </c>
      <c r="E1123" s="210"/>
    </row>
    <row r="1124" spans="1:5" ht="67.5">
      <c r="A1124" s="446">
        <v>92543</v>
      </c>
      <c r="B1124" s="447" t="s">
        <v>3555</v>
      </c>
      <c r="C1124" s="446" t="s">
        <v>42</v>
      </c>
      <c r="D1124" s="448">
        <v>13.81</v>
      </c>
      <c r="E1124" s="210"/>
    </row>
    <row r="1125" spans="1:5" ht="54">
      <c r="A1125" s="446">
        <v>92544</v>
      </c>
      <c r="B1125" s="447" t="s">
        <v>3556</v>
      </c>
      <c r="C1125" s="446" t="s">
        <v>42</v>
      </c>
      <c r="D1125" s="448">
        <v>10.96</v>
      </c>
      <c r="E1125" s="210"/>
    </row>
    <row r="1126" spans="1:5" ht="54">
      <c r="A1126" s="446">
        <v>92545</v>
      </c>
      <c r="B1126" s="447" t="s">
        <v>3557</v>
      </c>
      <c r="C1126" s="446" t="s">
        <v>34</v>
      </c>
      <c r="D1126" s="448">
        <v>666.75</v>
      </c>
      <c r="E1126" s="210"/>
    </row>
    <row r="1127" spans="1:5" ht="54">
      <c r="A1127" s="446">
        <v>92546</v>
      </c>
      <c r="B1127" s="447" t="s">
        <v>3558</v>
      </c>
      <c r="C1127" s="446" t="s">
        <v>34</v>
      </c>
      <c r="D1127" s="448">
        <v>811.84</v>
      </c>
      <c r="E1127" s="210"/>
    </row>
    <row r="1128" spans="1:5" ht="54">
      <c r="A1128" s="446">
        <v>92547</v>
      </c>
      <c r="B1128" s="447" t="s">
        <v>3559</v>
      </c>
      <c r="C1128" s="446" t="s">
        <v>34</v>
      </c>
      <c r="D1128" s="448">
        <v>854.82</v>
      </c>
      <c r="E1128" s="210"/>
    </row>
    <row r="1129" spans="1:5" ht="54">
      <c r="A1129" s="446">
        <v>92548</v>
      </c>
      <c r="B1129" s="447" t="s">
        <v>3560</v>
      </c>
      <c r="C1129" s="446" t="s">
        <v>34</v>
      </c>
      <c r="D1129" s="448">
        <v>947.44</v>
      </c>
      <c r="E1129" s="210"/>
    </row>
    <row r="1130" spans="1:5" ht="54">
      <c r="A1130" s="446">
        <v>92549</v>
      </c>
      <c r="B1130" s="447" t="s">
        <v>3561</v>
      </c>
      <c r="C1130" s="446" t="s">
        <v>34</v>
      </c>
      <c r="D1130" s="448">
        <v>1180.5899999999999</v>
      </c>
      <c r="E1130" s="210"/>
    </row>
    <row r="1131" spans="1:5" ht="54">
      <c r="A1131" s="446">
        <v>92550</v>
      </c>
      <c r="B1131" s="447" t="s">
        <v>3562</v>
      </c>
      <c r="C1131" s="446" t="s">
        <v>34</v>
      </c>
      <c r="D1131" s="448">
        <v>1480.82</v>
      </c>
      <c r="E1131" s="210"/>
    </row>
    <row r="1132" spans="1:5" ht="54">
      <c r="A1132" s="446">
        <v>92551</v>
      </c>
      <c r="B1132" s="447" t="s">
        <v>3563</v>
      </c>
      <c r="C1132" s="446" t="s">
        <v>34</v>
      </c>
      <c r="D1132" s="448">
        <v>1535.66</v>
      </c>
      <c r="E1132" s="210"/>
    </row>
    <row r="1133" spans="1:5" ht="54">
      <c r="A1133" s="446">
        <v>92552</v>
      </c>
      <c r="B1133" s="447" t="s">
        <v>3564</v>
      </c>
      <c r="C1133" s="446" t="s">
        <v>34</v>
      </c>
      <c r="D1133" s="448">
        <v>1663.51</v>
      </c>
      <c r="E1133" s="210"/>
    </row>
    <row r="1134" spans="1:5" ht="54">
      <c r="A1134" s="446">
        <v>92553</v>
      </c>
      <c r="B1134" s="447" t="s">
        <v>3565</v>
      </c>
      <c r="C1134" s="446" t="s">
        <v>34</v>
      </c>
      <c r="D1134" s="448">
        <v>1904.42</v>
      </c>
      <c r="E1134" s="210"/>
    </row>
    <row r="1135" spans="1:5" ht="54">
      <c r="A1135" s="446">
        <v>92554</v>
      </c>
      <c r="B1135" s="447" t="s">
        <v>3566</v>
      </c>
      <c r="C1135" s="446" t="s">
        <v>34</v>
      </c>
      <c r="D1135" s="448">
        <v>1967.15</v>
      </c>
      <c r="E1135" s="210"/>
    </row>
    <row r="1136" spans="1:5" ht="81">
      <c r="A1136" s="446">
        <v>92555</v>
      </c>
      <c r="B1136" s="447" t="s">
        <v>3567</v>
      </c>
      <c r="C1136" s="446" t="s">
        <v>34</v>
      </c>
      <c r="D1136" s="448">
        <v>658.77</v>
      </c>
      <c r="E1136" s="210"/>
    </row>
    <row r="1137" spans="1:5" ht="81">
      <c r="A1137" s="446">
        <v>92556</v>
      </c>
      <c r="B1137" s="447" t="s">
        <v>3568</v>
      </c>
      <c r="C1137" s="446" t="s">
        <v>34</v>
      </c>
      <c r="D1137" s="448">
        <v>797.86</v>
      </c>
      <c r="E1137" s="210"/>
    </row>
    <row r="1138" spans="1:5" ht="81">
      <c r="A1138" s="446">
        <v>92557</v>
      </c>
      <c r="B1138" s="447" t="s">
        <v>3569</v>
      </c>
      <c r="C1138" s="446" t="s">
        <v>34</v>
      </c>
      <c r="D1138" s="448">
        <v>840.83</v>
      </c>
      <c r="E1138" s="210"/>
    </row>
    <row r="1139" spans="1:5" ht="81">
      <c r="A1139" s="446">
        <v>92558</v>
      </c>
      <c r="B1139" s="447" t="s">
        <v>3570</v>
      </c>
      <c r="C1139" s="446" t="s">
        <v>34</v>
      </c>
      <c r="D1139" s="448">
        <v>939.45</v>
      </c>
      <c r="E1139" s="210"/>
    </row>
    <row r="1140" spans="1:5" ht="81">
      <c r="A1140" s="446">
        <v>92559</v>
      </c>
      <c r="B1140" s="447" t="s">
        <v>3571</v>
      </c>
      <c r="C1140" s="446" t="s">
        <v>34</v>
      </c>
      <c r="D1140" s="448">
        <v>1165.73</v>
      </c>
      <c r="E1140" s="210"/>
    </row>
    <row r="1141" spans="1:5" ht="81">
      <c r="A1141" s="446">
        <v>92560</v>
      </c>
      <c r="B1141" s="447" t="s">
        <v>3572</v>
      </c>
      <c r="C1141" s="446" t="s">
        <v>34</v>
      </c>
      <c r="D1141" s="448">
        <v>1460.57</v>
      </c>
      <c r="E1141" s="210"/>
    </row>
    <row r="1142" spans="1:5" ht="81">
      <c r="A1142" s="446">
        <v>92561</v>
      </c>
      <c r="B1142" s="447" t="s">
        <v>3573</v>
      </c>
      <c r="C1142" s="446" t="s">
        <v>34</v>
      </c>
      <c r="D1142" s="448">
        <v>1515.96</v>
      </c>
      <c r="E1142" s="210"/>
    </row>
    <row r="1143" spans="1:5" ht="81">
      <c r="A1143" s="446">
        <v>92562</v>
      </c>
      <c r="B1143" s="447" t="s">
        <v>3574</v>
      </c>
      <c r="C1143" s="446" t="s">
        <v>34</v>
      </c>
      <c r="D1143" s="448">
        <v>1629.83</v>
      </c>
      <c r="E1143" s="210"/>
    </row>
    <row r="1144" spans="1:5" ht="81">
      <c r="A1144" s="446">
        <v>92563</v>
      </c>
      <c r="B1144" s="447" t="s">
        <v>3575</v>
      </c>
      <c r="C1144" s="446" t="s">
        <v>34</v>
      </c>
      <c r="D1144" s="448">
        <v>1865.04</v>
      </c>
      <c r="E1144" s="210"/>
    </row>
    <row r="1145" spans="1:5" ht="81">
      <c r="A1145" s="446">
        <v>92564</v>
      </c>
      <c r="B1145" s="447" t="s">
        <v>3576</v>
      </c>
      <c r="C1145" s="446" t="s">
        <v>34</v>
      </c>
      <c r="D1145" s="448">
        <v>1918.92</v>
      </c>
      <c r="E1145" s="210"/>
    </row>
    <row r="1146" spans="1:5" ht="67.5">
      <c r="A1146" s="446">
        <v>92565</v>
      </c>
      <c r="B1146" s="447" t="s">
        <v>2118</v>
      </c>
      <c r="C1146" s="446" t="s">
        <v>42</v>
      </c>
      <c r="D1146" s="448">
        <v>24.56</v>
      </c>
      <c r="E1146" s="210"/>
    </row>
    <row r="1147" spans="1:5" ht="81">
      <c r="A1147" s="446">
        <v>92566</v>
      </c>
      <c r="B1147" s="447" t="s">
        <v>2119</v>
      </c>
      <c r="C1147" s="446" t="s">
        <v>42</v>
      </c>
      <c r="D1147" s="448">
        <v>14.67</v>
      </c>
      <c r="E1147" s="210"/>
    </row>
    <row r="1148" spans="1:5" ht="67.5">
      <c r="A1148" s="446">
        <v>92567</v>
      </c>
      <c r="B1148" s="447" t="s">
        <v>2120</v>
      </c>
      <c r="C1148" s="446" t="s">
        <v>42</v>
      </c>
      <c r="D1148" s="448">
        <v>22.02</v>
      </c>
      <c r="E1148" s="210"/>
    </row>
    <row r="1149" spans="1:5" ht="81">
      <c r="A1149" s="446">
        <v>100379</v>
      </c>
      <c r="B1149" s="447" t="s">
        <v>3577</v>
      </c>
      <c r="C1149" s="446" t="s">
        <v>42</v>
      </c>
      <c r="D1149" s="448">
        <v>24.56</v>
      </c>
      <c r="E1149" s="210"/>
    </row>
    <row r="1150" spans="1:5" ht="81">
      <c r="A1150" s="446">
        <v>100380</v>
      </c>
      <c r="B1150" s="447" t="s">
        <v>3578</v>
      </c>
      <c r="C1150" s="446" t="s">
        <v>42</v>
      </c>
      <c r="D1150" s="448">
        <v>32.450000000000003</v>
      </c>
      <c r="E1150" s="210"/>
    </row>
    <row r="1151" spans="1:5" ht="81">
      <c r="A1151" s="446">
        <v>100381</v>
      </c>
      <c r="B1151" s="447" t="s">
        <v>3579</v>
      </c>
      <c r="C1151" s="446" t="s">
        <v>42</v>
      </c>
      <c r="D1151" s="448">
        <v>36.130000000000003</v>
      </c>
      <c r="E1151" s="210"/>
    </row>
    <row r="1152" spans="1:5" ht="94.5">
      <c r="A1152" s="446">
        <v>100383</v>
      </c>
      <c r="B1152" s="447" t="s">
        <v>3580</v>
      </c>
      <c r="C1152" s="446" t="s">
        <v>42</v>
      </c>
      <c r="D1152" s="448">
        <v>16.09</v>
      </c>
      <c r="E1152" s="210"/>
    </row>
    <row r="1153" spans="1:5" ht="81">
      <c r="A1153" s="446">
        <v>100384</v>
      </c>
      <c r="B1153" s="447" t="s">
        <v>3581</v>
      </c>
      <c r="C1153" s="446" t="s">
        <v>42</v>
      </c>
      <c r="D1153" s="448">
        <v>16.75</v>
      </c>
      <c r="E1153" s="210"/>
    </row>
    <row r="1154" spans="1:5" ht="81">
      <c r="A1154" s="446">
        <v>100385</v>
      </c>
      <c r="B1154" s="447" t="s">
        <v>3582</v>
      </c>
      <c r="C1154" s="446" t="s">
        <v>42</v>
      </c>
      <c r="D1154" s="448">
        <v>22.02</v>
      </c>
      <c r="E1154" s="210"/>
    </row>
    <row r="1155" spans="1:5" ht="81">
      <c r="A1155" s="446">
        <v>100386</v>
      </c>
      <c r="B1155" s="447" t="s">
        <v>3583</v>
      </c>
      <c r="C1155" s="446" t="s">
        <v>42</v>
      </c>
      <c r="D1155" s="448">
        <v>28.25</v>
      </c>
      <c r="E1155" s="210"/>
    </row>
    <row r="1156" spans="1:5" ht="81">
      <c r="A1156" s="446">
        <v>100387</v>
      </c>
      <c r="B1156" s="447" t="s">
        <v>3584</v>
      </c>
      <c r="C1156" s="446" t="s">
        <v>42</v>
      </c>
      <c r="D1156" s="448">
        <v>33.880000000000003</v>
      </c>
      <c r="E1156" s="210"/>
    </row>
    <row r="1157" spans="1:5" ht="54">
      <c r="A1157" s="446">
        <v>100388</v>
      </c>
      <c r="B1157" s="447" t="s">
        <v>3585</v>
      </c>
      <c r="C1157" s="446" t="s">
        <v>42</v>
      </c>
      <c r="D1157" s="448">
        <v>11.99</v>
      </c>
      <c r="E1157" s="210"/>
    </row>
    <row r="1158" spans="1:5" ht="54">
      <c r="A1158" s="446">
        <v>100389</v>
      </c>
      <c r="B1158" s="447" t="s">
        <v>3586</v>
      </c>
      <c r="C1158" s="446" t="s">
        <v>42</v>
      </c>
      <c r="D1158" s="448">
        <v>11.09</v>
      </c>
      <c r="E1158" s="210"/>
    </row>
    <row r="1159" spans="1:5" ht="54">
      <c r="A1159" s="446">
        <v>100390</v>
      </c>
      <c r="B1159" s="447" t="s">
        <v>3587</v>
      </c>
      <c r="C1159" s="446" t="s">
        <v>42</v>
      </c>
      <c r="D1159" s="448">
        <v>14.45</v>
      </c>
      <c r="E1159" s="210"/>
    </row>
    <row r="1160" spans="1:5" ht="54">
      <c r="A1160" s="446">
        <v>100391</v>
      </c>
      <c r="B1160" s="447" t="s">
        <v>3588</v>
      </c>
      <c r="C1160" s="446" t="s">
        <v>42</v>
      </c>
      <c r="D1160" s="448">
        <v>12.79</v>
      </c>
      <c r="E1160" s="210"/>
    </row>
    <row r="1161" spans="1:5" ht="54">
      <c r="A1161" s="446">
        <v>100392</v>
      </c>
      <c r="B1161" s="447" t="s">
        <v>3589</v>
      </c>
      <c r="C1161" s="446" t="s">
        <v>42</v>
      </c>
      <c r="D1161" s="448">
        <v>9.48</v>
      </c>
      <c r="E1161" s="210"/>
    </row>
    <row r="1162" spans="1:5" ht="54">
      <c r="A1162" s="446">
        <v>100393</v>
      </c>
      <c r="B1162" s="447" t="s">
        <v>3590</v>
      </c>
      <c r="C1162" s="446" t="s">
        <v>42</v>
      </c>
      <c r="D1162" s="448">
        <v>12.72</v>
      </c>
      <c r="E1162" s="210"/>
    </row>
    <row r="1163" spans="1:5" ht="54">
      <c r="A1163" s="446">
        <v>100394</v>
      </c>
      <c r="B1163" s="447" t="s">
        <v>3591</v>
      </c>
      <c r="C1163" s="446" t="s">
        <v>42</v>
      </c>
      <c r="D1163" s="448">
        <v>11.42</v>
      </c>
      <c r="E1163" s="210"/>
    </row>
    <row r="1164" spans="1:5" ht="54">
      <c r="A1164" s="446">
        <v>100395</v>
      </c>
      <c r="B1164" s="447" t="s">
        <v>3592</v>
      </c>
      <c r="C1164" s="446" t="s">
        <v>42</v>
      </c>
      <c r="D1164" s="448">
        <v>15.17</v>
      </c>
      <c r="E1164" s="210"/>
    </row>
    <row r="1165" spans="1:5" ht="40.5">
      <c r="A1165" s="446">
        <v>94189</v>
      </c>
      <c r="B1165" s="447" t="s">
        <v>3593</v>
      </c>
      <c r="C1165" s="446" t="s">
        <v>42</v>
      </c>
      <c r="D1165" s="448">
        <v>29.59</v>
      </c>
      <c r="E1165" s="210"/>
    </row>
    <row r="1166" spans="1:5" ht="40.5">
      <c r="A1166" s="446">
        <v>94192</v>
      </c>
      <c r="B1166" s="447" t="s">
        <v>3594</v>
      </c>
      <c r="C1166" s="446" t="s">
        <v>42</v>
      </c>
      <c r="D1166" s="448">
        <v>31.36</v>
      </c>
      <c r="E1166" s="210"/>
    </row>
    <row r="1167" spans="1:5" ht="54">
      <c r="A1167" s="446">
        <v>94195</v>
      </c>
      <c r="B1167" s="447" t="s">
        <v>3595</v>
      </c>
      <c r="C1167" s="446" t="s">
        <v>42</v>
      </c>
      <c r="D1167" s="448">
        <v>38.67</v>
      </c>
      <c r="E1167" s="210"/>
    </row>
    <row r="1168" spans="1:5" ht="54">
      <c r="A1168" s="446">
        <v>94198</v>
      </c>
      <c r="B1168" s="447" t="s">
        <v>3596</v>
      </c>
      <c r="C1168" s="446" t="s">
        <v>42</v>
      </c>
      <c r="D1168" s="448">
        <v>41.01</v>
      </c>
      <c r="E1168" s="210"/>
    </row>
    <row r="1169" spans="1:5" ht="40.5">
      <c r="A1169" s="446">
        <v>94201</v>
      </c>
      <c r="B1169" s="447" t="s">
        <v>3597</v>
      </c>
      <c r="C1169" s="446" t="s">
        <v>42</v>
      </c>
      <c r="D1169" s="448">
        <v>54.38</v>
      </c>
      <c r="E1169" s="210"/>
    </row>
    <row r="1170" spans="1:5" ht="54">
      <c r="A1170" s="446">
        <v>94204</v>
      </c>
      <c r="B1170" s="447" t="s">
        <v>3598</v>
      </c>
      <c r="C1170" s="446" t="s">
        <v>42</v>
      </c>
      <c r="D1170" s="448">
        <v>58.35</v>
      </c>
      <c r="E1170" s="210"/>
    </row>
    <row r="1171" spans="1:5" ht="27">
      <c r="A1171" s="446">
        <v>94224</v>
      </c>
      <c r="B1171" s="447" t="s">
        <v>3599</v>
      </c>
      <c r="C1171" s="446" t="s">
        <v>14</v>
      </c>
      <c r="D1171" s="448">
        <v>17.899999999999999</v>
      </c>
      <c r="E1171" s="210"/>
    </row>
    <row r="1172" spans="1:5" ht="40.5">
      <c r="A1172" s="446">
        <v>94226</v>
      </c>
      <c r="B1172" s="447" t="s">
        <v>3600</v>
      </c>
      <c r="C1172" s="446" t="s">
        <v>42</v>
      </c>
      <c r="D1172" s="448">
        <v>17.690000000000001</v>
      </c>
      <c r="E1172" s="210"/>
    </row>
    <row r="1173" spans="1:5" ht="27">
      <c r="A1173" s="446">
        <v>94232</v>
      </c>
      <c r="B1173" s="447" t="s">
        <v>3601</v>
      </c>
      <c r="C1173" s="446" t="s">
        <v>34</v>
      </c>
      <c r="D1173" s="448">
        <v>2.04</v>
      </c>
      <c r="E1173" s="210"/>
    </row>
    <row r="1174" spans="1:5" ht="54">
      <c r="A1174" s="446">
        <v>94440</v>
      </c>
      <c r="B1174" s="447" t="s">
        <v>3602</v>
      </c>
      <c r="C1174" s="446" t="s">
        <v>42</v>
      </c>
      <c r="D1174" s="448">
        <v>38.67</v>
      </c>
      <c r="E1174" s="210"/>
    </row>
    <row r="1175" spans="1:5" ht="54">
      <c r="A1175" s="446">
        <v>94441</v>
      </c>
      <c r="B1175" s="447" t="s">
        <v>3603</v>
      </c>
      <c r="C1175" s="446" t="s">
        <v>42</v>
      </c>
      <c r="D1175" s="448">
        <v>41.01</v>
      </c>
      <c r="E1175" s="210"/>
    </row>
    <row r="1176" spans="1:5" ht="40.5">
      <c r="A1176" s="446">
        <v>94442</v>
      </c>
      <c r="B1176" s="447" t="s">
        <v>3604</v>
      </c>
      <c r="C1176" s="446" t="s">
        <v>42</v>
      </c>
      <c r="D1176" s="448">
        <v>38.67</v>
      </c>
      <c r="E1176" s="210"/>
    </row>
    <row r="1177" spans="1:5" ht="54">
      <c r="A1177" s="446">
        <v>94443</v>
      </c>
      <c r="B1177" s="447" t="s">
        <v>3605</v>
      </c>
      <c r="C1177" s="446" t="s">
        <v>42</v>
      </c>
      <c r="D1177" s="448">
        <v>41.01</v>
      </c>
      <c r="E1177" s="210"/>
    </row>
    <row r="1178" spans="1:5" ht="40.5">
      <c r="A1178" s="446">
        <v>94445</v>
      </c>
      <c r="B1178" s="447" t="s">
        <v>3606</v>
      </c>
      <c r="C1178" s="446" t="s">
        <v>42</v>
      </c>
      <c r="D1178" s="448">
        <v>54.38</v>
      </c>
      <c r="E1178" s="210"/>
    </row>
    <row r="1179" spans="1:5" ht="40.5">
      <c r="A1179" s="446">
        <v>94446</v>
      </c>
      <c r="B1179" s="447" t="s">
        <v>3607</v>
      </c>
      <c r="C1179" s="446" t="s">
        <v>42</v>
      </c>
      <c r="D1179" s="448">
        <v>58.35</v>
      </c>
      <c r="E1179" s="210"/>
    </row>
    <row r="1180" spans="1:5" ht="40.5">
      <c r="A1180" s="446">
        <v>94447</v>
      </c>
      <c r="B1180" s="447" t="s">
        <v>3608</v>
      </c>
      <c r="C1180" s="446" t="s">
        <v>42</v>
      </c>
      <c r="D1180" s="448">
        <v>54.38</v>
      </c>
      <c r="E1180" s="210"/>
    </row>
    <row r="1181" spans="1:5" ht="54">
      <c r="A1181" s="446">
        <v>94448</v>
      </c>
      <c r="B1181" s="447" t="s">
        <v>3609</v>
      </c>
      <c r="C1181" s="446" t="s">
        <v>42</v>
      </c>
      <c r="D1181" s="448">
        <v>58.35</v>
      </c>
      <c r="E1181" s="210"/>
    </row>
    <row r="1182" spans="1:5" ht="67.5">
      <c r="A1182" s="446">
        <v>94207</v>
      </c>
      <c r="B1182" s="447" t="s">
        <v>3610</v>
      </c>
      <c r="C1182" s="446" t="s">
        <v>42</v>
      </c>
      <c r="D1182" s="448">
        <v>47.16</v>
      </c>
      <c r="E1182" s="210"/>
    </row>
    <row r="1183" spans="1:5" ht="67.5">
      <c r="A1183" s="446">
        <v>94210</v>
      </c>
      <c r="B1183" s="447" t="s">
        <v>3611</v>
      </c>
      <c r="C1183" s="446" t="s">
        <v>42</v>
      </c>
      <c r="D1183" s="448">
        <v>50.01</v>
      </c>
      <c r="E1183" s="210"/>
    </row>
    <row r="1184" spans="1:5" ht="40.5">
      <c r="A1184" s="446">
        <v>94218</v>
      </c>
      <c r="B1184" s="447" t="s">
        <v>6989</v>
      </c>
      <c r="C1184" s="446" t="s">
        <v>42</v>
      </c>
      <c r="D1184" s="448">
        <v>105.66</v>
      </c>
      <c r="E1184" s="210"/>
    </row>
    <row r="1185" spans="1:5" ht="40.5">
      <c r="A1185" s="446">
        <v>94213</v>
      </c>
      <c r="B1185" s="447" t="s">
        <v>3612</v>
      </c>
      <c r="C1185" s="446" t="s">
        <v>42</v>
      </c>
      <c r="D1185" s="448">
        <v>86.46</v>
      </c>
      <c r="E1185" s="210"/>
    </row>
    <row r="1186" spans="1:5" ht="40.5">
      <c r="A1186" s="446">
        <v>94216</v>
      </c>
      <c r="B1186" s="447" t="s">
        <v>3613</v>
      </c>
      <c r="C1186" s="446" t="s">
        <v>42</v>
      </c>
      <c r="D1186" s="448">
        <v>259.32</v>
      </c>
      <c r="E1186" s="210"/>
    </row>
    <row r="1187" spans="1:5" ht="67.5">
      <c r="A1187" s="446">
        <v>94219</v>
      </c>
      <c r="B1187" s="447" t="s">
        <v>3614</v>
      </c>
      <c r="C1187" s="446" t="s">
        <v>14</v>
      </c>
      <c r="D1187" s="448">
        <v>28.1</v>
      </c>
      <c r="E1187" s="210"/>
    </row>
    <row r="1188" spans="1:5" ht="67.5">
      <c r="A1188" s="446">
        <v>94220</v>
      </c>
      <c r="B1188" s="447" t="s">
        <v>3615</v>
      </c>
      <c r="C1188" s="446" t="s">
        <v>14</v>
      </c>
      <c r="D1188" s="448">
        <v>40.07</v>
      </c>
      <c r="E1188" s="210"/>
    </row>
    <row r="1189" spans="1:5" ht="54">
      <c r="A1189" s="446">
        <v>94221</v>
      </c>
      <c r="B1189" s="447" t="s">
        <v>3616</v>
      </c>
      <c r="C1189" s="446" t="s">
        <v>14</v>
      </c>
      <c r="D1189" s="448">
        <v>23.49</v>
      </c>
      <c r="E1189" s="210"/>
    </row>
    <row r="1190" spans="1:5" ht="67.5">
      <c r="A1190" s="446">
        <v>94222</v>
      </c>
      <c r="B1190" s="447" t="s">
        <v>3617</v>
      </c>
      <c r="C1190" s="446" t="s">
        <v>14</v>
      </c>
      <c r="D1190" s="448">
        <v>35.46</v>
      </c>
      <c r="E1190" s="210"/>
    </row>
    <row r="1191" spans="1:5" ht="40.5">
      <c r="A1191" s="446">
        <v>94223</v>
      </c>
      <c r="B1191" s="447" t="s">
        <v>3618</v>
      </c>
      <c r="C1191" s="446" t="s">
        <v>14</v>
      </c>
      <c r="D1191" s="448">
        <v>61.62</v>
      </c>
      <c r="E1191" s="210"/>
    </row>
    <row r="1192" spans="1:5" ht="40.5">
      <c r="A1192" s="446">
        <v>94451</v>
      </c>
      <c r="B1192" s="447" t="s">
        <v>3619</v>
      </c>
      <c r="C1192" s="446" t="s">
        <v>14</v>
      </c>
      <c r="D1192" s="448">
        <v>140.81</v>
      </c>
      <c r="E1192" s="210"/>
    </row>
    <row r="1193" spans="1:5" ht="54">
      <c r="A1193" s="446">
        <v>100325</v>
      </c>
      <c r="B1193" s="447" t="s">
        <v>3620</v>
      </c>
      <c r="C1193" s="446" t="s">
        <v>14</v>
      </c>
      <c r="D1193" s="448">
        <v>59.54</v>
      </c>
      <c r="E1193" s="210"/>
    </row>
    <row r="1194" spans="1:5" ht="40.5">
      <c r="A1194" s="446">
        <v>100327</v>
      </c>
      <c r="B1194" s="447" t="s">
        <v>3621</v>
      </c>
      <c r="C1194" s="446" t="s">
        <v>14</v>
      </c>
      <c r="D1194" s="448">
        <v>50.88</v>
      </c>
      <c r="E1194" s="210"/>
    </row>
    <row r="1195" spans="1:5" ht="40.5">
      <c r="A1195" s="446">
        <v>100328</v>
      </c>
      <c r="B1195" s="447" t="s">
        <v>3622</v>
      </c>
      <c r="C1195" s="446" t="s">
        <v>42</v>
      </c>
      <c r="D1195" s="448">
        <v>12.24</v>
      </c>
      <c r="E1195" s="210"/>
    </row>
    <row r="1196" spans="1:5" ht="40.5">
      <c r="A1196" s="446">
        <v>100329</v>
      </c>
      <c r="B1196" s="447" t="s">
        <v>3623</v>
      </c>
      <c r="C1196" s="446" t="s">
        <v>42</v>
      </c>
      <c r="D1196" s="448">
        <v>14.59</v>
      </c>
      <c r="E1196" s="210"/>
    </row>
    <row r="1197" spans="1:5" ht="40.5">
      <c r="A1197" s="446">
        <v>100330</v>
      </c>
      <c r="B1197" s="447" t="s">
        <v>3624</v>
      </c>
      <c r="C1197" s="446" t="s">
        <v>42</v>
      </c>
      <c r="D1197" s="448">
        <v>16.66</v>
      </c>
      <c r="E1197" s="210"/>
    </row>
    <row r="1198" spans="1:5" ht="40.5">
      <c r="A1198" s="446">
        <v>100331</v>
      </c>
      <c r="B1198" s="447" t="s">
        <v>3625</v>
      </c>
      <c r="C1198" s="446" t="s">
        <v>42</v>
      </c>
      <c r="D1198" s="448">
        <v>20.66</v>
      </c>
      <c r="E1198" s="210"/>
    </row>
    <row r="1199" spans="1:5" ht="67.5">
      <c r="A1199" s="446">
        <v>100434</v>
      </c>
      <c r="B1199" s="447" t="s">
        <v>4308</v>
      </c>
      <c r="C1199" s="446" t="s">
        <v>14</v>
      </c>
      <c r="D1199" s="448">
        <v>59.23</v>
      </c>
      <c r="E1199" s="210"/>
    </row>
    <row r="1200" spans="1:5" ht="54">
      <c r="A1200" s="446">
        <v>100435</v>
      </c>
      <c r="B1200" s="447" t="s">
        <v>4309</v>
      </c>
      <c r="C1200" s="446" t="s">
        <v>14</v>
      </c>
      <c r="D1200" s="448">
        <v>30.69</v>
      </c>
      <c r="E1200" s="210"/>
    </row>
    <row r="1201" spans="1:5" ht="40.5">
      <c r="A1201" s="446">
        <v>94227</v>
      </c>
      <c r="B1201" s="447" t="s">
        <v>3626</v>
      </c>
      <c r="C1201" s="446" t="s">
        <v>14</v>
      </c>
      <c r="D1201" s="448">
        <v>57.54</v>
      </c>
      <c r="E1201" s="210"/>
    </row>
    <row r="1202" spans="1:5" ht="40.5">
      <c r="A1202" s="446">
        <v>94228</v>
      </c>
      <c r="B1202" s="447" t="s">
        <v>3627</v>
      </c>
      <c r="C1202" s="446" t="s">
        <v>14</v>
      </c>
      <c r="D1202" s="448">
        <v>77.260000000000005</v>
      </c>
      <c r="E1202" s="210"/>
    </row>
    <row r="1203" spans="1:5" ht="40.5">
      <c r="A1203" s="446">
        <v>94229</v>
      </c>
      <c r="B1203" s="447" t="s">
        <v>3628</v>
      </c>
      <c r="C1203" s="446" t="s">
        <v>14</v>
      </c>
      <c r="D1203" s="448">
        <v>149.94</v>
      </c>
      <c r="E1203" s="210"/>
    </row>
    <row r="1204" spans="1:5" ht="40.5">
      <c r="A1204" s="446">
        <v>94231</v>
      </c>
      <c r="B1204" s="447" t="s">
        <v>3629</v>
      </c>
      <c r="C1204" s="446" t="s">
        <v>14</v>
      </c>
      <c r="D1204" s="448">
        <v>45.7</v>
      </c>
      <c r="E1204" s="210"/>
    </row>
    <row r="1205" spans="1:5" ht="54">
      <c r="A1205" s="446">
        <v>94449</v>
      </c>
      <c r="B1205" s="447" t="s">
        <v>3630</v>
      </c>
      <c r="C1205" s="446" t="s">
        <v>42</v>
      </c>
      <c r="D1205" s="448">
        <v>53.45</v>
      </c>
      <c r="E1205" s="210"/>
    </row>
    <row r="1206" spans="1:5" ht="54">
      <c r="A1206" s="446">
        <v>92255</v>
      </c>
      <c r="B1206" s="447" t="s">
        <v>3631</v>
      </c>
      <c r="C1206" s="446" t="s">
        <v>34</v>
      </c>
      <c r="D1206" s="448">
        <v>138.53</v>
      </c>
      <c r="E1206" s="210"/>
    </row>
    <row r="1207" spans="1:5" ht="54">
      <c r="A1207" s="446">
        <v>92256</v>
      </c>
      <c r="B1207" s="447" t="s">
        <v>3632</v>
      </c>
      <c r="C1207" s="446" t="s">
        <v>34</v>
      </c>
      <c r="D1207" s="448">
        <v>162.22999999999999</v>
      </c>
      <c r="E1207" s="210"/>
    </row>
    <row r="1208" spans="1:5" ht="54">
      <c r="A1208" s="446">
        <v>92257</v>
      </c>
      <c r="B1208" s="447" t="s">
        <v>3633</v>
      </c>
      <c r="C1208" s="446" t="s">
        <v>34</v>
      </c>
      <c r="D1208" s="448">
        <v>185.75</v>
      </c>
      <c r="E1208" s="210"/>
    </row>
    <row r="1209" spans="1:5" ht="54">
      <c r="A1209" s="446">
        <v>92258</v>
      </c>
      <c r="B1209" s="447" t="s">
        <v>3634</v>
      </c>
      <c r="C1209" s="446" t="s">
        <v>34</v>
      </c>
      <c r="D1209" s="448">
        <v>223.6</v>
      </c>
      <c r="E1209" s="210"/>
    </row>
    <row r="1210" spans="1:5" ht="67.5">
      <c r="A1210" s="446">
        <v>92568</v>
      </c>
      <c r="B1210" s="447" t="s">
        <v>3635</v>
      </c>
      <c r="C1210" s="446" t="s">
        <v>42</v>
      </c>
      <c r="D1210" s="448">
        <v>136.99</v>
      </c>
      <c r="E1210" s="210"/>
    </row>
    <row r="1211" spans="1:5" ht="67.5">
      <c r="A1211" s="446">
        <v>92569</v>
      </c>
      <c r="B1211" s="447" t="s">
        <v>3636</v>
      </c>
      <c r="C1211" s="446" t="s">
        <v>42</v>
      </c>
      <c r="D1211" s="448">
        <v>77.260000000000005</v>
      </c>
      <c r="E1211" s="210"/>
    </row>
    <row r="1212" spans="1:5" ht="54">
      <c r="A1212" s="446">
        <v>92570</v>
      </c>
      <c r="B1212" s="447" t="s">
        <v>3637</v>
      </c>
      <c r="C1212" s="446" t="s">
        <v>42</v>
      </c>
      <c r="D1212" s="448">
        <v>49.5</v>
      </c>
      <c r="E1212" s="210"/>
    </row>
    <row r="1213" spans="1:5" ht="67.5">
      <c r="A1213" s="446">
        <v>92571</v>
      </c>
      <c r="B1213" s="447" t="s">
        <v>3638</v>
      </c>
      <c r="C1213" s="446" t="s">
        <v>42</v>
      </c>
      <c r="D1213" s="448">
        <v>142.19</v>
      </c>
      <c r="E1213" s="210"/>
    </row>
    <row r="1214" spans="1:5" ht="67.5">
      <c r="A1214" s="446">
        <v>92572</v>
      </c>
      <c r="B1214" s="447" t="s">
        <v>3639</v>
      </c>
      <c r="C1214" s="446" t="s">
        <v>42</v>
      </c>
      <c r="D1214" s="448">
        <v>86.5</v>
      </c>
      <c r="E1214" s="210"/>
    </row>
    <row r="1215" spans="1:5" ht="67.5">
      <c r="A1215" s="446">
        <v>92573</v>
      </c>
      <c r="B1215" s="447" t="s">
        <v>3640</v>
      </c>
      <c r="C1215" s="446" t="s">
        <v>42</v>
      </c>
      <c r="D1215" s="448">
        <v>51.61</v>
      </c>
      <c r="E1215" s="210"/>
    </row>
    <row r="1216" spans="1:5" ht="54">
      <c r="A1216" s="446">
        <v>92574</v>
      </c>
      <c r="B1216" s="447" t="s">
        <v>3641</v>
      </c>
      <c r="C1216" s="446" t="s">
        <v>42</v>
      </c>
      <c r="D1216" s="448">
        <v>138.79</v>
      </c>
      <c r="E1216" s="210"/>
    </row>
    <row r="1217" spans="1:5" ht="54">
      <c r="A1217" s="446">
        <v>92575</v>
      </c>
      <c r="B1217" s="447" t="s">
        <v>3642</v>
      </c>
      <c r="C1217" s="446" t="s">
        <v>42</v>
      </c>
      <c r="D1217" s="448">
        <v>70.39</v>
      </c>
      <c r="E1217" s="210"/>
    </row>
    <row r="1218" spans="1:5" ht="54">
      <c r="A1218" s="446">
        <v>92576</v>
      </c>
      <c r="B1218" s="447" t="s">
        <v>3643</v>
      </c>
      <c r="C1218" s="446" t="s">
        <v>42</v>
      </c>
      <c r="D1218" s="448">
        <v>38.93</v>
      </c>
      <c r="E1218" s="210"/>
    </row>
    <row r="1219" spans="1:5" ht="67.5">
      <c r="A1219" s="446">
        <v>92577</v>
      </c>
      <c r="B1219" s="447" t="s">
        <v>3644</v>
      </c>
      <c r="C1219" s="446" t="s">
        <v>42</v>
      </c>
      <c r="D1219" s="448">
        <v>144.57</v>
      </c>
      <c r="E1219" s="210"/>
    </row>
    <row r="1220" spans="1:5" ht="54">
      <c r="A1220" s="446">
        <v>92578</v>
      </c>
      <c r="B1220" s="447" t="s">
        <v>3645</v>
      </c>
      <c r="C1220" s="446" t="s">
        <v>42</v>
      </c>
      <c r="D1220" s="448">
        <v>73.540000000000006</v>
      </c>
      <c r="E1220" s="210"/>
    </row>
    <row r="1221" spans="1:5" ht="54">
      <c r="A1221" s="446">
        <v>92579</v>
      </c>
      <c r="B1221" s="447" t="s">
        <v>3646</v>
      </c>
      <c r="C1221" s="446" t="s">
        <v>42</v>
      </c>
      <c r="D1221" s="448">
        <v>40.619999999999997</v>
      </c>
      <c r="E1221" s="210"/>
    </row>
    <row r="1222" spans="1:5" ht="67.5">
      <c r="A1222" s="446">
        <v>92580</v>
      </c>
      <c r="B1222" s="447" t="s">
        <v>3647</v>
      </c>
      <c r="C1222" s="446" t="s">
        <v>42</v>
      </c>
      <c r="D1222" s="448">
        <v>50.2</v>
      </c>
      <c r="E1222" s="210"/>
    </row>
    <row r="1223" spans="1:5" ht="54">
      <c r="A1223" s="446">
        <v>92581</v>
      </c>
      <c r="B1223" s="447" t="s">
        <v>3648</v>
      </c>
      <c r="C1223" s="446" t="s">
        <v>42</v>
      </c>
      <c r="D1223" s="448">
        <v>52.94</v>
      </c>
      <c r="E1223" s="210"/>
    </row>
    <row r="1224" spans="1:5" ht="54">
      <c r="A1224" s="446">
        <v>92582</v>
      </c>
      <c r="B1224" s="447" t="s">
        <v>2121</v>
      </c>
      <c r="C1224" s="446" t="s">
        <v>34</v>
      </c>
      <c r="D1224" s="448">
        <v>706.31</v>
      </c>
      <c r="E1224" s="210"/>
    </row>
    <row r="1225" spans="1:5" ht="54">
      <c r="A1225" s="446">
        <v>92584</v>
      </c>
      <c r="B1225" s="447" t="s">
        <v>2122</v>
      </c>
      <c r="C1225" s="446" t="s">
        <v>34</v>
      </c>
      <c r="D1225" s="448">
        <v>845.32</v>
      </c>
      <c r="E1225" s="210"/>
    </row>
    <row r="1226" spans="1:5" ht="54">
      <c r="A1226" s="446">
        <v>92586</v>
      </c>
      <c r="B1226" s="447" t="s">
        <v>2123</v>
      </c>
      <c r="C1226" s="446" t="s">
        <v>34</v>
      </c>
      <c r="D1226" s="448">
        <v>984.32</v>
      </c>
      <c r="E1226" s="210"/>
    </row>
    <row r="1227" spans="1:5" ht="54">
      <c r="A1227" s="446">
        <v>92588</v>
      </c>
      <c r="B1227" s="447" t="s">
        <v>2124</v>
      </c>
      <c r="C1227" s="446" t="s">
        <v>34</v>
      </c>
      <c r="D1227" s="448">
        <v>1231.8399999999999</v>
      </c>
      <c r="E1227" s="210"/>
    </row>
    <row r="1228" spans="1:5" ht="54">
      <c r="A1228" s="446">
        <v>92590</v>
      </c>
      <c r="B1228" s="447" t="s">
        <v>2125</v>
      </c>
      <c r="C1228" s="446" t="s">
        <v>34</v>
      </c>
      <c r="D1228" s="448">
        <v>1370.84</v>
      </c>
      <c r="E1228" s="210"/>
    </row>
    <row r="1229" spans="1:5" ht="54">
      <c r="A1229" s="446">
        <v>92592</v>
      </c>
      <c r="B1229" s="447" t="s">
        <v>2126</v>
      </c>
      <c r="C1229" s="446" t="s">
        <v>34</v>
      </c>
      <c r="D1229" s="448">
        <v>1533.37</v>
      </c>
      <c r="E1229" s="210"/>
    </row>
    <row r="1230" spans="1:5" ht="67.5">
      <c r="A1230" s="446">
        <v>92593</v>
      </c>
      <c r="B1230" s="447" t="s">
        <v>483</v>
      </c>
      <c r="C1230" s="446" t="s">
        <v>17</v>
      </c>
      <c r="D1230" s="448">
        <v>11.63</v>
      </c>
      <c r="E1230" s="210"/>
    </row>
    <row r="1231" spans="1:5" ht="54">
      <c r="A1231" s="446">
        <v>92594</v>
      </c>
      <c r="B1231" s="447" t="s">
        <v>2127</v>
      </c>
      <c r="C1231" s="446" t="s">
        <v>34</v>
      </c>
      <c r="D1231" s="448">
        <v>1792.36</v>
      </c>
      <c r="E1231" s="210"/>
    </row>
    <row r="1232" spans="1:5" ht="54">
      <c r="A1232" s="446">
        <v>92596</v>
      </c>
      <c r="B1232" s="447" t="s">
        <v>2128</v>
      </c>
      <c r="C1232" s="446" t="s">
        <v>34</v>
      </c>
      <c r="D1232" s="448">
        <v>1975.17</v>
      </c>
      <c r="E1232" s="210"/>
    </row>
    <row r="1233" spans="1:5" ht="54">
      <c r="A1233" s="446">
        <v>92598</v>
      </c>
      <c r="B1233" s="447" t="s">
        <v>2129</v>
      </c>
      <c r="C1233" s="446" t="s">
        <v>34</v>
      </c>
      <c r="D1233" s="448">
        <v>2114.17</v>
      </c>
      <c r="E1233" s="210"/>
    </row>
    <row r="1234" spans="1:5" ht="54">
      <c r="A1234" s="446">
        <v>92600</v>
      </c>
      <c r="B1234" s="447" t="s">
        <v>2130</v>
      </c>
      <c r="C1234" s="446" t="s">
        <v>34</v>
      </c>
      <c r="D1234" s="448">
        <v>2288.35</v>
      </c>
      <c r="E1234" s="210"/>
    </row>
    <row r="1235" spans="1:5" ht="67.5">
      <c r="A1235" s="446">
        <v>92602</v>
      </c>
      <c r="B1235" s="447" t="s">
        <v>2131</v>
      </c>
      <c r="C1235" s="446" t="s">
        <v>34</v>
      </c>
      <c r="D1235" s="448">
        <v>706.31</v>
      </c>
      <c r="E1235" s="210"/>
    </row>
    <row r="1236" spans="1:5" ht="67.5">
      <c r="A1236" s="446">
        <v>92604</v>
      </c>
      <c r="B1236" s="447" t="s">
        <v>2132</v>
      </c>
      <c r="C1236" s="446" t="s">
        <v>34</v>
      </c>
      <c r="D1236" s="448">
        <v>810.14</v>
      </c>
      <c r="E1236" s="210"/>
    </row>
    <row r="1237" spans="1:5" ht="67.5">
      <c r="A1237" s="446">
        <v>92606</v>
      </c>
      <c r="B1237" s="447" t="s">
        <v>2133</v>
      </c>
      <c r="C1237" s="446" t="s">
        <v>34</v>
      </c>
      <c r="D1237" s="448">
        <v>949.15</v>
      </c>
      <c r="E1237" s="210"/>
    </row>
    <row r="1238" spans="1:5" ht="67.5">
      <c r="A1238" s="446">
        <v>92608</v>
      </c>
      <c r="B1238" s="447" t="s">
        <v>2134</v>
      </c>
      <c r="C1238" s="446" t="s">
        <v>34</v>
      </c>
      <c r="D1238" s="448">
        <v>1161.49</v>
      </c>
      <c r="E1238" s="210"/>
    </row>
    <row r="1239" spans="1:5" ht="67.5">
      <c r="A1239" s="446">
        <v>92610</v>
      </c>
      <c r="B1239" s="447" t="s">
        <v>2135</v>
      </c>
      <c r="C1239" s="446" t="s">
        <v>34</v>
      </c>
      <c r="D1239" s="448">
        <v>1300.49</v>
      </c>
      <c r="E1239" s="210"/>
    </row>
    <row r="1240" spans="1:5" ht="67.5">
      <c r="A1240" s="446">
        <v>92612</v>
      </c>
      <c r="B1240" s="447" t="s">
        <v>2136</v>
      </c>
      <c r="C1240" s="446" t="s">
        <v>34</v>
      </c>
      <c r="D1240" s="448">
        <v>1463.03</v>
      </c>
      <c r="E1240" s="210"/>
    </row>
    <row r="1241" spans="1:5" ht="67.5">
      <c r="A1241" s="446">
        <v>92614</v>
      </c>
      <c r="B1241" s="447" t="s">
        <v>2137</v>
      </c>
      <c r="C1241" s="446" t="s">
        <v>34</v>
      </c>
      <c r="D1241" s="448">
        <v>1651.67</v>
      </c>
      <c r="E1241" s="210"/>
    </row>
    <row r="1242" spans="1:5" ht="67.5">
      <c r="A1242" s="446">
        <v>92616</v>
      </c>
      <c r="B1242" s="447" t="s">
        <v>2138</v>
      </c>
      <c r="C1242" s="446" t="s">
        <v>34</v>
      </c>
      <c r="D1242" s="448">
        <v>1869.65</v>
      </c>
      <c r="E1242" s="210"/>
    </row>
    <row r="1243" spans="1:5" ht="67.5">
      <c r="A1243" s="446">
        <v>92618</v>
      </c>
      <c r="B1243" s="447" t="s">
        <v>2139</v>
      </c>
      <c r="C1243" s="446" t="s">
        <v>34</v>
      </c>
      <c r="D1243" s="448">
        <v>2008.66</v>
      </c>
      <c r="E1243" s="210"/>
    </row>
    <row r="1244" spans="1:5" ht="67.5">
      <c r="A1244" s="446">
        <v>92620</v>
      </c>
      <c r="B1244" s="447" t="s">
        <v>2140</v>
      </c>
      <c r="C1244" s="446" t="s">
        <v>34</v>
      </c>
      <c r="D1244" s="448">
        <v>2147.66</v>
      </c>
      <c r="E1244" s="210"/>
    </row>
    <row r="1245" spans="1:5" ht="54">
      <c r="A1245" s="446">
        <v>100357</v>
      </c>
      <c r="B1245" s="447" t="s">
        <v>3649</v>
      </c>
      <c r="C1245" s="446" t="s">
        <v>34</v>
      </c>
      <c r="D1245" s="448">
        <v>688.03</v>
      </c>
      <c r="E1245" s="210"/>
    </row>
    <row r="1246" spans="1:5" ht="54">
      <c r="A1246" s="446">
        <v>100358</v>
      </c>
      <c r="B1246" s="447" t="s">
        <v>3650</v>
      </c>
      <c r="C1246" s="446" t="s">
        <v>34</v>
      </c>
      <c r="D1246" s="448">
        <v>923.7</v>
      </c>
      <c r="E1246" s="210"/>
    </row>
    <row r="1247" spans="1:5" ht="54">
      <c r="A1247" s="446">
        <v>100359</v>
      </c>
      <c r="B1247" s="447" t="s">
        <v>3651</v>
      </c>
      <c r="C1247" s="446" t="s">
        <v>34</v>
      </c>
      <c r="D1247" s="448">
        <v>967.17</v>
      </c>
      <c r="E1247" s="210"/>
    </row>
    <row r="1248" spans="1:5" ht="54">
      <c r="A1248" s="446">
        <v>100360</v>
      </c>
      <c r="B1248" s="447" t="s">
        <v>3652</v>
      </c>
      <c r="C1248" s="446" t="s">
        <v>34</v>
      </c>
      <c r="D1248" s="448">
        <v>1067.73</v>
      </c>
      <c r="E1248" s="210"/>
    </row>
    <row r="1249" spans="1:5" ht="54">
      <c r="A1249" s="446">
        <v>100361</v>
      </c>
      <c r="B1249" s="447" t="s">
        <v>3653</v>
      </c>
      <c r="C1249" s="446" t="s">
        <v>34</v>
      </c>
      <c r="D1249" s="448">
        <v>1321.08</v>
      </c>
      <c r="E1249" s="210"/>
    </row>
    <row r="1250" spans="1:5" ht="54">
      <c r="A1250" s="446">
        <v>100362</v>
      </c>
      <c r="B1250" s="447" t="s">
        <v>3654</v>
      </c>
      <c r="C1250" s="446" t="s">
        <v>34</v>
      </c>
      <c r="D1250" s="448">
        <v>1821.3</v>
      </c>
      <c r="E1250" s="210"/>
    </row>
    <row r="1251" spans="1:5" ht="54">
      <c r="A1251" s="446">
        <v>100363</v>
      </c>
      <c r="B1251" s="447" t="s">
        <v>3655</v>
      </c>
      <c r="C1251" s="446" t="s">
        <v>34</v>
      </c>
      <c r="D1251" s="448">
        <v>1876.27</v>
      </c>
      <c r="E1251" s="210"/>
    </row>
    <row r="1252" spans="1:5" ht="54">
      <c r="A1252" s="446">
        <v>100364</v>
      </c>
      <c r="B1252" s="447" t="s">
        <v>3656</v>
      </c>
      <c r="C1252" s="446" t="s">
        <v>34</v>
      </c>
      <c r="D1252" s="448">
        <v>2027.52</v>
      </c>
      <c r="E1252" s="210"/>
    </row>
    <row r="1253" spans="1:5" ht="54">
      <c r="A1253" s="446">
        <v>100365</v>
      </c>
      <c r="B1253" s="447" t="s">
        <v>3657</v>
      </c>
      <c r="C1253" s="446" t="s">
        <v>34</v>
      </c>
      <c r="D1253" s="448">
        <v>2314.4499999999998</v>
      </c>
      <c r="E1253" s="210"/>
    </row>
    <row r="1254" spans="1:5" ht="54">
      <c r="A1254" s="446">
        <v>100366</v>
      </c>
      <c r="B1254" s="447" t="s">
        <v>3658</v>
      </c>
      <c r="C1254" s="446" t="s">
        <v>34</v>
      </c>
      <c r="D1254" s="448">
        <v>2455.81</v>
      </c>
      <c r="E1254" s="210"/>
    </row>
    <row r="1255" spans="1:5" ht="67.5">
      <c r="A1255" s="446">
        <v>100367</v>
      </c>
      <c r="B1255" s="447" t="s">
        <v>3659</v>
      </c>
      <c r="C1255" s="446" t="s">
        <v>34</v>
      </c>
      <c r="D1255" s="448">
        <v>672.06</v>
      </c>
      <c r="E1255" s="210"/>
    </row>
    <row r="1256" spans="1:5" ht="67.5">
      <c r="A1256" s="446">
        <v>100368</v>
      </c>
      <c r="B1256" s="447" t="s">
        <v>3660</v>
      </c>
      <c r="C1256" s="446" t="s">
        <v>34</v>
      </c>
      <c r="D1256" s="448">
        <v>904</v>
      </c>
      <c r="E1256" s="210"/>
    </row>
    <row r="1257" spans="1:5" ht="67.5">
      <c r="A1257" s="446">
        <v>100369</v>
      </c>
      <c r="B1257" s="447" t="s">
        <v>3661</v>
      </c>
      <c r="C1257" s="446" t="s">
        <v>34</v>
      </c>
      <c r="D1257" s="448">
        <v>947.48</v>
      </c>
      <c r="E1257" s="210"/>
    </row>
    <row r="1258" spans="1:5" ht="67.5">
      <c r="A1258" s="446">
        <v>100370</v>
      </c>
      <c r="B1258" s="447" t="s">
        <v>3662</v>
      </c>
      <c r="C1258" s="446" t="s">
        <v>34</v>
      </c>
      <c r="D1258" s="448">
        <v>1109.08</v>
      </c>
      <c r="E1258" s="210"/>
    </row>
    <row r="1259" spans="1:5" ht="67.5">
      <c r="A1259" s="446">
        <v>100371</v>
      </c>
      <c r="B1259" s="447" t="s">
        <v>3663</v>
      </c>
      <c r="C1259" s="446" t="s">
        <v>34</v>
      </c>
      <c r="D1259" s="448">
        <v>1268.58</v>
      </c>
      <c r="E1259" s="210"/>
    </row>
    <row r="1260" spans="1:5" ht="67.5">
      <c r="A1260" s="446">
        <v>100372</v>
      </c>
      <c r="B1260" s="447" t="s">
        <v>3664</v>
      </c>
      <c r="C1260" s="446" t="s">
        <v>34</v>
      </c>
      <c r="D1260" s="448">
        <v>1731.33</v>
      </c>
      <c r="E1260" s="210"/>
    </row>
    <row r="1261" spans="1:5" ht="67.5">
      <c r="A1261" s="446">
        <v>100373</v>
      </c>
      <c r="B1261" s="447" t="s">
        <v>3665</v>
      </c>
      <c r="C1261" s="446" t="s">
        <v>34</v>
      </c>
      <c r="D1261" s="448">
        <v>1783.83</v>
      </c>
      <c r="E1261" s="210"/>
    </row>
    <row r="1262" spans="1:5" ht="81">
      <c r="A1262" s="446">
        <v>100374</v>
      </c>
      <c r="B1262" s="447" t="s">
        <v>3666</v>
      </c>
      <c r="C1262" s="446" t="s">
        <v>34</v>
      </c>
      <c r="D1262" s="448">
        <v>1904.2</v>
      </c>
      <c r="E1262" s="210"/>
    </row>
    <row r="1263" spans="1:5" ht="81">
      <c r="A1263" s="446">
        <v>100375</v>
      </c>
      <c r="B1263" s="447" t="s">
        <v>3667</v>
      </c>
      <c r="C1263" s="446" t="s">
        <v>34</v>
      </c>
      <c r="D1263" s="448">
        <v>2132.5</v>
      </c>
      <c r="E1263" s="210"/>
    </row>
    <row r="1264" spans="1:5" ht="81">
      <c r="A1264" s="446">
        <v>100376</v>
      </c>
      <c r="B1264" s="447" t="s">
        <v>3668</v>
      </c>
      <c r="C1264" s="446" t="s">
        <v>34</v>
      </c>
      <c r="D1264" s="448">
        <v>2096.02</v>
      </c>
      <c r="E1264" s="210"/>
    </row>
    <row r="1265" spans="1:5" ht="54">
      <c r="A1265" s="446">
        <v>100377</v>
      </c>
      <c r="B1265" s="447" t="s">
        <v>4475</v>
      </c>
      <c r="C1265" s="446" t="s">
        <v>17</v>
      </c>
      <c r="D1265" s="448">
        <v>12.13</v>
      </c>
      <c r="E1265" s="210"/>
    </row>
    <row r="1266" spans="1:5" ht="54">
      <c r="A1266" s="446">
        <v>100378</v>
      </c>
      <c r="B1266" s="447" t="s">
        <v>4476</v>
      </c>
      <c r="C1266" s="446" t="s">
        <v>17</v>
      </c>
      <c r="D1266" s="448">
        <v>11.39</v>
      </c>
      <c r="E1266" s="210"/>
    </row>
    <row r="1267" spans="1:5" ht="81">
      <c r="A1267" s="446">
        <v>100382</v>
      </c>
      <c r="B1267" s="447" t="s">
        <v>3669</v>
      </c>
      <c r="C1267" s="446" t="s">
        <v>42</v>
      </c>
      <c r="D1267" s="448">
        <v>14.67</v>
      </c>
      <c r="E1267" s="210"/>
    </row>
    <row r="1268" spans="1:5" ht="40.5">
      <c r="A1268" s="446">
        <v>94444</v>
      </c>
      <c r="B1268" s="447" t="s">
        <v>3670</v>
      </c>
      <c r="C1268" s="446" t="s">
        <v>42</v>
      </c>
      <c r="D1268" s="448">
        <v>1004.75</v>
      </c>
      <c r="E1268" s="210"/>
    </row>
    <row r="1269" spans="1:5" ht="54">
      <c r="A1269" s="446">
        <v>102661</v>
      </c>
      <c r="B1269" s="447" t="s">
        <v>7620</v>
      </c>
      <c r="C1269" s="446" t="s">
        <v>14</v>
      </c>
      <c r="D1269" s="448">
        <v>27.33</v>
      </c>
      <c r="E1269" s="210"/>
    </row>
    <row r="1270" spans="1:5" ht="54">
      <c r="A1270" s="446">
        <v>102663</v>
      </c>
      <c r="B1270" s="447" t="s">
        <v>7621</v>
      </c>
      <c r="C1270" s="446" t="s">
        <v>14</v>
      </c>
      <c r="D1270" s="448">
        <v>42.38</v>
      </c>
      <c r="E1270" s="210"/>
    </row>
    <row r="1271" spans="1:5" ht="54">
      <c r="A1271" s="446">
        <v>102664</v>
      </c>
      <c r="B1271" s="447" t="s">
        <v>7622</v>
      </c>
      <c r="C1271" s="446" t="s">
        <v>14</v>
      </c>
      <c r="D1271" s="448">
        <v>39.299999999999997</v>
      </c>
      <c r="E1271" s="210"/>
    </row>
    <row r="1272" spans="1:5" ht="40.5">
      <c r="A1272" s="446">
        <v>102665</v>
      </c>
      <c r="B1272" s="447" t="s">
        <v>7623</v>
      </c>
      <c r="C1272" s="446" t="s">
        <v>14</v>
      </c>
      <c r="D1272" s="448">
        <v>18.350000000000001</v>
      </c>
      <c r="E1272" s="210"/>
    </row>
    <row r="1273" spans="1:5" ht="67.5">
      <c r="A1273" s="446">
        <v>102666</v>
      </c>
      <c r="B1273" s="447" t="s">
        <v>7624</v>
      </c>
      <c r="C1273" s="446" t="s">
        <v>14</v>
      </c>
      <c r="D1273" s="448">
        <v>48.84</v>
      </c>
      <c r="E1273" s="210"/>
    </row>
    <row r="1274" spans="1:5" ht="67.5">
      <c r="A1274" s="446">
        <v>102669</v>
      </c>
      <c r="B1274" s="447" t="s">
        <v>7625</v>
      </c>
      <c r="C1274" s="446" t="s">
        <v>14</v>
      </c>
      <c r="D1274" s="448">
        <v>63.8</v>
      </c>
      <c r="E1274" s="210"/>
    </row>
    <row r="1275" spans="1:5" ht="54">
      <c r="A1275" s="446">
        <v>102670</v>
      </c>
      <c r="B1275" s="447" t="s">
        <v>7626</v>
      </c>
      <c r="C1275" s="446" t="s">
        <v>14</v>
      </c>
      <c r="D1275" s="448">
        <v>79.73</v>
      </c>
      <c r="E1275" s="210"/>
    </row>
    <row r="1276" spans="1:5" ht="54">
      <c r="A1276" s="446">
        <v>102673</v>
      </c>
      <c r="B1276" s="447" t="s">
        <v>7627</v>
      </c>
      <c r="C1276" s="446" t="s">
        <v>14</v>
      </c>
      <c r="D1276" s="448">
        <v>111.66</v>
      </c>
      <c r="E1276" s="210"/>
    </row>
    <row r="1277" spans="1:5" ht="54">
      <c r="A1277" s="446">
        <v>102674</v>
      </c>
      <c r="B1277" s="447" t="s">
        <v>7628</v>
      </c>
      <c r="C1277" s="446" t="s">
        <v>14</v>
      </c>
      <c r="D1277" s="448">
        <v>85.99</v>
      </c>
      <c r="E1277" s="210"/>
    </row>
    <row r="1278" spans="1:5" ht="54">
      <c r="A1278" s="446">
        <v>102677</v>
      </c>
      <c r="B1278" s="447" t="s">
        <v>7629</v>
      </c>
      <c r="C1278" s="446" t="s">
        <v>14</v>
      </c>
      <c r="D1278" s="448">
        <v>104.57</v>
      </c>
      <c r="E1278" s="210"/>
    </row>
    <row r="1279" spans="1:5" ht="54">
      <c r="A1279" s="446">
        <v>102678</v>
      </c>
      <c r="B1279" s="447" t="s">
        <v>7630</v>
      </c>
      <c r="C1279" s="446" t="s">
        <v>14</v>
      </c>
      <c r="D1279" s="448">
        <v>112.15</v>
      </c>
      <c r="E1279" s="210"/>
    </row>
    <row r="1280" spans="1:5" ht="40.5">
      <c r="A1280" s="446">
        <v>102679</v>
      </c>
      <c r="B1280" s="447" t="s">
        <v>7631</v>
      </c>
      <c r="C1280" s="446" t="s">
        <v>14</v>
      </c>
      <c r="D1280" s="448">
        <v>120.42</v>
      </c>
      <c r="E1280" s="210"/>
    </row>
    <row r="1281" spans="1:5" ht="67.5">
      <c r="A1281" s="446">
        <v>102680</v>
      </c>
      <c r="B1281" s="447" t="s">
        <v>7632</v>
      </c>
      <c r="C1281" s="446" t="s">
        <v>14</v>
      </c>
      <c r="D1281" s="448">
        <v>122.41</v>
      </c>
      <c r="E1281" s="210"/>
    </row>
    <row r="1282" spans="1:5" ht="67.5">
      <c r="A1282" s="446">
        <v>102683</v>
      </c>
      <c r="B1282" s="447" t="s">
        <v>7633</v>
      </c>
      <c r="C1282" s="446" t="s">
        <v>14</v>
      </c>
      <c r="D1282" s="448">
        <v>144.58000000000001</v>
      </c>
      <c r="E1282" s="210"/>
    </row>
    <row r="1283" spans="1:5" ht="67.5">
      <c r="A1283" s="446">
        <v>102684</v>
      </c>
      <c r="B1283" s="447" t="s">
        <v>7634</v>
      </c>
      <c r="C1283" s="446" t="s">
        <v>14</v>
      </c>
      <c r="D1283" s="448">
        <v>130.66999999999999</v>
      </c>
      <c r="E1283" s="210"/>
    </row>
    <row r="1284" spans="1:5" ht="54">
      <c r="A1284" s="446">
        <v>102687</v>
      </c>
      <c r="B1284" s="447" t="s">
        <v>7635</v>
      </c>
      <c r="C1284" s="446" t="s">
        <v>14</v>
      </c>
      <c r="D1284" s="448">
        <v>149.18</v>
      </c>
      <c r="E1284" s="210"/>
    </row>
    <row r="1285" spans="1:5" ht="54">
      <c r="A1285" s="446">
        <v>102688</v>
      </c>
      <c r="B1285" s="447" t="s">
        <v>7636</v>
      </c>
      <c r="C1285" s="446" t="s">
        <v>14</v>
      </c>
      <c r="D1285" s="448">
        <v>31.64</v>
      </c>
      <c r="E1285" s="210"/>
    </row>
    <row r="1286" spans="1:5" ht="67.5">
      <c r="A1286" s="446">
        <v>102690</v>
      </c>
      <c r="B1286" s="447" t="s">
        <v>7637</v>
      </c>
      <c r="C1286" s="446" t="s">
        <v>14</v>
      </c>
      <c r="D1286" s="448">
        <v>53.15</v>
      </c>
      <c r="E1286" s="210"/>
    </row>
    <row r="1287" spans="1:5" ht="54">
      <c r="A1287" s="446">
        <v>102694</v>
      </c>
      <c r="B1287" s="447" t="s">
        <v>7638</v>
      </c>
      <c r="C1287" s="446" t="s">
        <v>14</v>
      </c>
      <c r="D1287" s="448">
        <v>57.66</v>
      </c>
      <c r="E1287" s="210"/>
    </row>
    <row r="1288" spans="1:5" ht="67.5">
      <c r="A1288" s="446">
        <v>102697</v>
      </c>
      <c r="B1288" s="447" t="s">
        <v>7639</v>
      </c>
      <c r="C1288" s="446" t="s">
        <v>14</v>
      </c>
      <c r="D1288" s="448">
        <v>87.68</v>
      </c>
      <c r="E1288" s="210"/>
    </row>
    <row r="1289" spans="1:5" ht="40.5">
      <c r="A1289" s="446">
        <v>102704</v>
      </c>
      <c r="B1289" s="447" t="s">
        <v>7640</v>
      </c>
      <c r="C1289" s="446" t="s">
        <v>14</v>
      </c>
      <c r="D1289" s="448">
        <v>10.15</v>
      </c>
      <c r="E1289" s="210"/>
    </row>
    <row r="1290" spans="1:5" ht="40.5">
      <c r="A1290" s="446">
        <v>102706</v>
      </c>
      <c r="B1290" s="447" t="s">
        <v>7641</v>
      </c>
      <c r="C1290" s="446" t="s">
        <v>14</v>
      </c>
      <c r="D1290" s="448">
        <v>11.75</v>
      </c>
      <c r="E1290" s="210"/>
    </row>
    <row r="1291" spans="1:5" ht="40.5">
      <c r="A1291" s="446">
        <v>102707</v>
      </c>
      <c r="B1291" s="447" t="s">
        <v>7642</v>
      </c>
      <c r="C1291" s="446" t="s">
        <v>14</v>
      </c>
      <c r="D1291" s="448">
        <v>27.94</v>
      </c>
      <c r="E1291" s="210"/>
    </row>
    <row r="1292" spans="1:5" ht="40.5">
      <c r="A1292" s="446">
        <v>102708</v>
      </c>
      <c r="B1292" s="447" t="s">
        <v>7643</v>
      </c>
      <c r="C1292" s="446" t="s">
        <v>34</v>
      </c>
      <c r="D1292" s="448">
        <v>17.170000000000002</v>
      </c>
      <c r="E1292" s="210"/>
    </row>
    <row r="1293" spans="1:5" ht="54">
      <c r="A1293" s="446">
        <v>102710</v>
      </c>
      <c r="B1293" s="447" t="s">
        <v>7644</v>
      </c>
      <c r="C1293" s="446" t="s">
        <v>34</v>
      </c>
      <c r="D1293" s="448">
        <v>42.52</v>
      </c>
      <c r="E1293" s="210"/>
    </row>
    <row r="1294" spans="1:5" ht="54">
      <c r="A1294" s="446">
        <v>102711</v>
      </c>
      <c r="B1294" s="447" t="s">
        <v>7645</v>
      </c>
      <c r="C1294" s="446" t="s">
        <v>34</v>
      </c>
      <c r="D1294" s="448">
        <v>58.71</v>
      </c>
      <c r="E1294" s="210"/>
    </row>
    <row r="1295" spans="1:5" ht="54">
      <c r="A1295" s="446">
        <v>102712</v>
      </c>
      <c r="B1295" s="447" t="s">
        <v>7646</v>
      </c>
      <c r="C1295" s="446" t="s">
        <v>42</v>
      </c>
      <c r="D1295" s="448">
        <v>8.08</v>
      </c>
      <c r="E1295" s="210"/>
    </row>
    <row r="1296" spans="1:5" ht="54">
      <c r="A1296" s="446">
        <v>102713</v>
      </c>
      <c r="B1296" s="447" t="s">
        <v>7647</v>
      </c>
      <c r="C1296" s="446" t="s">
        <v>42</v>
      </c>
      <c r="D1296" s="448">
        <v>11.15</v>
      </c>
      <c r="E1296" s="210"/>
    </row>
    <row r="1297" spans="1:5" ht="54">
      <c r="A1297" s="446">
        <v>102715</v>
      </c>
      <c r="B1297" s="447" t="s">
        <v>7648</v>
      </c>
      <c r="C1297" s="446" t="s">
        <v>42</v>
      </c>
      <c r="D1297" s="448">
        <v>26.52</v>
      </c>
      <c r="E1297" s="210"/>
    </row>
    <row r="1298" spans="1:5" ht="27">
      <c r="A1298" s="446">
        <v>102716</v>
      </c>
      <c r="B1298" s="447" t="s">
        <v>7649</v>
      </c>
      <c r="C1298" s="446" t="s">
        <v>31</v>
      </c>
      <c r="D1298" s="448">
        <v>99.6</v>
      </c>
      <c r="E1298" s="210"/>
    </row>
    <row r="1299" spans="1:5" ht="27">
      <c r="A1299" s="446">
        <v>102717</v>
      </c>
      <c r="B1299" s="447" t="s">
        <v>7650</v>
      </c>
      <c r="C1299" s="446" t="s">
        <v>31</v>
      </c>
      <c r="D1299" s="448">
        <v>103.28</v>
      </c>
      <c r="E1299" s="210"/>
    </row>
    <row r="1300" spans="1:5" ht="27">
      <c r="A1300" s="446">
        <v>102718</v>
      </c>
      <c r="B1300" s="447" t="s">
        <v>7651</v>
      </c>
      <c r="C1300" s="446" t="s">
        <v>31</v>
      </c>
      <c r="D1300" s="448">
        <v>106.3</v>
      </c>
      <c r="E1300" s="210"/>
    </row>
    <row r="1301" spans="1:5" ht="27">
      <c r="A1301" s="446">
        <v>102719</v>
      </c>
      <c r="B1301" s="447" t="s">
        <v>7652</v>
      </c>
      <c r="C1301" s="446" t="s">
        <v>31</v>
      </c>
      <c r="D1301" s="448">
        <v>109.98</v>
      </c>
      <c r="E1301" s="210"/>
    </row>
    <row r="1302" spans="1:5" ht="67.5">
      <c r="A1302" s="446">
        <v>102722</v>
      </c>
      <c r="B1302" s="447" t="s">
        <v>7653</v>
      </c>
      <c r="C1302" s="446" t="s">
        <v>14</v>
      </c>
      <c r="D1302" s="448">
        <v>44.46</v>
      </c>
      <c r="E1302" s="210"/>
    </row>
    <row r="1303" spans="1:5" ht="67.5">
      <c r="A1303" s="446">
        <v>102723</v>
      </c>
      <c r="B1303" s="447" t="s">
        <v>7654</v>
      </c>
      <c r="C1303" s="446" t="s">
        <v>14</v>
      </c>
      <c r="D1303" s="448">
        <v>44.93</v>
      </c>
      <c r="E1303" s="210"/>
    </row>
    <row r="1304" spans="1:5" ht="27">
      <c r="A1304" s="446">
        <v>102724</v>
      </c>
      <c r="B1304" s="447" t="s">
        <v>7655</v>
      </c>
      <c r="C1304" s="446" t="s">
        <v>34</v>
      </c>
      <c r="D1304" s="448">
        <v>23.46</v>
      </c>
      <c r="E1304" s="210"/>
    </row>
    <row r="1305" spans="1:5" ht="27">
      <c r="A1305" s="446">
        <v>102725</v>
      </c>
      <c r="B1305" s="447" t="s">
        <v>7656</v>
      </c>
      <c r="C1305" s="446" t="s">
        <v>34</v>
      </c>
      <c r="D1305" s="448">
        <v>22.49</v>
      </c>
      <c r="E1305" s="210"/>
    </row>
    <row r="1306" spans="1:5" ht="27">
      <c r="A1306" s="446">
        <v>102726</v>
      </c>
      <c r="B1306" s="447" t="s">
        <v>7657</v>
      </c>
      <c r="C1306" s="446" t="s">
        <v>34</v>
      </c>
      <c r="D1306" s="448">
        <v>20.46</v>
      </c>
      <c r="E1306" s="210"/>
    </row>
    <row r="1307" spans="1:5" ht="81">
      <c r="A1307" s="446">
        <v>92743</v>
      </c>
      <c r="B1307" s="447" t="s">
        <v>3671</v>
      </c>
      <c r="C1307" s="446" t="s">
        <v>31</v>
      </c>
      <c r="D1307" s="448">
        <v>497</v>
      </c>
      <c r="E1307" s="210"/>
    </row>
    <row r="1308" spans="1:5" ht="81">
      <c r="A1308" s="446">
        <v>92744</v>
      </c>
      <c r="B1308" s="447" t="s">
        <v>3672</v>
      </c>
      <c r="C1308" s="446" t="s">
        <v>31</v>
      </c>
      <c r="D1308" s="448">
        <v>485.5</v>
      </c>
      <c r="E1308" s="210"/>
    </row>
    <row r="1309" spans="1:5" ht="81">
      <c r="A1309" s="446">
        <v>92745</v>
      </c>
      <c r="B1309" s="447" t="s">
        <v>3673</v>
      </c>
      <c r="C1309" s="446" t="s">
        <v>31</v>
      </c>
      <c r="D1309" s="448">
        <v>616.70000000000005</v>
      </c>
      <c r="E1309" s="210"/>
    </row>
    <row r="1310" spans="1:5" ht="81">
      <c r="A1310" s="446">
        <v>92746</v>
      </c>
      <c r="B1310" s="447" t="s">
        <v>3674</v>
      </c>
      <c r="C1310" s="446" t="s">
        <v>31</v>
      </c>
      <c r="D1310" s="448">
        <v>573.28</v>
      </c>
      <c r="E1310" s="210"/>
    </row>
    <row r="1311" spans="1:5" ht="81">
      <c r="A1311" s="446">
        <v>92747</v>
      </c>
      <c r="B1311" s="447" t="s">
        <v>3675</v>
      </c>
      <c r="C1311" s="446" t="s">
        <v>31</v>
      </c>
      <c r="D1311" s="448">
        <v>684.87</v>
      </c>
      <c r="E1311" s="210"/>
    </row>
    <row r="1312" spans="1:5" ht="81">
      <c r="A1312" s="446">
        <v>92748</v>
      </c>
      <c r="B1312" s="447" t="s">
        <v>3676</v>
      </c>
      <c r="C1312" s="446" t="s">
        <v>31</v>
      </c>
      <c r="D1312" s="448">
        <v>623.54</v>
      </c>
      <c r="E1312" s="210"/>
    </row>
    <row r="1313" spans="1:5" ht="67.5">
      <c r="A1313" s="446">
        <v>92749</v>
      </c>
      <c r="B1313" s="447" t="s">
        <v>3677</v>
      </c>
      <c r="C1313" s="446" t="s">
        <v>31</v>
      </c>
      <c r="D1313" s="448">
        <v>717.46</v>
      </c>
      <c r="E1313" s="210"/>
    </row>
    <row r="1314" spans="1:5" ht="67.5">
      <c r="A1314" s="446">
        <v>92750</v>
      </c>
      <c r="B1314" s="447" t="s">
        <v>3678</v>
      </c>
      <c r="C1314" s="446" t="s">
        <v>31</v>
      </c>
      <c r="D1314" s="448">
        <v>1238.4100000000001</v>
      </c>
      <c r="E1314" s="210"/>
    </row>
    <row r="1315" spans="1:5" ht="67.5">
      <c r="A1315" s="446">
        <v>92751</v>
      </c>
      <c r="B1315" s="447" t="s">
        <v>3679</v>
      </c>
      <c r="C1315" s="446" t="s">
        <v>31</v>
      </c>
      <c r="D1315" s="448">
        <v>1541.35</v>
      </c>
      <c r="E1315" s="210"/>
    </row>
    <row r="1316" spans="1:5" ht="67.5">
      <c r="A1316" s="446">
        <v>92752</v>
      </c>
      <c r="B1316" s="447" t="s">
        <v>3680</v>
      </c>
      <c r="C1316" s="446" t="s">
        <v>31</v>
      </c>
      <c r="D1316" s="448">
        <v>1843.23</v>
      </c>
      <c r="E1316" s="210"/>
    </row>
    <row r="1317" spans="1:5" ht="81">
      <c r="A1317" s="446">
        <v>92753</v>
      </c>
      <c r="B1317" s="447" t="s">
        <v>3681</v>
      </c>
      <c r="C1317" s="446" t="s">
        <v>31</v>
      </c>
      <c r="D1317" s="448">
        <v>472.05</v>
      </c>
      <c r="E1317" s="210"/>
    </row>
    <row r="1318" spans="1:5" ht="94.5">
      <c r="A1318" s="446">
        <v>92754</v>
      </c>
      <c r="B1318" s="447" t="s">
        <v>3682</v>
      </c>
      <c r="C1318" s="446" t="s">
        <v>31</v>
      </c>
      <c r="D1318" s="448">
        <v>431.39</v>
      </c>
      <c r="E1318" s="210"/>
    </row>
    <row r="1319" spans="1:5" ht="54">
      <c r="A1319" s="446">
        <v>92755</v>
      </c>
      <c r="B1319" s="447" t="s">
        <v>2169</v>
      </c>
      <c r="C1319" s="446" t="s">
        <v>42</v>
      </c>
      <c r="D1319" s="448">
        <v>183.54</v>
      </c>
      <c r="E1319" s="210"/>
    </row>
    <row r="1320" spans="1:5" ht="54">
      <c r="A1320" s="446">
        <v>92756</v>
      </c>
      <c r="B1320" s="447" t="s">
        <v>2170</v>
      </c>
      <c r="C1320" s="446" t="s">
        <v>42</v>
      </c>
      <c r="D1320" s="448">
        <v>207.96</v>
      </c>
      <c r="E1320" s="210"/>
    </row>
    <row r="1321" spans="1:5" ht="54">
      <c r="A1321" s="446">
        <v>92757</v>
      </c>
      <c r="B1321" s="447" t="s">
        <v>2171</v>
      </c>
      <c r="C1321" s="446" t="s">
        <v>42</v>
      </c>
      <c r="D1321" s="448">
        <v>237.66</v>
      </c>
      <c r="E1321" s="210"/>
    </row>
    <row r="1322" spans="1:5" ht="67.5">
      <c r="A1322" s="446">
        <v>92758</v>
      </c>
      <c r="B1322" s="447" t="s">
        <v>2172</v>
      </c>
      <c r="C1322" s="446" t="s">
        <v>31</v>
      </c>
      <c r="D1322" s="448">
        <v>572.34</v>
      </c>
      <c r="E1322" s="210"/>
    </row>
    <row r="1323" spans="1:5" ht="81">
      <c r="A1323" s="446">
        <v>91069</v>
      </c>
      <c r="B1323" s="447" t="s">
        <v>1808</v>
      </c>
      <c r="C1323" s="446" t="s">
        <v>42</v>
      </c>
      <c r="D1323" s="448">
        <v>112.5</v>
      </c>
      <c r="E1323" s="210"/>
    </row>
    <row r="1324" spans="1:5" ht="81">
      <c r="A1324" s="446">
        <v>91070</v>
      </c>
      <c r="B1324" s="447" t="s">
        <v>1809</v>
      </c>
      <c r="C1324" s="446" t="s">
        <v>42</v>
      </c>
      <c r="D1324" s="448">
        <v>122.95</v>
      </c>
      <c r="E1324" s="210"/>
    </row>
    <row r="1325" spans="1:5" ht="81">
      <c r="A1325" s="446">
        <v>91071</v>
      </c>
      <c r="B1325" s="447" t="s">
        <v>1810</v>
      </c>
      <c r="C1325" s="446" t="s">
        <v>42</v>
      </c>
      <c r="D1325" s="448">
        <v>140.93</v>
      </c>
      <c r="E1325" s="210"/>
    </row>
    <row r="1326" spans="1:5" ht="81">
      <c r="A1326" s="446">
        <v>91072</v>
      </c>
      <c r="B1326" s="447" t="s">
        <v>1811</v>
      </c>
      <c r="C1326" s="446" t="s">
        <v>42</v>
      </c>
      <c r="D1326" s="448">
        <v>151.36000000000001</v>
      </c>
      <c r="E1326" s="210"/>
    </row>
    <row r="1327" spans="1:5" ht="81">
      <c r="A1327" s="446">
        <v>91073</v>
      </c>
      <c r="B1327" s="447" t="s">
        <v>1812</v>
      </c>
      <c r="C1327" s="446" t="s">
        <v>42</v>
      </c>
      <c r="D1327" s="448">
        <v>121.78</v>
      </c>
      <c r="E1327" s="210"/>
    </row>
    <row r="1328" spans="1:5" ht="81">
      <c r="A1328" s="446">
        <v>91074</v>
      </c>
      <c r="B1328" s="447" t="s">
        <v>1813</v>
      </c>
      <c r="C1328" s="446" t="s">
        <v>42</v>
      </c>
      <c r="D1328" s="448">
        <v>133.25</v>
      </c>
      <c r="E1328" s="210"/>
    </row>
    <row r="1329" spans="1:5" ht="81">
      <c r="A1329" s="446">
        <v>91075</v>
      </c>
      <c r="B1329" s="447" t="s">
        <v>1814</v>
      </c>
      <c r="C1329" s="446" t="s">
        <v>42</v>
      </c>
      <c r="D1329" s="448">
        <v>151.6</v>
      </c>
      <c r="E1329" s="210"/>
    </row>
    <row r="1330" spans="1:5" ht="81">
      <c r="A1330" s="446">
        <v>91076</v>
      </c>
      <c r="B1330" s="447" t="s">
        <v>1815</v>
      </c>
      <c r="C1330" s="446" t="s">
        <v>42</v>
      </c>
      <c r="D1330" s="448">
        <v>163.06</v>
      </c>
      <c r="E1330" s="210"/>
    </row>
    <row r="1331" spans="1:5" ht="81">
      <c r="A1331" s="446">
        <v>91077</v>
      </c>
      <c r="B1331" s="447" t="s">
        <v>1816</v>
      </c>
      <c r="C1331" s="446" t="s">
        <v>42</v>
      </c>
      <c r="D1331" s="448">
        <v>107.24</v>
      </c>
      <c r="E1331" s="210"/>
    </row>
    <row r="1332" spans="1:5" ht="81">
      <c r="A1332" s="446">
        <v>91078</v>
      </c>
      <c r="B1332" s="447" t="s">
        <v>1817</v>
      </c>
      <c r="C1332" s="446" t="s">
        <v>42</v>
      </c>
      <c r="D1332" s="448">
        <v>126.28</v>
      </c>
      <c r="E1332" s="210"/>
    </row>
    <row r="1333" spans="1:5" ht="81">
      <c r="A1333" s="446">
        <v>91079</v>
      </c>
      <c r="B1333" s="447" t="s">
        <v>1818</v>
      </c>
      <c r="C1333" s="446" t="s">
        <v>42</v>
      </c>
      <c r="D1333" s="448">
        <v>111.52</v>
      </c>
      <c r="E1333" s="210"/>
    </row>
    <row r="1334" spans="1:5" ht="81">
      <c r="A1334" s="446">
        <v>91080</v>
      </c>
      <c r="B1334" s="447" t="s">
        <v>1819</v>
      </c>
      <c r="C1334" s="446" t="s">
        <v>42</v>
      </c>
      <c r="D1334" s="448">
        <v>130.36000000000001</v>
      </c>
      <c r="E1334" s="210"/>
    </row>
    <row r="1335" spans="1:5" ht="81">
      <c r="A1335" s="446">
        <v>91081</v>
      </c>
      <c r="B1335" s="447" t="s">
        <v>1820</v>
      </c>
      <c r="C1335" s="446" t="s">
        <v>42</v>
      </c>
      <c r="D1335" s="448">
        <v>117.85</v>
      </c>
      <c r="E1335" s="210"/>
    </row>
    <row r="1336" spans="1:5" ht="81">
      <c r="A1336" s="446">
        <v>91082</v>
      </c>
      <c r="B1336" s="447" t="s">
        <v>1821</v>
      </c>
      <c r="C1336" s="446" t="s">
        <v>42</v>
      </c>
      <c r="D1336" s="448">
        <v>137.72</v>
      </c>
      <c r="E1336" s="210"/>
    </row>
    <row r="1337" spans="1:5" ht="81">
      <c r="A1337" s="446">
        <v>91083</v>
      </c>
      <c r="B1337" s="447" t="s">
        <v>1822</v>
      </c>
      <c r="C1337" s="446" t="s">
        <v>42</v>
      </c>
      <c r="D1337" s="448">
        <v>125.21</v>
      </c>
      <c r="E1337" s="210"/>
    </row>
    <row r="1338" spans="1:5" ht="81">
      <c r="A1338" s="446">
        <v>91084</v>
      </c>
      <c r="B1338" s="447" t="s">
        <v>1823</v>
      </c>
      <c r="C1338" s="446" t="s">
        <v>42</v>
      </c>
      <c r="D1338" s="448">
        <v>144.88</v>
      </c>
      <c r="E1338" s="210"/>
    </row>
    <row r="1339" spans="1:5" ht="81">
      <c r="A1339" s="446">
        <v>91086</v>
      </c>
      <c r="B1339" s="447" t="s">
        <v>1824</v>
      </c>
      <c r="C1339" s="446" t="s">
        <v>42</v>
      </c>
      <c r="D1339" s="448">
        <v>120.33</v>
      </c>
      <c r="E1339" s="210"/>
    </row>
    <row r="1340" spans="1:5" ht="81">
      <c r="A1340" s="446">
        <v>91087</v>
      </c>
      <c r="B1340" s="447" t="s">
        <v>1825</v>
      </c>
      <c r="C1340" s="446" t="s">
        <v>42</v>
      </c>
      <c r="D1340" s="448">
        <v>131.05000000000001</v>
      </c>
      <c r="E1340" s="210"/>
    </row>
    <row r="1341" spans="1:5" ht="81">
      <c r="A1341" s="446">
        <v>91088</v>
      </c>
      <c r="B1341" s="447" t="s">
        <v>407</v>
      </c>
      <c r="C1341" s="446" t="s">
        <v>42</v>
      </c>
      <c r="D1341" s="448">
        <v>149.78</v>
      </c>
      <c r="E1341" s="210"/>
    </row>
    <row r="1342" spans="1:5" ht="81">
      <c r="A1342" s="446">
        <v>91089</v>
      </c>
      <c r="B1342" s="447" t="s">
        <v>408</v>
      </c>
      <c r="C1342" s="446" t="s">
        <v>42</v>
      </c>
      <c r="D1342" s="448">
        <v>160.59</v>
      </c>
      <c r="E1342" s="210"/>
    </row>
    <row r="1343" spans="1:5" ht="81">
      <c r="A1343" s="446">
        <v>91090</v>
      </c>
      <c r="B1343" s="447" t="s">
        <v>1826</v>
      </c>
      <c r="C1343" s="446" t="s">
        <v>42</v>
      </c>
      <c r="D1343" s="448">
        <v>128.12</v>
      </c>
      <c r="E1343" s="210"/>
    </row>
    <row r="1344" spans="1:5" ht="81">
      <c r="A1344" s="446">
        <v>91091</v>
      </c>
      <c r="B1344" s="447" t="s">
        <v>1827</v>
      </c>
      <c r="C1344" s="446" t="s">
        <v>42</v>
      </c>
      <c r="D1344" s="448">
        <v>139.97</v>
      </c>
      <c r="E1344" s="210"/>
    </row>
    <row r="1345" spans="1:5" ht="81">
      <c r="A1345" s="446">
        <v>91092</v>
      </c>
      <c r="B1345" s="447" t="s">
        <v>409</v>
      </c>
      <c r="C1345" s="446" t="s">
        <v>42</v>
      </c>
      <c r="D1345" s="448">
        <v>158.59</v>
      </c>
      <c r="E1345" s="210"/>
    </row>
    <row r="1346" spans="1:5" ht="81">
      <c r="A1346" s="446">
        <v>91093</v>
      </c>
      <c r="B1346" s="447" t="s">
        <v>410</v>
      </c>
      <c r="C1346" s="446" t="s">
        <v>42</v>
      </c>
      <c r="D1346" s="448">
        <v>170.66</v>
      </c>
      <c r="E1346" s="210"/>
    </row>
    <row r="1347" spans="1:5" ht="81">
      <c r="A1347" s="446">
        <v>91094</v>
      </c>
      <c r="B1347" s="447" t="s">
        <v>1828</v>
      </c>
      <c r="C1347" s="446" t="s">
        <v>42</v>
      </c>
      <c r="D1347" s="448">
        <v>111.45</v>
      </c>
      <c r="E1347" s="210"/>
    </row>
    <row r="1348" spans="1:5" ht="81">
      <c r="A1348" s="446">
        <v>91095</v>
      </c>
      <c r="B1348" s="447" t="s">
        <v>1829</v>
      </c>
      <c r="C1348" s="446" t="s">
        <v>42</v>
      </c>
      <c r="D1348" s="448">
        <v>130.77000000000001</v>
      </c>
      <c r="E1348" s="210"/>
    </row>
    <row r="1349" spans="1:5" ht="81">
      <c r="A1349" s="446">
        <v>91096</v>
      </c>
      <c r="B1349" s="447" t="s">
        <v>1830</v>
      </c>
      <c r="C1349" s="446" t="s">
        <v>42</v>
      </c>
      <c r="D1349" s="448">
        <v>113.67</v>
      </c>
      <c r="E1349" s="210"/>
    </row>
    <row r="1350" spans="1:5" ht="81">
      <c r="A1350" s="446">
        <v>91097</v>
      </c>
      <c r="B1350" s="447" t="s">
        <v>1831</v>
      </c>
      <c r="C1350" s="446" t="s">
        <v>42</v>
      </c>
      <c r="D1350" s="448">
        <v>132.87</v>
      </c>
      <c r="E1350" s="210"/>
    </row>
    <row r="1351" spans="1:5" ht="81">
      <c r="A1351" s="446">
        <v>91098</v>
      </c>
      <c r="B1351" s="447" t="s">
        <v>1832</v>
      </c>
      <c r="C1351" s="446" t="s">
        <v>42</v>
      </c>
      <c r="D1351" s="448">
        <v>121.81</v>
      </c>
      <c r="E1351" s="210"/>
    </row>
    <row r="1352" spans="1:5" ht="81">
      <c r="A1352" s="446">
        <v>91099</v>
      </c>
      <c r="B1352" s="447" t="s">
        <v>1833</v>
      </c>
      <c r="C1352" s="446" t="s">
        <v>42</v>
      </c>
      <c r="D1352" s="448">
        <v>142.06</v>
      </c>
      <c r="E1352" s="210"/>
    </row>
    <row r="1353" spans="1:5" ht="81">
      <c r="A1353" s="446">
        <v>91100</v>
      </c>
      <c r="B1353" s="447" t="s">
        <v>1834</v>
      </c>
      <c r="C1353" s="446" t="s">
        <v>42</v>
      </c>
      <c r="D1353" s="448">
        <v>127.7</v>
      </c>
      <c r="E1353" s="210"/>
    </row>
    <row r="1354" spans="1:5" ht="81">
      <c r="A1354" s="446">
        <v>91101</v>
      </c>
      <c r="B1354" s="447" t="s">
        <v>1835</v>
      </c>
      <c r="C1354" s="446" t="s">
        <v>42</v>
      </c>
      <c r="D1354" s="448">
        <v>147.88</v>
      </c>
      <c r="E1354" s="210"/>
    </row>
    <row r="1355" spans="1:5" ht="67.5">
      <c r="A1355" s="446">
        <v>93952</v>
      </c>
      <c r="B1355" s="447" t="s">
        <v>516</v>
      </c>
      <c r="C1355" s="446" t="s">
        <v>14</v>
      </c>
      <c r="D1355" s="448">
        <v>180.32</v>
      </c>
      <c r="E1355" s="210"/>
    </row>
    <row r="1356" spans="1:5" ht="81">
      <c r="A1356" s="446">
        <v>93953</v>
      </c>
      <c r="B1356" s="447" t="s">
        <v>2460</v>
      </c>
      <c r="C1356" s="446" t="s">
        <v>14</v>
      </c>
      <c r="D1356" s="448">
        <v>169.37</v>
      </c>
      <c r="E1356" s="210"/>
    </row>
    <row r="1357" spans="1:5" ht="81">
      <c r="A1357" s="446">
        <v>93954</v>
      </c>
      <c r="B1357" s="447" t="s">
        <v>2461</v>
      </c>
      <c r="C1357" s="446" t="s">
        <v>14</v>
      </c>
      <c r="D1357" s="448">
        <v>162.80000000000001</v>
      </c>
      <c r="E1357" s="210"/>
    </row>
    <row r="1358" spans="1:5" ht="81">
      <c r="A1358" s="446">
        <v>93955</v>
      </c>
      <c r="B1358" s="447" t="s">
        <v>517</v>
      </c>
      <c r="C1358" s="446" t="s">
        <v>14</v>
      </c>
      <c r="D1358" s="448">
        <v>158.12</v>
      </c>
      <c r="E1358" s="210"/>
    </row>
    <row r="1359" spans="1:5" ht="67.5">
      <c r="A1359" s="446">
        <v>93956</v>
      </c>
      <c r="B1359" s="447" t="s">
        <v>2462</v>
      </c>
      <c r="C1359" s="446" t="s">
        <v>14</v>
      </c>
      <c r="D1359" s="448">
        <v>154.38999999999999</v>
      </c>
      <c r="E1359" s="210"/>
    </row>
    <row r="1360" spans="1:5" ht="67.5">
      <c r="A1360" s="446">
        <v>93957</v>
      </c>
      <c r="B1360" s="447" t="s">
        <v>518</v>
      </c>
      <c r="C1360" s="446" t="s">
        <v>14</v>
      </c>
      <c r="D1360" s="448">
        <v>199.54</v>
      </c>
      <c r="E1360" s="210"/>
    </row>
    <row r="1361" spans="1:5" ht="81">
      <c r="A1361" s="446">
        <v>93958</v>
      </c>
      <c r="B1361" s="447" t="s">
        <v>2463</v>
      </c>
      <c r="C1361" s="446" t="s">
        <v>14</v>
      </c>
      <c r="D1361" s="448">
        <v>187.83</v>
      </c>
      <c r="E1361" s="210"/>
    </row>
    <row r="1362" spans="1:5" ht="81">
      <c r="A1362" s="446">
        <v>93959</v>
      </c>
      <c r="B1362" s="447" t="s">
        <v>2464</v>
      </c>
      <c r="C1362" s="446" t="s">
        <v>14</v>
      </c>
      <c r="D1362" s="448">
        <v>180.86</v>
      </c>
      <c r="E1362" s="210"/>
    </row>
    <row r="1363" spans="1:5" ht="81">
      <c r="A1363" s="446">
        <v>93960</v>
      </c>
      <c r="B1363" s="447" t="s">
        <v>519</v>
      </c>
      <c r="C1363" s="446" t="s">
        <v>14</v>
      </c>
      <c r="D1363" s="448">
        <v>175.95</v>
      </c>
      <c r="E1363" s="210"/>
    </row>
    <row r="1364" spans="1:5" ht="67.5">
      <c r="A1364" s="446">
        <v>93961</v>
      </c>
      <c r="B1364" s="447" t="s">
        <v>2465</v>
      </c>
      <c r="C1364" s="446" t="s">
        <v>14</v>
      </c>
      <c r="D1364" s="448">
        <v>172.06</v>
      </c>
      <c r="E1364" s="210"/>
    </row>
    <row r="1365" spans="1:5" ht="67.5">
      <c r="A1365" s="446">
        <v>93962</v>
      </c>
      <c r="B1365" s="447" t="s">
        <v>520</v>
      </c>
      <c r="C1365" s="446" t="s">
        <v>14</v>
      </c>
      <c r="D1365" s="448">
        <v>169.49</v>
      </c>
      <c r="E1365" s="210"/>
    </row>
    <row r="1366" spans="1:5" ht="81">
      <c r="A1366" s="446">
        <v>93963</v>
      </c>
      <c r="B1366" s="447" t="s">
        <v>2466</v>
      </c>
      <c r="C1366" s="446" t="s">
        <v>14</v>
      </c>
      <c r="D1366" s="448">
        <v>158.55000000000001</v>
      </c>
      <c r="E1366" s="210"/>
    </row>
    <row r="1367" spans="1:5" ht="81">
      <c r="A1367" s="446">
        <v>93964</v>
      </c>
      <c r="B1367" s="447" t="s">
        <v>2467</v>
      </c>
      <c r="C1367" s="446" t="s">
        <v>14</v>
      </c>
      <c r="D1367" s="448">
        <v>151.97999999999999</v>
      </c>
      <c r="E1367" s="210"/>
    </row>
    <row r="1368" spans="1:5" ht="81">
      <c r="A1368" s="446">
        <v>93965</v>
      </c>
      <c r="B1368" s="447" t="s">
        <v>2468</v>
      </c>
      <c r="C1368" s="446" t="s">
        <v>14</v>
      </c>
      <c r="D1368" s="448">
        <v>145.99</v>
      </c>
      <c r="E1368" s="210"/>
    </row>
    <row r="1369" spans="1:5" ht="67.5">
      <c r="A1369" s="446">
        <v>93966</v>
      </c>
      <c r="B1369" s="447" t="s">
        <v>2469</v>
      </c>
      <c r="C1369" s="446" t="s">
        <v>14</v>
      </c>
      <c r="D1369" s="448">
        <v>143.66</v>
      </c>
      <c r="E1369" s="210"/>
    </row>
    <row r="1370" spans="1:5" ht="67.5">
      <c r="A1370" s="446">
        <v>93967</v>
      </c>
      <c r="B1370" s="447" t="s">
        <v>521</v>
      </c>
      <c r="C1370" s="446" t="s">
        <v>14</v>
      </c>
      <c r="D1370" s="448">
        <v>188.71</v>
      </c>
      <c r="E1370" s="210"/>
    </row>
    <row r="1371" spans="1:5" ht="81">
      <c r="A1371" s="446">
        <v>93968</v>
      </c>
      <c r="B1371" s="447" t="s">
        <v>2470</v>
      </c>
      <c r="C1371" s="446" t="s">
        <v>14</v>
      </c>
      <c r="D1371" s="448">
        <v>177.02</v>
      </c>
      <c r="E1371" s="210"/>
    </row>
    <row r="1372" spans="1:5" ht="81">
      <c r="A1372" s="446">
        <v>93969</v>
      </c>
      <c r="B1372" s="447" t="s">
        <v>2471</v>
      </c>
      <c r="C1372" s="446" t="s">
        <v>14</v>
      </c>
      <c r="D1372" s="448">
        <v>170.06</v>
      </c>
      <c r="E1372" s="210"/>
    </row>
    <row r="1373" spans="1:5" ht="81">
      <c r="A1373" s="446">
        <v>93970</v>
      </c>
      <c r="B1373" s="447" t="s">
        <v>2472</v>
      </c>
      <c r="C1373" s="446" t="s">
        <v>14</v>
      </c>
      <c r="D1373" s="448">
        <v>165.16</v>
      </c>
      <c r="E1373" s="210"/>
    </row>
    <row r="1374" spans="1:5" ht="67.5">
      <c r="A1374" s="446">
        <v>93971</v>
      </c>
      <c r="B1374" s="447" t="s">
        <v>2473</v>
      </c>
      <c r="C1374" s="446" t="s">
        <v>14</v>
      </c>
      <c r="D1374" s="448">
        <v>157.30000000000001</v>
      </c>
      <c r="E1374" s="210"/>
    </row>
    <row r="1375" spans="1:5" ht="54">
      <c r="A1375" s="446">
        <v>95108</v>
      </c>
      <c r="B1375" s="447" t="s">
        <v>2666</v>
      </c>
      <c r="C1375" s="446" t="s">
        <v>34</v>
      </c>
      <c r="D1375" s="448">
        <v>21.89</v>
      </c>
      <c r="E1375" s="210"/>
    </row>
    <row r="1376" spans="1:5" ht="40.5">
      <c r="A1376" s="446">
        <v>100332</v>
      </c>
      <c r="B1376" s="447" t="s">
        <v>3683</v>
      </c>
      <c r="C1376" s="446" t="s">
        <v>42</v>
      </c>
      <c r="D1376" s="448">
        <v>909.85</v>
      </c>
      <c r="E1376" s="210"/>
    </row>
    <row r="1377" spans="1:5" ht="54">
      <c r="A1377" s="446">
        <v>100333</v>
      </c>
      <c r="B1377" s="447" t="s">
        <v>3684</v>
      </c>
      <c r="C1377" s="446" t="s">
        <v>42</v>
      </c>
      <c r="D1377" s="448">
        <v>548.95000000000005</v>
      </c>
      <c r="E1377" s="210"/>
    </row>
    <row r="1378" spans="1:5" ht="40.5">
      <c r="A1378" s="446">
        <v>100334</v>
      </c>
      <c r="B1378" s="447" t="s">
        <v>3685</v>
      </c>
      <c r="C1378" s="446" t="s">
        <v>42</v>
      </c>
      <c r="D1378" s="448">
        <v>714.96</v>
      </c>
      <c r="E1378" s="210"/>
    </row>
    <row r="1379" spans="1:5" ht="40.5">
      <c r="A1379" s="446">
        <v>100335</v>
      </c>
      <c r="B1379" s="447" t="s">
        <v>3686</v>
      </c>
      <c r="C1379" s="446" t="s">
        <v>42</v>
      </c>
      <c r="D1379" s="448">
        <v>444.29</v>
      </c>
      <c r="E1379" s="210"/>
    </row>
    <row r="1380" spans="1:5" ht="67.5">
      <c r="A1380" s="446">
        <v>100341</v>
      </c>
      <c r="B1380" s="447" t="s">
        <v>3687</v>
      </c>
      <c r="C1380" s="446" t="s">
        <v>42</v>
      </c>
      <c r="D1380" s="448">
        <v>25.13</v>
      </c>
      <c r="E1380" s="210"/>
    </row>
    <row r="1381" spans="1:5" ht="40.5">
      <c r="A1381" s="446">
        <v>100342</v>
      </c>
      <c r="B1381" s="447" t="s">
        <v>3688</v>
      </c>
      <c r="C1381" s="446" t="s">
        <v>17</v>
      </c>
      <c r="D1381" s="448">
        <v>19.09</v>
      </c>
      <c r="E1381" s="210"/>
    </row>
    <row r="1382" spans="1:5" ht="40.5">
      <c r="A1382" s="446">
        <v>100343</v>
      </c>
      <c r="B1382" s="447" t="s">
        <v>3689</v>
      </c>
      <c r="C1382" s="446" t="s">
        <v>17</v>
      </c>
      <c r="D1382" s="448">
        <v>18.79</v>
      </c>
      <c r="E1382" s="210"/>
    </row>
    <row r="1383" spans="1:5" ht="40.5">
      <c r="A1383" s="446">
        <v>100344</v>
      </c>
      <c r="B1383" s="447" t="s">
        <v>3690</v>
      </c>
      <c r="C1383" s="446" t="s">
        <v>17</v>
      </c>
      <c r="D1383" s="448">
        <v>17.22</v>
      </c>
      <c r="E1383" s="210"/>
    </row>
    <row r="1384" spans="1:5" ht="40.5">
      <c r="A1384" s="446">
        <v>100345</v>
      </c>
      <c r="B1384" s="447" t="s">
        <v>3691</v>
      </c>
      <c r="C1384" s="446" t="s">
        <v>17</v>
      </c>
      <c r="D1384" s="448">
        <v>14.73</v>
      </c>
      <c r="E1384" s="210"/>
    </row>
    <row r="1385" spans="1:5" ht="40.5">
      <c r="A1385" s="446">
        <v>100346</v>
      </c>
      <c r="B1385" s="447" t="s">
        <v>3692</v>
      </c>
      <c r="C1385" s="446" t="s">
        <v>17</v>
      </c>
      <c r="D1385" s="448">
        <v>14.34</v>
      </c>
      <c r="E1385" s="210"/>
    </row>
    <row r="1386" spans="1:5" ht="40.5">
      <c r="A1386" s="446">
        <v>100347</v>
      </c>
      <c r="B1386" s="447" t="s">
        <v>3693</v>
      </c>
      <c r="C1386" s="446" t="s">
        <v>17</v>
      </c>
      <c r="D1386" s="448">
        <v>16.52</v>
      </c>
      <c r="E1386" s="210"/>
    </row>
    <row r="1387" spans="1:5" ht="40.5">
      <c r="A1387" s="446">
        <v>100348</v>
      </c>
      <c r="B1387" s="447" t="s">
        <v>3694</v>
      </c>
      <c r="C1387" s="446" t="s">
        <v>17</v>
      </c>
      <c r="D1387" s="448">
        <v>16.329999999999998</v>
      </c>
      <c r="E1387" s="210"/>
    </row>
    <row r="1388" spans="1:5" ht="40.5">
      <c r="A1388" s="446">
        <v>100349</v>
      </c>
      <c r="B1388" s="447" t="s">
        <v>3695</v>
      </c>
      <c r="C1388" s="446" t="s">
        <v>31</v>
      </c>
      <c r="D1388" s="448">
        <v>548.14</v>
      </c>
      <c r="E1388" s="210"/>
    </row>
    <row r="1389" spans="1:5" ht="54">
      <c r="A1389" s="446">
        <v>83716</v>
      </c>
      <c r="B1389" s="447" t="s">
        <v>835</v>
      </c>
      <c r="C1389" s="446" t="s">
        <v>34</v>
      </c>
      <c r="D1389" s="448">
        <v>489.91</v>
      </c>
      <c r="E1389" s="210"/>
    </row>
    <row r="1390" spans="1:5" ht="40.5">
      <c r="A1390" s="446">
        <v>97933</v>
      </c>
      <c r="B1390" s="447" t="s">
        <v>6359</v>
      </c>
      <c r="C1390" s="446" t="s">
        <v>34</v>
      </c>
      <c r="D1390" s="448">
        <v>919.28</v>
      </c>
      <c r="E1390" s="210"/>
    </row>
    <row r="1391" spans="1:5" ht="40.5">
      <c r="A1391" s="446">
        <v>97934</v>
      </c>
      <c r="B1391" s="447" t="s">
        <v>6360</v>
      </c>
      <c r="C1391" s="446" t="s">
        <v>34</v>
      </c>
      <c r="D1391" s="448">
        <v>1943.4</v>
      </c>
      <c r="E1391" s="210"/>
    </row>
    <row r="1392" spans="1:5" ht="54">
      <c r="A1392" s="446">
        <v>97935</v>
      </c>
      <c r="B1392" s="447" t="s">
        <v>6361</v>
      </c>
      <c r="C1392" s="446" t="s">
        <v>34</v>
      </c>
      <c r="D1392" s="448">
        <v>737.06</v>
      </c>
      <c r="E1392" s="210"/>
    </row>
    <row r="1393" spans="1:5" ht="54">
      <c r="A1393" s="446">
        <v>97936</v>
      </c>
      <c r="B1393" s="447" t="s">
        <v>6362</v>
      </c>
      <c r="C1393" s="446" t="s">
        <v>34</v>
      </c>
      <c r="D1393" s="448">
        <v>1616.02</v>
      </c>
      <c r="E1393" s="210"/>
    </row>
    <row r="1394" spans="1:5" ht="54">
      <c r="A1394" s="446">
        <v>97947</v>
      </c>
      <c r="B1394" s="447" t="s">
        <v>6363</v>
      </c>
      <c r="C1394" s="446" t="s">
        <v>34</v>
      </c>
      <c r="D1394" s="448">
        <v>1508.87</v>
      </c>
      <c r="E1394" s="210"/>
    </row>
    <row r="1395" spans="1:5" ht="54">
      <c r="A1395" s="446">
        <v>97948</v>
      </c>
      <c r="B1395" s="447" t="s">
        <v>6364</v>
      </c>
      <c r="C1395" s="446" t="s">
        <v>34</v>
      </c>
      <c r="D1395" s="448">
        <v>2784.28</v>
      </c>
      <c r="E1395" s="210"/>
    </row>
    <row r="1396" spans="1:5" ht="54">
      <c r="A1396" s="446">
        <v>97949</v>
      </c>
      <c r="B1396" s="447" t="s">
        <v>6365</v>
      </c>
      <c r="C1396" s="446" t="s">
        <v>34</v>
      </c>
      <c r="D1396" s="448">
        <v>1493.29</v>
      </c>
      <c r="E1396" s="210"/>
    </row>
    <row r="1397" spans="1:5" ht="54">
      <c r="A1397" s="446">
        <v>97950</v>
      </c>
      <c r="B1397" s="447" t="s">
        <v>6366</v>
      </c>
      <c r="C1397" s="446" t="s">
        <v>34</v>
      </c>
      <c r="D1397" s="448">
        <v>2629.28</v>
      </c>
      <c r="E1397" s="210"/>
    </row>
    <row r="1398" spans="1:5" ht="54">
      <c r="A1398" s="446">
        <v>97951</v>
      </c>
      <c r="B1398" s="447" t="s">
        <v>6367</v>
      </c>
      <c r="C1398" s="446" t="s">
        <v>34</v>
      </c>
      <c r="D1398" s="448">
        <v>2405.52</v>
      </c>
      <c r="E1398" s="210"/>
    </row>
    <row r="1399" spans="1:5" ht="54">
      <c r="A1399" s="446">
        <v>97952</v>
      </c>
      <c r="B1399" s="447" t="s">
        <v>6368</v>
      </c>
      <c r="C1399" s="446" t="s">
        <v>34</v>
      </c>
      <c r="D1399" s="448">
        <v>4160</v>
      </c>
      <c r="E1399" s="210"/>
    </row>
    <row r="1400" spans="1:5" ht="54">
      <c r="A1400" s="446">
        <v>97953</v>
      </c>
      <c r="B1400" s="447" t="s">
        <v>6369</v>
      </c>
      <c r="C1400" s="446" t="s">
        <v>34</v>
      </c>
      <c r="D1400" s="448">
        <v>1046.44</v>
      </c>
      <c r="E1400" s="210"/>
    </row>
    <row r="1401" spans="1:5" ht="54">
      <c r="A1401" s="446">
        <v>97955</v>
      </c>
      <c r="B1401" s="447" t="s">
        <v>6370</v>
      </c>
      <c r="C1401" s="446" t="s">
        <v>34</v>
      </c>
      <c r="D1401" s="448">
        <v>2307.85</v>
      </c>
      <c r="E1401" s="210"/>
    </row>
    <row r="1402" spans="1:5" ht="54">
      <c r="A1402" s="446">
        <v>97956</v>
      </c>
      <c r="B1402" s="447" t="s">
        <v>6371</v>
      </c>
      <c r="C1402" s="446" t="s">
        <v>34</v>
      </c>
      <c r="D1402" s="448">
        <v>1080.25</v>
      </c>
      <c r="E1402" s="210"/>
    </row>
    <row r="1403" spans="1:5" ht="54">
      <c r="A1403" s="446">
        <v>97957</v>
      </c>
      <c r="B1403" s="447" t="s">
        <v>6372</v>
      </c>
      <c r="C1403" s="446" t="s">
        <v>34</v>
      </c>
      <c r="D1403" s="448">
        <v>1955.5</v>
      </c>
      <c r="E1403" s="210"/>
    </row>
    <row r="1404" spans="1:5" ht="54">
      <c r="A1404" s="446">
        <v>97961</v>
      </c>
      <c r="B1404" s="447" t="s">
        <v>6373</v>
      </c>
      <c r="C1404" s="446" t="s">
        <v>34</v>
      </c>
      <c r="D1404" s="448">
        <v>1809.91</v>
      </c>
      <c r="E1404" s="210"/>
    </row>
    <row r="1405" spans="1:5" ht="54">
      <c r="A1405" s="446">
        <v>97973</v>
      </c>
      <c r="B1405" s="447" t="s">
        <v>6374</v>
      </c>
      <c r="C1405" s="446" t="s">
        <v>34</v>
      </c>
      <c r="D1405" s="448">
        <v>3455.72</v>
      </c>
      <c r="E1405" s="210"/>
    </row>
    <row r="1406" spans="1:5" ht="54">
      <c r="A1406" s="446">
        <v>97974</v>
      </c>
      <c r="B1406" s="447" t="s">
        <v>6375</v>
      </c>
      <c r="C1406" s="446" t="s">
        <v>34</v>
      </c>
      <c r="D1406" s="448">
        <v>384.78</v>
      </c>
      <c r="E1406" s="210"/>
    </row>
    <row r="1407" spans="1:5" ht="54">
      <c r="A1407" s="446">
        <v>97975</v>
      </c>
      <c r="B1407" s="447" t="s">
        <v>6376</v>
      </c>
      <c r="C1407" s="446" t="s">
        <v>34</v>
      </c>
      <c r="D1407" s="448">
        <v>399.85</v>
      </c>
      <c r="E1407" s="210"/>
    </row>
    <row r="1408" spans="1:5" ht="67.5">
      <c r="A1408" s="446">
        <v>97976</v>
      </c>
      <c r="B1408" s="447" t="s">
        <v>6377</v>
      </c>
      <c r="C1408" s="446" t="s">
        <v>34</v>
      </c>
      <c r="D1408" s="448">
        <v>905.74</v>
      </c>
      <c r="E1408" s="210"/>
    </row>
    <row r="1409" spans="1:5" ht="67.5">
      <c r="A1409" s="446">
        <v>97977</v>
      </c>
      <c r="B1409" s="447" t="s">
        <v>6378</v>
      </c>
      <c r="C1409" s="446" t="s">
        <v>34</v>
      </c>
      <c r="D1409" s="448">
        <v>1282.6600000000001</v>
      </c>
      <c r="E1409" s="210"/>
    </row>
    <row r="1410" spans="1:5" ht="54">
      <c r="A1410" s="446">
        <v>97978</v>
      </c>
      <c r="B1410" s="447" t="s">
        <v>6379</v>
      </c>
      <c r="C1410" s="446" t="s">
        <v>34</v>
      </c>
      <c r="D1410" s="448">
        <v>753.68</v>
      </c>
      <c r="E1410" s="210"/>
    </row>
    <row r="1411" spans="1:5" ht="67.5">
      <c r="A1411" s="446">
        <v>97980</v>
      </c>
      <c r="B1411" s="447" t="s">
        <v>6380</v>
      </c>
      <c r="C1411" s="446" t="s">
        <v>34</v>
      </c>
      <c r="D1411" s="448">
        <v>1698.1</v>
      </c>
      <c r="E1411" s="210"/>
    </row>
    <row r="1412" spans="1:5" ht="54">
      <c r="A1412" s="446">
        <v>97981</v>
      </c>
      <c r="B1412" s="447" t="s">
        <v>6381</v>
      </c>
      <c r="C1412" s="446" t="s">
        <v>14</v>
      </c>
      <c r="D1412" s="448">
        <v>959.23</v>
      </c>
      <c r="E1412" s="210"/>
    </row>
    <row r="1413" spans="1:5" ht="40.5">
      <c r="A1413" s="446">
        <v>97983</v>
      </c>
      <c r="B1413" s="447" t="s">
        <v>6382</v>
      </c>
      <c r="C1413" s="446" t="s">
        <v>14</v>
      </c>
      <c r="D1413" s="448">
        <v>434.97</v>
      </c>
      <c r="E1413" s="210"/>
    </row>
    <row r="1414" spans="1:5" ht="54">
      <c r="A1414" s="446">
        <v>97985</v>
      </c>
      <c r="B1414" s="447" t="s">
        <v>6383</v>
      </c>
      <c r="C1414" s="446" t="s">
        <v>14</v>
      </c>
      <c r="D1414" s="448">
        <v>1159.49</v>
      </c>
      <c r="E1414" s="210"/>
    </row>
    <row r="1415" spans="1:5" ht="40.5">
      <c r="A1415" s="446">
        <v>97987</v>
      </c>
      <c r="B1415" s="447" t="s">
        <v>6384</v>
      </c>
      <c r="C1415" s="446" t="s">
        <v>14</v>
      </c>
      <c r="D1415" s="448">
        <v>581.35</v>
      </c>
      <c r="E1415" s="210"/>
    </row>
    <row r="1416" spans="1:5" ht="67.5">
      <c r="A1416" s="446">
        <v>97988</v>
      </c>
      <c r="B1416" s="447" t="s">
        <v>6385</v>
      </c>
      <c r="C1416" s="446" t="s">
        <v>34</v>
      </c>
      <c r="D1416" s="448">
        <v>2540.1</v>
      </c>
      <c r="E1416" s="210"/>
    </row>
    <row r="1417" spans="1:5" ht="54">
      <c r="A1417" s="446">
        <v>97989</v>
      </c>
      <c r="B1417" s="447" t="s">
        <v>6386</v>
      </c>
      <c r="C1417" s="446" t="s">
        <v>14</v>
      </c>
      <c r="D1417" s="448">
        <v>1359.77</v>
      </c>
      <c r="E1417" s="210"/>
    </row>
    <row r="1418" spans="1:5" ht="40.5">
      <c r="A1418" s="446">
        <v>97991</v>
      </c>
      <c r="B1418" s="447" t="s">
        <v>6387</v>
      </c>
      <c r="C1418" s="446" t="s">
        <v>14</v>
      </c>
      <c r="D1418" s="448">
        <v>825.02</v>
      </c>
      <c r="E1418" s="210"/>
    </row>
    <row r="1419" spans="1:5" ht="67.5">
      <c r="A1419" s="446">
        <v>97992</v>
      </c>
      <c r="B1419" s="447" t="s">
        <v>6388</v>
      </c>
      <c r="C1419" s="446" t="s">
        <v>34</v>
      </c>
      <c r="D1419" s="448">
        <v>3297.81</v>
      </c>
      <c r="E1419" s="210"/>
    </row>
    <row r="1420" spans="1:5" ht="54">
      <c r="A1420" s="446">
        <v>97993</v>
      </c>
      <c r="B1420" s="447" t="s">
        <v>6389</v>
      </c>
      <c r="C1420" s="446" t="s">
        <v>14</v>
      </c>
      <c r="D1420" s="448">
        <v>1660.19</v>
      </c>
      <c r="E1420" s="210"/>
    </row>
    <row r="1421" spans="1:5" ht="67.5">
      <c r="A1421" s="446">
        <v>97994</v>
      </c>
      <c r="B1421" s="447" t="s">
        <v>6390</v>
      </c>
      <c r="C1421" s="446" t="s">
        <v>34</v>
      </c>
      <c r="D1421" s="448">
        <v>2061.7399999999998</v>
      </c>
      <c r="E1421" s="210"/>
    </row>
    <row r="1422" spans="1:5" ht="54">
      <c r="A1422" s="446">
        <v>97995</v>
      </c>
      <c r="B1422" s="447" t="s">
        <v>6391</v>
      </c>
      <c r="C1422" s="446" t="s">
        <v>14</v>
      </c>
      <c r="D1422" s="448">
        <v>933.2</v>
      </c>
      <c r="E1422" s="210"/>
    </row>
    <row r="1423" spans="1:5" ht="67.5">
      <c r="A1423" s="446">
        <v>97996</v>
      </c>
      <c r="B1423" s="447" t="s">
        <v>6392</v>
      </c>
      <c r="C1423" s="446" t="s">
        <v>34</v>
      </c>
      <c r="D1423" s="448">
        <v>2621.91</v>
      </c>
      <c r="E1423" s="210"/>
    </row>
    <row r="1424" spans="1:5" ht="54">
      <c r="A1424" s="446">
        <v>97997</v>
      </c>
      <c r="B1424" s="447" t="s">
        <v>6393</v>
      </c>
      <c r="C1424" s="446" t="s">
        <v>14</v>
      </c>
      <c r="D1424" s="448">
        <v>1112.93</v>
      </c>
      <c r="E1424" s="210"/>
    </row>
    <row r="1425" spans="1:5" ht="54">
      <c r="A1425" s="446">
        <v>97999</v>
      </c>
      <c r="B1425" s="447" t="s">
        <v>6394</v>
      </c>
      <c r="C1425" s="446" t="s">
        <v>14</v>
      </c>
      <c r="D1425" s="448">
        <v>1292.69</v>
      </c>
      <c r="E1425" s="210"/>
    </row>
    <row r="1426" spans="1:5" ht="54">
      <c r="A1426" s="446">
        <v>98001</v>
      </c>
      <c r="B1426" s="447" t="s">
        <v>6395</v>
      </c>
      <c r="C1426" s="446" t="s">
        <v>14</v>
      </c>
      <c r="D1426" s="448">
        <v>1472.43</v>
      </c>
      <c r="E1426" s="210"/>
    </row>
    <row r="1427" spans="1:5" ht="67.5">
      <c r="A1427" s="446">
        <v>98002</v>
      </c>
      <c r="B1427" s="447" t="s">
        <v>6396</v>
      </c>
      <c r="C1427" s="446" t="s">
        <v>34</v>
      </c>
      <c r="D1427" s="448">
        <v>4325.68</v>
      </c>
      <c r="E1427" s="210"/>
    </row>
    <row r="1428" spans="1:5" ht="54">
      <c r="A1428" s="446">
        <v>98003</v>
      </c>
      <c r="B1428" s="447" t="s">
        <v>6397</v>
      </c>
      <c r="C1428" s="446" t="s">
        <v>14</v>
      </c>
      <c r="D1428" s="448">
        <v>1652.23</v>
      </c>
      <c r="E1428" s="210"/>
    </row>
    <row r="1429" spans="1:5" ht="54">
      <c r="A1429" s="446">
        <v>98005</v>
      </c>
      <c r="B1429" s="447" t="s">
        <v>6398</v>
      </c>
      <c r="C1429" s="446" t="s">
        <v>14</v>
      </c>
      <c r="D1429" s="448">
        <v>1831.97</v>
      </c>
      <c r="E1429" s="210"/>
    </row>
    <row r="1430" spans="1:5" ht="67.5">
      <c r="A1430" s="446">
        <v>98006</v>
      </c>
      <c r="B1430" s="447" t="s">
        <v>6399</v>
      </c>
      <c r="C1430" s="446" t="s">
        <v>34</v>
      </c>
      <c r="D1430" s="448">
        <v>5448.87</v>
      </c>
      <c r="E1430" s="210"/>
    </row>
    <row r="1431" spans="1:5" ht="54">
      <c r="A1431" s="446">
        <v>98007</v>
      </c>
      <c r="B1431" s="447" t="s">
        <v>6400</v>
      </c>
      <c r="C1431" s="446" t="s">
        <v>14</v>
      </c>
      <c r="D1431" s="448">
        <v>2011.72</v>
      </c>
      <c r="E1431" s="210"/>
    </row>
    <row r="1432" spans="1:5" ht="67.5">
      <c r="A1432" s="446">
        <v>98008</v>
      </c>
      <c r="B1432" s="447" t="s">
        <v>6401</v>
      </c>
      <c r="C1432" s="446" t="s">
        <v>34</v>
      </c>
      <c r="D1432" s="448">
        <v>3278.25</v>
      </c>
      <c r="E1432" s="210"/>
    </row>
    <row r="1433" spans="1:5" ht="54">
      <c r="A1433" s="446">
        <v>98009</v>
      </c>
      <c r="B1433" s="447" t="s">
        <v>6402</v>
      </c>
      <c r="C1433" s="446" t="s">
        <v>14</v>
      </c>
      <c r="D1433" s="448">
        <v>1292.69</v>
      </c>
      <c r="E1433" s="210"/>
    </row>
    <row r="1434" spans="1:5" ht="67.5">
      <c r="A1434" s="446">
        <v>98010</v>
      </c>
      <c r="B1434" s="447" t="s">
        <v>6403</v>
      </c>
      <c r="C1434" s="446" t="s">
        <v>34</v>
      </c>
      <c r="D1434" s="448">
        <v>4011.67</v>
      </c>
      <c r="E1434" s="210"/>
    </row>
    <row r="1435" spans="1:5" ht="54">
      <c r="A1435" s="446">
        <v>98011</v>
      </c>
      <c r="B1435" s="447" t="s">
        <v>6404</v>
      </c>
      <c r="C1435" s="446" t="s">
        <v>14</v>
      </c>
      <c r="D1435" s="448">
        <v>1472.43</v>
      </c>
      <c r="E1435" s="210"/>
    </row>
    <row r="1436" spans="1:5" ht="67.5">
      <c r="A1436" s="446">
        <v>98012</v>
      </c>
      <c r="B1436" s="447" t="s">
        <v>6405</v>
      </c>
      <c r="C1436" s="446" t="s">
        <v>34</v>
      </c>
      <c r="D1436" s="448">
        <v>4726.32</v>
      </c>
      <c r="E1436" s="210"/>
    </row>
    <row r="1437" spans="1:5" ht="54">
      <c r="A1437" s="446">
        <v>98013</v>
      </c>
      <c r="B1437" s="447" t="s">
        <v>6406</v>
      </c>
      <c r="C1437" s="446" t="s">
        <v>14</v>
      </c>
      <c r="D1437" s="448">
        <v>1652.23</v>
      </c>
      <c r="E1437" s="210"/>
    </row>
    <row r="1438" spans="1:5" ht="67.5">
      <c r="A1438" s="446">
        <v>98014</v>
      </c>
      <c r="B1438" s="447" t="s">
        <v>6407</v>
      </c>
      <c r="C1438" s="446" t="s">
        <v>34</v>
      </c>
      <c r="D1438" s="448">
        <v>5440.98</v>
      </c>
      <c r="E1438" s="210"/>
    </row>
    <row r="1439" spans="1:5" ht="54">
      <c r="A1439" s="446">
        <v>98015</v>
      </c>
      <c r="B1439" s="447" t="s">
        <v>6408</v>
      </c>
      <c r="C1439" s="446" t="s">
        <v>14</v>
      </c>
      <c r="D1439" s="448">
        <v>1831.97</v>
      </c>
      <c r="E1439" s="210"/>
    </row>
    <row r="1440" spans="1:5" ht="67.5">
      <c r="A1440" s="446">
        <v>98016</v>
      </c>
      <c r="B1440" s="447" t="s">
        <v>6409</v>
      </c>
      <c r="C1440" s="446" t="s">
        <v>34</v>
      </c>
      <c r="D1440" s="448">
        <v>6159.18</v>
      </c>
      <c r="E1440" s="210"/>
    </row>
    <row r="1441" spans="1:5" ht="54">
      <c r="A1441" s="446">
        <v>98017</v>
      </c>
      <c r="B1441" s="447" t="s">
        <v>6410</v>
      </c>
      <c r="C1441" s="446" t="s">
        <v>14</v>
      </c>
      <c r="D1441" s="448">
        <v>2011.72</v>
      </c>
      <c r="E1441" s="210"/>
    </row>
    <row r="1442" spans="1:5" ht="67.5">
      <c r="A1442" s="446">
        <v>98018</v>
      </c>
      <c r="B1442" s="447" t="s">
        <v>6411</v>
      </c>
      <c r="C1442" s="446" t="s">
        <v>34</v>
      </c>
      <c r="D1442" s="448">
        <v>6870.29</v>
      </c>
      <c r="E1442" s="210"/>
    </row>
    <row r="1443" spans="1:5" ht="54">
      <c r="A1443" s="446">
        <v>98019</v>
      </c>
      <c r="B1443" s="447" t="s">
        <v>6412</v>
      </c>
      <c r="C1443" s="446" t="s">
        <v>14</v>
      </c>
      <c r="D1443" s="448">
        <v>2208.56</v>
      </c>
      <c r="E1443" s="210"/>
    </row>
    <row r="1444" spans="1:5" ht="67.5">
      <c r="A1444" s="446">
        <v>98020</v>
      </c>
      <c r="B1444" s="447" t="s">
        <v>6413</v>
      </c>
      <c r="C1444" s="446" t="s">
        <v>34</v>
      </c>
      <c r="D1444" s="448">
        <v>4865.95</v>
      </c>
      <c r="E1444" s="210"/>
    </row>
    <row r="1445" spans="1:5" ht="54">
      <c r="A1445" s="446">
        <v>98021</v>
      </c>
      <c r="B1445" s="447" t="s">
        <v>6414</v>
      </c>
      <c r="C1445" s="446" t="s">
        <v>14</v>
      </c>
      <c r="D1445" s="448">
        <v>1669.39</v>
      </c>
      <c r="E1445" s="210"/>
    </row>
    <row r="1446" spans="1:5" ht="67.5">
      <c r="A1446" s="446">
        <v>98022</v>
      </c>
      <c r="B1446" s="447" t="s">
        <v>6415</v>
      </c>
      <c r="C1446" s="446" t="s">
        <v>34</v>
      </c>
      <c r="D1446" s="448">
        <v>5726.92</v>
      </c>
      <c r="E1446" s="210"/>
    </row>
    <row r="1447" spans="1:5" ht="54">
      <c r="A1447" s="446">
        <v>98023</v>
      </c>
      <c r="B1447" s="447" t="s">
        <v>6416</v>
      </c>
      <c r="C1447" s="446" t="s">
        <v>14</v>
      </c>
      <c r="D1447" s="448">
        <v>1849.08</v>
      </c>
      <c r="E1447" s="210"/>
    </row>
    <row r="1448" spans="1:5" ht="67.5">
      <c r="A1448" s="446">
        <v>98024</v>
      </c>
      <c r="B1448" s="447" t="s">
        <v>6417</v>
      </c>
      <c r="C1448" s="446" t="s">
        <v>34</v>
      </c>
      <c r="D1448" s="448">
        <v>6625.39</v>
      </c>
      <c r="E1448" s="210"/>
    </row>
    <row r="1449" spans="1:5" ht="54">
      <c r="A1449" s="446">
        <v>98025</v>
      </c>
      <c r="B1449" s="447" t="s">
        <v>6418</v>
      </c>
      <c r="C1449" s="446" t="s">
        <v>14</v>
      </c>
      <c r="D1449" s="448">
        <v>2028.87</v>
      </c>
      <c r="E1449" s="210"/>
    </row>
    <row r="1450" spans="1:5" ht="67.5">
      <c r="A1450" s="446">
        <v>98026</v>
      </c>
      <c r="B1450" s="447" t="s">
        <v>6419</v>
      </c>
      <c r="C1450" s="446" t="s">
        <v>34</v>
      </c>
      <c r="D1450" s="448">
        <v>7487.53</v>
      </c>
      <c r="E1450" s="210"/>
    </row>
    <row r="1451" spans="1:5" ht="54">
      <c r="A1451" s="446">
        <v>98027</v>
      </c>
      <c r="B1451" s="447" t="s">
        <v>6420</v>
      </c>
      <c r="C1451" s="446" t="s">
        <v>14</v>
      </c>
      <c r="D1451" s="448">
        <v>2208.56</v>
      </c>
      <c r="E1451" s="210"/>
    </row>
    <row r="1452" spans="1:5" ht="67.5">
      <c r="A1452" s="446">
        <v>98028</v>
      </c>
      <c r="B1452" s="447" t="s">
        <v>6421</v>
      </c>
      <c r="C1452" s="446" t="s">
        <v>34</v>
      </c>
      <c r="D1452" s="448">
        <v>8349.74</v>
      </c>
      <c r="E1452" s="210"/>
    </row>
    <row r="1453" spans="1:5" ht="54">
      <c r="A1453" s="446">
        <v>98029</v>
      </c>
      <c r="B1453" s="447" t="s">
        <v>6422</v>
      </c>
      <c r="C1453" s="446" t="s">
        <v>14</v>
      </c>
      <c r="D1453" s="448">
        <v>2391.87</v>
      </c>
      <c r="E1453" s="210"/>
    </row>
    <row r="1454" spans="1:5" ht="67.5">
      <c r="A1454" s="446">
        <v>98030</v>
      </c>
      <c r="B1454" s="447" t="s">
        <v>6423</v>
      </c>
      <c r="C1454" s="446" t="s">
        <v>34</v>
      </c>
      <c r="D1454" s="448">
        <v>6800.8</v>
      </c>
      <c r="E1454" s="210"/>
    </row>
    <row r="1455" spans="1:5" ht="54">
      <c r="A1455" s="446">
        <v>98031</v>
      </c>
      <c r="B1455" s="447" t="s">
        <v>6424</v>
      </c>
      <c r="C1455" s="446" t="s">
        <v>14</v>
      </c>
      <c r="D1455" s="448">
        <v>2032.45</v>
      </c>
      <c r="E1455" s="210"/>
    </row>
    <row r="1456" spans="1:5" ht="67.5">
      <c r="A1456" s="446">
        <v>98032</v>
      </c>
      <c r="B1456" s="447" t="s">
        <v>6425</v>
      </c>
      <c r="C1456" s="446" t="s">
        <v>34</v>
      </c>
      <c r="D1456" s="448">
        <v>7843.11</v>
      </c>
      <c r="E1456" s="210"/>
    </row>
    <row r="1457" spans="1:5" ht="54">
      <c r="A1457" s="446">
        <v>98033</v>
      </c>
      <c r="B1457" s="447" t="s">
        <v>6426</v>
      </c>
      <c r="C1457" s="446" t="s">
        <v>14</v>
      </c>
      <c r="D1457" s="448">
        <v>2212.14</v>
      </c>
      <c r="E1457" s="210"/>
    </row>
    <row r="1458" spans="1:5" ht="67.5">
      <c r="A1458" s="446">
        <v>98034</v>
      </c>
      <c r="B1458" s="447" t="s">
        <v>6427</v>
      </c>
      <c r="C1458" s="446" t="s">
        <v>34</v>
      </c>
      <c r="D1458" s="448">
        <v>8885.42</v>
      </c>
      <c r="E1458" s="210"/>
    </row>
    <row r="1459" spans="1:5" ht="54">
      <c r="A1459" s="446">
        <v>98035</v>
      </c>
      <c r="B1459" s="447" t="s">
        <v>6428</v>
      </c>
      <c r="C1459" s="446" t="s">
        <v>14</v>
      </c>
      <c r="D1459" s="448">
        <v>2391.87</v>
      </c>
      <c r="E1459" s="210"/>
    </row>
    <row r="1460" spans="1:5" ht="67.5">
      <c r="A1460" s="446">
        <v>98036</v>
      </c>
      <c r="B1460" s="447" t="s">
        <v>6429</v>
      </c>
      <c r="C1460" s="446" t="s">
        <v>34</v>
      </c>
      <c r="D1460" s="448">
        <v>9927.77</v>
      </c>
      <c r="E1460" s="210"/>
    </row>
    <row r="1461" spans="1:5" ht="54">
      <c r="A1461" s="446">
        <v>98037</v>
      </c>
      <c r="B1461" s="447" t="s">
        <v>6430</v>
      </c>
      <c r="C1461" s="446" t="s">
        <v>14</v>
      </c>
      <c r="D1461" s="448">
        <v>2575.17</v>
      </c>
      <c r="E1461" s="210"/>
    </row>
    <row r="1462" spans="1:5" ht="67.5">
      <c r="A1462" s="446">
        <v>98038</v>
      </c>
      <c r="B1462" s="447" t="s">
        <v>6431</v>
      </c>
      <c r="C1462" s="446" t="s">
        <v>34</v>
      </c>
      <c r="D1462" s="448">
        <v>9077.94</v>
      </c>
      <c r="E1462" s="210"/>
    </row>
    <row r="1463" spans="1:5" ht="54">
      <c r="A1463" s="446">
        <v>98039</v>
      </c>
      <c r="B1463" s="447" t="s">
        <v>6432</v>
      </c>
      <c r="C1463" s="446" t="s">
        <v>14</v>
      </c>
      <c r="D1463" s="448">
        <v>2395.4299999999998</v>
      </c>
      <c r="E1463" s="210"/>
    </row>
    <row r="1464" spans="1:5" ht="67.5">
      <c r="A1464" s="446">
        <v>98040</v>
      </c>
      <c r="B1464" s="447" t="s">
        <v>6433</v>
      </c>
      <c r="C1464" s="446" t="s">
        <v>34</v>
      </c>
      <c r="D1464" s="448">
        <v>10280.120000000001</v>
      </c>
      <c r="E1464" s="210"/>
    </row>
    <row r="1465" spans="1:5" ht="54">
      <c r="A1465" s="446">
        <v>98041</v>
      </c>
      <c r="B1465" s="447" t="s">
        <v>6434</v>
      </c>
      <c r="C1465" s="446" t="s">
        <v>14</v>
      </c>
      <c r="D1465" s="448">
        <v>2575.17</v>
      </c>
      <c r="E1465" s="210"/>
    </row>
    <row r="1466" spans="1:5" ht="67.5">
      <c r="A1466" s="446">
        <v>98042</v>
      </c>
      <c r="B1466" s="447" t="s">
        <v>6435</v>
      </c>
      <c r="C1466" s="446" t="s">
        <v>34</v>
      </c>
      <c r="D1466" s="448">
        <v>11482.29</v>
      </c>
      <c r="E1466" s="210"/>
    </row>
    <row r="1467" spans="1:5" ht="54">
      <c r="A1467" s="446">
        <v>98043</v>
      </c>
      <c r="B1467" s="447" t="s">
        <v>6436</v>
      </c>
      <c r="C1467" s="446" t="s">
        <v>14</v>
      </c>
      <c r="D1467" s="448">
        <v>2758.52</v>
      </c>
      <c r="E1467" s="210"/>
    </row>
    <row r="1468" spans="1:5" ht="67.5">
      <c r="A1468" s="446">
        <v>98044</v>
      </c>
      <c r="B1468" s="447" t="s">
        <v>6437</v>
      </c>
      <c r="C1468" s="446" t="s">
        <v>34</v>
      </c>
      <c r="D1468" s="448">
        <v>11667.73</v>
      </c>
      <c r="E1468" s="210"/>
    </row>
    <row r="1469" spans="1:5" ht="54">
      <c r="A1469" s="446">
        <v>98045</v>
      </c>
      <c r="B1469" s="447" t="s">
        <v>6438</v>
      </c>
      <c r="C1469" s="446" t="s">
        <v>14</v>
      </c>
      <c r="D1469" s="448">
        <v>2758.52</v>
      </c>
      <c r="E1469" s="210"/>
    </row>
    <row r="1470" spans="1:5" ht="67.5">
      <c r="A1470" s="446">
        <v>98046</v>
      </c>
      <c r="B1470" s="447" t="s">
        <v>6439</v>
      </c>
      <c r="C1470" s="446" t="s">
        <v>34</v>
      </c>
      <c r="D1470" s="448">
        <v>13036.78</v>
      </c>
      <c r="E1470" s="210"/>
    </row>
    <row r="1471" spans="1:5" ht="54">
      <c r="A1471" s="446">
        <v>98047</v>
      </c>
      <c r="B1471" s="447" t="s">
        <v>6440</v>
      </c>
      <c r="C1471" s="446" t="s">
        <v>14</v>
      </c>
      <c r="D1471" s="448">
        <v>2941.82</v>
      </c>
      <c r="E1471" s="210"/>
    </row>
    <row r="1472" spans="1:5" ht="67.5">
      <c r="A1472" s="446">
        <v>98048</v>
      </c>
      <c r="B1472" s="447" t="s">
        <v>6441</v>
      </c>
      <c r="C1472" s="446" t="s">
        <v>34</v>
      </c>
      <c r="D1472" s="448">
        <v>15218.91</v>
      </c>
      <c r="E1472" s="210"/>
    </row>
    <row r="1473" spans="1:5" ht="54">
      <c r="A1473" s="446">
        <v>98049</v>
      </c>
      <c r="B1473" s="447" t="s">
        <v>6442</v>
      </c>
      <c r="C1473" s="446" t="s">
        <v>14</v>
      </c>
      <c r="D1473" s="448">
        <v>3090.16</v>
      </c>
      <c r="E1473" s="210"/>
    </row>
    <row r="1474" spans="1:5" ht="40.5">
      <c r="A1474" s="446">
        <v>98050</v>
      </c>
      <c r="B1474" s="447" t="s">
        <v>6443</v>
      </c>
      <c r="C1474" s="446" t="s">
        <v>14</v>
      </c>
      <c r="D1474" s="448">
        <v>241.67</v>
      </c>
      <c r="E1474" s="210"/>
    </row>
    <row r="1475" spans="1:5" ht="54">
      <c r="A1475" s="446">
        <v>98051</v>
      </c>
      <c r="B1475" s="447" t="s">
        <v>6444</v>
      </c>
      <c r="C1475" s="446" t="s">
        <v>14</v>
      </c>
      <c r="D1475" s="448">
        <v>761.26</v>
      </c>
      <c r="E1475" s="210"/>
    </row>
    <row r="1476" spans="1:5" ht="67.5">
      <c r="A1476" s="446">
        <v>98405</v>
      </c>
      <c r="B1476" s="447" t="s">
        <v>6445</v>
      </c>
      <c r="C1476" s="446" t="s">
        <v>34</v>
      </c>
      <c r="D1476" s="448">
        <v>2116.42</v>
      </c>
      <c r="E1476" s="210"/>
    </row>
    <row r="1477" spans="1:5" ht="67.5">
      <c r="A1477" s="446">
        <v>98406</v>
      </c>
      <c r="B1477" s="447" t="s">
        <v>6446</v>
      </c>
      <c r="C1477" s="446" t="s">
        <v>34</v>
      </c>
      <c r="D1477" s="448">
        <v>4888.72</v>
      </c>
      <c r="E1477" s="210"/>
    </row>
    <row r="1478" spans="1:5" ht="67.5">
      <c r="A1478" s="446">
        <v>98407</v>
      </c>
      <c r="B1478" s="447" t="s">
        <v>6447</v>
      </c>
      <c r="C1478" s="446" t="s">
        <v>34</v>
      </c>
      <c r="D1478" s="448">
        <v>3181.94</v>
      </c>
      <c r="E1478" s="210"/>
    </row>
    <row r="1479" spans="1:5" ht="67.5">
      <c r="A1479" s="446">
        <v>98408</v>
      </c>
      <c r="B1479" s="447" t="s">
        <v>6448</v>
      </c>
      <c r="C1479" s="446" t="s">
        <v>34</v>
      </c>
      <c r="D1479" s="448">
        <v>3741.97</v>
      </c>
      <c r="E1479" s="210"/>
    </row>
    <row r="1480" spans="1:5" ht="40.5">
      <c r="A1480" s="446">
        <v>98409</v>
      </c>
      <c r="B1480" s="447" t="s">
        <v>6449</v>
      </c>
      <c r="C1480" s="446" t="s">
        <v>14</v>
      </c>
      <c r="D1480" s="448">
        <v>328.12</v>
      </c>
      <c r="E1480" s="210"/>
    </row>
    <row r="1481" spans="1:5" ht="54">
      <c r="A1481" s="446">
        <v>98410</v>
      </c>
      <c r="B1481" s="447" t="s">
        <v>6450</v>
      </c>
      <c r="C1481" s="446" t="s">
        <v>34</v>
      </c>
      <c r="D1481" s="448">
        <v>1021.33</v>
      </c>
      <c r="E1481" s="210"/>
    </row>
    <row r="1482" spans="1:5" ht="56.25" customHeight="1">
      <c r="A1482" s="446">
        <v>98414</v>
      </c>
      <c r="B1482" s="447" t="s">
        <v>6451</v>
      </c>
      <c r="C1482" s="446" t="s">
        <v>34</v>
      </c>
      <c r="D1482" s="448">
        <v>1010.17</v>
      </c>
      <c r="E1482" s="210"/>
    </row>
    <row r="1483" spans="1:5" ht="62.25" customHeight="1">
      <c r="A1483" s="446">
        <v>98415</v>
      </c>
      <c r="B1483" s="447" t="s">
        <v>3696</v>
      </c>
      <c r="C1483" s="446" t="s">
        <v>34</v>
      </c>
      <c r="D1483" s="448">
        <v>1148.8599999999999</v>
      </c>
      <c r="E1483" s="210"/>
    </row>
    <row r="1484" spans="1:5" ht="67.5">
      <c r="A1484" s="446">
        <v>98416</v>
      </c>
      <c r="B1484" s="447" t="s">
        <v>3697</v>
      </c>
      <c r="C1484" s="446" t="s">
        <v>34</v>
      </c>
      <c r="D1484" s="448">
        <v>1227.6500000000001</v>
      </c>
      <c r="E1484" s="210"/>
    </row>
    <row r="1485" spans="1:5" ht="67.5">
      <c r="A1485" s="446">
        <v>98417</v>
      </c>
      <c r="B1485" s="447" t="s">
        <v>3698</v>
      </c>
      <c r="C1485" s="446" t="s">
        <v>34</v>
      </c>
      <c r="D1485" s="448">
        <v>1445.14</v>
      </c>
      <c r="E1485" s="210"/>
    </row>
    <row r="1486" spans="1:5" ht="67.5">
      <c r="A1486" s="446">
        <v>98418</v>
      </c>
      <c r="B1486" s="447" t="s">
        <v>3699</v>
      </c>
      <c r="C1486" s="446" t="s">
        <v>34</v>
      </c>
      <c r="D1486" s="448">
        <v>1565.97</v>
      </c>
      <c r="E1486" s="210"/>
    </row>
    <row r="1487" spans="1:5" ht="67.5">
      <c r="A1487" s="446">
        <v>98419</v>
      </c>
      <c r="B1487" s="447" t="s">
        <v>3700</v>
      </c>
      <c r="C1487" s="446" t="s">
        <v>34</v>
      </c>
      <c r="D1487" s="448">
        <v>1686.81</v>
      </c>
      <c r="E1487" s="210"/>
    </row>
    <row r="1488" spans="1:5" ht="81">
      <c r="A1488" s="446">
        <v>98420</v>
      </c>
      <c r="B1488" s="447" t="s">
        <v>3701</v>
      </c>
      <c r="C1488" s="446" t="s">
        <v>34</v>
      </c>
      <c r="D1488" s="448">
        <v>1725.25</v>
      </c>
      <c r="E1488" s="210"/>
    </row>
    <row r="1489" spans="1:5" ht="81">
      <c r="A1489" s="446">
        <v>98421</v>
      </c>
      <c r="B1489" s="447" t="s">
        <v>3702</v>
      </c>
      <c r="C1489" s="446" t="s">
        <v>34</v>
      </c>
      <c r="D1489" s="448">
        <v>1942.73</v>
      </c>
      <c r="E1489" s="210"/>
    </row>
    <row r="1490" spans="1:5" ht="81">
      <c r="A1490" s="446">
        <v>98422</v>
      </c>
      <c r="B1490" s="447" t="s">
        <v>3703</v>
      </c>
      <c r="C1490" s="446" t="s">
        <v>34</v>
      </c>
      <c r="D1490" s="448">
        <v>2160.2199999999998</v>
      </c>
      <c r="E1490" s="210"/>
    </row>
    <row r="1491" spans="1:5" ht="81">
      <c r="A1491" s="446">
        <v>98423</v>
      </c>
      <c r="B1491" s="447" t="s">
        <v>3704</v>
      </c>
      <c r="C1491" s="446" t="s">
        <v>34</v>
      </c>
      <c r="D1491" s="448">
        <v>2281.0500000000002</v>
      </c>
      <c r="E1491" s="210"/>
    </row>
    <row r="1492" spans="1:5" ht="81">
      <c r="A1492" s="446">
        <v>98424</v>
      </c>
      <c r="B1492" s="447" t="s">
        <v>3705</v>
      </c>
      <c r="C1492" s="446" t="s">
        <v>34</v>
      </c>
      <c r="D1492" s="448">
        <v>2401.89</v>
      </c>
      <c r="E1492" s="210"/>
    </row>
    <row r="1493" spans="1:5" ht="81">
      <c r="A1493" s="446">
        <v>98425</v>
      </c>
      <c r="B1493" s="447" t="s">
        <v>3706</v>
      </c>
      <c r="C1493" s="446" t="s">
        <v>34</v>
      </c>
      <c r="D1493" s="448">
        <v>2540.1</v>
      </c>
      <c r="E1493" s="210"/>
    </row>
    <row r="1494" spans="1:5" ht="81">
      <c r="A1494" s="446">
        <v>98426</v>
      </c>
      <c r="B1494" s="447" t="s">
        <v>3707</v>
      </c>
      <c r="C1494" s="446" t="s">
        <v>34</v>
      </c>
      <c r="D1494" s="448">
        <v>3219.98</v>
      </c>
      <c r="E1494" s="210"/>
    </row>
    <row r="1495" spans="1:5" ht="81">
      <c r="A1495" s="446">
        <v>98427</v>
      </c>
      <c r="B1495" s="447" t="s">
        <v>3708</v>
      </c>
      <c r="C1495" s="446" t="s">
        <v>34</v>
      </c>
      <c r="D1495" s="448">
        <v>3899.87</v>
      </c>
      <c r="E1495" s="210"/>
    </row>
    <row r="1496" spans="1:5" ht="81">
      <c r="A1496" s="446">
        <v>98428</v>
      </c>
      <c r="B1496" s="447" t="s">
        <v>3709</v>
      </c>
      <c r="C1496" s="446" t="s">
        <v>34</v>
      </c>
      <c r="D1496" s="448">
        <v>4280.5</v>
      </c>
      <c r="E1496" s="210"/>
    </row>
    <row r="1497" spans="1:5" ht="81">
      <c r="A1497" s="446">
        <v>98429</v>
      </c>
      <c r="B1497" s="447" t="s">
        <v>3710</v>
      </c>
      <c r="C1497" s="446" t="s">
        <v>34</v>
      </c>
      <c r="D1497" s="448">
        <v>4661.13</v>
      </c>
      <c r="E1497" s="210"/>
    </row>
    <row r="1498" spans="1:5" ht="94.5">
      <c r="A1498" s="446">
        <v>98430</v>
      </c>
      <c r="B1498" s="447" t="s">
        <v>3711</v>
      </c>
      <c r="C1498" s="446" t="s">
        <v>34</v>
      </c>
      <c r="D1498" s="448">
        <v>3255.18</v>
      </c>
      <c r="E1498" s="210"/>
    </row>
    <row r="1499" spans="1:5" ht="94.5">
      <c r="A1499" s="446">
        <v>98431</v>
      </c>
      <c r="B1499" s="447" t="s">
        <v>3712</v>
      </c>
      <c r="C1499" s="446" t="s">
        <v>34</v>
      </c>
      <c r="D1499" s="448">
        <v>3935.06</v>
      </c>
      <c r="E1499" s="210"/>
    </row>
    <row r="1500" spans="1:5" ht="94.5">
      <c r="A1500" s="446">
        <v>98432</v>
      </c>
      <c r="B1500" s="447" t="s">
        <v>3713</v>
      </c>
      <c r="C1500" s="446" t="s">
        <v>34</v>
      </c>
      <c r="D1500" s="448">
        <v>4614.95</v>
      </c>
      <c r="E1500" s="210"/>
    </row>
    <row r="1501" spans="1:5" ht="94.5">
      <c r="A1501" s="446">
        <v>98433</v>
      </c>
      <c r="B1501" s="447" t="s">
        <v>3714</v>
      </c>
      <c r="C1501" s="446" t="s">
        <v>34</v>
      </c>
      <c r="D1501" s="448">
        <v>4995.58</v>
      </c>
      <c r="E1501" s="210"/>
    </row>
    <row r="1502" spans="1:5" ht="94.5">
      <c r="A1502" s="446">
        <v>98434</v>
      </c>
      <c r="B1502" s="447" t="s">
        <v>3715</v>
      </c>
      <c r="C1502" s="446" t="s">
        <v>34</v>
      </c>
      <c r="D1502" s="448">
        <v>5376.21</v>
      </c>
      <c r="E1502" s="210"/>
    </row>
    <row r="1503" spans="1:5" ht="40.5">
      <c r="A1503" s="446">
        <v>99240</v>
      </c>
      <c r="B1503" s="447" t="s">
        <v>6452</v>
      </c>
      <c r="C1503" s="446" t="s">
        <v>14</v>
      </c>
      <c r="D1503" s="448">
        <v>578.79999999999995</v>
      </c>
      <c r="E1503" s="210"/>
    </row>
    <row r="1504" spans="1:5" ht="54">
      <c r="A1504" s="446">
        <v>99241</v>
      </c>
      <c r="B1504" s="447" t="s">
        <v>6453</v>
      </c>
      <c r="C1504" s="446" t="s">
        <v>14</v>
      </c>
      <c r="D1504" s="448">
        <v>1239.25</v>
      </c>
      <c r="E1504" s="210"/>
    </row>
    <row r="1505" spans="1:5" ht="67.5">
      <c r="A1505" s="446">
        <v>99242</v>
      </c>
      <c r="B1505" s="447" t="s">
        <v>6454</v>
      </c>
      <c r="C1505" s="446" t="s">
        <v>34</v>
      </c>
      <c r="D1505" s="448">
        <v>2467.4299999999998</v>
      </c>
      <c r="E1505" s="210"/>
    </row>
    <row r="1506" spans="1:5" ht="54">
      <c r="A1506" s="446">
        <v>99243</v>
      </c>
      <c r="B1506" s="447" t="s">
        <v>6455</v>
      </c>
      <c r="C1506" s="446" t="s">
        <v>14</v>
      </c>
      <c r="D1506" s="448">
        <v>1290.96</v>
      </c>
      <c r="E1506" s="210"/>
    </row>
    <row r="1507" spans="1:5" ht="67.5">
      <c r="A1507" s="446">
        <v>99244</v>
      </c>
      <c r="B1507" s="447" t="s">
        <v>6456</v>
      </c>
      <c r="C1507" s="446" t="s">
        <v>34</v>
      </c>
      <c r="D1507" s="448">
        <v>3924.37</v>
      </c>
      <c r="E1507" s="210"/>
    </row>
    <row r="1508" spans="1:5" ht="40.5">
      <c r="A1508" s="446">
        <v>99246</v>
      </c>
      <c r="B1508" s="447" t="s">
        <v>6457</v>
      </c>
      <c r="C1508" s="446" t="s">
        <v>14</v>
      </c>
      <c r="D1508" s="448">
        <v>821.54</v>
      </c>
      <c r="E1508" s="210"/>
    </row>
    <row r="1509" spans="1:5" ht="54">
      <c r="A1509" s="446">
        <v>99247</v>
      </c>
      <c r="B1509" s="447" t="s">
        <v>6458</v>
      </c>
      <c r="C1509" s="446" t="s">
        <v>14</v>
      </c>
      <c r="D1509" s="448">
        <v>1411.14</v>
      </c>
      <c r="E1509" s="210"/>
    </row>
    <row r="1510" spans="1:5" ht="67.5">
      <c r="A1510" s="446">
        <v>99248</v>
      </c>
      <c r="B1510" s="447" t="s">
        <v>6459</v>
      </c>
      <c r="C1510" s="446" t="s">
        <v>34</v>
      </c>
      <c r="D1510" s="448">
        <v>3704.69</v>
      </c>
      <c r="E1510" s="210"/>
    </row>
    <row r="1511" spans="1:5" ht="54">
      <c r="A1511" s="446">
        <v>99249</v>
      </c>
      <c r="B1511" s="447" t="s">
        <v>6460</v>
      </c>
      <c r="C1511" s="446" t="s">
        <v>14</v>
      </c>
      <c r="D1511" s="448">
        <v>1580.66</v>
      </c>
      <c r="E1511" s="210"/>
    </row>
    <row r="1512" spans="1:5" ht="67.5">
      <c r="A1512" s="446">
        <v>99252</v>
      </c>
      <c r="B1512" s="447" t="s">
        <v>6461</v>
      </c>
      <c r="C1512" s="446" t="s">
        <v>34</v>
      </c>
      <c r="D1512" s="448">
        <v>2016.24</v>
      </c>
      <c r="E1512" s="210"/>
    </row>
    <row r="1513" spans="1:5" ht="54">
      <c r="A1513" s="446">
        <v>99254</v>
      </c>
      <c r="B1513" s="447" t="s">
        <v>6462</v>
      </c>
      <c r="C1513" s="446" t="s">
        <v>14</v>
      </c>
      <c r="D1513" s="448">
        <v>895.48</v>
      </c>
      <c r="E1513" s="210"/>
    </row>
    <row r="1514" spans="1:5" ht="67.5">
      <c r="A1514" s="446">
        <v>99256</v>
      </c>
      <c r="B1514" s="447" t="s">
        <v>6463</v>
      </c>
      <c r="C1514" s="446" t="s">
        <v>34</v>
      </c>
      <c r="D1514" s="448">
        <v>4632.84</v>
      </c>
      <c r="E1514" s="210"/>
    </row>
    <row r="1515" spans="1:5" ht="67.5">
      <c r="A1515" s="446">
        <v>99259</v>
      </c>
      <c r="B1515" s="447" t="s">
        <v>6464</v>
      </c>
      <c r="C1515" s="446" t="s">
        <v>34</v>
      </c>
      <c r="D1515" s="448">
        <v>2563.84</v>
      </c>
      <c r="E1515" s="210"/>
    </row>
    <row r="1516" spans="1:5" ht="54">
      <c r="A1516" s="446">
        <v>99261</v>
      </c>
      <c r="B1516" s="447" t="s">
        <v>6465</v>
      </c>
      <c r="C1516" s="446" t="s">
        <v>14</v>
      </c>
      <c r="D1516" s="448">
        <v>1067.3599999999999</v>
      </c>
      <c r="E1516" s="210"/>
    </row>
    <row r="1517" spans="1:5" ht="54">
      <c r="A1517" s="446">
        <v>99263</v>
      </c>
      <c r="B1517" s="447" t="s">
        <v>6466</v>
      </c>
      <c r="C1517" s="446" t="s">
        <v>14</v>
      </c>
      <c r="D1517" s="448">
        <v>1583.07</v>
      </c>
      <c r="E1517" s="210"/>
    </row>
    <row r="1518" spans="1:5" ht="67.5">
      <c r="A1518" s="446">
        <v>99265</v>
      </c>
      <c r="B1518" s="447" t="s">
        <v>6467</v>
      </c>
      <c r="C1518" s="446" t="s">
        <v>34</v>
      </c>
      <c r="D1518" s="448">
        <v>3111.27</v>
      </c>
      <c r="E1518" s="210"/>
    </row>
    <row r="1519" spans="1:5" ht="54">
      <c r="A1519" s="446">
        <v>99266</v>
      </c>
      <c r="B1519" s="447" t="s">
        <v>6468</v>
      </c>
      <c r="C1519" s="446" t="s">
        <v>14</v>
      </c>
      <c r="D1519" s="448">
        <v>1239.25</v>
      </c>
      <c r="E1519" s="210"/>
    </row>
    <row r="1520" spans="1:5" ht="67.5">
      <c r="A1520" s="446">
        <v>99267</v>
      </c>
      <c r="B1520" s="447" t="s">
        <v>6469</v>
      </c>
      <c r="C1520" s="446" t="s">
        <v>34</v>
      </c>
      <c r="D1520" s="448">
        <v>3660.96</v>
      </c>
      <c r="E1520" s="210"/>
    </row>
    <row r="1521" spans="1:5" ht="54">
      <c r="A1521" s="446">
        <v>99268</v>
      </c>
      <c r="B1521" s="447" t="s">
        <v>6470</v>
      </c>
      <c r="C1521" s="446" t="s">
        <v>34</v>
      </c>
      <c r="D1521" s="448">
        <v>381.52</v>
      </c>
      <c r="E1521" s="210"/>
    </row>
    <row r="1522" spans="1:5" ht="54">
      <c r="A1522" s="446">
        <v>99269</v>
      </c>
      <c r="B1522" s="447" t="s">
        <v>6471</v>
      </c>
      <c r="C1522" s="446" t="s">
        <v>14</v>
      </c>
      <c r="D1522" s="448">
        <v>1411.14</v>
      </c>
      <c r="E1522" s="210"/>
    </row>
    <row r="1523" spans="1:5" ht="54">
      <c r="A1523" s="446">
        <v>99270</v>
      </c>
      <c r="B1523" s="447" t="s">
        <v>6472</v>
      </c>
      <c r="C1523" s="446" t="s">
        <v>34</v>
      </c>
      <c r="D1523" s="448">
        <v>529.4</v>
      </c>
      <c r="E1523" s="210"/>
    </row>
    <row r="1524" spans="1:5" ht="67.5">
      <c r="A1524" s="446">
        <v>99271</v>
      </c>
      <c r="B1524" s="447" t="s">
        <v>6473</v>
      </c>
      <c r="C1524" s="446" t="s">
        <v>34</v>
      </c>
      <c r="D1524" s="448">
        <v>5322.19</v>
      </c>
      <c r="E1524" s="210"/>
    </row>
    <row r="1525" spans="1:5" ht="67.5">
      <c r="A1525" s="446">
        <v>99272</v>
      </c>
      <c r="B1525" s="447" t="s">
        <v>6474</v>
      </c>
      <c r="C1525" s="446" t="s">
        <v>34</v>
      </c>
      <c r="D1525" s="448">
        <v>873.03</v>
      </c>
      <c r="E1525" s="210"/>
    </row>
    <row r="1526" spans="1:5" ht="67.5">
      <c r="A1526" s="446">
        <v>99273</v>
      </c>
      <c r="B1526" s="447" t="s">
        <v>6475</v>
      </c>
      <c r="C1526" s="446" t="s">
        <v>34</v>
      </c>
      <c r="D1526" s="448">
        <v>1236.79</v>
      </c>
      <c r="E1526" s="210"/>
    </row>
    <row r="1527" spans="1:5" ht="67.5">
      <c r="A1527" s="446">
        <v>99274</v>
      </c>
      <c r="B1527" s="447" t="s">
        <v>6476</v>
      </c>
      <c r="C1527" s="446" t="s">
        <v>34</v>
      </c>
      <c r="D1527" s="448">
        <v>4229.9399999999996</v>
      </c>
      <c r="E1527" s="210"/>
    </row>
    <row r="1528" spans="1:5" ht="54">
      <c r="A1528" s="446">
        <v>99275</v>
      </c>
      <c r="B1528" s="447" t="s">
        <v>6477</v>
      </c>
      <c r="C1528" s="446" t="s">
        <v>34</v>
      </c>
      <c r="D1528" s="448">
        <v>747.29</v>
      </c>
      <c r="E1528" s="210"/>
    </row>
    <row r="1529" spans="1:5" ht="54">
      <c r="A1529" s="446">
        <v>99276</v>
      </c>
      <c r="B1529" s="447" t="s">
        <v>6478</v>
      </c>
      <c r="C1529" s="446" t="s">
        <v>14</v>
      </c>
      <c r="D1529" s="448">
        <v>1754.96</v>
      </c>
      <c r="E1529" s="210"/>
    </row>
    <row r="1530" spans="1:5" ht="54">
      <c r="A1530" s="446">
        <v>99277</v>
      </c>
      <c r="B1530" s="447" t="s">
        <v>6479</v>
      </c>
      <c r="C1530" s="446" t="s">
        <v>14</v>
      </c>
      <c r="D1530" s="448">
        <v>1583.07</v>
      </c>
      <c r="E1530" s="210"/>
    </row>
    <row r="1531" spans="1:5" ht="40.5">
      <c r="A1531" s="446">
        <v>99278</v>
      </c>
      <c r="B1531" s="447" t="s">
        <v>6480</v>
      </c>
      <c r="C1531" s="446" t="s">
        <v>14</v>
      </c>
      <c r="D1531" s="448">
        <v>326.57</v>
      </c>
      <c r="E1531" s="210"/>
    </row>
    <row r="1532" spans="1:5" ht="67.5">
      <c r="A1532" s="446">
        <v>99279</v>
      </c>
      <c r="B1532" s="447" t="s">
        <v>6481</v>
      </c>
      <c r="C1532" s="446" t="s">
        <v>34</v>
      </c>
      <c r="D1532" s="448">
        <v>4780.42</v>
      </c>
      <c r="E1532" s="210"/>
    </row>
    <row r="1533" spans="1:5" ht="67.5">
      <c r="A1533" s="446">
        <v>99280</v>
      </c>
      <c r="B1533" s="447" t="s">
        <v>6482</v>
      </c>
      <c r="C1533" s="446" t="s">
        <v>34</v>
      </c>
      <c r="D1533" s="448">
        <v>1640.79</v>
      </c>
      <c r="E1533" s="210"/>
    </row>
    <row r="1534" spans="1:5" ht="54">
      <c r="A1534" s="446">
        <v>99281</v>
      </c>
      <c r="B1534" s="447" t="s">
        <v>6483</v>
      </c>
      <c r="C1534" s="446" t="s">
        <v>14</v>
      </c>
      <c r="D1534" s="448">
        <v>1754.96</v>
      </c>
      <c r="E1534" s="210"/>
    </row>
    <row r="1535" spans="1:5" ht="54">
      <c r="A1535" s="446">
        <v>99282</v>
      </c>
      <c r="B1535" s="447" t="s">
        <v>6484</v>
      </c>
      <c r="C1535" s="446" t="s">
        <v>14</v>
      </c>
      <c r="D1535" s="448">
        <v>1944.72</v>
      </c>
      <c r="E1535" s="210"/>
    </row>
    <row r="1536" spans="1:5" ht="54">
      <c r="A1536" s="446">
        <v>99283</v>
      </c>
      <c r="B1536" s="447" t="s">
        <v>6485</v>
      </c>
      <c r="C1536" s="446" t="s">
        <v>14</v>
      </c>
      <c r="D1536" s="448">
        <v>904.68</v>
      </c>
      <c r="E1536" s="210"/>
    </row>
    <row r="1537" spans="1:5" ht="67.5">
      <c r="A1537" s="446">
        <v>99284</v>
      </c>
      <c r="B1537" s="447" t="s">
        <v>6486</v>
      </c>
      <c r="C1537" s="446" t="s">
        <v>34</v>
      </c>
      <c r="D1537" s="448">
        <v>6021.16</v>
      </c>
      <c r="E1537" s="210"/>
    </row>
    <row r="1538" spans="1:5" ht="54">
      <c r="A1538" s="446">
        <v>99285</v>
      </c>
      <c r="B1538" s="447" t="s">
        <v>5767</v>
      </c>
      <c r="C1538" s="446" t="s">
        <v>34</v>
      </c>
      <c r="D1538" s="448">
        <v>1078.42</v>
      </c>
      <c r="E1538" s="210"/>
    </row>
    <row r="1539" spans="1:5" ht="67.5">
      <c r="A1539" s="446">
        <v>99286</v>
      </c>
      <c r="B1539" s="447" t="s">
        <v>6487</v>
      </c>
      <c r="C1539" s="446" t="s">
        <v>34</v>
      </c>
      <c r="D1539" s="448">
        <v>5328.01</v>
      </c>
      <c r="E1539" s="210"/>
    </row>
    <row r="1540" spans="1:5" ht="67.5">
      <c r="A1540" s="446">
        <v>99287</v>
      </c>
      <c r="B1540" s="447" t="s">
        <v>6488</v>
      </c>
      <c r="C1540" s="446" t="s">
        <v>34</v>
      </c>
      <c r="D1540" s="448">
        <v>7672.02</v>
      </c>
      <c r="E1540" s="210"/>
    </row>
    <row r="1541" spans="1:5" ht="40.5">
      <c r="A1541" s="446">
        <v>99288</v>
      </c>
      <c r="B1541" s="447" t="s">
        <v>6489</v>
      </c>
      <c r="C1541" s="446" t="s">
        <v>14</v>
      </c>
      <c r="D1541" s="448">
        <v>488.08</v>
      </c>
      <c r="E1541" s="210"/>
    </row>
    <row r="1542" spans="1:5" ht="54">
      <c r="A1542" s="446">
        <v>99289</v>
      </c>
      <c r="B1542" s="447" t="s">
        <v>6490</v>
      </c>
      <c r="C1542" s="446" t="s">
        <v>14</v>
      </c>
      <c r="D1542" s="448">
        <v>1903.63</v>
      </c>
      <c r="E1542" s="210"/>
    </row>
    <row r="1543" spans="1:5" ht="67.5">
      <c r="A1543" s="446">
        <v>99290</v>
      </c>
      <c r="B1543" s="447" t="s">
        <v>6491</v>
      </c>
      <c r="C1543" s="446" t="s">
        <v>34</v>
      </c>
      <c r="D1543" s="448">
        <v>3206.69</v>
      </c>
      <c r="E1543" s="210"/>
    </row>
    <row r="1544" spans="1:5" ht="54">
      <c r="A1544" s="446">
        <v>99291</v>
      </c>
      <c r="B1544" s="447" t="s">
        <v>6492</v>
      </c>
      <c r="C1544" s="446" t="s">
        <v>14</v>
      </c>
      <c r="D1544" s="448">
        <v>1926.85</v>
      </c>
      <c r="E1544" s="210"/>
    </row>
    <row r="1545" spans="1:5" ht="67.5">
      <c r="A1545" s="446">
        <v>99292</v>
      </c>
      <c r="B1545" s="447" t="s">
        <v>6493</v>
      </c>
      <c r="C1545" s="446" t="s">
        <v>34</v>
      </c>
      <c r="D1545" s="448">
        <v>2051.08</v>
      </c>
      <c r="E1545" s="210"/>
    </row>
    <row r="1546" spans="1:5" ht="54">
      <c r="A1546" s="446">
        <v>99293</v>
      </c>
      <c r="B1546" s="447" t="s">
        <v>6494</v>
      </c>
      <c r="C1546" s="446" t="s">
        <v>14</v>
      </c>
      <c r="D1546" s="448">
        <v>1097.8</v>
      </c>
      <c r="E1546" s="210"/>
    </row>
    <row r="1547" spans="1:5" ht="67.5">
      <c r="A1547" s="446">
        <v>99294</v>
      </c>
      <c r="B1547" s="447" t="s">
        <v>6495</v>
      </c>
      <c r="C1547" s="446" t="s">
        <v>34</v>
      </c>
      <c r="D1547" s="448">
        <v>6682.61</v>
      </c>
      <c r="E1547" s="210"/>
    </row>
    <row r="1548" spans="1:5" ht="54">
      <c r="A1548" s="446">
        <v>99296</v>
      </c>
      <c r="B1548" s="447" t="s">
        <v>6496</v>
      </c>
      <c r="C1548" s="446" t="s">
        <v>14</v>
      </c>
      <c r="D1548" s="448">
        <v>2116.56</v>
      </c>
      <c r="E1548" s="210"/>
    </row>
    <row r="1549" spans="1:5" ht="54">
      <c r="A1549" s="446">
        <v>99297</v>
      </c>
      <c r="B1549" s="447" t="s">
        <v>6497</v>
      </c>
      <c r="C1549" s="446" t="s">
        <v>14</v>
      </c>
      <c r="D1549" s="448">
        <v>2113.4699999999998</v>
      </c>
      <c r="E1549" s="210"/>
    </row>
    <row r="1550" spans="1:5" ht="67.5">
      <c r="A1550" s="446">
        <v>99298</v>
      </c>
      <c r="B1550" s="447" t="s">
        <v>6498</v>
      </c>
      <c r="C1550" s="446" t="s">
        <v>34</v>
      </c>
      <c r="D1550" s="448">
        <v>8691.19</v>
      </c>
      <c r="E1550" s="210"/>
    </row>
    <row r="1551" spans="1:5" ht="54">
      <c r="A1551" s="446">
        <v>99299</v>
      </c>
      <c r="B1551" s="447" t="s">
        <v>6499</v>
      </c>
      <c r="C1551" s="446" t="s">
        <v>14</v>
      </c>
      <c r="D1551" s="448">
        <v>2288.42</v>
      </c>
      <c r="E1551" s="210"/>
    </row>
    <row r="1552" spans="1:5" ht="67.5">
      <c r="A1552" s="446">
        <v>99300</v>
      </c>
      <c r="B1552" s="447" t="s">
        <v>6500</v>
      </c>
      <c r="C1552" s="446" t="s">
        <v>34</v>
      </c>
      <c r="D1552" s="448">
        <v>9710.5300000000007</v>
      </c>
      <c r="E1552" s="210"/>
    </row>
    <row r="1553" spans="1:5" ht="67.5">
      <c r="A1553" s="446">
        <v>99301</v>
      </c>
      <c r="B1553" s="447" t="s">
        <v>6501</v>
      </c>
      <c r="C1553" s="446" t="s">
        <v>34</v>
      </c>
      <c r="D1553" s="448">
        <v>4763.62</v>
      </c>
      <c r="E1553" s="210"/>
    </row>
    <row r="1554" spans="1:5" ht="54">
      <c r="A1554" s="446">
        <v>99302</v>
      </c>
      <c r="B1554" s="447" t="s">
        <v>6502</v>
      </c>
      <c r="C1554" s="446" t="s">
        <v>14</v>
      </c>
      <c r="D1554" s="448">
        <v>2463.39</v>
      </c>
      <c r="E1554" s="210"/>
    </row>
    <row r="1555" spans="1:5" ht="67.5">
      <c r="A1555" s="446">
        <v>99303</v>
      </c>
      <c r="B1555" s="447" t="s">
        <v>6503</v>
      </c>
      <c r="C1555" s="446" t="s">
        <v>34</v>
      </c>
      <c r="D1555" s="448">
        <v>8879.31</v>
      </c>
      <c r="E1555" s="210"/>
    </row>
    <row r="1556" spans="1:5" ht="54">
      <c r="A1556" s="446">
        <v>99304</v>
      </c>
      <c r="B1556" s="447" t="s">
        <v>6504</v>
      </c>
      <c r="C1556" s="446" t="s">
        <v>14</v>
      </c>
      <c r="D1556" s="448">
        <v>2291.5</v>
      </c>
      <c r="E1556" s="210"/>
    </row>
    <row r="1557" spans="1:5" ht="67.5">
      <c r="A1557" s="446">
        <v>99305</v>
      </c>
      <c r="B1557" s="447" t="s">
        <v>6505</v>
      </c>
      <c r="C1557" s="446" t="s">
        <v>34</v>
      </c>
      <c r="D1557" s="448">
        <v>10055.129999999999</v>
      </c>
      <c r="E1557" s="210"/>
    </row>
    <row r="1558" spans="1:5" ht="54">
      <c r="A1558" s="446">
        <v>99306</v>
      </c>
      <c r="B1558" s="447" t="s">
        <v>6506</v>
      </c>
      <c r="C1558" s="446" t="s">
        <v>14</v>
      </c>
      <c r="D1558" s="448">
        <v>2463.39</v>
      </c>
      <c r="E1558" s="210"/>
    </row>
    <row r="1559" spans="1:5" ht="54">
      <c r="A1559" s="446">
        <v>99307</v>
      </c>
      <c r="B1559" s="447" t="s">
        <v>6507</v>
      </c>
      <c r="C1559" s="446" t="s">
        <v>14</v>
      </c>
      <c r="D1559" s="448">
        <v>1653.27</v>
      </c>
      <c r="E1559" s="210"/>
    </row>
    <row r="1560" spans="1:5" ht="67.5">
      <c r="A1560" s="446">
        <v>99308</v>
      </c>
      <c r="B1560" s="447" t="s">
        <v>6508</v>
      </c>
      <c r="C1560" s="446" t="s">
        <v>34</v>
      </c>
      <c r="D1560" s="448">
        <v>11228.74</v>
      </c>
      <c r="E1560" s="210"/>
    </row>
    <row r="1561" spans="1:5" ht="54">
      <c r="A1561" s="446">
        <v>99309</v>
      </c>
      <c r="B1561" s="447" t="s">
        <v>6509</v>
      </c>
      <c r="C1561" s="446" t="s">
        <v>14</v>
      </c>
      <c r="D1561" s="448">
        <v>2638.37</v>
      </c>
      <c r="E1561" s="210"/>
    </row>
    <row r="1562" spans="1:5" ht="67.5">
      <c r="A1562" s="446">
        <v>99310</v>
      </c>
      <c r="B1562" s="447" t="s">
        <v>6510</v>
      </c>
      <c r="C1562" s="446" t="s">
        <v>34</v>
      </c>
      <c r="D1562" s="448">
        <v>11420.97</v>
      </c>
      <c r="E1562" s="210"/>
    </row>
    <row r="1563" spans="1:5" ht="54">
      <c r="A1563" s="446">
        <v>99311</v>
      </c>
      <c r="B1563" s="447" t="s">
        <v>6511</v>
      </c>
      <c r="C1563" s="446" t="s">
        <v>14</v>
      </c>
      <c r="D1563" s="448">
        <v>2638.37</v>
      </c>
      <c r="E1563" s="210"/>
    </row>
    <row r="1564" spans="1:5" ht="67.5">
      <c r="A1564" s="446">
        <v>99312</v>
      </c>
      <c r="B1564" s="447" t="s">
        <v>6512</v>
      </c>
      <c r="C1564" s="446" t="s">
        <v>34</v>
      </c>
      <c r="D1564" s="448">
        <v>5602.03</v>
      </c>
      <c r="E1564" s="210"/>
    </row>
    <row r="1565" spans="1:5" ht="67.5">
      <c r="A1565" s="446">
        <v>99313</v>
      </c>
      <c r="B1565" s="447" t="s">
        <v>6513</v>
      </c>
      <c r="C1565" s="446" t="s">
        <v>34</v>
      </c>
      <c r="D1565" s="448">
        <v>12751.32</v>
      </c>
      <c r="E1565" s="210"/>
    </row>
    <row r="1566" spans="1:5" ht="54">
      <c r="A1566" s="446">
        <v>99314</v>
      </c>
      <c r="B1566" s="447" t="s">
        <v>6514</v>
      </c>
      <c r="C1566" s="446" t="s">
        <v>14</v>
      </c>
      <c r="D1566" s="448">
        <v>2813.33</v>
      </c>
      <c r="E1566" s="210"/>
    </row>
    <row r="1567" spans="1:5" ht="67.5">
      <c r="A1567" s="446">
        <v>99315</v>
      </c>
      <c r="B1567" s="447" t="s">
        <v>6515</v>
      </c>
      <c r="C1567" s="446" t="s">
        <v>34</v>
      </c>
      <c r="D1567" s="448">
        <v>14271.8</v>
      </c>
      <c r="E1567" s="210"/>
    </row>
    <row r="1568" spans="1:5" ht="54">
      <c r="A1568" s="446">
        <v>99317</v>
      </c>
      <c r="B1568" s="447" t="s">
        <v>6516</v>
      </c>
      <c r="C1568" s="446" t="s">
        <v>14</v>
      </c>
      <c r="D1568" s="448">
        <v>1769.71</v>
      </c>
      <c r="E1568" s="210"/>
    </row>
    <row r="1569" spans="1:5" ht="40.5">
      <c r="A1569" s="446">
        <v>99318</v>
      </c>
      <c r="B1569" s="447" t="s">
        <v>6517</v>
      </c>
      <c r="C1569" s="446" t="s">
        <v>14</v>
      </c>
      <c r="D1569" s="448">
        <v>240.97</v>
      </c>
      <c r="E1569" s="210"/>
    </row>
    <row r="1570" spans="1:5" ht="54">
      <c r="A1570" s="446">
        <v>99319</v>
      </c>
      <c r="B1570" s="447" t="s">
        <v>6518</v>
      </c>
      <c r="C1570" s="446" t="s">
        <v>14</v>
      </c>
      <c r="D1570" s="448">
        <v>715.63</v>
      </c>
      <c r="E1570" s="210"/>
    </row>
    <row r="1571" spans="1:5" ht="67.5">
      <c r="A1571" s="446">
        <v>99320</v>
      </c>
      <c r="B1571" s="447" t="s">
        <v>6519</v>
      </c>
      <c r="C1571" s="446" t="s">
        <v>34</v>
      </c>
      <c r="D1571" s="448">
        <v>6481.95</v>
      </c>
      <c r="E1571" s="210"/>
    </row>
    <row r="1572" spans="1:5" ht="54">
      <c r="A1572" s="446">
        <v>99321</v>
      </c>
      <c r="B1572" s="447" t="s">
        <v>6520</v>
      </c>
      <c r="C1572" s="446" t="s">
        <v>14</v>
      </c>
      <c r="D1572" s="448">
        <v>1941.64</v>
      </c>
      <c r="E1572" s="210"/>
    </row>
    <row r="1573" spans="1:5" ht="67.5">
      <c r="A1573" s="446">
        <v>99322</v>
      </c>
      <c r="B1573" s="447" t="s">
        <v>6521</v>
      </c>
      <c r="C1573" s="446" t="s">
        <v>34</v>
      </c>
      <c r="D1573" s="448">
        <v>7325.55</v>
      </c>
      <c r="E1573" s="210"/>
    </row>
    <row r="1574" spans="1:5" ht="54">
      <c r="A1574" s="446">
        <v>99323</v>
      </c>
      <c r="B1574" s="447" t="s">
        <v>6522</v>
      </c>
      <c r="C1574" s="446" t="s">
        <v>14</v>
      </c>
      <c r="D1574" s="448">
        <v>2113.4699999999998</v>
      </c>
      <c r="E1574" s="210"/>
    </row>
    <row r="1575" spans="1:5" ht="67.5">
      <c r="A1575" s="446">
        <v>99324</v>
      </c>
      <c r="B1575" s="447" t="s">
        <v>6523</v>
      </c>
      <c r="C1575" s="446" t="s">
        <v>34</v>
      </c>
      <c r="D1575" s="448">
        <v>8169.21</v>
      </c>
      <c r="E1575" s="210"/>
    </row>
    <row r="1576" spans="1:5" ht="54">
      <c r="A1576" s="446">
        <v>99325</v>
      </c>
      <c r="B1576" s="447" t="s">
        <v>6524</v>
      </c>
      <c r="C1576" s="446" t="s">
        <v>14</v>
      </c>
      <c r="D1576" s="448">
        <v>2288.42</v>
      </c>
      <c r="E1576" s="210"/>
    </row>
    <row r="1577" spans="1:5" ht="67.5">
      <c r="A1577" s="446">
        <v>99326</v>
      </c>
      <c r="B1577" s="447" t="s">
        <v>6525</v>
      </c>
      <c r="C1577" s="446" t="s">
        <v>34</v>
      </c>
      <c r="D1577" s="448">
        <v>6652.58</v>
      </c>
      <c r="E1577" s="210"/>
    </row>
    <row r="1578" spans="1:5" ht="54">
      <c r="A1578" s="446">
        <v>99327</v>
      </c>
      <c r="B1578" s="447" t="s">
        <v>6526</v>
      </c>
      <c r="C1578" s="446" t="s">
        <v>14</v>
      </c>
      <c r="D1578" s="448">
        <v>2958.13</v>
      </c>
      <c r="E1578" s="210"/>
    </row>
    <row r="1579" spans="1:5" ht="54">
      <c r="A1579" s="446">
        <v>101800</v>
      </c>
      <c r="B1579" s="447" t="s">
        <v>6527</v>
      </c>
      <c r="C1579" s="446" t="s">
        <v>34</v>
      </c>
      <c r="D1579" s="448">
        <v>1295.0899999999999</v>
      </c>
      <c r="E1579" s="210"/>
    </row>
    <row r="1580" spans="1:5" ht="54">
      <c r="A1580" s="446">
        <v>101801</v>
      </c>
      <c r="B1580" s="447" t="s">
        <v>6528</v>
      </c>
      <c r="C1580" s="446" t="s">
        <v>34</v>
      </c>
      <c r="D1580" s="448">
        <v>951.78</v>
      </c>
      <c r="E1580" s="210"/>
    </row>
    <row r="1581" spans="1:5" ht="67.5">
      <c r="A1581" s="446">
        <v>101806</v>
      </c>
      <c r="B1581" s="447" t="s">
        <v>6529</v>
      </c>
      <c r="C1581" s="446" t="s">
        <v>34</v>
      </c>
      <c r="D1581" s="448">
        <v>415.62</v>
      </c>
      <c r="E1581" s="210"/>
    </row>
    <row r="1582" spans="1:5" ht="67.5">
      <c r="A1582" s="446">
        <v>101807</v>
      </c>
      <c r="B1582" s="447" t="s">
        <v>6530</v>
      </c>
      <c r="C1582" s="446" t="s">
        <v>34</v>
      </c>
      <c r="D1582" s="448">
        <v>347.63</v>
      </c>
      <c r="E1582" s="210"/>
    </row>
    <row r="1583" spans="1:5" ht="67.5">
      <c r="A1583" s="446">
        <v>101808</v>
      </c>
      <c r="B1583" s="447" t="s">
        <v>6531</v>
      </c>
      <c r="C1583" s="446" t="s">
        <v>34</v>
      </c>
      <c r="D1583" s="448">
        <v>437.08</v>
      </c>
      <c r="E1583" s="210"/>
    </row>
    <row r="1584" spans="1:5" ht="67.5">
      <c r="A1584" s="446">
        <v>101809</v>
      </c>
      <c r="B1584" s="447" t="s">
        <v>6532</v>
      </c>
      <c r="C1584" s="446" t="s">
        <v>34</v>
      </c>
      <c r="D1584" s="448">
        <v>2325.63</v>
      </c>
      <c r="E1584" s="210"/>
    </row>
    <row r="1585" spans="1:5" ht="54">
      <c r="A1585" s="446">
        <v>102139</v>
      </c>
      <c r="B1585" s="447" t="s">
        <v>6533</v>
      </c>
      <c r="C1585" s="446" t="s">
        <v>34</v>
      </c>
      <c r="D1585" s="448">
        <v>1425.79</v>
      </c>
      <c r="E1585" s="210"/>
    </row>
    <row r="1586" spans="1:5" ht="54">
      <c r="A1586" s="446">
        <v>102141</v>
      </c>
      <c r="B1586" s="447" t="s">
        <v>6534</v>
      </c>
      <c r="C1586" s="446" t="s">
        <v>34</v>
      </c>
      <c r="D1586" s="448">
        <v>2289.15</v>
      </c>
      <c r="E1586" s="210"/>
    </row>
    <row r="1587" spans="1:5" ht="54">
      <c r="A1587" s="446">
        <v>102142</v>
      </c>
      <c r="B1587" s="447" t="s">
        <v>6535</v>
      </c>
      <c r="C1587" s="446" t="s">
        <v>34</v>
      </c>
      <c r="D1587" s="448">
        <v>2260.3200000000002</v>
      </c>
      <c r="E1587" s="210"/>
    </row>
    <row r="1588" spans="1:5" ht="54">
      <c r="A1588" s="446">
        <v>102457</v>
      </c>
      <c r="B1588" s="447" t="s">
        <v>6990</v>
      </c>
      <c r="C1588" s="446" t="s">
        <v>34</v>
      </c>
      <c r="D1588" s="448">
        <v>1408.7</v>
      </c>
      <c r="E1588" s="210"/>
    </row>
    <row r="1589" spans="1:5" ht="40.5">
      <c r="A1589" s="446">
        <v>94263</v>
      </c>
      <c r="B1589" s="447" t="s">
        <v>3716</v>
      </c>
      <c r="C1589" s="446" t="s">
        <v>14</v>
      </c>
      <c r="D1589" s="448">
        <v>25.99</v>
      </c>
      <c r="E1589" s="210"/>
    </row>
    <row r="1590" spans="1:5" ht="40.5">
      <c r="A1590" s="446">
        <v>94264</v>
      </c>
      <c r="B1590" s="447" t="s">
        <v>3717</v>
      </c>
      <c r="C1590" s="446" t="s">
        <v>14</v>
      </c>
      <c r="D1590" s="448">
        <v>28.54</v>
      </c>
      <c r="E1590" s="210"/>
    </row>
    <row r="1591" spans="1:5" ht="40.5">
      <c r="A1591" s="446">
        <v>94265</v>
      </c>
      <c r="B1591" s="447" t="s">
        <v>3718</v>
      </c>
      <c r="C1591" s="446" t="s">
        <v>14</v>
      </c>
      <c r="D1591" s="448">
        <v>35.22</v>
      </c>
      <c r="E1591" s="210"/>
    </row>
    <row r="1592" spans="1:5" ht="40.5">
      <c r="A1592" s="446">
        <v>94266</v>
      </c>
      <c r="B1592" s="447" t="s">
        <v>3719</v>
      </c>
      <c r="C1592" s="446" t="s">
        <v>14</v>
      </c>
      <c r="D1592" s="448">
        <v>38.130000000000003</v>
      </c>
      <c r="E1592" s="210"/>
    </row>
    <row r="1593" spans="1:5" ht="67.5">
      <c r="A1593" s="446">
        <v>94267</v>
      </c>
      <c r="B1593" s="447" t="s">
        <v>3720</v>
      </c>
      <c r="C1593" s="446" t="s">
        <v>14</v>
      </c>
      <c r="D1593" s="448">
        <v>42.37</v>
      </c>
      <c r="E1593" s="210"/>
    </row>
    <row r="1594" spans="1:5" ht="67.5">
      <c r="A1594" s="446">
        <v>94268</v>
      </c>
      <c r="B1594" s="447" t="s">
        <v>3721</v>
      </c>
      <c r="C1594" s="446" t="s">
        <v>14</v>
      </c>
      <c r="D1594" s="448">
        <v>45.57</v>
      </c>
      <c r="E1594" s="210"/>
    </row>
    <row r="1595" spans="1:5" ht="67.5">
      <c r="A1595" s="446">
        <v>94269</v>
      </c>
      <c r="B1595" s="447" t="s">
        <v>3722</v>
      </c>
      <c r="C1595" s="446" t="s">
        <v>14</v>
      </c>
      <c r="D1595" s="448">
        <v>61.58</v>
      </c>
      <c r="E1595" s="210"/>
    </row>
    <row r="1596" spans="1:5" ht="67.5">
      <c r="A1596" s="446">
        <v>94270</v>
      </c>
      <c r="B1596" s="447" t="s">
        <v>3723</v>
      </c>
      <c r="C1596" s="446" t="s">
        <v>14</v>
      </c>
      <c r="D1596" s="448">
        <v>66.040000000000006</v>
      </c>
      <c r="E1596" s="210"/>
    </row>
    <row r="1597" spans="1:5" ht="67.5">
      <c r="A1597" s="446">
        <v>94271</v>
      </c>
      <c r="B1597" s="447" t="s">
        <v>3724</v>
      </c>
      <c r="C1597" s="446" t="s">
        <v>14</v>
      </c>
      <c r="D1597" s="448">
        <v>75.2</v>
      </c>
      <c r="E1597" s="210"/>
    </row>
    <row r="1598" spans="1:5" ht="67.5">
      <c r="A1598" s="446">
        <v>94272</v>
      </c>
      <c r="B1598" s="447" t="s">
        <v>3725</v>
      </c>
      <c r="C1598" s="446" t="s">
        <v>14</v>
      </c>
      <c r="D1598" s="448">
        <v>81.17</v>
      </c>
      <c r="E1598" s="210"/>
    </row>
    <row r="1599" spans="1:5" ht="81">
      <c r="A1599" s="446">
        <v>94273</v>
      </c>
      <c r="B1599" s="447" t="s">
        <v>2474</v>
      </c>
      <c r="C1599" s="446" t="s">
        <v>14</v>
      </c>
      <c r="D1599" s="448">
        <v>49.05</v>
      </c>
      <c r="E1599" s="210"/>
    </row>
    <row r="1600" spans="1:5" ht="81">
      <c r="A1600" s="446">
        <v>94274</v>
      </c>
      <c r="B1600" s="447" t="s">
        <v>2475</v>
      </c>
      <c r="C1600" s="446" t="s">
        <v>14</v>
      </c>
      <c r="D1600" s="448">
        <v>51.87</v>
      </c>
      <c r="E1600" s="210"/>
    </row>
    <row r="1601" spans="1:5" ht="94.5">
      <c r="A1601" s="446">
        <v>94275</v>
      </c>
      <c r="B1601" s="447" t="s">
        <v>2476</v>
      </c>
      <c r="C1601" s="446" t="s">
        <v>14</v>
      </c>
      <c r="D1601" s="448">
        <v>47.46</v>
      </c>
      <c r="E1601" s="210"/>
    </row>
    <row r="1602" spans="1:5" ht="94.5">
      <c r="A1602" s="446">
        <v>94276</v>
      </c>
      <c r="B1602" s="447" t="s">
        <v>2477</v>
      </c>
      <c r="C1602" s="446" t="s">
        <v>14</v>
      </c>
      <c r="D1602" s="448">
        <v>50.28</v>
      </c>
      <c r="E1602" s="210"/>
    </row>
    <row r="1603" spans="1:5" ht="81">
      <c r="A1603" s="446">
        <v>94277</v>
      </c>
      <c r="B1603" s="447" t="s">
        <v>7279</v>
      </c>
      <c r="C1603" s="446" t="s">
        <v>14</v>
      </c>
      <c r="D1603" s="448">
        <v>38.65</v>
      </c>
      <c r="E1603" s="210"/>
    </row>
    <row r="1604" spans="1:5" ht="81">
      <c r="A1604" s="446">
        <v>94278</v>
      </c>
      <c r="B1604" s="447" t="s">
        <v>7280</v>
      </c>
      <c r="C1604" s="446" t="s">
        <v>14</v>
      </c>
      <c r="D1604" s="448">
        <v>41.47</v>
      </c>
      <c r="E1604" s="210"/>
    </row>
    <row r="1605" spans="1:5" ht="81">
      <c r="A1605" s="446">
        <v>94279</v>
      </c>
      <c r="B1605" s="447" t="s">
        <v>7281</v>
      </c>
      <c r="C1605" s="446" t="s">
        <v>14</v>
      </c>
      <c r="D1605" s="448">
        <v>46.25</v>
      </c>
      <c r="E1605" s="210"/>
    </row>
    <row r="1606" spans="1:5" ht="81">
      <c r="A1606" s="446">
        <v>94280</v>
      </c>
      <c r="B1606" s="447" t="s">
        <v>7282</v>
      </c>
      <c r="C1606" s="446" t="s">
        <v>14</v>
      </c>
      <c r="D1606" s="448">
        <v>49.08</v>
      </c>
      <c r="E1606" s="210"/>
    </row>
    <row r="1607" spans="1:5" ht="54">
      <c r="A1607" s="446">
        <v>94281</v>
      </c>
      <c r="B1607" s="447" t="s">
        <v>2478</v>
      </c>
      <c r="C1607" s="446" t="s">
        <v>14</v>
      </c>
      <c r="D1607" s="448">
        <v>42.4</v>
      </c>
      <c r="E1607" s="210"/>
    </row>
    <row r="1608" spans="1:5" ht="54">
      <c r="A1608" s="446">
        <v>94282</v>
      </c>
      <c r="B1608" s="447" t="s">
        <v>2479</v>
      </c>
      <c r="C1608" s="446" t="s">
        <v>14</v>
      </c>
      <c r="D1608" s="448">
        <v>50.99</v>
      </c>
      <c r="E1608" s="210"/>
    </row>
    <row r="1609" spans="1:5" ht="54">
      <c r="A1609" s="446">
        <v>94283</v>
      </c>
      <c r="B1609" s="447" t="s">
        <v>2480</v>
      </c>
      <c r="C1609" s="446" t="s">
        <v>14</v>
      </c>
      <c r="D1609" s="448">
        <v>55.89</v>
      </c>
      <c r="E1609" s="210"/>
    </row>
    <row r="1610" spans="1:5" ht="54">
      <c r="A1610" s="446">
        <v>94284</v>
      </c>
      <c r="B1610" s="447" t="s">
        <v>2481</v>
      </c>
      <c r="C1610" s="446" t="s">
        <v>14</v>
      </c>
      <c r="D1610" s="448">
        <v>64.48</v>
      </c>
      <c r="E1610" s="210"/>
    </row>
    <row r="1611" spans="1:5" ht="54">
      <c r="A1611" s="446">
        <v>94285</v>
      </c>
      <c r="B1611" s="447" t="s">
        <v>2482</v>
      </c>
      <c r="C1611" s="446" t="s">
        <v>14</v>
      </c>
      <c r="D1611" s="448">
        <v>68.98</v>
      </c>
      <c r="E1611" s="210"/>
    </row>
    <row r="1612" spans="1:5" ht="54">
      <c r="A1612" s="446">
        <v>94286</v>
      </c>
      <c r="B1612" s="447" t="s">
        <v>2483</v>
      </c>
      <c r="C1612" s="446" t="s">
        <v>14</v>
      </c>
      <c r="D1612" s="448">
        <v>77.56</v>
      </c>
      <c r="E1612" s="210"/>
    </row>
    <row r="1613" spans="1:5" ht="54">
      <c r="A1613" s="446">
        <v>94287</v>
      </c>
      <c r="B1613" s="447" t="s">
        <v>2484</v>
      </c>
      <c r="C1613" s="446" t="s">
        <v>14</v>
      </c>
      <c r="D1613" s="448">
        <v>32.42</v>
      </c>
      <c r="E1613" s="210"/>
    </row>
    <row r="1614" spans="1:5" ht="54">
      <c r="A1614" s="446">
        <v>94288</v>
      </c>
      <c r="B1614" s="447" t="s">
        <v>2485</v>
      </c>
      <c r="C1614" s="446" t="s">
        <v>14</v>
      </c>
      <c r="D1614" s="448">
        <v>39.92</v>
      </c>
      <c r="E1614" s="210"/>
    </row>
    <row r="1615" spans="1:5" ht="54">
      <c r="A1615" s="446">
        <v>94289</v>
      </c>
      <c r="B1615" s="447" t="s">
        <v>2486</v>
      </c>
      <c r="C1615" s="446" t="s">
        <v>14</v>
      </c>
      <c r="D1615" s="448">
        <v>41.99</v>
      </c>
      <c r="E1615" s="210"/>
    </row>
    <row r="1616" spans="1:5" ht="54">
      <c r="A1616" s="446">
        <v>94290</v>
      </c>
      <c r="B1616" s="447" t="s">
        <v>2487</v>
      </c>
      <c r="C1616" s="446" t="s">
        <v>14</v>
      </c>
      <c r="D1616" s="448">
        <v>49.5</v>
      </c>
      <c r="E1616" s="210"/>
    </row>
    <row r="1617" spans="1:5" ht="54">
      <c r="A1617" s="446">
        <v>94291</v>
      </c>
      <c r="B1617" s="447" t="s">
        <v>2488</v>
      </c>
      <c r="C1617" s="446" t="s">
        <v>14</v>
      </c>
      <c r="D1617" s="448">
        <v>51.19</v>
      </c>
      <c r="E1617" s="210"/>
    </row>
    <row r="1618" spans="1:5" ht="54">
      <c r="A1618" s="446">
        <v>94292</v>
      </c>
      <c r="B1618" s="447" t="s">
        <v>2489</v>
      </c>
      <c r="C1618" s="446" t="s">
        <v>14</v>
      </c>
      <c r="D1618" s="448">
        <v>58.71</v>
      </c>
      <c r="E1618" s="210"/>
    </row>
    <row r="1619" spans="1:5" ht="54">
      <c r="A1619" s="446">
        <v>94293</v>
      </c>
      <c r="B1619" s="447" t="s">
        <v>522</v>
      </c>
      <c r="C1619" s="446" t="s">
        <v>14</v>
      </c>
      <c r="D1619" s="448">
        <v>139.33000000000001</v>
      </c>
      <c r="E1619" s="210"/>
    </row>
    <row r="1620" spans="1:5" ht="40.5">
      <c r="A1620" s="446">
        <v>94294</v>
      </c>
      <c r="B1620" s="447" t="s">
        <v>2490</v>
      </c>
      <c r="C1620" s="446" t="s">
        <v>14</v>
      </c>
      <c r="D1620" s="448">
        <v>6.79</v>
      </c>
      <c r="E1620" s="210"/>
    </row>
    <row r="1621" spans="1:5" ht="54">
      <c r="A1621" s="446">
        <v>102727</v>
      </c>
      <c r="B1621" s="447" t="s">
        <v>7658</v>
      </c>
      <c r="C1621" s="446" t="s">
        <v>42</v>
      </c>
      <c r="D1621" s="448">
        <v>71.66</v>
      </c>
      <c r="E1621" s="210"/>
    </row>
    <row r="1622" spans="1:5" ht="40.5">
      <c r="A1622" s="446">
        <v>102728</v>
      </c>
      <c r="B1622" s="447" t="s">
        <v>7659</v>
      </c>
      <c r="C1622" s="446" t="s">
        <v>17</v>
      </c>
      <c r="D1622" s="448">
        <v>19.34</v>
      </c>
      <c r="E1622" s="210"/>
    </row>
    <row r="1623" spans="1:5" ht="40.5">
      <c r="A1623" s="446">
        <v>102729</v>
      </c>
      <c r="B1623" s="447" t="s">
        <v>7660</v>
      </c>
      <c r="C1623" s="446" t="s">
        <v>17</v>
      </c>
      <c r="D1623" s="448">
        <v>18.97</v>
      </c>
      <c r="E1623" s="210"/>
    </row>
    <row r="1624" spans="1:5" ht="40.5">
      <c r="A1624" s="446">
        <v>102730</v>
      </c>
      <c r="B1624" s="447" t="s">
        <v>7661</v>
      </c>
      <c r="C1624" s="446" t="s">
        <v>17</v>
      </c>
      <c r="D1624" s="448">
        <v>17.350000000000001</v>
      </c>
      <c r="E1624" s="210"/>
    </row>
    <row r="1625" spans="1:5" ht="40.5">
      <c r="A1625" s="446">
        <v>102731</v>
      </c>
      <c r="B1625" s="447" t="s">
        <v>7662</v>
      </c>
      <c r="C1625" s="446" t="s">
        <v>17</v>
      </c>
      <c r="D1625" s="448">
        <v>14.82</v>
      </c>
      <c r="E1625" s="210"/>
    </row>
    <row r="1626" spans="1:5" ht="40.5">
      <c r="A1626" s="446">
        <v>102732</v>
      </c>
      <c r="B1626" s="447" t="s">
        <v>7663</v>
      </c>
      <c r="C1626" s="446" t="s">
        <v>17</v>
      </c>
      <c r="D1626" s="448">
        <v>14.41</v>
      </c>
      <c r="E1626" s="210"/>
    </row>
    <row r="1627" spans="1:5" ht="40.5">
      <c r="A1627" s="446">
        <v>102733</v>
      </c>
      <c r="B1627" s="447" t="s">
        <v>7664</v>
      </c>
      <c r="C1627" s="446" t="s">
        <v>17</v>
      </c>
      <c r="D1627" s="448">
        <v>16.559999999999999</v>
      </c>
      <c r="E1627" s="210"/>
    </row>
    <row r="1628" spans="1:5" ht="27">
      <c r="A1628" s="446">
        <v>102734</v>
      </c>
      <c r="B1628" s="447" t="s">
        <v>7665</v>
      </c>
      <c r="C1628" s="446" t="s">
        <v>17</v>
      </c>
      <c r="D1628" s="448">
        <v>18.61</v>
      </c>
      <c r="E1628" s="210"/>
    </row>
    <row r="1629" spans="1:5" ht="27">
      <c r="A1629" s="446">
        <v>102735</v>
      </c>
      <c r="B1629" s="447" t="s">
        <v>7666</v>
      </c>
      <c r="C1629" s="446" t="s">
        <v>17</v>
      </c>
      <c r="D1629" s="448">
        <v>18.36</v>
      </c>
      <c r="E1629" s="210"/>
    </row>
    <row r="1630" spans="1:5" ht="40.5">
      <c r="A1630" s="446">
        <v>102736</v>
      </c>
      <c r="B1630" s="447" t="s">
        <v>7667</v>
      </c>
      <c r="C1630" s="446" t="s">
        <v>31</v>
      </c>
      <c r="D1630" s="448">
        <v>526.92999999999995</v>
      </c>
      <c r="E1630" s="210"/>
    </row>
    <row r="1631" spans="1:5" ht="54">
      <c r="A1631" s="446">
        <v>102737</v>
      </c>
      <c r="B1631" s="447" t="s">
        <v>7668</v>
      </c>
      <c r="C1631" s="446" t="s">
        <v>34</v>
      </c>
      <c r="D1631" s="448">
        <v>1065.25</v>
      </c>
      <c r="E1631" s="210"/>
    </row>
    <row r="1632" spans="1:5" ht="54">
      <c r="A1632" s="446">
        <v>102738</v>
      </c>
      <c r="B1632" s="447" t="s">
        <v>7669</v>
      </c>
      <c r="C1632" s="446" t="s">
        <v>34</v>
      </c>
      <c r="D1632" s="448">
        <v>2224.71</v>
      </c>
      <c r="E1632" s="210"/>
    </row>
    <row r="1633" spans="1:5" ht="54">
      <c r="A1633" s="446">
        <v>102739</v>
      </c>
      <c r="B1633" s="447" t="s">
        <v>7670</v>
      </c>
      <c r="C1633" s="446" t="s">
        <v>34</v>
      </c>
      <c r="D1633" s="448">
        <v>3766.5</v>
      </c>
      <c r="E1633" s="210"/>
    </row>
    <row r="1634" spans="1:5" ht="54">
      <c r="A1634" s="446">
        <v>102740</v>
      </c>
      <c r="B1634" s="447" t="s">
        <v>7671</v>
      </c>
      <c r="C1634" s="446" t="s">
        <v>34</v>
      </c>
      <c r="D1634" s="448">
        <v>5702.08</v>
      </c>
      <c r="E1634" s="210"/>
    </row>
    <row r="1635" spans="1:5" ht="54">
      <c r="A1635" s="446">
        <v>102741</v>
      </c>
      <c r="B1635" s="447" t="s">
        <v>7672</v>
      </c>
      <c r="C1635" s="446" t="s">
        <v>34</v>
      </c>
      <c r="D1635" s="448">
        <v>8076.48</v>
      </c>
      <c r="E1635" s="210"/>
    </row>
    <row r="1636" spans="1:5" ht="54">
      <c r="A1636" s="446">
        <v>102742</v>
      </c>
      <c r="B1636" s="447" t="s">
        <v>7673</v>
      </c>
      <c r="C1636" s="446" t="s">
        <v>34</v>
      </c>
      <c r="D1636" s="448">
        <v>14113.66</v>
      </c>
      <c r="E1636" s="210"/>
    </row>
    <row r="1637" spans="1:5" ht="54">
      <c r="A1637" s="446">
        <v>102743</v>
      </c>
      <c r="B1637" s="447" t="s">
        <v>7674</v>
      </c>
      <c r="C1637" s="446" t="s">
        <v>34</v>
      </c>
      <c r="D1637" s="448">
        <v>13827.92</v>
      </c>
      <c r="E1637" s="210"/>
    </row>
    <row r="1638" spans="1:5" ht="54">
      <c r="A1638" s="446">
        <v>102744</v>
      </c>
      <c r="B1638" s="447" t="s">
        <v>7675</v>
      </c>
      <c r="C1638" s="446" t="s">
        <v>34</v>
      </c>
      <c r="D1638" s="448">
        <v>6892.06</v>
      </c>
      <c r="E1638" s="210"/>
    </row>
    <row r="1639" spans="1:5" ht="54">
      <c r="A1639" s="446">
        <v>102745</v>
      </c>
      <c r="B1639" s="447" t="s">
        <v>7676</v>
      </c>
      <c r="C1639" s="446" t="s">
        <v>34</v>
      </c>
      <c r="D1639" s="448">
        <v>9779.51</v>
      </c>
      <c r="E1639" s="210"/>
    </row>
    <row r="1640" spans="1:5" ht="54">
      <c r="A1640" s="446">
        <v>102746</v>
      </c>
      <c r="B1640" s="447" t="s">
        <v>7677</v>
      </c>
      <c r="C1640" s="446" t="s">
        <v>34</v>
      </c>
      <c r="D1640" s="448">
        <v>17118.5</v>
      </c>
      <c r="E1640" s="210"/>
    </row>
    <row r="1641" spans="1:5" ht="54">
      <c r="A1641" s="446">
        <v>102747</v>
      </c>
      <c r="B1641" s="447" t="s">
        <v>7678</v>
      </c>
      <c r="C1641" s="446" t="s">
        <v>34</v>
      </c>
      <c r="D1641" s="448">
        <v>8581.48</v>
      </c>
      <c r="E1641" s="210"/>
    </row>
    <row r="1642" spans="1:5" ht="54">
      <c r="A1642" s="446">
        <v>102748</v>
      </c>
      <c r="B1642" s="447" t="s">
        <v>7679</v>
      </c>
      <c r="C1642" s="446" t="s">
        <v>34</v>
      </c>
      <c r="D1642" s="448">
        <v>12118.34</v>
      </c>
      <c r="E1642" s="210"/>
    </row>
    <row r="1643" spans="1:5" ht="54">
      <c r="A1643" s="446">
        <v>102749</v>
      </c>
      <c r="B1643" s="447" t="s">
        <v>7680</v>
      </c>
      <c r="C1643" s="446" t="s">
        <v>34</v>
      </c>
      <c r="D1643" s="448">
        <v>21004.16</v>
      </c>
      <c r="E1643" s="210"/>
    </row>
    <row r="1644" spans="1:5" ht="54">
      <c r="A1644" s="446">
        <v>102750</v>
      </c>
      <c r="B1644" s="447" t="s">
        <v>7681</v>
      </c>
      <c r="C1644" s="446" t="s">
        <v>34</v>
      </c>
      <c r="D1644" s="448">
        <v>2732.15</v>
      </c>
      <c r="E1644" s="210"/>
    </row>
    <row r="1645" spans="1:5" ht="54">
      <c r="A1645" s="446">
        <v>102751</v>
      </c>
      <c r="B1645" s="447" t="s">
        <v>7682</v>
      </c>
      <c r="C1645" s="446" t="s">
        <v>34</v>
      </c>
      <c r="D1645" s="448">
        <v>4838</v>
      </c>
      <c r="E1645" s="210"/>
    </row>
    <row r="1646" spans="1:5" ht="54">
      <c r="A1646" s="446">
        <v>102752</v>
      </c>
      <c r="B1646" s="447" t="s">
        <v>7683</v>
      </c>
      <c r="C1646" s="446" t="s">
        <v>34</v>
      </c>
      <c r="D1646" s="448">
        <v>7813.71</v>
      </c>
      <c r="E1646" s="210"/>
    </row>
    <row r="1647" spans="1:5" ht="54">
      <c r="A1647" s="446">
        <v>102753</v>
      </c>
      <c r="B1647" s="447" t="s">
        <v>7684</v>
      </c>
      <c r="C1647" s="446" t="s">
        <v>34</v>
      </c>
      <c r="D1647" s="448">
        <v>11702.42</v>
      </c>
      <c r="E1647" s="210"/>
    </row>
    <row r="1648" spans="1:5" ht="54">
      <c r="A1648" s="446">
        <v>102754</v>
      </c>
      <c r="B1648" s="447" t="s">
        <v>7685</v>
      </c>
      <c r="C1648" s="446" t="s">
        <v>34</v>
      </c>
      <c r="D1648" s="448">
        <v>22479.47</v>
      </c>
      <c r="E1648" s="210"/>
    </row>
    <row r="1649" spans="1:5" ht="54">
      <c r="A1649" s="446">
        <v>102755</v>
      </c>
      <c r="B1649" s="447" t="s">
        <v>7686</v>
      </c>
      <c r="C1649" s="446" t="s">
        <v>34</v>
      </c>
      <c r="D1649" s="448">
        <v>10978.68</v>
      </c>
      <c r="E1649" s="210"/>
    </row>
    <row r="1650" spans="1:5" ht="54">
      <c r="A1650" s="446">
        <v>102756</v>
      </c>
      <c r="B1650" s="447" t="s">
        <v>7687</v>
      </c>
      <c r="C1650" s="446" t="s">
        <v>34</v>
      </c>
      <c r="D1650" s="448">
        <v>16494.75</v>
      </c>
      <c r="E1650" s="210"/>
    </row>
    <row r="1651" spans="1:5" ht="54">
      <c r="A1651" s="446">
        <v>102757</v>
      </c>
      <c r="B1651" s="447" t="s">
        <v>7688</v>
      </c>
      <c r="C1651" s="446" t="s">
        <v>34</v>
      </c>
      <c r="D1651" s="448">
        <v>30998.560000000001</v>
      </c>
      <c r="E1651" s="210"/>
    </row>
    <row r="1652" spans="1:5" ht="54">
      <c r="A1652" s="446">
        <v>102758</v>
      </c>
      <c r="B1652" s="447" t="s">
        <v>7689</v>
      </c>
      <c r="C1652" s="446" t="s">
        <v>34</v>
      </c>
      <c r="D1652" s="448">
        <v>14160.11</v>
      </c>
      <c r="E1652" s="210"/>
    </row>
    <row r="1653" spans="1:5" ht="54">
      <c r="A1653" s="446">
        <v>102759</v>
      </c>
      <c r="B1653" s="447" t="s">
        <v>7690</v>
      </c>
      <c r="C1653" s="446" t="s">
        <v>34</v>
      </c>
      <c r="D1653" s="448">
        <v>21312.18</v>
      </c>
      <c r="E1653" s="210"/>
    </row>
    <row r="1654" spans="1:5" ht="54">
      <c r="A1654" s="446">
        <v>102760</v>
      </c>
      <c r="B1654" s="447" t="s">
        <v>7691</v>
      </c>
      <c r="C1654" s="446" t="s">
        <v>34</v>
      </c>
      <c r="D1654" s="448">
        <v>39675.410000000003</v>
      </c>
      <c r="E1654" s="210"/>
    </row>
    <row r="1655" spans="1:5" ht="54">
      <c r="A1655" s="446">
        <v>102761</v>
      </c>
      <c r="B1655" s="447" t="s">
        <v>7692</v>
      </c>
      <c r="C1655" s="446" t="s">
        <v>34</v>
      </c>
      <c r="D1655" s="448">
        <v>12755.16</v>
      </c>
      <c r="E1655" s="210"/>
    </row>
    <row r="1656" spans="1:5" ht="54">
      <c r="A1656" s="446">
        <v>102762</v>
      </c>
      <c r="B1656" s="447" t="s">
        <v>7693</v>
      </c>
      <c r="C1656" s="446" t="s">
        <v>34</v>
      </c>
      <c r="D1656" s="448">
        <v>20107.07</v>
      </c>
      <c r="E1656" s="210"/>
    </row>
    <row r="1657" spans="1:5" ht="54">
      <c r="A1657" s="446">
        <v>102763</v>
      </c>
      <c r="B1657" s="447" t="s">
        <v>7694</v>
      </c>
      <c r="C1657" s="446" t="s">
        <v>34</v>
      </c>
      <c r="D1657" s="448">
        <v>28335.89</v>
      </c>
      <c r="E1657" s="210"/>
    </row>
    <row r="1658" spans="1:5" ht="54">
      <c r="A1658" s="446">
        <v>102764</v>
      </c>
      <c r="B1658" s="447" t="s">
        <v>7695</v>
      </c>
      <c r="C1658" s="446" t="s">
        <v>34</v>
      </c>
      <c r="D1658" s="448">
        <v>40779.629999999997</v>
      </c>
      <c r="E1658" s="210"/>
    </row>
    <row r="1659" spans="1:5" ht="54">
      <c r="A1659" s="446">
        <v>102765</v>
      </c>
      <c r="B1659" s="447" t="s">
        <v>7696</v>
      </c>
      <c r="C1659" s="446" t="s">
        <v>34</v>
      </c>
      <c r="D1659" s="448">
        <v>15739.91</v>
      </c>
      <c r="E1659" s="210"/>
    </row>
    <row r="1660" spans="1:5" ht="54">
      <c r="A1660" s="446">
        <v>102766</v>
      </c>
      <c r="B1660" s="447" t="s">
        <v>7697</v>
      </c>
      <c r="C1660" s="446" t="s">
        <v>34</v>
      </c>
      <c r="D1660" s="448">
        <v>24271.21</v>
      </c>
      <c r="E1660" s="210"/>
    </row>
    <row r="1661" spans="1:5" ht="54">
      <c r="A1661" s="446">
        <v>102767</v>
      </c>
      <c r="B1661" s="447" t="s">
        <v>7698</v>
      </c>
      <c r="C1661" s="446" t="s">
        <v>34</v>
      </c>
      <c r="D1661" s="448">
        <v>34595.339999999997</v>
      </c>
      <c r="E1661" s="210"/>
    </row>
    <row r="1662" spans="1:5" ht="54">
      <c r="A1662" s="446">
        <v>102768</v>
      </c>
      <c r="B1662" s="447" t="s">
        <v>7699</v>
      </c>
      <c r="C1662" s="446" t="s">
        <v>34</v>
      </c>
      <c r="D1662" s="448">
        <v>171005.01</v>
      </c>
      <c r="E1662" s="210"/>
    </row>
    <row r="1663" spans="1:5" ht="54">
      <c r="A1663" s="446">
        <v>102769</v>
      </c>
      <c r="B1663" s="447" t="s">
        <v>7700</v>
      </c>
      <c r="C1663" s="446" t="s">
        <v>34</v>
      </c>
      <c r="D1663" s="448">
        <v>18219.740000000002</v>
      </c>
      <c r="E1663" s="210"/>
    </row>
    <row r="1664" spans="1:5" ht="54">
      <c r="A1664" s="446">
        <v>102770</v>
      </c>
      <c r="B1664" s="447" t="s">
        <v>7701</v>
      </c>
      <c r="C1664" s="446" t="s">
        <v>34</v>
      </c>
      <c r="D1664" s="448">
        <v>28515.91</v>
      </c>
      <c r="E1664" s="210"/>
    </row>
    <row r="1665" spans="1:5" ht="54">
      <c r="A1665" s="446">
        <v>102771</v>
      </c>
      <c r="B1665" s="447" t="s">
        <v>7702</v>
      </c>
      <c r="C1665" s="446" t="s">
        <v>34</v>
      </c>
      <c r="D1665" s="448">
        <v>40617.18</v>
      </c>
      <c r="E1665" s="210"/>
    </row>
    <row r="1666" spans="1:5" ht="54">
      <c r="A1666" s="446">
        <v>102772</v>
      </c>
      <c r="B1666" s="447" t="s">
        <v>7703</v>
      </c>
      <c r="C1666" s="446" t="s">
        <v>34</v>
      </c>
      <c r="D1666" s="448">
        <v>58728.11</v>
      </c>
      <c r="E1666" s="210"/>
    </row>
    <row r="1667" spans="1:5" ht="54">
      <c r="A1667" s="446">
        <v>102773</v>
      </c>
      <c r="B1667" s="447" t="s">
        <v>7704</v>
      </c>
      <c r="C1667" s="446" t="s">
        <v>34</v>
      </c>
      <c r="D1667" s="448">
        <v>6055.6</v>
      </c>
      <c r="E1667" s="210"/>
    </row>
    <row r="1668" spans="1:5" ht="54">
      <c r="A1668" s="446">
        <v>102774</v>
      </c>
      <c r="B1668" s="447" t="s">
        <v>7705</v>
      </c>
      <c r="C1668" s="446" t="s">
        <v>34</v>
      </c>
      <c r="D1668" s="448">
        <v>6055.6</v>
      </c>
      <c r="E1668" s="210"/>
    </row>
    <row r="1669" spans="1:5" ht="54">
      <c r="A1669" s="446">
        <v>102775</v>
      </c>
      <c r="B1669" s="447" t="s">
        <v>7706</v>
      </c>
      <c r="C1669" s="446" t="s">
        <v>34</v>
      </c>
      <c r="D1669" s="448">
        <v>9037.6</v>
      </c>
      <c r="E1669" s="210"/>
    </row>
    <row r="1670" spans="1:5" ht="54">
      <c r="A1670" s="446">
        <v>102776</v>
      </c>
      <c r="B1670" s="447" t="s">
        <v>7707</v>
      </c>
      <c r="C1670" s="446" t="s">
        <v>34</v>
      </c>
      <c r="D1670" s="448">
        <v>9037.6</v>
      </c>
      <c r="E1670" s="210"/>
    </row>
    <row r="1671" spans="1:5" ht="54">
      <c r="A1671" s="446">
        <v>102777</v>
      </c>
      <c r="B1671" s="447" t="s">
        <v>7708</v>
      </c>
      <c r="C1671" s="446" t="s">
        <v>34</v>
      </c>
      <c r="D1671" s="448">
        <v>13678.02</v>
      </c>
      <c r="E1671" s="210"/>
    </row>
    <row r="1672" spans="1:5" ht="54">
      <c r="A1672" s="446">
        <v>102778</v>
      </c>
      <c r="B1672" s="447" t="s">
        <v>7709</v>
      </c>
      <c r="C1672" s="446" t="s">
        <v>34</v>
      </c>
      <c r="D1672" s="448">
        <v>20856.04</v>
      </c>
      <c r="E1672" s="210"/>
    </row>
    <row r="1673" spans="1:5" ht="54">
      <c r="A1673" s="446">
        <v>102779</v>
      </c>
      <c r="B1673" s="447" t="s">
        <v>7710</v>
      </c>
      <c r="C1673" s="446" t="s">
        <v>34</v>
      </c>
      <c r="D1673" s="448">
        <v>6055.6</v>
      </c>
      <c r="E1673" s="210"/>
    </row>
    <row r="1674" spans="1:5" ht="54">
      <c r="A1674" s="446">
        <v>102780</v>
      </c>
      <c r="B1674" s="447" t="s">
        <v>7711</v>
      </c>
      <c r="C1674" s="446" t="s">
        <v>34</v>
      </c>
      <c r="D1674" s="448">
        <v>6968.52</v>
      </c>
      <c r="E1674" s="210"/>
    </row>
    <row r="1675" spans="1:5" ht="54">
      <c r="A1675" s="446">
        <v>102781</v>
      </c>
      <c r="B1675" s="447" t="s">
        <v>7712</v>
      </c>
      <c r="C1675" s="446" t="s">
        <v>34</v>
      </c>
      <c r="D1675" s="448">
        <v>10323.27</v>
      </c>
      <c r="E1675" s="210"/>
    </row>
    <row r="1676" spans="1:5" ht="54">
      <c r="A1676" s="446">
        <v>102782</v>
      </c>
      <c r="B1676" s="447" t="s">
        <v>7713</v>
      </c>
      <c r="C1676" s="446" t="s">
        <v>34</v>
      </c>
      <c r="D1676" s="448">
        <v>11562.94</v>
      </c>
      <c r="E1676" s="210"/>
    </row>
    <row r="1677" spans="1:5" ht="54">
      <c r="A1677" s="446">
        <v>102783</v>
      </c>
      <c r="B1677" s="447" t="s">
        <v>7714</v>
      </c>
      <c r="C1677" s="446" t="s">
        <v>34</v>
      </c>
      <c r="D1677" s="448">
        <v>15290.44</v>
      </c>
      <c r="E1677" s="210"/>
    </row>
    <row r="1678" spans="1:5" ht="54">
      <c r="A1678" s="446">
        <v>102784</v>
      </c>
      <c r="B1678" s="447" t="s">
        <v>7715</v>
      </c>
      <c r="C1678" s="446" t="s">
        <v>34</v>
      </c>
      <c r="D1678" s="448">
        <v>24445.05</v>
      </c>
      <c r="E1678" s="210"/>
    </row>
    <row r="1679" spans="1:5" ht="54">
      <c r="A1679" s="446">
        <v>102785</v>
      </c>
      <c r="B1679" s="447" t="s">
        <v>7716</v>
      </c>
      <c r="C1679" s="446" t="s">
        <v>34</v>
      </c>
      <c r="D1679" s="448">
        <v>6968.52</v>
      </c>
      <c r="E1679" s="210"/>
    </row>
    <row r="1680" spans="1:5" ht="54">
      <c r="A1680" s="446">
        <v>102786</v>
      </c>
      <c r="B1680" s="447" t="s">
        <v>7717</v>
      </c>
      <c r="C1680" s="446" t="s">
        <v>34</v>
      </c>
      <c r="D1680" s="448">
        <v>7835.44</v>
      </c>
      <c r="E1680" s="210"/>
    </row>
    <row r="1681" spans="1:5" ht="54">
      <c r="A1681" s="446">
        <v>102787</v>
      </c>
      <c r="B1681" s="447" t="s">
        <v>7718</v>
      </c>
      <c r="C1681" s="446" t="s">
        <v>34</v>
      </c>
      <c r="D1681" s="448">
        <v>11562.94</v>
      </c>
      <c r="E1681" s="210"/>
    </row>
    <row r="1682" spans="1:5" ht="54">
      <c r="A1682" s="446">
        <v>102788</v>
      </c>
      <c r="B1682" s="447" t="s">
        <v>7719</v>
      </c>
      <c r="C1682" s="446" t="s">
        <v>34</v>
      </c>
      <c r="D1682" s="448">
        <v>12793.98</v>
      </c>
      <c r="E1682" s="210"/>
    </row>
    <row r="1683" spans="1:5" ht="54">
      <c r="A1683" s="446">
        <v>102789</v>
      </c>
      <c r="B1683" s="447" t="s">
        <v>7720</v>
      </c>
      <c r="C1683" s="446" t="s">
        <v>34</v>
      </c>
      <c r="D1683" s="448">
        <v>16851.11</v>
      </c>
      <c r="E1683" s="210"/>
    </row>
    <row r="1684" spans="1:5" ht="54">
      <c r="A1684" s="446">
        <v>102790</v>
      </c>
      <c r="B1684" s="447" t="s">
        <v>7721</v>
      </c>
      <c r="C1684" s="446" t="s">
        <v>34</v>
      </c>
      <c r="D1684" s="448">
        <v>28177.81</v>
      </c>
      <c r="E1684" s="210"/>
    </row>
    <row r="1685" spans="1:5" ht="54">
      <c r="A1685" s="446">
        <v>102791</v>
      </c>
      <c r="B1685" s="447" t="s">
        <v>7722</v>
      </c>
      <c r="C1685" s="446" t="s">
        <v>34</v>
      </c>
      <c r="D1685" s="448">
        <v>22271.040000000001</v>
      </c>
      <c r="E1685" s="210"/>
    </row>
    <row r="1686" spans="1:5" ht="54">
      <c r="A1686" s="446">
        <v>102792</v>
      </c>
      <c r="B1686" s="447" t="s">
        <v>7723</v>
      </c>
      <c r="C1686" s="446" t="s">
        <v>34</v>
      </c>
      <c r="D1686" s="448">
        <v>36397.81</v>
      </c>
      <c r="E1686" s="210"/>
    </row>
    <row r="1687" spans="1:5" ht="54">
      <c r="A1687" s="446">
        <v>102793</v>
      </c>
      <c r="B1687" s="447" t="s">
        <v>7724</v>
      </c>
      <c r="C1687" s="446" t="s">
        <v>34</v>
      </c>
      <c r="D1687" s="448">
        <v>49282.17</v>
      </c>
      <c r="E1687" s="210"/>
    </row>
    <row r="1688" spans="1:5" ht="54">
      <c r="A1688" s="446">
        <v>102794</v>
      </c>
      <c r="B1688" s="447" t="s">
        <v>7725</v>
      </c>
      <c r="C1688" s="446" t="s">
        <v>34</v>
      </c>
      <c r="D1688" s="448">
        <v>70720.679999999993</v>
      </c>
      <c r="E1688" s="210"/>
    </row>
    <row r="1689" spans="1:5" ht="54">
      <c r="A1689" s="446">
        <v>102795</v>
      </c>
      <c r="B1689" s="447" t="s">
        <v>7726</v>
      </c>
      <c r="C1689" s="446" t="s">
        <v>34</v>
      </c>
      <c r="D1689" s="448">
        <v>23761.55</v>
      </c>
      <c r="E1689" s="210"/>
    </row>
    <row r="1690" spans="1:5" ht="54">
      <c r="A1690" s="446">
        <v>102796</v>
      </c>
      <c r="B1690" s="447" t="s">
        <v>7727</v>
      </c>
      <c r="C1690" s="446" t="s">
        <v>34</v>
      </c>
      <c r="D1690" s="448">
        <v>38529.74</v>
      </c>
      <c r="E1690" s="210"/>
    </row>
    <row r="1691" spans="1:5" ht="54">
      <c r="A1691" s="446">
        <v>102797</v>
      </c>
      <c r="B1691" s="447" t="s">
        <v>7728</v>
      </c>
      <c r="C1691" s="446" t="s">
        <v>34</v>
      </c>
      <c r="D1691" s="448">
        <v>54750.53</v>
      </c>
      <c r="E1691" s="210"/>
    </row>
    <row r="1692" spans="1:5" ht="54">
      <c r="A1692" s="446">
        <v>102798</v>
      </c>
      <c r="B1692" s="447" t="s">
        <v>7729</v>
      </c>
      <c r="C1692" s="446" t="s">
        <v>34</v>
      </c>
      <c r="D1692" s="448">
        <v>67095.12</v>
      </c>
      <c r="E1692" s="210"/>
    </row>
    <row r="1693" spans="1:5" ht="54">
      <c r="A1693" s="446">
        <v>102799</v>
      </c>
      <c r="B1693" s="447" t="s">
        <v>7730</v>
      </c>
      <c r="C1693" s="446" t="s">
        <v>34</v>
      </c>
      <c r="D1693" s="448">
        <v>24258.55</v>
      </c>
      <c r="E1693" s="210"/>
    </row>
    <row r="1694" spans="1:5" ht="54">
      <c r="A1694" s="446">
        <v>102800</v>
      </c>
      <c r="B1694" s="447" t="s">
        <v>7731</v>
      </c>
      <c r="C1694" s="446" t="s">
        <v>34</v>
      </c>
      <c r="D1694" s="448">
        <v>42282.67</v>
      </c>
      <c r="E1694" s="210"/>
    </row>
    <row r="1695" spans="1:5" ht="54">
      <c r="A1695" s="446">
        <v>102801</v>
      </c>
      <c r="B1695" s="447" t="s">
        <v>7732</v>
      </c>
      <c r="C1695" s="446" t="s">
        <v>34</v>
      </c>
      <c r="D1695" s="448">
        <v>59381.88</v>
      </c>
      <c r="E1695" s="210"/>
    </row>
    <row r="1696" spans="1:5" ht="54">
      <c r="A1696" s="446">
        <v>102802</v>
      </c>
      <c r="B1696" s="447" t="s">
        <v>7733</v>
      </c>
      <c r="C1696" s="446" t="s">
        <v>34</v>
      </c>
      <c r="D1696" s="448">
        <v>71257.73</v>
      </c>
      <c r="E1696" s="210"/>
    </row>
    <row r="1697" spans="1:5" ht="54">
      <c r="A1697" s="446">
        <v>101570</v>
      </c>
      <c r="B1697" s="447" t="s">
        <v>4509</v>
      </c>
      <c r="C1697" s="446" t="s">
        <v>42</v>
      </c>
      <c r="D1697" s="448">
        <v>14.7</v>
      </c>
      <c r="E1697" s="210"/>
    </row>
    <row r="1698" spans="1:5" ht="54">
      <c r="A1698" s="446">
        <v>101571</v>
      </c>
      <c r="B1698" s="447" t="s">
        <v>4510</v>
      </c>
      <c r="C1698" s="446" t="s">
        <v>42</v>
      </c>
      <c r="D1698" s="448">
        <v>20.27</v>
      </c>
      <c r="E1698" s="210"/>
    </row>
    <row r="1699" spans="1:5" ht="54">
      <c r="A1699" s="446">
        <v>101572</v>
      </c>
      <c r="B1699" s="447" t="s">
        <v>4511</v>
      </c>
      <c r="C1699" s="446" t="s">
        <v>42</v>
      </c>
      <c r="D1699" s="448">
        <v>11.5</v>
      </c>
      <c r="E1699" s="210"/>
    </row>
    <row r="1700" spans="1:5" ht="54">
      <c r="A1700" s="446">
        <v>101573</v>
      </c>
      <c r="B1700" s="447" t="s">
        <v>4512</v>
      </c>
      <c r="C1700" s="446" t="s">
        <v>42</v>
      </c>
      <c r="D1700" s="448">
        <v>17.07</v>
      </c>
      <c r="E1700" s="210"/>
    </row>
    <row r="1701" spans="1:5" ht="54">
      <c r="A1701" s="446">
        <v>101574</v>
      </c>
      <c r="B1701" s="447" t="s">
        <v>4513</v>
      </c>
      <c r="C1701" s="446" t="s">
        <v>42</v>
      </c>
      <c r="D1701" s="448">
        <v>8.77</v>
      </c>
      <c r="E1701" s="210"/>
    </row>
    <row r="1702" spans="1:5" ht="54">
      <c r="A1702" s="446">
        <v>101575</v>
      </c>
      <c r="B1702" s="447" t="s">
        <v>4514</v>
      </c>
      <c r="C1702" s="446" t="s">
        <v>42</v>
      </c>
      <c r="D1702" s="448">
        <v>14.47</v>
      </c>
      <c r="E1702" s="210"/>
    </row>
    <row r="1703" spans="1:5" ht="40.5">
      <c r="A1703" s="446">
        <v>101576</v>
      </c>
      <c r="B1703" s="447" t="s">
        <v>4515</v>
      </c>
      <c r="C1703" s="446" t="s">
        <v>42</v>
      </c>
      <c r="D1703" s="448">
        <v>25.34</v>
      </c>
      <c r="E1703" s="210"/>
    </row>
    <row r="1704" spans="1:5" ht="54">
      <c r="A1704" s="446">
        <v>101577</v>
      </c>
      <c r="B1704" s="447" t="s">
        <v>4516</v>
      </c>
      <c r="C1704" s="446" t="s">
        <v>42</v>
      </c>
      <c r="D1704" s="448">
        <v>32.450000000000003</v>
      </c>
      <c r="E1704" s="210"/>
    </row>
    <row r="1705" spans="1:5" ht="40.5">
      <c r="A1705" s="446">
        <v>101578</v>
      </c>
      <c r="B1705" s="447" t="s">
        <v>4517</v>
      </c>
      <c r="C1705" s="446" t="s">
        <v>42</v>
      </c>
      <c r="D1705" s="448">
        <v>20.8</v>
      </c>
      <c r="E1705" s="210"/>
    </row>
    <row r="1706" spans="1:5" ht="54">
      <c r="A1706" s="446">
        <v>101579</v>
      </c>
      <c r="B1706" s="447" t="s">
        <v>4518</v>
      </c>
      <c r="C1706" s="446" t="s">
        <v>42</v>
      </c>
      <c r="D1706" s="448">
        <v>27.9</v>
      </c>
      <c r="E1706" s="210"/>
    </row>
    <row r="1707" spans="1:5" ht="40.5">
      <c r="A1707" s="446">
        <v>101580</v>
      </c>
      <c r="B1707" s="447" t="s">
        <v>4519</v>
      </c>
      <c r="C1707" s="446" t="s">
        <v>42</v>
      </c>
      <c r="D1707" s="448">
        <v>18.14</v>
      </c>
      <c r="E1707" s="210"/>
    </row>
    <row r="1708" spans="1:5" ht="54">
      <c r="A1708" s="446">
        <v>101581</v>
      </c>
      <c r="B1708" s="447" t="s">
        <v>4520</v>
      </c>
      <c r="C1708" s="446" t="s">
        <v>42</v>
      </c>
      <c r="D1708" s="448">
        <v>25.37</v>
      </c>
      <c r="E1708" s="210"/>
    </row>
    <row r="1709" spans="1:5" ht="40.5">
      <c r="A1709" s="446">
        <v>101582</v>
      </c>
      <c r="B1709" s="447" t="s">
        <v>4521</v>
      </c>
      <c r="C1709" s="446" t="s">
        <v>42</v>
      </c>
      <c r="D1709" s="448">
        <v>41.41</v>
      </c>
      <c r="E1709" s="210"/>
    </row>
    <row r="1710" spans="1:5" ht="54">
      <c r="A1710" s="446">
        <v>101583</v>
      </c>
      <c r="B1710" s="447" t="s">
        <v>4522</v>
      </c>
      <c r="C1710" s="446" t="s">
        <v>42</v>
      </c>
      <c r="D1710" s="448">
        <v>52.42</v>
      </c>
      <c r="E1710" s="210"/>
    </row>
    <row r="1711" spans="1:5" ht="40.5">
      <c r="A1711" s="446">
        <v>101584</v>
      </c>
      <c r="B1711" s="447" t="s">
        <v>4523</v>
      </c>
      <c r="C1711" s="446" t="s">
        <v>42</v>
      </c>
      <c r="D1711" s="448">
        <v>33.799999999999997</v>
      </c>
      <c r="E1711" s="210"/>
    </row>
    <row r="1712" spans="1:5" ht="54">
      <c r="A1712" s="446">
        <v>101585</v>
      </c>
      <c r="B1712" s="447" t="s">
        <v>4524</v>
      </c>
      <c r="C1712" s="446" t="s">
        <v>42</v>
      </c>
      <c r="D1712" s="448">
        <v>44.82</v>
      </c>
      <c r="E1712" s="210"/>
    </row>
    <row r="1713" spans="1:5" ht="40.5">
      <c r="A1713" s="446">
        <v>101586</v>
      </c>
      <c r="B1713" s="447" t="s">
        <v>4525</v>
      </c>
      <c r="C1713" s="446" t="s">
        <v>42</v>
      </c>
      <c r="D1713" s="448">
        <v>28.83</v>
      </c>
      <c r="E1713" s="210"/>
    </row>
    <row r="1714" spans="1:5" ht="54">
      <c r="A1714" s="446">
        <v>101587</v>
      </c>
      <c r="B1714" s="447" t="s">
        <v>4526</v>
      </c>
      <c r="C1714" s="446" t="s">
        <v>42</v>
      </c>
      <c r="D1714" s="448">
        <v>39.979999999999997</v>
      </c>
      <c r="E1714" s="210"/>
    </row>
    <row r="1715" spans="1:5" ht="54">
      <c r="A1715" s="446">
        <v>101588</v>
      </c>
      <c r="B1715" s="447" t="s">
        <v>4527</v>
      </c>
      <c r="C1715" s="446" t="s">
        <v>42</v>
      </c>
      <c r="D1715" s="448">
        <v>61.32</v>
      </c>
      <c r="E1715" s="210"/>
    </row>
    <row r="1716" spans="1:5" ht="54">
      <c r="A1716" s="446">
        <v>101589</v>
      </c>
      <c r="B1716" s="447" t="s">
        <v>4528</v>
      </c>
      <c r="C1716" s="446" t="s">
        <v>42</v>
      </c>
      <c r="D1716" s="448">
        <v>89.44</v>
      </c>
      <c r="E1716" s="210"/>
    </row>
    <row r="1717" spans="1:5" ht="54">
      <c r="A1717" s="446">
        <v>101590</v>
      </c>
      <c r="B1717" s="447" t="s">
        <v>4529</v>
      </c>
      <c r="C1717" s="446" t="s">
        <v>42</v>
      </c>
      <c r="D1717" s="448">
        <v>46.38</v>
      </c>
      <c r="E1717" s="210"/>
    </row>
    <row r="1718" spans="1:5" ht="54">
      <c r="A1718" s="446">
        <v>101591</v>
      </c>
      <c r="B1718" s="447" t="s">
        <v>4530</v>
      </c>
      <c r="C1718" s="446" t="s">
        <v>42</v>
      </c>
      <c r="D1718" s="448">
        <v>74.5</v>
      </c>
      <c r="E1718" s="210"/>
    </row>
    <row r="1719" spans="1:5" ht="54">
      <c r="A1719" s="446">
        <v>101592</v>
      </c>
      <c r="B1719" s="447" t="s">
        <v>4531</v>
      </c>
      <c r="C1719" s="446" t="s">
        <v>42</v>
      </c>
      <c r="D1719" s="448">
        <v>32.44</v>
      </c>
      <c r="E1719" s="210"/>
    </row>
    <row r="1720" spans="1:5" ht="54">
      <c r="A1720" s="446">
        <v>101593</v>
      </c>
      <c r="B1720" s="447" t="s">
        <v>4532</v>
      </c>
      <c r="C1720" s="446" t="s">
        <v>42</v>
      </c>
      <c r="D1720" s="448">
        <v>60.68</v>
      </c>
      <c r="E1720" s="210"/>
    </row>
    <row r="1721" spans="1:5" ht="54">
      <c r="A1721" s="446">
        <v>101600</v>
      </c>
      <c r="B1721" s="447" t="s">
        <v>4533</v>
      </c>
      <c r="C1721" s="446" t="s">
        <v>42</v>
      </c>
      <c r="D1721" s="448">
        <v>11.49</v>
      </c>
      <c r="E1721" s="210"/>
    </row>
    <row r="1722" spans="1:5" ht="67.5">
      <c r="A1722" s="446">
        <v>101601</v>
      </c>
      <c r="B1722" s="447" t="s">
        <v>4534</v>
      </c>
      <c r="C1722" s="446" t="s">
        <v>42</v>
      </c>
      <c r="D1722" s="448">
        <v>17.02</v>
      </c>
      <c r="E1722" s="210"/>
    </row>
    <row r="1723" spans="1:5" ht="54">
      <c r="A1723" s="446">
        <v>101602</v>
      </c>
      <c r="B1723" s="447" t="s">
        <v>4535</v>
      </c>
      <c r="C1723" s="446" t="s">
        <v>42</v>
      </c>
      <c r="D1723" s="448">
        <v>8.5299999999999994</v>
      </c>
      <c r="E1723" s="210"/>
    </row>
    <row r="1724" spans="1:5" ht="67.5">
      <c r="A1724" s="446">
        <v>101603</v>
      </c>
      <c r="B1724" s="447" t="s">
        <v>4536</v>
      </c>
      <c r="C1724" s="446" t="s">
        <v>42</v>
      </c>
      <c r="D1724" s="448">
        <v>14.05</v>
      </c>
      <c r="E1724" s="210"/>
    </row>
    <row r="1725" spans="1:5" ht="54">
      <c r="A1725" s="446">
        <v>101604</v>
      </c>
      <c r="B1725" s="447" t="s">
        <v>4537</v>
      </c>
      <c r="C1725" s="446" t="s">
        <v>42</v>
      </c>
      <c r="D1725" s="448">
        <v>5.57</v>
      </c>
      <c r="E1725" s="210"/>
    </row>
    <row r="1726" spans="1:5" ht="67.5">
      <c r="A1726" s="446">
        <v>101605</v>
      </c>
      <c r="B1726" s="447" t="s">
        <v>4538</v>
      </c>
      <c r="C1726" s="446" t="s">
        <v>42</v>
      </c>
      <c r="D1726" s="448">
        <v>11.09</v>
      </c>
      <c r="E1726" s="210"/>
    </row>
    <row r="1727" spans="1:5" ht="81">
      <c r="A1727" s="446">
        <v>90788</v>
      </c>
      <c r="B1727" s="447" t="s">
        <v>4539</v>
      </c>
      <c r="C1727" s="446" t="s">
        <v>34</v>
      </c>
      <c r="D1727" s="448">
        <v>706.05</v>
      </c>
      <c r="E1727" s="210"/>
    </row>
    <row r="1728" spans="1:5" ht="81">
      <c r="A1728" s="446">
        <v>90789</v>
      </c>
      <c r="B1728" s="447" t="s">
        <v>4540</v>
      </c>
      <c r="C1728" s="446" t="s">
        <v>34</v>
      </c>
      <c r="D1728" s="448">
        <v>707.29</v>
      </c>
      <c r="E1728" s="210"/>
    </row>
    <row r="1729" spans="1:5" ht="81">
      <c r="A1729" s="446">
        <v>90790</v>
      </c>
      <c r="B1729" s="447" t="s">
        <v>4541</v>
      </c>
      <c r="C1729" s="446" t="s">
        <v>34</v>
      </c>
      <c r="D1729" s="448">
        <v>729.32</v>
      </c>
      <c r="E1729" s="210"/>
    </row>
    <row r="1730" spans="1:5" ht="81">
      <c r="A1730" s="446">
        <v>90791</v>
      </c>
      <c r="B1730" s="447" t="s">
        <v>4542</v>
      </c>
      <c r="C1730" s="446" t="s">
        <v>34</v>
      </c>
      <c r="D1730" s="448">
        <v>854.15</v>
      </c>
      <c r="E1730" s="210"/>
    </row>
    <row r="1731" spans="1:5" ht="81">
      <c r="A1731" s="446">
        <v>90793</v>
      </c>
      <c r="B1731" s="447" t="s">
        <v>4543</v>
      </c>
      <c r="C1731" s="446" t="s">
        <v>34</v>
      </c>
      <c r="D1731" s="448">
        <v>904.32</v>
      </c>
      <c r="E1731" s="210"/>
    </row>
    <row r="1732" spans="1:5" ht="67.5">
      <c r="A1732" s="446">
        <v>90794</v>
      </c>
      <c r="B1732" s="447" t="s">
        <v>4544</v>
      </c>
      <c r="C1732" s="446" t="s">
        <v>34</v>
      </c>
      <c r="D1732" s="448">
        <v>598.25</v>
      </c>
      <c r="E1732" s="210"/>
    </row>
    <row r="1733" spans="1:5" ht="67.5">
      <c r="A1733" s="446">
        <v>90795</v>
      </c>
      <c r="B1733" s="447" t="s">
        <v>4545</v>
      </c>
      <c r="C1733" s="446" t="s">
        <v>34</v>
      </c>
      <c r="D1733" s="448">
        <v>603.21</v>
      </c>
      <c r="E1733" s="210"/>
    </row>
    <row r="1734" spans="1:5" ht="67.5">
      <c r="A1734" s="446">
        <v>90796</v>
      </c>
      <c r="B1734" s="447" t="s">
        <v>4546</v>
      </c>
      <c r="C1734" s="446" t="s">
        <v>34</v>
      </c>
      <c r="D1734" s="448">
        <v>608.14</v>
      </c>
      <c r="E1734" s="210"/>
    </row>
    <row r="1735" spans="1:5" ht="67.5">
      <c r="A1735" s="446">
        <v>90797</v>
      </c>
      <c r="B1735" s="447" t="s">
        <v>4547</v>
      </c>
      <c r="C1735" s="446" t="s">
        <v>34</v>
      </c>
      <c r="D1735" s="448">
        <v>613.08000000000004</v>
      </c>
      <c r="E1735" s="210"/>
    </row>
    <row r="1736" spans="1:5" ht="81">
      <c r="A1736" s="446">
        <v>90798</v>
      </c>
      <c r="B1736" s="447" t="s">
        <v>4548</v>
      </c>
      <c r="C1736" s="446" t="s">
        <v>34</v>
      </c>
      <c r="D1736" s="448">
        <v>895.58</v>
      </c>
      <c r="E1736" s="210"/>
    </row>
    <row r="1737" spans="1:5" ht="81">
      <c r="A1737" s="446">
        <v>90799</v>
      </c>
      <c r="B1737" s="447" t="s">
        <v>4549</v>
      </c>
      <c r="C1737" s="446" t="s">
        <v>34</v>
      </c>
      <c r="D1737" s="448">
        <v>923.45</v>
      </c>
      <c r="E1737" s="210"/>
    </row>
    <row r="1738" spans="1:5" ht="40.5">
      <c r="A1738" s="446">
        <v>90801</v>
      </c>
      <c r="B1738" s="447" t="s">
        <v>4550</v>
      </c>
      <c r="C1738" s="446" t="s">
        <v>34</v>
      </c>
      <c r="D1738" s="448">
        <v>183.14</v>
      </c>
      <c r="E1738" s="210"/>
    </row>
    <row r="1739" spans="1:5" ht="40.5">
      <c r="A1739" s="446">
        <v>90806</v>
      </c>
      <c r="B1739" s="447" t="s">
        <v>4551</v>
      </c>
      <c r="C1739" s="446" t="s">
        <v>34</v>
      </c>
      <c r="D1739" s="448">
        <v>249.22</v>
      </c>
      <c r="E1739" s="210"/>
    </row>
    <row r="1740" spans="1:5" ht="54">
      <c r="A1740" s="446">
        <v>90820</v>
      </c>
      <c r="B1740" s="447" t="s">
        <v>4552</v>
      </c>
      <c r="C1740" s="446" t="s">
        <v>34</v>
      </c>
      <c r="D1740" s="448">
        <v>265.43</v>
      </c>
      <c r="E1740" s="210"/>
    </row>
    <row r="1741" spans="1:5" ht="54">
      <c r="A1741" s="446">
        <v>90821</v>
      </c>
      <c r="B1741" s="447" t="s">
        <v>4553</v>
      </c>
      <c r="C1741" s="446" t="s">
        <v>34</v>
      </c>
      <c r="D1741" s="448">
        <v>270.41000000000003</v>
      </c>
      <c r="E1741" s="210"/>
    </row>
    <row r="1742" spans="1:5" ht="54">
      <c r="A1742" s="446">
        <v>90822</v>
      </c>
      <c r="B1742" s="447" t="s">
        <v>4554</v>
      </c>
      <c r="C1742" s="446" t="s">
        <v>34</v>
      </c>
      <c r="D1742" s="448">
        <v>290</v>
      </c>
      <c r="E1742" s="210"/>
    </row>
    <row r="1743" spans="1:5" ht="54">
      <c r="A1743" s="446">
        <v>90823</v>
      </c>
      <c r="B1743" s="447" t="s">
        <v>4555</v>
      </c>
      <c r="C1743" s="446" t="s">
        <v>34</v>
      </c>
      <c r="D1743" s="448">
        <v>357.72</v>
      </c>
      <c r="E1743" s="210"/>
    </row>
    <row r="1744" spans="1:5" ht="54">
      <c r="A1744" s="446">
        <v>90824</v>
      </c>
      <c r="B1744" s="447" t="s">
        <v>4556</v>
      </c>
      <c r="C1744" s="446" t="s">
        <v>34</v>
      </c>
      <c r="D1744" s="448">
        <v>513.17999999999995</v>
      </c>
      <c r="E1744" s="210"/>
    </row>
    <row r="1745" spans="1:5" ht="54">
      <c r="A1745" s="446">
        <v>90825</v>
      </c>
      <c r="B1745" s="447" t="s">
        <v>4557</v>
      </c>
      <c r="C1745" s="446" t="s">
        <v>34</v>
      </c>
      <c r="D1745" s="448">
        <v>571.92999999999995</v>
      </c>
      <c r="E1745" s="210"/>
    </row>
    <row r="1746" spans="1:5" ht="54">
      <c r="A1746" s="446">
        <v>90830</v>
      </c>
      <c r="B1746" s="447" t="s">
        <v>4558</v>
      </c>
      <c r="C1746" s="446" t="s">
        <v>34</v>
      </c>
      <c r="D1746" s="448">
        <v>138.49</v>
      </c>
      <c r="E1746" s="210"/>
    </row>
    <row r="1747" spans="1:5" ht="54">
      <c r="A1747" s="446">
        <v>90831</v>
      </c>
      <c r="B1747" s="447" t="s">
        <v>4559</v>
      </c>
      <c r="C1747" s="446" t="s">
        <v>34</v>
      </c>
      <c r="D1747" s="448">
        <v>121.87</v>
      </c>
      <c r="E1747" s="210"/>
    </row>
    <row r="1748" spans="1:5" ht="94.5">
      <c r="A1748" s="446">
        <v>90841</v>
      </c>
      <c r="B1748" s="447" t="s">
        <v>4560</v>
      </c>
      <c r="C1748" s="446" t="s">
        <v>34</v>
      </c>
      <c r="D1748" s="448">
        <v>699.78</v>
      </c>
      <c r="E1748" s="210"/>
    </row>
    <row r="1749" spans="1:5" ht="94.5">
      <c r="A1749" s="446">
        <v>90842</v>
      </c>
      <c r="B1749" s="447" t="s">
        <v>4561</v>
      </c>
      <c r="C1749" s="446" t="s">
        <v>34</v>
      </c>
      <c r="D1749" s="448">
        <v>706.08</v>
      </c>
      <c r="E1749" s="210"/>
    </row>
    <row r="1750" spans="1:5" ht="94.5">
      <c r="A1750" s="446">
        <v>90843</v>
      </c>
      <c r="B1750" s="447" t="s">
        <v>4562</v>
      </c>
      <c r="C1750" s="446" t="s">
        <v>34</v>
      </c>
      <c r="D1750" s="448">
        <v>743.61</v>
      </c>
      <c r="E1750" s="210"/>
    </row>
    <row r="1751" spans="1:5" ht="94.5">
      <c r="A1751" s="446">
        <v>90844</v>
      </c>
      <c r="B1751" s="447" t="s">
        <v>4563</v>
      </c>
      <c r="C1751" s="446" t="s">
        <v>34</v>
      </c>
      <c r="D1751" s="448">
        <v>812.64</v>
      </c>
      <c r="E1751" s="210"/>
    </row>
    <row r="1752" spans="1:5" ht="94.5">
      <c r="A1752" s="446">
        <v>90845</v>
      </c>
      <c r="B1752" s="447" t="s">
        <v>4564</v>
      </c>
      <c r="C1752" s="446" t="s">
        <v>34</v>
      </c>
      <c r="D1752" s="448">
        <v>966.79</v>
      </c>
      <c r="E1752" s="210"/>
    </row>
    <row r="1753" spans="1:5" ht="94.5">
      <c r="A1753" s="446">
        <v>90846</v>
      </c>
      <c r="B1753" s="447" t="s">
        <v>4565</v>
      </c>
      <c r="C1753" s="446" t="s">
        <v>34</v>
      </c>
      <c r="D1753" s="448">
        <v>1026.8499999999999</v>
      </c>
      <c r="E1753" s="210"/>
    </row>
    <row r="1754" spans="1:5" ht="81">
      <c r="A1754" s="446">
        <v>90847</v>
      </c>
      <c r="B1754" s="447" t="s">
        <v>4566</v>
      </c>
      <c r="C1754" s="446" t="s">
        <v>34</v>
      </c>
      <c r="D1754" s="448">
        <v>577.91</v>
      </c>
      <c r="E1754" s="210"/>
    </row>
    <row r="1755" spans="1:5" ht="81">
      <c r="A1755" s="446">
        <v>90848</v>
      </c>
      <c r="B1755" s="447" t="s">
        <v>4567</v>
      </c>
      <c r="C1755" s="446" t="s">
        <v>34</v>
      </c>
      <c r="D1755" s="448">
        <v>584.21</v>
      </c>
      <c r="E1755" s="210"/>
    </row>
    <row r="1756" spans="1:5" ht="81">
      <c r="A1756" s="446">
        <v>90849</v>
      </c>
      <c r="B1756" s="447" t="s">
        <v>4568</v>
      </c>
      <c r="C1756" s="446" t="s">
        <v>34</v>
      </c>
      <c r="D1756" s="448">
        <v>605.12</v>
      </c>
      <c r="E1756" s="210"/>
    </row>
    <row r="1757" spans="1:5" ht="81">
      <c r="A1757" s="446">
        <v>90850</v>
      </c>
      <c r="B1757" s="447" t="s">
        <v>4569</v>
      </c>
      <c r="C1757" s="446" t="s">
        <v>34</v>
      </c>
      <c r="D1757" s="448">
        <v>674.15</v>
      </c>
      <c r="E1757" s="210"/>
    </row>
    <row r="1758" spans="1:5" ht="94.5">
      <c r="A1758" s="446">
        <v>90851</v>
      </c>
      <c r="B1758" s="447" t="s">
        <v>4570</v>
      </c>
      <c r="C1758" s="446" t="s">
        <v>34</v>
      </c>
      <c r="D1758" s="448">
        <v>828.3</v>
      </c>
      <c r="E1758" s="210"/>
    </row>
    <row r="1759" spans="1:5" ht="94.5">
      <c r="A1759" s="446">
        <v>90852</v>
      </c>
      <c r="B1759" s="447" t="s">
        <v>4571</v>
      </c>
      <c r="C1759" s="446" t="s">
        <v>34</v>
      </c>
      <c r="D1759" s="448">
        <v>888.36</v>
      </c>
      <c r="E1759" s="210"/>
    </row>
    <row r="1760" spans="1:5" ht="54">
      <c r="A1760" s="446">
        <v>91009</v>
      </c>
      <c r="B1760" s="447" t="s">
        <v>4572</v>
      </c>
      <c r="C1760" s="446" t="s">
        <v>34</v>
      </c>
      <c r="D1760" s="448">
        <v>275.06</v>
      </c>
      <c r="E1760" s="210"/>
    </row>
    <row r="1761" spans="1:5" ht="54">
      <c r="A1761" s="446">
        <v>91010</v>
      </c>
      <c r="B1761" s="447" t="s">
        <v>4573</v>
      </c>
      <c r="C1761" s="446" t="s">
        <v>34</v>
      </c>
      <c r="D1761" s="448">
        <v>280.5</v>
      </c>
      <c r="E1761" s="210"/>
    </row>
    <row r="1762" spans="1:5" ht="54">
      <c r="A1762" s="446">
        <v>91011</v>
      </c>
      <c r="B1762" s="447" t="s">
        <v>4574</v>
      </c>
      <c r="C1762" s="446" t="s">
        <v>34</v>
      </c>
      <c r="D1762" s="448">
        <v>329.1</v>
      </c>
      <c r="E1762" s="210"/>
    </row>
    <row r="1763" spans="1:5" ht="54">
      <c r="A1763" s="446">
        <v>91012</v>
      </c>
      <c r="B1763" s="447" t="s">
        <v>4575</v>
      </c>
      <c r="C1763" s="446" t="s">
        <v>34</v>
      </c>
      <c r="D1763" s="448">
        <v>366.25</v>
      </c>
      <c r="E1763" s="210"/>
    </row>
    <row r="1764" spans="1:5" ht="81">
      <c r="A1764" s="446">
        <v>91013</v>
      </c>
      <c r="B1764" s="447" t="s">
        <v>4576</v>
      </c>
      <c r="C1764" s="446" t="s">
        <v>34</v>
      </c>
      <c r="D1764" s="448">
        <v>587.54</v>
      </c>
      <c r="E1764" s="210"/>
    </row>
    <row r="1765" spans="1:5" ht="81">
      <c r="A1765" s="446">
        <v>91014</v>
      </c>
      <c r="B1765" s="447" t="s">
        <v>4577</v>
      </c>
      <c r="C1765" s="446" t="s">
        <v>34</v>
      </c>
      <c r="D1765" s="448">
        <v>594.29999999999995</v>
      </c>
      <c r="E1765" s="210"/>
    </row>
    <row r="1766" spans="1:5" ht="81">
      <c r="A1766" s="446">
        <v>91015</v>
      </c>
      <c r="B1766" s="447" t="s">
        <v>4578</v>
      </c>
      <c r="C1766" s="446" t="s">
        <v>34</v>
      </c>
      <c r="D1766" s="448">
        <v>644.22</v>
      </c>
      <c r="E1766" s="210"/>
    </row>
    <row r="1767" spans="1:5" ht="81">
      <c r="A1767" s="446">
        <v>91016</v>
      </c>
      <c r="B1767" s="447" t="s">
        <v>4579</v>
      </c>
      <c r="C1767" s="446" t="s">
        <v>34</v>
      </c>
      <c r="D1767" s="448">
        <v>682.68</v>
      </c>
      <c r="E1767" s="210"/>
    </row>
    <row r="1768" spans="1:5" ht="40.5">
      <c r="A1768" s="446">
        <v>91287</v>
      </c>
      <c r="B1768" s="447" t="s">
        <v>4580</v>
      </c>
      <c r="C1768" s="446" t="s">
        <v>34</v>
      </c>
      <c r="D1768" s="448">
        <v>140.76</v>
      </c>
      <c r="E1768" s="210"/>
    </row>
    <row r="1769" spans="1:5" ht="40.5">
      <c r="A1769" s="446">
        <v>91292</v>
      </c>
      <c r="B1769" s="447" t="s">
        <v>4581</v>
      </c>
      <c r="C1769" s="446" t="s">
        <v>34</v>
      </c>
      <c r="D1769" s="448">
        <v>206.84</v>
      </c>
      <c r="E1769" s="210"/>
    </row>
    <row r="1770" spans="1:5" ht="54">
      <c r="A1770" s="446">
        <v>91295</v>
      </c>
      <c r="B1770" s="447" t="s">
        <v>4582</v>
      </c>
      <c r="C1770" s="446" t="s">
        <v>34</v>
      </c>
      <c r="D1770" s="448">
        <v>283.39999999999998</v>
      </c>
      <c r="E1770" s="210"/>
    </row>
    <row r="1771" spans="1:5" ht="54">
      <c r="A1771" s="446">
        <v>91296</v>
      </c>
      <c r="B1771" s="447" t="s">
        <v>4583</v>
      </c>
      <c r="C1771" s="446" t="s">
        <v>34</v>
      </c>
      <c r="D1771" s="448">
        <v>303.8</v>
      </c>
      <c r="E1771" s="210"/>
    </row>
    <row r="1772" spans="1:5" ht="54">
      <c r="A1772" s="446">
        <v>91297</v>
      </c>
      <c r="B1772" s="447" t="s">
        <v>4584</v>
      </c>
      <c r="C1772" s="446" t="s">
        <v>34</v>
      </c>
      <c r="D1772" s="448">
        <v>334.66</v>
      </c>
      <c r="E1772" s="210"/>
    </row>
    <row r="1773" spans="1:5" ht="54">
      <c r="A1773" s="446">
        <v>91298</v>
      </c>
      <c r="B1773" s="447" t="s">
        <v>4585</v>
      </c>
      <c r="C1773" s="446" t="s">
        <v>34</v>
      </c>
      <c r="D1773" s="448">
        <v>643.47</v>
      </c>
      <c r="E1773" s="210"/>
    </row>
    <row r="1774" spans="1:5" ht="54">
      <c r="A1774" s="446">
        <v>91299</v>
      </c>
      <c r="B1774" s="447" t="s">
        <v>4586</v>
      </c>
      <c r="C1774" s="446" t="s">
        <v>34</v>
      </c>
      <c r="D1774" s="448">
        <v>898.58</v>
      </c>
      <c r="E1774" s="210"/>
    </row>
    <row r="1775" spans="1:5" ht="54">
      <c r="A1775" s="446">
        <v>91304</v>
      </c>
      <c r="B1775" s="447" t="s">
        <v>4587</v>
      </c>
      <c r="C1775" s="446" t="s">
        <v>34</v>
      </c>
      <c r="D1775" s="448">
        <v>82.77</v>
      </c>
      <c r="E1775" s="210"/>
    </row>
    <row r="1776" spans="1:5" ht="54">
      <c r="A1776" s="446">
        <v>91305</v>
      </c>
      <c r="B1776" s="447" t="s">
        <v>4588</v>
      </c>
      <c r="C1776" s="446" t="s">
        <v>34</v>
      </c>
      <c r="D1776" s="448">
        <v>83.53</v>
      </c>
      <c r="E1776" s="210"/>
    </row>
    <row r="1777" spans="1:5" ht="54">
      <c r="A1777" s="446">
        <v>91306</v>
      </c>
      <c r="B1777" s="447" t="s">
        <v>4589</v>
      </c>
      <c r="C1777" s="446" t="s">
        <v>34</v>
      </c>
      <c r="D1777" s="448">
        <v>121.87</v>
      </c>
      <c r="E1777" s="210"/>
    </row>
    <row r="1778" spans="1:5" ht="54">
      <c r="A1778" s="446">
        <v>91307</v>
      </c>
      <c r="B1778" s="447" t="s">
        <v>4590</v>
      </c>
      <c r="C1778" s="446" t="s">
        <v>34</v>
      </c>
      <c r="D1778" s="448">
        <v>70.599999999999994</v>
      </c>
      <c r="E1778" s="210"/>
    </row>
    <row r="1779" spans="1:5" ht="94.5">
      <c r="A1779" s="446">
        <v>91312</v>
      </c>
      <c r="B1779" s="447" t="s">
        <v>4591</v>
      </c>
      <c r="C1779" s="446" t="s">
        <v>34</v>
      </c>
      <c r="D1779" s="448">
        <v>600.72</v>
      </c>
      <c r="E1779" s="210"/>
    </row>
    <row r="1780" spans="1:5" ht="94.5">
      <c r="A1780" s="446">
        <v>91313</v>
      </c>
      <c r="B1780" s="447" t="s">
        <v>4592</v>
      </c>
      <c r="C1780" s="446" t="s">
        <v>34</v>
      </c>
      <c r="D1780" s="448">
        <v>593.71</v>
      </c>
      <c r="E1780" s="210"/>
    </row>
    <row r="1781" spans="1:5" ht="94.5">
      <c r="A1781" s="446">
        <v>91314</v>
      </c>
      <c r="B1781" s="447" t="s">
        <v>4593</v>
      </c>
      <c r="C1781" s="446" t="s">
        <v>34</v>
      </c>
      <c r="D1781" s="448">
        <v>626.41</v>
      </c>
      <c r="E1781" s="210"/>
    </row>
    <row r="1782" spans="1:5" ht="94.5">
      <c r="A1782" s="446">
        <v>91315</v>
      </c>
      <c r="B1782" s="447" t="s">
        <v>4594</v>
      </c>
      <c r="C1782" s="446" t="s">
        <v>34</v>
      </c>
      <c r="D1782" s="448">
        <v>695.06</v>
      </c>
      <c r="E1782" s="210"/>
    </row>
    <row r="1783" spans="1:5" ht="94.5">
      <c r="A1783" s="446">
        <v>91316</v>
      </c>
      <c r="B1783" s="447" t="s">
        <v>4595</v>
      </c>
      <c r="C1783" s="446" t="s">
        <v>34</v>
      </c>
      <c r="D1783" s="448">
        <v>849.59</v>
      </c>
      <c r="E1783" s="210"/>
    </row>
    <row r="1784" spans="1:5" ht="94.5">
      <c r="A1784" s="446">
        <v>91317</v>
      </c>
      <c r="B1784" s="447" t="s">
        <v>4596</v>
      </c>
      <c r="C1784" s="446" t="s">
        <v>34</v>
      </c>
      <c r="D1784" s="448">
        <v>909.27</v>
      </c>
      <c r="E1784" s="210"/>
    </row>
    <row r="1785" spans="1:5" ht="81">
      <c r="A1785" s="446">
        <v>91318</v>
      </c>
      <c r="B1785" s="447" t="s">
        <v>4597</v>
      </c>
      <c r="C1785" s="446" t="s">
        <v>34</v>
      </c>
      <c r="D1785" s="448">
        <v>517.19000000000005</v>
      </c>
      <c r="E1785" s="210"/>
    </row>
    <row r="1786" spans="1:5" ht="81">
      <c r="A1786" s="446">
        <v>91319</v>
      </c>
      <c r="B1786" s="447" t="s">
        <v>4598</v>
      </c>
      <c r="C1786" s="446" t="s">
        <v>34</v>
      </c>
      <c r="D1786" s="448">
        <v>523.11</v>
      </c>
      <c r="E1786" s="210"/>
    </row>
    <row r="1787" spans="1:5" ht="81">
      <c r="A1787" s="446">
        <v>91320</v>
      </c>
      <c r="B1787" s="447" t="s">
        <v>4599</v>
      </c>
      <c r="C1787" s="446" t="s">
        <v>34</v>
      </c>
      <c r="D1787" s="448">
        <v>543.64</v>
      </c>
      <c r="E1787" s="210"/>
    </row>
    <row r="1788" spans="1:5" ht="81">
      <c r="A1788" s="446">
        <v>91321</v>
      </c>
      <c r="B1788" s="447" t="s">
        <v>4600</v>
      </c>
      <c r="C1788" s="446" t="s">
        <v>34</v>
      </c>
      <c r="D1788" s="448">
        <v>612.29</v>
      </c>
      <c r="E1788" s="210"/>
    </row>
    <row r="1789" spans="1:5" ht="94.5">
      <c r="A1789" s="446">
        <v>91322</v>
      </c>
      <c r="B1789" s="447" t="s">
        <v>4601</v>
      </c>
      <c r="C1789" s="446" t="s">
        <v>34</v>
      </c>
      <c r="D1789" s="448">
        <v>766.82</v>
      </c>
      <c r="E1789" s="210"/>
    </row>
    <row r="1790" spans="1:5" ht="94.5">
      <c r="A1790" s="446">
        <v>91323</v>
      </c>
      <c r="B1790" s="447" t="s">
        <v>4602</v>
      </c>
      <c r="C1790" s="446" t="s">
        <v>34</v>
      </c>
      <c r="D1790" s="448">
        <v>826.5</v>
      </c>
      <c r="E1790" s="210"/>
    </row>
    <row r="1791" spans="1:5" ht="81">
      <c r="A1791" s="446">
        <v>91324</v>
      </c>
      <c r="B1791" s="447" t="s">
        <v>4603</v>
      </c>
      <c r="C1791" s="446" t="s">
        <v>34</v>
      </c>
      <c r="D1791" s="448">
        <v>526.82000000000005</v>
      </c>
      <c r="E1791" s="210"/>
    </row>
    <row r="1792" spans="1:5" ht="81">
      <c r="A1792" s="446">
        <v>91325</v>
      </c>
      <c r="B1792" s="447" t="s">
        <v>4604</v>
      </c>
      <c r="C1792" s="446" t="s">
        <v>34</v>
      </c>
      <c r="D1792" s="448">
        <v>533.20000000000005</v>
      </c>
      <c r="E1792" s="210"/>
    </row>
    <row r="1793" spans="1:5" ht="81">
      <c r="A1793" s="446">
        <v>91326</v>
      </c>
      <c r="B1793" s="447" t="s">
        <v>4605</v>
      </c>
      <c r="C1793" s="446" t="s">
        <v>34</v>
      </c>
      <c r="D1793" s="448">
        <v>582.74</v>
      </c>
      <c r="E1793" s="210"/>
    </row>
    <row r="1794" spans="1:5" ht="81">
      <c r="A1794" s="446">
        <v>91327</v>
      </c>
      <c r="B1794" s="447" t="s">
        <v>4606</v>
      </c>
      <c r="C1794" s="446" t="s">
        <v>34</v>
      </c>
      <c r="D1794" s="448">
        <v>620.82000000000005</v>
      </c>
      <c r="E1794" s="210"/>
    </row>
    <row r="1795" spans="1:5" ht="81">
      <c r="A1795" s="446">
        <v>91328</v>
      </c>
      <c r="B1795" s="447" t="s">
        <v>4607</v>
      </c>
      <c r="C1795" s="446" t="s">
        <v>34</v>
      </c>
      <c r="D1795" s="448">
        <v>595.88</v>
      </c>
      <c r="E1795" s="210"/>
    </row>
    <row r="1796" spans="1:5" ht="81">
      <c r="A1796" s="446">
        <v>91329</v>
      </c>
      <c r="B1796" s="447" t="s">
        <v>4608</v>
      </c>
      <c r="C1796" s="446" t="s">
        <v>34</v>
      </c>
      <c r="D1796" s="448">
        <v>535.16</v>
      </c>
      <c r="E1796" s="210"/>
    </row>
    <row r="1797" spans="1:5" ht="81">
      <c r="A1797" s="446">
        <v>91330</v>
      </c>
      <c r="B1797" s="447" t="s">
        <v>4609</v>
      </c>
      <c r="C1797" s="446" t="s">
        <v>34</v>
      </c>
      <c r="D1797" s="448">
        <v>617.6</v>
      </c>
      <c r="E1797" s="210"/>
    </row>
    <row r="1798" spans="1:5" ht="81">
      <c r="A1798" s="446">
        <v>91331</v>
      </c>
      <c r="B1798" s="447" t="s">
        <v>4610</v>
      </c>
      <c r="C1798" s="446" t="s">
        <v>34</v>
      </c>
      <c r="D1798" s="448">
        <v>556.5</v>
      </c>
      <c r="E1798" s="210"/>
    </row>
    <row r="1799" spans="1:5" ht="81">
      <c r="A1799" s="446">
        <v>91332</v>
      </c>
      <c r="B1799" s="447" t="s">
        <v>4611</v>
      </c>
      <c r="C1799" s="446" t="s">
        <v>34</v>
      </c>
      <c r="D1799" s="448">
        <v>649.78</v>
      </c>
      <c r="E1799" s="210"/>
    </row>
    <row r="1800" spans="1:5" ht="81">
      <c r="A1800" s="446">
        <v>91333</v>
      </c>
      <c r="B1800" s="447" t="s">
        <v>4612</v>
      </c>
      <c r="C1800" s="446" t="s">
        <v>34</v>
      </c>
      <c r="D1800" s="448">
        <v>588.29999999999995</v>
      </c>
      <c r="E1800" s="210"/>
    </row>
    <row r="1801" spans="1:5" ht="81">
      <c r="A1801" s="446">
        <v>91334</v>
      </c>
      <c r="B1801" s="447" t="s">
        <v>4613</v>
      </c>
      <c r="C1801" s="446" t="s">
        <v>34</v>
      </c>
      <c r="D1801" s="448">
        <v>958.59</v>
      </c>
      <c r="E1801" s="210"/>
    </row>
    <row r="1802" spans="1:5" ht="81">
      <c r="A1802" s="446">
        <v>91335</v>
      </c>
      <c r="B1802" s="447" t="s">
        <v>4614</v>
      </c>
      <c r="C1802" s="446" t="s">
        <v>34</v>
      </c>
      <c r="D1802" s="448">
        <v>897.11</v>
      </c>
      <c r="E1802" s="210"/>
    </row>
    <row r="1803" spans="1:5" ht="81">
      <c r="A1803" s="446">
        <v>91336</v>
      </c>
      <c r="B1803" s="447" t="s">
        <v>4615</v>
      </c>
      <c r="C1803" s="446" t="s">
        <v>34</v>
      </c>
      <c r="D1803" s="448">
        <v>1213.7</v>
      </c>
      <c r="E1803" s="210"/>
    </row>
    <row r="1804" spans="1:5" ht="81">
      <c r="A1804" s="446">
        <v>91337</v>
      </c>
      <c r="B1804" s="447" t="s">
        <v>4616</v>
      </c>
      <c r="C1804" s="446" t="s">
        <v>34</v>
      </c>
      <c r="D1804" s="448">
        <v>1152.22</v>
      </c>
      <c r="E1804" s="210"/>
    </row>
    <row r="1805" spans="1:5" ht="40.5">
      <c r="A1805" s="446">
        <v>100659</v>
      </c>
      <c r="B1805" s="447" t="s">
        <v>4617</v>
      </c>
      <c r="C1805" s="446" t="s">
        <v>14</v>
      </c>
      <c r="D1805" s="448">
        <v>6.59</v>
      </c>
      <c r="E1805" s="210"/>
    </row>
    <row r="1806" spans="1:5" ht="40.5">
      <c r="A1806" s="446">
        <v>100660</v>
      </c>
      <c r="B1806" s="447" t="s">
        <v>4618</v>
      </c>
      <c r="C1806" s="446" t="s">
        <v>14</v>
      </c>
      <c r="D1806" s="448">
        <v>4.68</v>
      </c>
      <c r="E1806" s="210"/>
    </row>
    <row r="1807" spans="1:5" ht="81">
      <c r="A1807" s="446">
        <v>100675</v>
      </c>
      <c r="B1807" s="447" t="s">
        <v>4619</v>
      </c>
      <c r="C1807" s="446" t="s">
        <v>34</v>
      </c>
      <c r="D1807" s="448">
        <v>806.93</v>
      </c>
      <c r="E1807" s="210"/>
    </row>
    <row r="1808" spans="1:5" ht="40.5">
      <c r="A1808" s="446">
        <v>100676</v>
      </c>
      <c r="B1808" s="447" t="s">
        <v>4620</v>
      </c>
      <c r="C1808" s="446" t="s">
        <v>34</v>
      </c>
      <c r="D1808" s="448">
        <v>120.22</v>
      </c>
      <c r="E1808" s="210"/>
    </row>
    <row r="1809" spans="1:5" ht="94.5">
      <c r="A1809" s="446">
        <v>100678</v>
      </c>
      <c r="B1809" s="447" t="s">
        <v>4621</v>
      </c>
      <c r="C1809" s="446" t="s">
        <v>34</v>
      </c>
      <c r="D1809" s="448">
        <v>709.41</v>
      </c>
      <c r="E1809" s="210"/>
    </row>
    <row r="1810" spans="1:5" ht="94.5">
      <c r="A1810" s="446">
        <v>100679</v>
      </c>
      <c r="B1810" s="447" t="s">
        <v>4622</v>
      </c>
      <c r="C1810" s="446" t="s">
        <v>34</v>
      </c>
      <c r="D1810" s="448">
        <v>610.35</v>
      </c>
      <c r="E1810" s="210"/>
    </row>
    <row r="1811" spans="1:5" ht="94.5">
      <c r="A1811" s="446">
        <v>100680</v>
      </c>
      <c r="B1811" s="447" t="s">
        <v>4623</v>
      </c>
      <c r="C1811" s="446" t="s">
        <v>34</v>
      </c>
      <c r="D1811" s="448">
        <v>716.17</v>
      </c>
      <c r="E1811" s="210"/>
    </row>
    <row r="1812" spans="1:5" ht="94.5">
      <c r="A1812" s="446">
        <v>100681</v>
      </c>
      <c r="B1812" s="447" t="s">
        <v>4624</v>
      </c>
      <c r="C1812" s="446" t="s">
        <v>34</v>
      </c>
      <c r="D1812" s="448">
        <v>739.47</v>
      </c>
      <c r="E1812" s="210"/>
    </row>
    <row r="1813" spans="1:5" ht="94.5">
      <c r="A1813" s="446">
        <v>100682</v>
      </c>
      <c r="B1813" s="447" t="s">
        <v>4625</v>
      </c>
      <c r="C1813" s="446" t="s">
        <v>34</v>
      </c>
      <c r="D1813" s="448">
        <v>627.1</v>
      </c>
      <c r="E1813" s="210"/>
    </row>
    <row r="1814" spans="1:5" ht="94.5">
      <c r="A1814" s="446">
        <v>100683</v>
      </c>
      <c r="B1814" s="447" t="s">
        <v>4626</v>
      </c>
      <c r="C1814" s="446" t="s">
        <v>34</v>
      </c>
      <c r="D1814" s="448">
        <v>782.71</v>
      </c>
      <c r="E1814" s="210"/>
    </row>
    <row r="1815" spans="1:5" ht="94.5">
      <c r="A1815" s="446">
        <v>100684</v>
      </c>
      <c r="B1815" s="447" t="s">
        <v>4627</v>
      </c>
      <c r="C1815" s="446" t="s">
        <v>34</v>
      </c>
      <c r="D1815" s="448">
        <v>665.51</v>
      </c>
      <c r="E1815" s="210"/>
    </row>
    <row r="1816" spans="1:5" ht="94.5">
      <c r="A1816" s="446">
        <v>100685</v>
      </c>
      <c r="B1816" s="447" t="s">
        <v>4628</v>
      </c>
      <c r="C1816" s="446" t="s">
        <v>34</v>
      </c>
      <c r="D1816" s="448">
        <v>821.17</v>
      </c>
      <c r="E1816" s="210"/>
    </row>
    <row r="1817" spans="1:5" ht="94.5">
      <c r="A1817" s="446">
        <v>100686</v>
      </c>
      <c r="B1817" s="447" t="s">
        <v>4629</v>
      </c>
      <c r="C1817" s="446" t="s">
        <v>34</v>
      </c>
      <c r="D1817" s="448">
        <v>703.59</v>
      </c>
      <c r="E1817" s="210"/>
    </row>
    <row r="1818" spans="1:5" ht="94.5">
      <c r="A1818" s="446">
        <v>100687</v>
      </c>
      <c r="B1818" s="447" t="s">
        <v>4630</v>
      </c>
      <c r="C1818" s="446" t="s">
        <v>34</v>
      </c>
      <c r="D1818" s="448">
        <v>717.75</v>
      </c>
      <c r="E1818" s="210"/>
    </row>
    <row r="1819" spans="1:5" ht="94.5">
      <c r="A1819" s="446">
        <v>100688</v>
      </c>
      <c r="B1819" s="447" t="s">
        <v>4631</v>
      </c>
      <c r="C1819" s="446" t="s">
        <v>34</v>
      </c>
      <c r="D1819" s="448">
        <v>618.69000000000005</v>
      </c>
      <c r="E1819" s="210"/>
    </row>
    <row r="1820" spans="1:5" ht="94.5">
      <c r="A1820" s="446">
        <v>100689</v>
      </c>
      <c r="B1820" s="447" t="s">
        <v>4632</v>
      </c>
      <c r="C1820" s="446" t="s">
        <v>34</v>
      </c>
      <c r="D1820" s="448">
        <v>788.27</v>
      </c>
      <c r="E1820" s="210"/>
    </row>
    <row r="1821" spans="1:5" ht="94.5">
      <c r="A1821" s="446">
        <v>100690</v>
      </c>
      <c r="B1821" s="447" t="s">
        <v>4633</v>
      </c>
      <c r="C1821" s="446" t="s">
        <v>34</v>
      </c>
      <c r="D1821" s="448">
        <v>671.07</v>
      </c>
      <c r="E1821" s="210"/>
    </row>
    <row r="1822" spans="1:5" ht="81">
      <c r="A1822" s="446">
        <v>100691</v>
      </c>
      <c r="B1822" s="447" t="s">
        <v>4634</v>
      </c>
      <c r="C1822" s="446" t="s">
        <v>34</v>
      </c>
      <c r="D1822" s="448">
        <v>1097.08</v>
      </c>
      <c r="E1822" s="210"/>
    </row>
    <row r="1823" spans="1:5" ht="81">
      <c r="A1823" s="446">
        <v>100692</v>
      </c>
      <c r="B1823" s="447" t="s">
        <v>4635</v>
      </c>
      <c r="C1823" s="446" t="s">
        <v>34</v>
      </c>
      <c r="D1823" s="448">
        <v>979.88</v>
      </c>
      <c r="E1823" s="210"/>
    </row>
    <row r="1824" spans="1:5" ht="94.5">
      <c r="A1824" s="446">
        <v>100693</v>
      </c>
      <c r="B1824" s="447" t="s">
        <v>4636</v>
      </c>
      <c r="C1824" s="446" t="s">
        <v>34</v>
      </c>
      <c r="D1824" s="448">
        <v>1352.19</v>
      </c>
      <c r="E1824" s="210"/>
    </row>
    <row r="1825" spans="1:5" ht="94.5">
      <c r="A1825" s="446">
        <v>100694</v>
      </c>
      <c r="B1825" s="447" t="s">
        <v>4637</v>
      </c>
      <c r="C1825" s="446" t="s">
        <v>34</v>
      </c>
      <c r="D1825" s="448">
        <v>1234.99</v>
      </c>
      <c r="E1825" s="210"/>
    </row>
    <row r="1826" spans="1:5" ht="54">
      <c r="A1826" s="446">
        <v>100695</v>
      </c>
      <c r="B1826" s="447" t="s">
        <v>4638</v>
      </c>
      <c r="C1826" s="446" t="s">
        <v>34</v>
      </c>
      <c r="D1826" s="448">
        <v>41.91</v>
      </c>
      <c r="E1826" s="210"/>
    </row>
    <row r="1827" spans="1:5" ht="54">
      <c r="A1827" s="446">
        <v>100696</v>
      </c>
      <c r="B1827" s="447" t="s">
        <v>4639</v>
      </c>
      <c r="C1827" s="446" t="s">
        <v>34</v>
      </c>
      <c r="D1827" s="448">
        <v>46.55</v>
      </c>
      <c r="E1827" s="210"/>
    </row>
    <row r="1828" spans="1:5" ht="54">
      <c r="A1828" s="446">
        <v>100697</v>
      </c>
      <c r="B1828" s="447" t="s">
        <v>4640</v>
      </c>
      <c r="C1828" s="446" t="s">
        <v>34</v>
      </c>
      <c r="D1828" s="448">
        <v>51.21</v>
      </c>
      <c r="E1828" s="210"/>
    </row>
    <row r="1829" spans="1:5" ht="54">
      <c r="A1829" s="446">
        <v>100698</v>
      </c>
      <c r="B1829" s="447" t="s">
        <v>4641</v>
      </c>
      <c r="C1829" s="446" t="s">
        <v>34</v>
      </c>
      <c r="D1829" s="448">
        <v>55.86</v>
      </c>
      <c r="E1829" s="210"/>
    </row>
    <row r="1830" spans="1:5" ht="67.5">
      <c r="A1830" s="446">
        <v>100699</v>
      </c>
      <c r="B1830" s="447" t="s">
        <v>4642</v>
      </c>
      <c r="C1830" s="446" t="s">
        <v>34</v>
      </c>
      <c r="D1830" s="448">
        <v>66.650000000000006</v>
      </c>
      <c r="E1830" s="210"/>
    </row>
    <row r="1831" spans="1:5" ht="54">
      <c r="A1831" s="446">
        <v>100700</v>
      </c>
      <c r="B1831" s="447" t="s">
        <v>4643</v>
      </c>
      <c r="C1831" s="446" t="s">
        <v>34</v>
      </c>
      <c r="D1831" s="448">
        <v>629.09</v>
      </c>
      <c r="E1831" s="210"/>
    </row>
    <row r="1832" spans="1:5" ht="94.5">
      <c r="A1832" s="446">
        <v>100712</v>
      </c>
      <c r="B1832" s="447" t="s">
        <v>4644</v>
      </c>
      <c r="C1832" s="446" t="s">
        <v>34</v>
      </c>
      <c r="D1832" s="448">
        <v>603.79999999999995</v>
      </c>
      <c r="E1832" s="210"/>
    </row>
    <row r="1833" spans="1:5" ht="94.5">
      <c r="A1833" s="446">
        <v>100665</v>
      </c>
      <c r="B1833" s="447" t="s">
        <v>4645</v>
      </c>
      <c r="C1833" s="446" t="s">
        <v>42</v>
      </c>
      <c r="D1833" s="448">
        <v>742.31</v>
      </c>
      <c r="E1833" s="210"/>
    </row>
    <row r="1834" spans="1:5" ht="94.5">
      <c r="A1834" s="446">
        <v>100666</v>
      </c>
      <c r="B1834" s="447" t="s">
        <v>4646</v>
      </c>
      <c r="C1834" s="446" t="s">
        <v>42</v>
      </c>
      <c r="D1834" s="448">
        <v>585.32000000000005</v>
      </c>
      <c r="E1834" s="210"/>
    </row>
    <row r="1835" spans="1:5" ht="94.5">
      <c r="A1835" s="446">
        <v>100667</v>
      </c>
      <c r="B1835" s="447" t="s">
        <v>4647</v>
      </c>
      <c r="C1835" s="446" t="s">
        <v>42</v>
      </c>
      <c r="D1835" s="448">
        <v>964.25</v>
      </c>
      <c r="E1835" s="210"/>
    </row>
    <row r="1836" spans="1:5" ht="67.5">
      <c r="A1836" s="446">
        <v>100668</v>
      </c>
      <c r="B1836" s="447" t="s">
        <v>4648</v>
      </c>
      <c r="C1836" s="446" t="s">
        <v>42</v>
      </c>
      <c r="D1836" s="448">
        <v>1153.94</v>
      </c>
      <c r="E1836" s="210"/>
    </row>
    <row r="1837" spans="1:5" ht="81">
      <c r="A1837" s="446">
        <v>100669</v>
      </c>
      <c r="B1837" s="447" t="s">
        <v>4649</v>
      </c>
      <c r="C1837" s="446" t="s">
        <v>42</v>
      </c>
      <c r="D1837" s="448">
        <v>688.49</v>
      </c>
      <c r="E1837" s="210"/>
    </row>
    <row r="1838" spans="1:5" ht="94.5">
      <c r="A1838" s="446">
        <v>100670</v>
      </c>
      <c r="B1838" s="447" t="s">
        <v>4650</v>
      </c>
      <c r="C1838" s="446" t="s">
        <v>42</v>
      </c>
      <c r="D1838" s="448">
        <v>926.68</v>
      </c>
      <c r="E1838" s="210"/>
    </row>
    <row r="1839" spans="1:5" ht="94.5">
      <c r="A1839" s="446">
        <v>100671</v>
      </c>
      <c r="B1839" s="447" t="s">
        <v>4651</v>
      </c>
      <c r="C1839" s="446" t="s">
        <v>42</v>
      </c>
      <c r="D1839" s="448">
        <v>1152.28</v>
      </c>
      <c r="E1839" s="210"/>
    </row>
    <row r="1840" spans="1:5" ht="94.5">
      <c r="A1840" s="446">
        <v>100672</v>
      </c>
      <c r="B1840" s="447" t="s">
        <v>4652</v>
      </c>
      <c r="C1840" s="446" t="s">
        <v>42</v>
      </c>
      <c r="D1840" s="448">
        <v>740.67</v>
      </c>
      <c r="E1840" s="210"/>
    </row>
    <row r="1841" spans="1:5" ht="27">
      <c r="A1841" s="446">
        <v>100701</v>
      </c>
      <c r="B1841" s="447" t="s">
        <v>4653</v>
      </c>
      <c r="C1841" s="446" t="s">
        <v>42</v>
      </c>
      <c r="D1841" s="448">
        <v>557.41</v>
      </c>
      <c r="E1841" s="210"/>
    </row>
    <row r="1842" spans="1:5" ht="81">
      <c r="A1842" s="446">
        <v>94559</v>
      </c>
      <c r="B1842" s="447" t="s">
        <v>4654</v>
      </c>
      <c r="C1842" s="446" t="s">
        <v>42</v>
      </c>
      <c r="D1842" s="448">
        <v>692.95</v>
      </c>
      <c r="E1842" s="210"/>
    </row>
    <row r="1843" spans="1:5" ht="67.5">
      <c r="A1843" s="446">
        <v>94562</v>
      </c>
      <c r="B1843" s="447" t="s">
        <v>4655</v>
      </c>
      <c r="C1843" s="446" t="s">
        <v>42</v>
      </c>
      <c r="D1843" s="448">
        <v>684.8</v>
      </c>
      <c r="E1843" s="210"/>
    </row>
    <row r="1844" spans="1:5" ht="40.5">
      <c r="A1844" s="446">
        <v>94587</v>
      </c>
      <c r="B1844" s="447" t="s">
        <v>4656</v>
      </c>
      <c r="C1844" s="446" t="s">
        <v>14</v>
      </c>
      <c r="D1844" s="448">
        <v>61.18</v>
      </c>
      <c r="E1844" s="210"/>
    </row>
    <row r="1845" spans="1:5" ht="40.5">
      <c r="A1845" s="446">
        <v>94588</v>
      </c>
      <c r="B1845" s="447" t="s">
        <v>4657</v>
      </c>
      <c r="C1845" s="446" t="s">
        <v>14</v>
      </c>
      <c r="D1845" s="448">
        <v>56.61</v>
      </c>
      <c r="E1845" s="210"/>
    </row>
    <row r="1846" spans="1:5" ht="94.5">
      <c r="A1846" s="446">
        <v>99837</v>
      </c>
      <c r="B1846" s="447" t="s">
        <v>3726</v>
      </c>
      <c r="C1846" s="446" t="s">
        <v>14</v>
      </c>
      <c r="D1846" s="448">
        <v>630.05999999999995</v>
      </c>
      <c r="E1846" s="210"/>
    </row>
    <row r="1847" spans="1:5" ht="94.5">
      <c r="A1847" s="446">
        <v>99839</v>
      </c>
      <c r="B1847" s="447" t="s">
        <v>3727</v>
      </c>
      <c r="C1847" s="446" t="s">
        <v>14</v>
      </c>
      <c r="D1847" s="448">
        <v>468.89</v>
      </c>
      <c r="E1847" s="210"/>
    </row>
    <row r="1848" spans="1:5" ht="40.5">
      <c r="A1848" s="446">
        <v>99841</v>
      </c>
      <c r="B1848" s="447" t="s">
        <v>3728</v>
      </c>
      <c r="C1848" s="446" t="s">
        <v>14</v>
      </c>
      <c r="D1848" s="448">
        <v>1096.81</v>
      </c>
      <c r="E1848" s="210"/>
    </row>
    <row r="1849" spans="1:5" ht="27">
      <c r="A1849" s="446">
        <v>99855</v>
      </c>
      <c r="B1849" s="447" t="s">
        <v>3729</v>
      </c>
      <c r="C1849" s="446" t="s">
        <v>14</v>
      </c>
      <c r="D1849" s="448">
        <v>115.05</v>
      </c>
      <c r="E1849" s="210"/>
    </row>
    <row r="1850" spans="1:5" ht="27">
      <c r="A1850" s="446">
        <v>99857</v>
      </c>
      <c r="B1850" s="447" t="s">
        <v>3730</v>
      </c>
      <c r="C1850" s="446" t="s">
        <v>14</v>
      </c>
      <c r="D1850" s="448">
        <v>67.010000000000005</v>
      </c>
      <c r="E1850" s="210"/>
    </row>
    <row r="1851" spans="1:5" ht="40.5">
      <c r="A1851" s="446">
        <v>99861</v>
      </c>
      <c r="B1851" s="447" t="s">
        <v>3731</v>
      </c>
      <c r="C1851" s="446" t="s">
        <v>42</v>
      </c>
      <c r="D1851" s="448">
        <v>524.41999999999996</v>
      </c>
      <c r="E1851" s="210"/>
    </row>
    <row r="1852" spans="1:5" ht="40.5">
      <c r="A1852" s="446">
        <v>99862</v>
      </c>
      <c r="B1852" s="447" t="s">
        <v>3732</v>
      </c>
      <c r="C1852" s="446" t="s">
        <v>42</v>
      </c>
      <c r="D1852" s="448">
        <v>438.88</v>
      </c>
      <c r="E1852" s="210"/>
    </row>
    <row r="1853" spans="1:5" ht="27">
      <c r="A1853" s="446">
        <v>90838</v>
      </c>
      <c r="B1853" s="447" t="s">
        <v>4658</v>
      </c>
      <c r="C1853" s="446" t="s">
        <v>34</v>
      </c>
      <c r="D1853" s="448">
        <v>1224.68</v>
      </c>
      <c r="E1853" s="210"/>
    </row>
    <row r="1854" spans="1:5" ht="40.5">
      <c r="A1854" s="446">
        <v>91338</v>
      </c>
      <c r="B1854" s="447" t="s">
        <v>4659</v>
      </c>
      <c r="C1854" s="446" t="s">
        <v>42</v>
      </c>
      <c r="D1854" s="448">
        <v>688.64</v>
      </c>
      <c r="E1854" s="210"/>
    </row>
    <row r="1855" spans="1:5" ht="54">
      <c r="A1855" s="446">
        <v>91341</v>
      </c>
      <c r="B1855" s="447" t="s">
        <v>4660</v>
      </c>
      <c r="C1855" s="446" t="s">
        <v>42</v>
      </c>
      <c r="D1855" s="448">
        <v>519.91</v>
      </c>
      <c r="E1855" s="210"/>
    </row>
    <row r="1856" spans="1:5" ht="54">
      <c r="A1856" s="446">
        <v>94805</v>
      </c>
      <c r="B1856" s="447" t="s">
        <v>4661</v>
      </c>
      <c r="C1856" s="446" t="s">
        <v>34</v>
      </c>
      <c r="D1856" s="448">
        <v>743.54</v>
      </c>
      <c r="E1856" s="210"/>
    </row>
    <row r="1857" spans="1:5" ht="54">
      <c r="A1857" s="446">
        <v>94806</v>
      </c>
      <c r="B1857" s="447" t="s">
        <v>4662</v>
      </c>
      <c r="C1857" s="446" t="s">
        <v>34</v>
      </c>
      <c r="D1857" s="448">
        <v>574.37</v>
      </c>
      <c r="E1857" s="210"/>
    </row>
    <row r="1858" spans="1:5" ht="54">
      <c r="A1858" s="446">
        <v>94807</v>
      </c>
      <c r="B1858" s="447" t="s">
        <v>4663</v>
      </c>
      <c r="C1858" s="446" t="s">
        <v>34</v>
      </c>
      <c r="D1858" s="448">
        <v>694.58</v>
      </c>
      <c r="E1858" s="210"/>
    </row>
    <row r="1859" spans="1:5" ht="54">
      <c r="A1859" s="446">
        <v>100702</v>
      </c>
      <c r="B1859" s="447" t="s">
        <v>4664</v>
      </c>
      <c r="C1859" s="446" t="s">
        <v>42</v>
      </c>
      <c r="D1859" s="448">
        <v>397.83</v>
      </c>
      <c r="E1859" s="210"/>
    </row>
    <row r="1860" spans="1:5" ht="27">
      <c r="A1860" s="446">
        <v>102188</v>
      </c>
      <c r="B1860" s="447" t="s">
        <v>6536</v>
      </c>
      <c r="C1860" s="446" t="s">
        <v>34</v>
      </c>
      <c r="D1860" s="448">
        <v>763.07</v>
      </c>
      <c r="E1860" s="210"/>
    </row>
    <row r="1861" spans="1:5" ht="81">
      <c r="A1861" s="446">
        <v>102189</v>
      </c>
      <c r="B1861" s="447" t="s">
        <v>6537</v>
      </c>
      <c r="C1861" s="446" t="s">
        <v>34</v>
      </c>
      <c r="D1861" s="448">
        <v>193.14</v>
      </c>
      <c r="E1861" s="210"/>
    </row>
    <row r="1862" spans="1:5" ht="27">
      <c r="A1862" s="446">
        <v>100703</v>
      </c>
      <c r="B1862" s="447" t="s">
        <v>4665</v>
      </c>
      <c r="C1862" s="446" t="s">
        <v>34</v>
      </c>
      <c r="D1862" s="448">
        <v>30.34</v>
      </c>
      <c r="E1862" s="210"/>
    </row>
    <row r="1863" spans="1:5" ht="40.5">
      <c r="A1863" s="446">
        <v>100704</v>
      </c>
      <c r="B1863" s="447" t="s">
        <v>4666</v>
      </c>
      <c r="C1863" s="446" t="s">
        <v>34</v>
      </c>
      <c r="D1863" s="448">
        <v>66.569999999999993</v>
      </c>
      <c r="E1863" s="210"/>
    </row>
    <row r="1864" spans="1:5" ht="27">
      <c r="A1864" s="446">
        <v>100705</v>
      </c>
      <c r="B1864" s="447" t="s">
        <v>4667</v>
      </c>
      <c r="C1864" s="446" t="s">
        <v>34</v>
      </c>
      <c r="D1864" s="448">
        <v>72.760000000000005</v>
      </c>
      <c r="E1864" s="210"/>
    </row>
    <row r="1865" spans="1:5" ht="27">
      <c r="A1865" s="446">
        <v>100706</v>
      </c>
      <c r="B1865" s="447" t="s">
        <v>4668</v>
      </c>
      <c r="C1865" s="446" t="s">
        <v>34</v>
      </c>
      <c r="D1865" s="448">
        <v>60.12</v>
      </c>
      <c r="E1865" s="210"/>
    </row>
    <row r="1866" spans="1:5" ht="27">
      <c r="A1866" s="446">
        <v>100707</v>
      </c>
      <c r="B1866" s="447" t="s">
        <v>4669</v>
      </c>
      <c r="C1866" s="446" t="s">
        <v>34</v>
      </c>
      <c r="D1866" s="448">
        <v>140.78</v>
      </c>
      <c r="E1866" s="210"/>
    </row>
    <row r="1867" spans="1:5" ht="27">
      <c r="A1867" s="446">
        <v>100708</v>
      </c>
      <c r="B1867" s="447" t="s">
        <v>4670</v>
      </c>
      <c r="C1867" s="446" t="s">
        <v>34</v>
      </c>
      <c r="D1867" s="448">
        <v>178.36</v>
      </c>
      <c r="E1867" s="210"/>
    </row>
    <row r="1868" spans="1:5" ht="54">
      <c r="A1868" s="446">
        <v>100709</v>
      </c>
      <c r="B1868" s="447" t="s">
        <v>4671</v>
      </c>
      <c r="C1868" s="446" t="s">
        <v>34</v>
      </c>
      <c r="D1868" s="448">
        <v>34.020000000000003</v>
      </c>
      <c r="E1868" s="210"/>
    </row>
    <row r="1869" spans="1:5" ht="27">
      <c r="A1869" s="446">
        <v>100710</v>
      </c>
      <c r="B1869" s="447" t="s">
        <v>4672</v>
      </c>
      <c r="C1869" s="446" t="s">
        <v>34</v>
      </c>
      <c r="D1869" s="448">
        <v>86.64</v>
      </c>
      <c r="E1869" s="210"/>
    </row>
    <row r="1870" spans="1:5" ht="40.5">
      <c r="A1870" s="446">
        <v>102151</v>
      </c>
      <c r="B1870" s="447" t="s">
        <v>6538</v>
      </c>
      <c r="C1870" s="446" t="s">
        <v>42</v>
      </c>
      <c r="D1870" s="448">
        <v>155.21</v>
      </c>
      <c r="E1870" s="210"/>
    </row>
    <row r="1871" spans="1:5" ht="40.5">
      <c r="A1871" s="446">
        <v>102152</v>
      </c>
      <c r="B1871" s="447" t="s">
        <v>6539</v>
      </c>
      <c r="C1871" s="446" t="s">
        <v>42</v>
      </c>
      <c r="D1871" s="448">
        <v>196.89</v>
      </c>
      <c r="E1871" s="210"/>
    </row>
    <row r="1872" spans="1:5" ht="40.5">
      <c r="A1872" s="446">
        <v>102153</v>
      </c>
      <c r="B1872" s="447" t="s">
        <v>6540</v>
      </c>
      <c r="C1872" s="446" t="s">
        <v>42</v>
      </c>
      <c r="D1872" s="448">
        <v>252.47</v>
      </c>
      <c r="E1872" s="210"/>
    </row>
    <row r="1873" spans="1:5" ht="40.5">
      <c r="A1873" s="446">
        <v>102154</v>
      </c>
      <c r="B1873" s="447" t="s">
        <v>6541</v>
      </c>
      <c r="C1873" s="446" t="s">
        <v>42</v>
      </c>
      <c r="D1873" s="448">
        <v>218.79</v>
      </c>
      <c r="E1873" s="210"/>
    </row>
    <row r="1874" spans="1:5" ht="40.5">
      <c r="A1874" s="446">
        <v>102155</v>
      </c>
      <c r="B1874" s="447" t="s">
        <v>6542</v>
      </c>
      <c r="C1874" s="446" t="s">
        <v>42</v>
      </c>
      <c r="D1874" s="448">
        <v>264.24</v>
      </c>
      <c r="E1874" s="210"/>
    </row>
    <row r="1875" spans="1:5" ht="40.5">
      <c r="A1875" s="446">
        <v>102156</v>
      </c>
      <c r="B1875" s="447" t="s">
        <v>6543</v>
      </c>
      <c r="C1875" s="446" t="s">
        <v>42</v>
      </c>
      <c r="D1875" s="448">
        <v>254.83</v>
      </c>
      <c r="E1875" s="210"/>
    </row>
    <row r="1876" spans="1:5" ht="40.5">
      <c r="A1876" s="446">
        <v>102157</v>
      </c>
      <c r="B1876" s="447" t="s">
        <v>6544</v>
      </c>
      <c r="C1876" s="446" t="s">
        <v>42</v>
      </c>
      <c r="D1876" s="448">
        <v>352.09</v>
      </c>
      <c r="E1876" s="210"/>
    </row>
    <row r="1877" spans="1:5" ht="40.5">
      <c r="A1877" s="446">
        <v>102158</v>
      </c>
      <c r="B1877" s="447" t="s">
        <v>6545</v>
      </c>
      <c r="C1877" s="446" t="s">
        <v>42</v>
      </c>
      <c r="D1877" s="448">
        <v>358.4</v>
      </c>
      <c r="E1877" s="210"/>
    </row>
    <row r="1878" spans="1:5" ht="40.5">
      <c r="A1878" s="446">
        <v>102159</v>
      </c>
      <c r="B1878" s="447" t="s">
        <v>6546</v>
      </c>
      <c r="C1878" s="446" t="s">
        <v>42</v>
      </c>
      <c r="D1878" s="448">
        <v>428.93</v>
      </c>
      <c r="E1878" s="210"/>
    </row>
    <row r="1879" spans="1:5" ht="40.5">
      <c r="A1879" s="446">
        <v>102160</v>
      </c>
      <c r="B1879" s="447" t="s">
        <v>6547</v>
      </c>
      <c r="C1879" s="446" t="s">
        <v>42</v>
      </c>
      <c r="D1879" s="448">
        <v>169.1</v>
      </c>
      <c r="E1879" s="210"/>
    </row>
    <row r="1880" spans="1:5" ht="40.5">
      <c r="A1880" s="446">
        <v>102161</v>
      </c>
      <c r="B1880" s="447" t="s">
        <v>6548</v>
      </c>
      <c r="C1880" s="446" t="s">
        <v>42</v>
      </c>
      <c r="D1880" s="448">
        <v>234.77</v>
      </c>
      <c r="E1880" s="210"/>
    </row>
    <row r="1881" spans="1:5" ht="40.5">
      <c r="A1881" s="446">
        <v>102162</v>
      </c>
      <c r="B1881" s="447" t="s">
        <v>6549</v>
      </c>
      <c r="C1881" s="446" t="s">
        <v>42</v>
      </c>
      <c r="D1881" s="448">
        <v>276.45</v>
      </c>
      <c r="E1881" s="210"/>
    </row>
    <row r="1882" spans="1:5" ht="40.5">
      <c r="A1882" s="446">
        <v>102163</v>
      </c>
      <c r="B1882" s="447" t="s">
        <v>6550</v>
      </c>
      <c r="C1882" s="446" t="s">
        <v>42</v>
      </c>
      <c r="D1882" s="448">
        <v>332.03</v>
      </c>
      <c r="E1882" s="210"/>
    </row>
    <row r="1883" spans="1:5" ht="40.5">
      <c r="A1883" s="446">
        <v>102164</v>
      </c>
      <c r="B1883" s="447" t="s">
        <v>6551</v>
      </c>
      <c r="C1883" s="446" t="s">
        <v>42</v>
      </c>
      <c r="D1883" s="448">
        <v>283.73</v>
      </c>
      <c r="E1883" s="210"/>
    </row>
    <row r="1884" spans="1:5" ht="40.5">
      <c r="A1884" s="446">
        <v>102165</v>
      </c>
      <c r="B1884" s="447" t="s">
        <v>6552</v>
      </c>
      <c r="C1884" s="446" t="s">
        <v>42</v>
      </c>
      <c r="D1884" s="448">
        <v>329.18</v>
      </c>
      <c r="E1884" s="210"/>
    </row>
    <row r="1885" spans="1:5" ht="40.5">
      <c r="A1885" s="446">
        <v>102166</v>
      </c>
      <c r="B1885" s="447" t="s">
        <v>6553</v>
      </c>
      <c r="C1885" s="446" t="s">
        <v>42</v>
      </c>
      <c r="D1885" s="448">
        <v>305.11</v>
      </c>
      <c r="E1885" s="210"/>
    </row>
    <row r="1886" spans="1:5" ht="40.5">
      <c r="A1886" s="446">
        <v>102167</v>
      </c>
      <c r="B1886" s="447" t="s">
        <v>6554</v>
      </c>
      <c r="C1886" s="446" t="s">
        <v>42</v>
      </c>
      <c r="D1886" s="448">
        <v>402.37</v>
      </c>
      <c r="E1886" s="210"/>
    </row>
    <row r="1887" spans="1:5" ht="40.5">
      <c r="A1887" s="446">
        <v>102168</v>
      </c>
      <c r="B1887" s="447" t="s">
        <v>6555</v>
      </c>
      <c r="C1887" s="446" t="s">
        <v>42</v>
      </c>
      <c r="D1887" s="448">
        <v>395.67</v>
      </c>
      <c r="E1887" s="210"/>
    </row>
    <row r="1888" spans="1:5" ht="40.5">
      <c r="A1888" s="446">
        <v>102169</v>
      </c>
      <c r="B1888" s="447" t="s">
        <v>6556</v>
      </c>
      <c r="C1888" s="446" t="s">
        <v>42</v>
      </c>
      <c r="D1888" s="448">
        <v>461.37</v>
      </c>
      <c r="E1888" s="210"/>
    </row>
    <row r="1889" spans="1:6" ht="40.5">
      <c r="A1889" s="446">
        <v>102170</v>
      </c>
      <c r="B1889" s="447" t="s">
        <v>6557</v>
      </c>
      <c r="C1889" s="446" t="s">
        <v>42</v>
      </c>
      <c r="D1889" s="448">
        <v>248.66</v>
      </c>
      <c r="E1889" s="210"/>
    </row>
    <row r="1890" spans="1:6" ht="40.5">
      <c r="A1890" s="446">
        <v>102171</v>
      </c>
      <c r="B1890" s="447" t="s">
        <v>6558</v>
      </c>
      <c r="C1890" s="446" t="s">
        <v>42</v>
      </c>
      <c r="D1890" s="448">
        <v>506.04</v>
      </c>
      <c r="E1890" s="210"/>
    </row>
    <row r="1891" spans="1:6" ht="40.5">
      <c r="A1891" s="446">
        <v>102172</v>
      </c>
      <c r="B1891" s="447" t="s">
        <v>6559</v>
      </c>
      <c r="C1891" s="446" t="s">
        <v>42</v>
      </c>
      <c r="D1891" s="448">
        <v>499.63</v>
      </c>
      <c r="E1891" s="210"/>
    </row>
    <row r="1892" spans="1:6" ht="40.5">
      <c r="A1892" s="446">
        <v>102176</v>
      </c>
      <c r="B1892" s="447" t="s">
        <v>6560</v>
      </c>
      <c r="C1892" s="446" t="s">
        <v>42</v>
      </c>
      <c r="D1892" s="448">
        <v>928.76</v>
      </c>
      <c r="E1892" s="210"/>
    </row>
    <row r="1893" spans="1:6" ht="40.5">
      <c r="A1893" s="446">
        <v>102177</v>
      </c>
      <c r="B1893" s="447" t="s">
        <v>6561</v>
      </c>
      <c r="C1893" s="446" t="s">
        <v>42</v>
      </c>
      <c r="D1893" s="448">
        <v>1922.04</v>
      </c>
      <c r="E1893" s="210"/>
    </row>
    <row r="1894" spans="1:6" ht="40.5">
      <c r="A1894" s="446">
        <v>102178</v>
      </c>
      <c r="B1894" s="447" t="s">
        <v>6562</v>
      </c>
      <c r="C1894" s="446" t="s">
        <v>42</v>
      </c>
      <c r="D1894" s="448">
        <v>2216.2800000000002</v>
      </c>
      <c r="E1894" s="210"/>
      <c r="F1894" s="402"/>
    </row>
    <row r="1895" spans="1:6" ht="27">
      <c r="A1895" s="446">
        <v>102179</v>
      </c>
      <c r="B1895" s="447" t="s">
        <v>6563</v>
      </c>
      <c r="C1895" s="446" t="s">
        <v>42</v>
      </c>
      <c r="D1895" s="448">
        <v>316.06</v>
      </c>
      <c r="E1895" s="210"/>
    </row>
    <row r="1896" spans="1:6" ht="27">
      <c r="A1896" s="446">
        <v>102180</v>
      </c>
      <c r="B1896" s="447" t="s">
        <v>6564</v>
      </c>
      <c r="C1896" s="446" t="s">
        <v>42</v>
      </c>
      <c r="D1896" s="448">
        <v>371.67</v>
      </c>
      <c r="E1896" s="210"/>
    </row>
    <row r="1897" spans="1:6" ht="27">
      <c r="A1897" s="446">
        <v>102181</v>
      </c>
      <c r="B1897" s="447" t="s">
        <v>6565</v>
      </c>
      <c r="C1897" s="446" t="s">
        <v>42</v>
      </c>
      <c r="D1897" s="448">
        <v>446.47</v>
      </c>
      <c r="E1897" s="210"/>
    </row>
    <row r="1898" spans="1:6" ht="40.5">
      <c r="A1898" s="446">
        <v>102182</v>
      </c>
      <c r="B1898" s="447" t="s">
        <v>6566</v>
      </c>
      <c r="C1898" s="446" t="s">
        <v>34</v>
      </c>
      <c r="D1898" s="448">
        <v>927.18</v>
      </c>
      <c r="E1898" s="210"/>
    </row>
    <row r="1899" spans="1:6" ht="40.5">
      <c r="A1899" s="446">
        <v>102183</v>
      </c>
      <c r="B1899" s="447" t="s">
        <v>6567</v>
      </c>
      <c r="C1899" s="446" t="s">
        <v>34</v>
      </c>
      <c r="D1899" s="448">
        <v>1862.37</v>
      </c>
      <c r="E1899" s="210"/>
    </row>
    <row r="1900" spans="1:6" ht="40.5">
      <c r="A1900" s="446">
        <v>102184</v>
      </c>
      <c r="B1900" s="447" t="s">
        <v>6568</v>
      </c>
      <c r="C1900" s="446" t="s">
        <v>34</v>
      </c>
      <c r="D1900" s="448">
        <v>1675.4</v>
      </c>
      <c r="E1900" s="210"/>
    </row>
    <row r="1901" spans="1:6" ht="54">
      <c r="A1901" s="446">
        <v>102185</v>
      </c>
      <c r="B1901" s="447" t="s">
        <v>6569</v>
      </c>
      <c r="C1901" s="446" t="s">
        <v>34</v>
      </c>
      <c r="D1901" s="448">
        <v>3358.57</v>
      </c>
      <c r="E1901" s="210"/>
    </row>
    <row r="1902" spans="1:6" ht="40.5">
      <c r="A1902" s="446">
        <v>102190</v>
      </c>
      <c r="B1902" s="447" t="s">
        <v>6570</v>
      </c>
      <c r="C1902" s="446" t="s">
        <v>42</v>
      </c>
      <c r="D1902" s="448">
        <v>12.28</v>
      </c>
      <c r="E1902" s="210"/>
    </row>
    <row r="1903" spans="1:6" ht="40.5">
      <c r="A1903" s="446">
        <v>102191</v>
      </c>
      <c r="B1903" s="447" t="s">
        <v>6571</v>
      </c>
      <c r="C1903" s="446" t="s">
        <v>42</v>
      </c>
      <c r="D1903" s="448">
        <v>14.92</v>
      </c>
      <c r="E1903" s="210"/>
    </row>
    <row r="1904" spans="1:6" ht="27">
      <c r="A1904" s="446">
        <v>102192</v>
      </c>
      <c r="B1904" s="447" t="s">
        <v>6572</v>
      </c>
      <c r="C1904" s="446" t="s">
        <v>42</v>
      </c>
      <c r="D1904" s="448">
        <v>10.64</v>
      </c>
      <c r="E1904" s="210"/>
    </row>
    <row r="1905" spans="1:5" ht="54">
      <c r="A1905" s="446">
        <v>94569</v>
      </c>
      <c r="B1905" s="447" t="s">
        <v>4673</v>
      </c>
      <c r="C1905" s="446" t="s">
        <v>42</v>
      </c>
      <c r="D1905" s="448">
        <v>789.93</v>
      </c>
      <c r="E1905" s="210"/>
    </row>
    <row r="1906" spans="1:5" ht="81">
      <c r="A1906" s="446">
        <v>94570</v>
      </c>
      <c r="B1906" s="447" t="s">
        <v>4674</v>
      </c>
      <c r="C1906" s="446" t="s">
        <v>42</v>
      </c>
      <c r="D1906" s="448">
        <v>518.35</v>
      </c>
      <c r="E1906" s="210"/>
    </row>
    <row r="1907" spans="1:5" ht="81">
      <c r="A1907" s="446">
        <v>94572</v>
      </c>
      <c r="B1907" s="447" t="s">
        <v>4675</v>
      </c>
      <c r="C1907" s="446" t="s">
        <v>42</v>
      </c>
      <c r="D1907" s="448">
        <v>745.63</v>
      </c>
      <c r="E1907" s="210"/>
    </row>
    <row r="1908" spans="1:5" ht="81">
      <c r="A1908" s="446">
        <v>94573</v>
      </c>
      <c r="B1908" s="447" t="s">
        <v>4676</v>
      </c>
      <c r="C1908" s="446" t="s">
        <v>42</v>
      </c>
      <c r="D1908" s="448">
        <v>562.99</v>
      </c>
      <c r="E1908" s="210"/>
    </row>
    <row r="1909" spans="1:5" ht="94.5">
      <c r="A1909" s="446">
        <v>94580</v>
      </c>
      <c r="B1909" s="447" t="s">
        <v>4677</v>
      </c>
      <c r="C1909" s="446" t="s">
        <v>42</v>
      </c>
      <c r="D1909" s="448">
        <v>837.86</v>
      </c>
      <c r="E1909" s="210"/>
    </row>
    <row r="1910" spans="1:5" ht="54">
      <c r="A1910" s="446">
        <v>100674</v>
      </c>
      <c r="B1910" s="447" t="s">
        <v>4678</v>
      </c>
      <c r="C1910" s="446" t="s">
        <v>42</v>
      </c>
      <c r="D1910" s="448">
        <v>540.96</v>
      </c>
      <c r="E1910" s="210"/>
    </row>
    <row r="1911" spans="1:5" ht="54">
      <c r="A1911" s="446">
        <v>101096</v>
      </c>
      <c r="B1911" s="447" t="s">
        <v>4679</v>
      </c>
      <c r="C1911" s="446" t="s">
        <v>31</v>
      </c>
      <c r="D1911" s="448">
        <v>1016.61</v>
      </c>
      <c r="E1911" s="210"/>
    </row>
    <row r="1912" spans="1:5" ht="54">
      <c r="A1912" s="446">
        <v>101097</v>
      </c>
      <c r="B1912" s="447" t="s">
        <v>4680</v>
      </c>
      <c r="C1912" s="446" t="s">
        <v>31</v>
      </c>
      <c r="D1912" s="448">
        <v>978.37</v>
      </c>
      <c r="E1912" s="210"/>
    </row>
    <row r="1913" spans="1:5" ht="54">
      <c r="A1913" s="446">
        <v>101098</v>
      </c>
      <c r="B1913" s="447" t="s">
        <v>4681</v>
      </c>
      <c r="C1913" s="446" t="s">
        <v>31</v>
      </c>
      <c r="D1913" s="448">
        <v>937.64</v>
      </c>
      <c r="E1913" s="210"/>
    </row>
    <row r="1914" spans="1:5" ht="54">
      <c r="A1914" s="446">
        <v>101099</v>
      </c>
      <c r="B1914" s="447" t="s">
        <v>4682</v>
      </c>
      <c r="C1914" s="446" t="s">
        <v>31</v>
      </c>
      <c r="D1914" s="448">
        <v>859.95</v>
      </c>
      <c r="E1914" s="210"/>
    </row>
    <row r="1915" spans="1:5" ht="54">
      <c r="A1915" s="446">
        <v>101100</v>
      </c>
      <c r="B1915" s="447" t="s">
        <v>4683</v>
      </c>
      <c r="C1915" s="446" t="s">
        <v>31</v>
      </c>
      <c r="D1915" s="448">
        <v>825.01</v>
      </c>
      <c r="E1915" s="210"/>
    </row>
    <row r="1916" spans="1:5" ht="54">
      <c r="A1916" s="446">
        <v>101101</v>
      </c>
      <c r="B1916" s="447" t="s">
        <v>4684</v>
      </c>
      <c r="C1916" s="446" t="s">
        <v>31</v>
      </c>
      <c r="D1916" s="448">
        <v>813.35</v>
      </c>
      <c r="E1916" s="210"/>
    </row>
    <row r="1917" spans="1:5" ht="54">
      <c r="A1917" s="446">
        <v>101102</v>
      </c>
      <c r="B1917" s="447" t="s">
        <v>4685</v>
      </c>
      <c r="C1917" s="446" t="s">
        <v>31</v>
      </c>
      <c r="D1917" s="448">
        <v>809.34</v>
      </c>
      <c r="E1917" s="210"/>
    </row>
    <row r="1918" spans="1:5" ht="54">
      <c r="A1918" s="446">
        <v>101103</v>
      </c>
      <c r="B1918" s="447" t="s">
        <v>4686</v>
      </c>
      <c r="C1918" s="446" t="s">
        <v>31</v>
      </c>
      <c r="D1918" s="448">
        <v>755.48</v>
      </c>
      <c r="E1918" s="210"/>
    </row>
    <row r="1919" spans="1:5" ht="67.5">
      <c r="A1919" s="446">
        <v>101104</v>
      </c>
      <c r="B1919" s="447" t="s">
        <v>4687</v>
      </c>
      <c r="C1919" s="446" t="s">
        <v>31</v>
      </c>
      <c r="D1919" s="448">
        <v>1072.9100000000001</v>
      </c>
      <c r="E1919" s="210"/>
    </row>
    <row r="1920" spans="1:5" ht="67.5">
      <c r="A1920" s="446">
        <v>101105</v>
      </c>
      <c r="B1920" s="447" t="s">
        <v>4688</v>
      </c>
      <c r="C1920" s="446" t="s">
        <v>31</v>
      </c>
      <c r="D1920" s="448">
        <v>1033.8699999999999</v>
      </c>
      <c r="E1920" s="210"/>
    </row>
    <row r="1921" spans="1:5" ht="67.5">
      <c r="A1921" s="446">
        <v>101106</v>
      </c>
      <c r="B1921" s="447" t="s">
        <v>4689</v>
      </c>
      <c r="C1921" s="446" t="s">
        <v>31</v>
      </c>
      <c r="D1921" s="448">
        <v>992.25</v>
      </c>
      <c r="E1921" s="210"/>
    </row>
    <row r="1922" spans="1:5" ht="67.5">
      <c r="A1922" s="446">
        <v>101107</v>
      </c>
      <c r="B1922" s="447" t="s">
        <v>4690</v>
      </c>
      <c r="C1922" s="446" t="s">
        <v>31</v>
      </c>
      <c r="D1922" s="448">
        <v>912.98</v>
      </c>
      <c r="E1922" s="210"/>
    </row>
    <row r="1923" spans="1:5" ht="67.5">
      <c r="A1923" s="446">
        <v>101108</v>
      </c>
      <c r="B1923" s="447" t="s">
        <v>4691</v>
      </c>
      <c r="C1923" s="446" t="s">
        <v>31</v>
      </c>
      <c r="D1923" s="448">
        <v>877.51</v>
      </c>
      <c r="E1923" s="210"/>
    </row>
    <row r="1924" spans="1:5" ht="67.5">
      <c r="A1924" s="446">
        <v>101109</v>
      </c>
      <c r="B1924" s="447" t="s">
        <v>4692</v>
      </c>
      <c r="C1924" s="446" t="s">
        <v>31</v>
      </c>
      <c r="D1924" s="448">
        <v>865.26</v>
      </c>
      <c r="E1924" s="210"/>
    </row>
    <row r="1925" spans="1:5" ht="67.5">
      <c r="A1925" s="446">
        <v>101110</v>
      </c>
      <c r="B1925" s="447" t="s">
        <v>4693</v>
      </c>
      <c r="C1925" s="446" t="s">
        <v>31</v>
      </c>
      <c r="D1925" s="448">
        <v>860.79</v>
      </c>
      <c r="E1925" s="210"/>
    </row>
    <row r="1926" spans="1:5" ht="67.5">
      <c r="A1926" s="446">
        <v>101111</v>
      </c>
      <c r="B1926" s="447" t="s">
        <v>4694</v>
      </c>
      <c r="C1926" s="446" t="s">
        <v>31</v>
      </c>
      <c r="D1926" s="448">
        <v>805.78</v>
      </c>
      <c r="E1926" s="210"/>
    </row>
    <row r="1927" spans="1:5" ht="54">
      <c r="A1927" s="446">
        <v>101112</v>
      </c>
      <c r="B1927" s="447" t="s">
        <v>4695</v>
      </c>
      <c r="C1927" s="446" t="s">
        <v>31</v>
      </c>
      <c r="D1927" s="448">
        <v>662.73</v>
      </c>
      <c r="E1927" s="210"/>
    </row>
    <row r="1928" spans="1:5" ht="54">
      <c r="A1928" s="446">
        <v>101113</v>
      </c>
      <c r="B1928" s="447" t="s">
        <v>4696</v>
      </c>
      <c r="C1928" s="446" t="s">
        <v>31</v>
      </c>
      <c r="D1928" s="448">
        <v>722.91</v>
      </c>
      <c r="E1928" s="210"/>
    </row>
    <row r="1929" spans="1:5" ht="40.5">
      <c r="A1929" s="446">
        <v>95601</v>
      </c>
      <c r="B1929" s="447" t="s">
        <v>6991</v>
      </c>
      <c r="C1929" s="446" t="s">
        <v>34</v>
      </c>
      <c r="D1929" s="448">
        <v>9.82</v>
      </c>
      <c r="E1929" s="210"/>
    </row>
    <row r="1930" spans="1:5" ht="40.5">
      <c r="A1930" s="446">
        <v>95602</v>
      </c>
      <c r="B1930" s="447" t="s">
        <v>6992</v>
      </c>
      <c r="C1930" s="446" t="s">
        <v>34</v>
      </c>
      <c r="D1930" s="448">
        <v>15.73</v>
      </c>
      <c r="E1930" s="210"/>
    </row>
    <row r="1931" spans="1:5" ht="40.5">
      <c r="A1931" s="446">
        <v>95603</v>
      </c>
      <c r="B1931" s="447" t="s">
        <v>6993</v>
      </c>
      <c r="C1931" s="446" t="s">
        <v>34</v>
      </c>
      <c r="D1931" s="448">
        <v>26.84</v>
      </c>
      <c r="E1931" s="210"/>
    </row>
    <row r="1932" spans="1:5" ht="40.5">
      <c r="A1932" s="446">
        <v>95604</v>
      </c>
      <c r="B1932" s="447" t="s">
        <v>6994</v>
      </c>
      <c r="C1932" s="446" t="s">
        <v>34</v>
      </c>
      <c r="D1932" s="448">
        <v>41.64</v>
      </c>
      <c r="E1932" s="210"/>
    </row>
    <row r="1933" spans="1:5" ht="40.5">
      <c r="A1933" s="446">
        <v>95605</v>
      </c>
      <c r="B1933" s="447" t="s">
        <v>6995</v>
      </c>
      <c r="C1933" s="446" t="s">
        <v>34</v>
      </c>
      <c r="D1933" s="448">
        <v>76.459999999999994</v>
      </c>
      <c r="E1933" s="210"/>
    </row>
    <row r="1934" spans="1:5" ht="40.5">
      <c r="A1934" s="446">
        <v>95607</v>
      </c>
      <c r="B1934" s="447" t="s">
        <v>6996</v>
      </c>
      <c r="C1934" s="446" t="s">
        <v>34</v>
      </c>
      <c r="D1934" s="448">
        <v>10.77</v>
      </c>
      <c r="E1934" s="210"/>
    </row>
    <row r="1935" spans="1:5" ht="40.5">
      <c r="A1935" s="446">
        <v>95608</v>
      </c>
      <c r="B1935" s="447" t="s">
        <v>6997</v>
      </c>
      <c r="C1935" s="446" t="s">
        <v>34</v>
      </c>
      <c r="D1935" s="448">
        <v>15.63</v>
      </c>
      <c r="E1935" s="210"/>
    </row>
    <row r="1936" spans="1:5" ht="40.5">
      <c r="A1936" s="446">
        <v>95609</v>
      </c>
      <c r="B1936" s="447" t="s">
        <v>6998</v>
      </c>
      <c r="C1936" s="446" t="s">
        <v>34</v>
      </c>
      <c r="D1936" s="448">
        <v>19.82</v>
      </c>
      <c r="E1936" s="210"/>
    </row>
    <row r="1937" spans="1:5" ht="67.5">
      <c r="A1937" s="446">
        <v>100651</v>
      </c>
      <c r="B1937" s="447" t="s">
        <v>6147</v>
      </c>
      <c r="C1937" s="446" t="s">
        <v>14</v>
      </c>
      <c r="D1937" s="448">
        <v>124.76</v>
      </c>
      <c r="E1937" s="210"/>
    </row>
    <row r="1938" spans="1:5" ht="67.5">
      <c r="A1938" s="446">
        <v>100652</v>
      </c>
      <c r="B1938" s="447" t="s">
        <v>6148</v>
      </c>
      <c r="C1938" s="446" t="s">
        <v>14</v>
      </c>
      <c r="D1938" s="448">
        <v>238.69</v>
      </c>
      <c r="E1938" s="210"/>
    </row>
    <row r="1939" spans="1:5" ht="67.5">
      <c r="A1939" s="446">
        <v>100653</v>
      </c>
      <c r="B1939" s="447" t="s">
        <v>6149</v>
      </c>
      <c r="C1939" s="446" t="s">
        <v>14</v>
      </c>
      <c r="D1939" s="448">
        <v>402.16</v>
      </c>
      <c r="E1939" s="210"/>
    </row>
    <row r="1940" spans="1:5" ht="67.5">
      <c r="A1940" s="446">
        <v>100654</v>
      </c>
      <c r="B1940" s="447" t="s">
        <v>6150</v>
      </c>
      <c r="C1940" s="446" t="s">
        <v>14</v>
      </c>
      <c r="D1940" s="448">
        <v>571.76</v>
      </c>
      <c r="E1940" s="210"/>
    </row>
    <row r="1941" spans="1:5" ht="67.5">
      <c r="A1941" s="446">
        <v>100655</v>
      </c>
      <c r="B1941" s="447" t="s">
        <v>6151</v>
      </c>
      <c r="C1941" s="446" t="s">
        <v>14</v>
      </c>
      <c r="D1941" s="448">
        <v>653.04</v>
      </c>
      <c r="E1941" s="210"/>
    </row>
    <row r="1942" spans="1:5" ht="54">
      <c r="A1942" s="446">
        <v>100656</v>
      </c>
      <c r="B1942" s="447" t="s">
        <v>4697</v>
      </c>
      <c r="C1942" s="446" t="s">
        <v>14</v>
      </c>
      <c r="D1942" s="448">
        <v>80.459999999999994</v>
      </c>
      <c r="E1942" s="210"/>
    </row>
    <row r="1943" spans="1:5" ht="54">
      <c r="A1943" s="446">
        <v>100657</v>
      </c>
      <c r="B1943" s="447" t="s">
        <v>4698</v>
      </c>
      <c r="C1943" s="446" t="s">
        <v>14</v>
      </c>
      <c r="D1943" s="448">
        <v>104.15</v>
      </c>
      <c r="E1943" s="210"/>
    </row>
    <row r="1944" spans="1:5" ht="67.5">
      <c r="A1944" s="446">
        <v>100658</v>
      </c>
      <c r="B1944" s="447" t="s">
        <v>4699</v>
      </c>
      <c r="C1944" s="446" t="s">
        <v>14</v>
      </c>
      <c r="D1944" s="448">
        <v>241.91</v>
      </c>
      <c r="E1944" s="210"/>
    </row>
    <row r="1945" spans="1:5" ht="54">
      <c r="A1945" s="446">
        <v>100889</v>
      </c>
      <c r="B1945" s="447" t="s">
        <v>4700</v>
      </c>
      <c r="C1945" s="446" t="s">
        <v>17</v>
      </c>
      <c r="D1945" s="448">
        <v>15.08</v>
      </c>
      <c r="E1945" s="210"/>
    </row>
    <row r="1946" spans="1:5" ht="54">
      <c r="A1946" s="446">
        <v>100890</v>
      </c>
      <c r="B1946" s="447" t="s">
        <v>4701</v>
      </c>
      <c r="C1946" s="446" t="s">
        <v>17</v>
      </c>
      <c r="D1946" s="448">
        <v>14.96</v>
      </c>
      <c r="E1946" s="210"/>
    </row>
    <row r="1947" spans="1:5" ht="54">
      <c r="A1947" s="446">
        <v>100892</v>
      </c>
      <c r="B1947" s="447" t="s">
        <v>4702</v>
      </c>
      <c r="C1947" s="446" t="s">
        <v>17</v>
      </c>
      <c r="D1947" s="448">
        <v>14.19</v>
      </c>
      <c r="E1947" s="210"/>
    </row>
    <row r="1948" spans="1:5" ht="54">
      <c r="A1948" s="446">
        <v>100893</v>
      </c>
      <c r="B1948" s="447" t="s">
        <v>4703</v>
      </c>
      <c r="C1948" s="446" t="s">
        <v>17</v>
      </c>
      <c r="D1948" s="448">
        <v>14.05</v>
      </c>
      <c r="E1948" s="210"/>
    </row>
    <row r="1949" spans="1:5" ht="54">
      <c r="A1949" s="446">
        <v>100894</v>
      </c>
      <c r="B1949" s="447" t="s">
        <v>4704</v>
      </c>
      <c r="C1949" s="446" t="s">
        <v>17</v>
      </c>
      <c r="D1949" s="448">
        <v>13.97</v>
      </c>
      <c r="E1949" s="210"/>
    </row>
    <row r="1950" spans="1:5" ht="67.5">
      <c r="A1950" s="446">
        <v>100896</v>
      </c>
      <c r="B1950" s="447" t="s">
        <v>4705</v>
      </c>
      <c r="C1950" s="446" t="s">
        <v>14</v>
      </c>
      <c r="D1950" s="448">
        <v>53.62</v>
      </c>
      <c r="E1950" s="210"/>
    </row>
    <row r="1951" spans="1:5" ht="67.5">
      <c r="A1951" s="446">
        <v>100897</v>
      </c>
      <c r="B1951" s="447" t="s">
        <v>4706</v>
      </c>
      <c r="C1951" s="446" t="s">
        <v>14</v>
      </c>
      <c r="D1951" s="448">
        <v>105.42</v>
      </c>
      <c r="E1951" s="210"/>
    </row>
    <row r="1952" spans="1:5" ht="67.5">
      <c r="A1952" s="446">
        <v>100898</v>
      </c>
      <c r="B1952" s="447" t="s">
        <v>4707</v>
      </c>
      <c r="C1952" s="446" t="s">
        <v>14</v>
      </c>
      <c r="D1952" s="448">
        <v>206.29</v>
      </c>
      <c r="E1952" s="210"/>
    </row>
    <row r="1953" spans="1:5" ht="67.5">
      <c r="A1953" s="446">
        <v>100899</v>
      </c>
      <c r="B1953" s="447" t="s">
        <v>4708</v>
      </c>
      <c r="C1953" s="446" t="s">
        <v>14</v>
      </c>
      <c r="D1953" s="448">
        <v>69.27</v>
      </c>
      <c r="E1953" s="210"/>
    </row>
    <row r="1954" spans="1:5" ht="67.5">
      <c r="A1954" s="446">
        <v>100900</v>
      </c>
      <c r="B1954" s="447" t="s">
        <v>4709</v>
      </c>
      <c r="C1954" s="446" t="s">
        <v>14</v>
      </c>
      <c r="D1954" s="448">
        <v>234.68</v>
      </c>
      <c r="E1954" s="210"/>
    </row>
    <row r="1955" spans="1:5" ht="54">
      <c r="A1955" s="446">
        <v>101173</v>
      </c>
      <c r="B1955" s="447" t="s">
        <v>4710</v>
      </c>
      <c r="C1955" s="446" t="s">
        <v>14</v>
      </c>
      <c r="D1955" s="448">
        <v>54.37</v>
      </c>
      <c r="E1955" s="210"/>
    </row>
    <row r="1956" spans="1:5" ht="54">
      <c r="A1956" s="446">
        <v>101174</v>
      </c>
      <c r="B1956" s="447" t="s">
        <v>4711</v>
      </c>
      <c r="C1956" s="446" t="s">
        <v>14</v>
      </c>
      <c r="D1956" s="448">
        <v>71.349999999999994</v>
      </c>
      <c r="E1956" s="210"/>
    </row>
    <row r="1957" spans="1:5" ht="54">
      <c r="A1957" s="446">
        <v>101175</v>
      </c>
      <c r="B1957" s="447" t="s">
        <v>4712</v>
      </c>
      <c r="C1957" s="446" t="s">
        <v>14</v>
      </c>
      <c r="D1957" s="448">
        <v>97.35</v>
      </c>
      <c r="E1957" s="210"/>
    </row>
    <row r="1958" spans="1:5" ht="40.5">
      <c r="A1958" s="446">
        <v>101176</v>
      </c>
      <c r="B1958" s="447" t="s">
        <v>4713</v>
      </c>
      <c r="C1958" s="446" t="s">
        <v>14</v>
      </c>
      <c r="D1958" s="448">
        <v>138.13</v>
      </c>
      <c r="E1958" s="210"/>
    </row>
    <row r="1959" spans="1:5" ht="40.5">
      <c r="A1959" s="446">
        <v>102521</v>
      </c>
      <c r="B1959" s="447" t="s">
        <v>6999</v>
      </c>
      <c r="C1959" s="446" t="s">
        <v>34</v>
      </c>
      <c r="D1959" s="448">
        <v>63.07</v>
      </c>
      <c r="E1959" s="210"/>
    </row>
    <row r="1960" spans="1:5" ht="40.5">
      <c r="A1960" s="446">
        <v>102522</v>
      </c>
      <c r="B1960" s="447" t="s">
        <v>7000</v>
      </c>
      <c r="C1960" s="446" t="s">
        <v>34</v>
      </c>
      <c r="D1960" s="448">
        <v>92.55</v>
      </c>
      <c r="E1960" s="210"/>
    </row>
    <row r="1961" spans="1:5" ht="40.5">
      <c r="A1961" s="446">
        <v>102523</v>
      </c>
      <c r="B1961" s="447" t="s">
        <v>7001</v>
      </c>
      <c r="C1961" s="446" t="s">
        <v>34</v>
      </c>
      <c r="D1961" s="448">
        <v>122.01</v>
      </c>
      <c r="E1961" s="210"/>
    </row>
    <row r="1962" spans="1:5" ht="40.5">
      <c r="A1962" s="446">
        <v>95240</v>
      </c>
      <c r="B1962" s="447" t="s">
        <v>6757</v>
      </c>
      <c r="C1962" s="446" t="s">
        <v>42</v>
      </c>
      <c r="D1962" s="448">
        <v>13.51</v>
      </c>
      <c r="E1962" s="210"/>
    </row>
    <row r="1963" spans="1:5" ht="40.5">
      <c r="A1963" s="446">
        <v>95241</v>
      </c>
      <c r="B1963" s="447" t="s">
        <v>6758</v>
      </c>
      <c r="C1963" s="446" t="s">
        <v>42</v>
      </c>
      <c r="D1963" s="448">
        <v>22.52</v>
      </c>
      <c r="E1963" s="210"/>
    </row>
    <row r="1964" spans="1:5" ht="40.5">
      <c r="A1964" s="446">
        <v>96616</v>
      </c>
      <c r="B1964" s="447" t="s">
        <v>3083</v>
      </c>
      <c r="C1964" s="446" t="s">
        <v>31</v>
      </c>
      <c r="D1964" s="448">
        <v>467.42</v>
      </c>
      <c r="E1964" s="210"/>
    </row>
    <row r="1965" spans="1:5" ht="40.5">
      <c r="A1965" s="446">
        <v>96617</v>
      </c>
      <c r="B1965" s="447" t="s">
        <v>3084</v>
      </c>
      <c r="C1965" s="446" t="s">
        <v>42</v>
      </c>
      <c r="D1965" s="448">
        <v>14.01</v>
      </c>
      <c r="E1965" s="210"/>
    </row>
    <row r="1966" spans="1:5" ht="40.5">
      <c r="A1966" s="446">
        <v>96619</v>
      </c>
      <c r="B1966" s="447" t="s">
        <v>3085</v>
      </c>
      <c r="C1966" s="446" t="s">
        <v>42</v>
      </c>
      <c r="D1966" s="448">
        <v>23.35</v>
      </c>
      <c r="E1966" s="210"/>
    </row>
    <row r="1967" spans="1:5" ht="40.5">
      <c r="A1967" s="446">
        <v>96620</v>
      </c>
      <c r="B1967" s="447" t="s">
        <v>6759</v>
      </c>
      <c r="C1967" s="446" t="s">
        <v>31</v>
      </c>
      <c r="D1967" s="448">
        <v>450.78</v>
      </c>
      <c r="E1967" s="210"/>
    </row>
    <row r="1968" spans="1:5" ht="40.5">
      <c r="A1968" s="446">
        <v>96621</v>
      </c>
      <c r="B1968" s="447" t="s">
        <v>3086</v>
      </c>
      <c r="C1968" s="446" t="s">
        <v>31</v>
      </c>
      <c r="D1968" s="448">
        <v>166.66</v>
      </c>
      <c r="E1968" s="210"/>
    </row>
    <row r="1969" spans="1:5" ht="40.5">
      <c r="A1969" s="446">
        <v>96622</v>
      </c>
      <c r="B1969" s="447" t="s">
        <v>6760</v>
      </c>
      <c r="C1969" s="446" t="s">
        <v>31</v>
      </c>
      <c r="D1969" s="448">
        <v>117.56</v>
      </c>
      <c r="E1969" s="210"/>
    </row>
    <row r="1970" spans="1:5" ht="40.5">
      <c r="A1970" s="446">
        <v>96623</v>
      </c>
      <c r="B1970" s="447" t="s">
        <v>3087</v>
      </c>
      <c r="C1970" s="446" t="s">
        <v>31</v>
      </c>
      <c r="D1970" s="448">
        <v>155.27000000000001</v>
      </c>
      <c r="E1970" s="210"/>
    </row>
    <row r="1971" spans="1:5" ht="54">
      <c r="A1971" s="446">
        <v>96624</v>
      </c>
      <c r="B1971" s="447" t="s">
        <v>6761</v>
      </c>
      <c r="C1971" s="446" t="s">
        <v>31</v>
      </c>
      <c r="D1971" s="448">
        <v>113.54</v>
      </c>
      <c r="E1971" s="210"/>
    </row>
    <row r="1972" spans="1:5" ht="27">
      <c r="A1972" s="446">
        <v>97082</v>
      </c>
      <c r="B1972" s="447" t="s">
        <v>3352</v>
      </c>
      <c r="C1972" s="446" t="s">
        <v>31</v>
      </c>
      <c r="D1972" s="448">
        <v>40.71</v>
      </c>
      <c r="E1972" s="210"/>
    </row>
    <row r="1973" spans="1:5" ht="40.5">
      <c r="A1973" s="446">
        <v>97083</v>
      </c>
      <c r="B1973" s="447" t="s">
        <v>3353</v>
      </c>
      <c r="C1973" s="446" t="s">
        <v>42</v>
      </c>
      <c r="D1973" s="448">
        <v>2.21</v>
      </c>
      <c r="E1973" s="210"/>
    </row>
    <row r="1974" spans="1:5" ht="40.5">
      <c r="A1974" s="446">
        <v>97084</v>
      </c>
      <c r="B1974" s="447" t="s">
        <v>3354</v>
      </c>
      <c r="C1974" s="446" t="s">
        <v>42</v>
      </c>
      <c r="D1974" s="448">
        <v>0.45</v>
      </c>
      <c r="E1974" s="210"/>
    </row>
    <row r="1975" spans="1:5" ht="40.5">
      <c r="A1975" s="446">
        <v>97086</v>
      </c>
      <c r="B1975" s="447" t="s">
        <v>3355</v>
      </c>
      <c r="C1975" s="446" t="s">
        <v>42</v>
      </c>
      <c r="D1975" s="448">
        <v>82</v>
      </c>
      <c r="E1975" s="210"/>
    </row>
    <row r="1976" spans="1:5" ht="27">
      <c r="A1976" s="446">
        <v>97087</v>
      </c>
      <c r="B1976" s="447" t="s">
        <v>6152</v>
      </c>
      <c r="C1976" s="446" t="s">
        <v>42</v>
      </c>
      <c r="D1976" s="448">
        <v>2.4700000000000002</v>
      </c>
      <c r="E1976" s="210"/>
    </row>
    <row r="1977" spans="1:5" ht="27">
      <c r="A1977" s="446">
        <v>97088</v>
      </c>
      <c r="B1977" s="447" t="s">
        <v>6153</v>
      </c>
      <c r="C1977" s="446" t="s">
        <v>17</v>
      </c>
      <c r="D1977" s="448">
        <v>28.14</v>
      </c>
      <c r="E1977" s="210"/>
    </row>
    <row r="1978" spans="1:5" ht="27">
      <c r="A1978" s="446">
        <v>97089</v>
      </c>
      <c r="B1978" s="447" t="s">
        <v>6154</v>
      </c>
      <c r="C1978" s="446" t="s">
        <v>17</v>
      </c>
      <c r="D1978" s="448">
        <v>25.79</v>
      </c>
      <c r="E1978" s="210"/>
    </row>
    <row r="1979" spans="1:5" ht="27">
      <c r="A1979" s="446">
        <v>97090</v>
      </c>
      <c r="B1979" s="447" t="s">
        <v>6155</v>
      </c>
      <c r="C1979" s="446" t="s">
        <v>17</v>
      </c>
      <c r="D1979" s="448">
        <v>25.45</v>
      </c>
      <c r="E1979" s="210"/>
    </row>
    <row r="1980" spans="1:5" ht="27">
      <c r="A1980" s="446">
        <v>97091</v>
      </c>
      <c r="B1980" s="447" t="s">
        <v>6156</v>
      </c>
      <c r="C1980" s="446" t="s">
        <v>17</v>
      </c>
      <c r="D1980" s="448">
        <v>24.72</v>
      </c>
      <c r="E1980" s="210"/>
    </row>
    <row r="1981" spans="1:5" ht="27">
      <c r="A1981" s="446">
        <v>97092</v>
      </c>
      <c r="B1981" s="447" t="s">
        <v>6157</v>
      </c>
      <c r="C1981" s="446" t="s">
        <v>17</v>
      </c>
      <c r="D1981" s="448">
        <v>24.03</v>
      </c>
      <c r="E1981" s="210"/>
    </row>
    <row r="1982" spans="1:5" ht="27">
      <c r="A1982" s="446">
        <v>97093</v>
      </c>
      <c r="B1982" s="447" t="s">
        <v>6158</v>
      </c>
      <c r="C1982" s="446" t="s">
        <v>17</v>
      </c>
      <c r="D1982" s="448">
        <v>22.64</v>
      </c>
      <c r="E1982" s="210"/>
    </row>
    <row r="1983" spans="1:5" ht="54">
      <c r="A1983" s="446">
        <v>97094</v>
      </c>
      <c r="B1983" s="447" t="s">
        <v>3356</v>
      </c>
      <c r="C1983" s="446" t="s">
        <v>31</v>
      </c>
      <c r="D1983" s="448">
        <v>573.55999999999995</v>
      </c>
      <c r="E1983" s="210"/>
    </row>
    <row r="1984" spans="1:5" ht="54">
      <c r="A1984" s="446">
        <v>97095</v>
      </c>
      <c r="B1984" s="447" t="s">
        <v>3357</v>
      </c>
      <c r="C1984" s="446" t="s">
        <v>31</v>
      </c>
      <c r="D1984" s="448">
        <v>538.99</v>
      </c>
      <c r="E1984" s="210"/>
    </row>
    <row r="1985" spans="1:5" ht="54">
      <c r="A1985" s="446">
        <v>97096</v>
      </c>
      <c r="B1985" s="447" t="s">
        <v>3358</v>
      </c>
      <c r="C1985" s="446" t="s">
        <v>31</v>
      </c>
      <c r="D1985" s="448">
        <v>521.23</v>
      </c>
      <c r="E1985" s="210"/>
    </row>
    <row r="1986" spans="1:5" ht="27">
      <c r="A1986" s="446">
        <v>97097</v>
      </c>
      <c r="B1986" s="447" t="s">
        <v>4714</v>
      </c>
      <c r="C1986" s="446" t="s">
        <v>42</v>
      </c>
      <c r="D1986" s="448">
        <v>28.33</v>
      </c>
      <c r="E1986" s="210"/>
    </row>
    <row r="1987" spans="1:5" ht="40.5">
      <c r="A1987" s="446">
        <v>97101</v>
      </c>
      <c r="B1987" s="447" t="s">
        <v>6159</v>
      </c>
      <c r="C1987" s="446" t="s">
        <v>42</v>
      </c>
      <c r="D1987" s="448">
        <v>227.54</v>
      </c>
      <c r="E1987" s="210"/>
    </row>
    <row r="1988" spans="1:5" ht="40.5">
      <c r="A1988" s="446">
        <v>97102</v>
      </c>
      <c r="B1988" s="447" t="s">
        <v>6160</v>
      </c>
      <c r="C1988" s="446" t="s">
        <v>42</v>
      </c>
      <c r="D1988" s="448">
        <v>252.67</v>
      </c>
      <c r="E1988" s="210"/>
    </row>
    <row r="1989" spans="1:5" ht="40.5">
      <c r="A1989" s="446">
        <v>97103</v>
      </c>
      <c r="B1989" s="447" t="s">
        <v>6161</v>
      </c>
      <c r="C1989" s="446" t="s">
        <v>42</v>
      </c>
      <c r="D1989" s="448">
        <v>334.65</v>
      </c>
      <c r="E1989" s="210"/>
    </row>
    <row r="1990" spans="1:5" ht="54">
      <c r="A1990" s="446">
        <v>100322</v>
      </c>
      <c r="B1990" s="447" t="s">
        <v>6762</v>
      </c>
      <c r="C1990" s="446" t="s">
        <v>31</v>
      </c>
      <c r="D1990" s="448">
        <v>108.09</v>
      </c>
      <c r="E1990" s="210"/>
    </row>
    <row r="1991" spans="1:5" ht="54">
      <c r="A1991" s="446">
        <v>100323</v>
      </c>
      <c r="B1991" s="447" t="s">
        <v>6763</v>
      </c>
      <c r="C1991" s="446" t="s">
        <v>31</v>
      </c>
      <c r="D1991" s="448">
        <v>107.59</v>
      </c>
      <c r="E1991" s="210"/>
    </row>
    <row r="1992" spans="1:5" ht="54">
      <c r="A1992" s="446">
        <v>100324</v>
      </c>
      <c r="B1992" s="447" t="s">
        <v>6764</v>
      </c>
      <c r="C1992" s="446" t="s">
        <v>31</v>
      </c>
      <c r="D1992" s="448">
        <v>113.29</v>
      </c>
      <c r="E1992" s="210"/>
    </row>
    <row r="1993" spans="1:5" ht="54">
      <c r="A1993" s="446">
        <v>92263</v>
      </c>
      <c r="B1993" s="447" t="s">
        <v>4715</v>
      </c>
      <c r="C1993" s="446" t="s">
        <v>42</v>
      </c>
      <c r="D1993" s="448">
        <v>131.86000000000001</v>
      </c>
      <c r="E1993" s="210"/>
    </row>
    <row r="1994" spans="1:5" ht="54">
      <c r="A1994" s="446">
        <v>92264</v>
      </c>
      <c r="B1994" s="447" t="s">
        <v>4716</v>
      </c>
      <c r="C1994" s="446" t="s">
        <v>42</v>
      </c>
      <c r="D1994" s="448">
        <v>141.6</v>
      </c>
      <c r="E1994" s="210"/>
    </row>
    <row r="1995" spans="1:5" ht="40.5">
      <c r="A1995" s="446">
        <v>92265</v>
      </c>
      <c r="B1995" s="447" t="s">
        <v>4717</v>
      </c>
      <c r="C1995" s="446" t="s">
        <v>42</v>
      </c>
      <c r="D1995" s="448">
        <v>93.85</v>
      </c>
      <c r="E1995" s="210"/>
    </row>
    <row r="1996" spans="1:5" ht="40.5">
      <c r="A1996" s="446">
        <v>92266</v>
      </c>
      <c r="B1996" s="447" t="s">
        <v>4718</v>
      </c>
      <c r="C1996" s="446" t="s">
        <v>42</v>
      </c>
      <c r="D1996" s="448">
        <v>102.21</v>
      </c>
      <c r="E1996" s="210"/>
    </row>
    <row r="1997" spans="1:5" ht="40.5">
      <c r="A1997" s="446">
        <v>92267</v>
      </c>
      <c r="B1997" s="447" t="s">
        <v>4719</v>
      </c>
      <c r="C1997" s="446" t="s">
        <v>42</v>
      </c>
      <c r="D1997" s="448">
        <v>43.06</v>
      </c>
      <c r="E1997" s="210"/>
    </row>
    <row r="1998" spans="1:5" ht="40.5">
      <c r="A1998" s="446">
        <v>92268</v>
      </c>
      <c r="B1998" s="447" t="s">
        <v>4720</v>
      </c>
      <c r="C1998" s="446" t="s">
        <v>42</v>
      </c>
      <c r="D1998" s="448">
        <v>50.71</v>
      </c>
      <c r="E1998" s="210"/>
    </row>
    <row r="1999" spans="1:5" ht="40.5">
      <c r="A1999" s="446">
        <v>92269</v>
      </c>
      <c r="B1999" s="447" t="s">
        <v>4721</v>
      </c>
      <c r="C1999" s="446" t="s">
        <v>42</v>
      </c>
      <c r="D1999" s="448">
        <v>132.5</v>
      </c>
      <c r="E1999" s="210"/>
    </row>
    <row r="2000" spans="1:5" ht="27">
      <c r="A2000" s="446">
        <v>92270</v>
      </c>
      <c r="B2000" s="447" t="s">
        <v>4722</v>
      </c>
      <c r="C2000" s="446" t="s">
        <v>42</v>
      </c>
      <c r="D2000" s="448">
        <v>104.4</v>
      </c>
      <c r="E2000" s="210"/>
    </row>
    <row r="2001" spans="1:5" ht="27">
      <c r="A2001" s="446">
        <v>92271</v>
      </c>
      <c r="B2001" s="447" t="s">
        <v>4723</v>
      </c>
      <c r="C2001" s="446" t="s">
        <v>42</v>
      </c>
      <c r="D2001" s="448">
        <v>60.32</v>
      </c>
      <c r="E2001" s="210"/>
    </row>
    <row r="2002" spans="1:5" ht="27">
      <c r="A2002" s="446">
        <v>92272</v>
      </c>
      <c r="B2002" s="447" t="s">
        <v>4724</v>
      </c>
      <c r="C2002" s="446" t="s">
        <v>14</v>
      </c>
      <c r="D2002" s="448">
        <v>29.5</v>
      </c>
      <c r="E2002" s="210"/>
    </row>
    <row r="2003" spans="1:5" ht="40.5">
      <c r="A2003" s="446">
        <v>92273</v>
      </c>
      <c r="B2003" s="447" t="s">
        <v>4725</v>
      </c>
      <c r="C2003" s="446" t="s">
        <v>14</v>
      </c>
      <c r="D2003" s="448">
        <v>13.52</v>
      </c>
      <c r="E2003" s="210"/>
    </row>
    <row r="2004" spans="1:5" ht="67.5">
      <c r="A2004" s="446">
        <v>92409</v>
      </c>
      <c r="B2004" s="447" t="s">
        <v>4726</v>
      </c>
      <c r="C2004" s="446" t="s">
        <v>42</v>
      </c>
      <c r="D2004" s="448">
        <v>196.75</v>
      </c>
      <c r="E2004" s="210"/>
    </row>
    <row r="2005" spans="1:5" ht="67.5">
      <c r="A2005" s="446">
        <v>92411</v>
      </c>
      <c r="B2005" s="447" t="s">
        <v>4727</v>
      </c>
      <c r="C2005" s="446" t="s">
        <v>42</v>
      </c>
      <c r="D2005" s="448">
        <v>124.66</v>
      </c>
      <c r="E2005" s="210"/>
    </row>
    <row r="2006" spans="1:5" ht="67.5">
      <c r="A2006" s="446">
        <v>92413</v>
      </c>
      <c r="B2006" s="447" t="s">
        <v>4728</v>
      </c>
      <c r="C2006" s="446" t="s">
        <v>42</v>
      </c>
      <c r="D2006" s="448">
        <v>78.45</v>
      </c>
      <c r="E2006" s="210"/>
    </row>
    <row r="2007" spans="1:5" ht="67.5">
      <c r="A2007" s="446">
        <v>92415</v>
      </c>
      <c r="B2007" s="447" t="s">
        <v>4729</v>
      </c>
      <c r="C2007" s="446" t="s">
        <v>42</v>
      </c>
      <c r="D2007" s="448">
        <v>103.61</v>
      </c>
      <c r="E2007" s="210"/>
    </row>
    <row r="2008" spans="1:5" ht="67.5">
      <c r="A2008" s="446">
        <v>92417</v>
      </c>
      <c r="B2008" s="447" t="s">
        <v>4730</v>
      </c>
      <c r="C2008" s="446" t="s">
        <v>42</v>
      </c>
      <c r="D2008" s="448">
        <v>118.27</v>
      </c>
      <c r="E2008" s="210"/>
    </row>
    <row r="2009" spans="1:5" ht="67.5">
      <c r="A2009" s="446">
        <v>92419</v>
      </c>
      <c r="B2009" s="447" t="s">
        <v>4731</v>
      </c>
      <c r="C2009" s="446" t="s">
        <v>42</v>
      </c>
      <c r="D2009" s="448">
        <v>63.84</v>
      </c>
      <c r="E2009" s="210"/>
    </row>
    <row r="2010" spans="1:5" ht="67.5">
      <c r="A2010" s="446">
        <v>92421</v>
      </c>
      <c r="B2010" s="447" t="s">
        <v>4732</v>
      </c>
      <c r="C2010" s="446" t="s">
        <v>42</v>
      </c>
      <c r="D2010" s="448">
        <v>75.09</v>
      </c>
      <c r="E2010" s="210"/>
    </row>
    <row r="2011" spans="1:5" ht="67.5">
      <c r="A2011" s="446">
        <v>92423</v>
      </c>
      <c r="B2011" s="447" t="s">
        <v>4733</v>
      </c>
      <c r="C2011" s="446" t="s">
        <v>42</v>
      </c>
      <c r="D2011" s="448">
        <v>51.66</v>
      </c>
      <c r="E2011" s="210"/>
    </row>
    <row r="2012" spans="1:5" ht="67.5">
      <c r="A2012" s="446">
        <v>92425</v>
      </c>
      <c r="B2012" s="447" t="s">
        <v>4734</v>
      </c>
      <c r="C2012" s="446" t="s">
        <v>42</v>
      </c>
      <c r="D2012" s="448">
        <v>61.43</v>
      </c>
      <c r="E2012" s="210"/>
    </row>
    <row r="2013" spans="1:5" ht="67.5">
      <c r="A2013" s="446">
        <v>92427</v>
      </c>
      <c r="B2013" s="447" t="s">
        <v>4735</v>
      </c>
      <c r="C2013" s="446" t="s">
        <v>42</v>
      </c>
      <c r="D2013" s="448">
        <v>45.49</v>
      </c>
      <c r="E2013" s="210"/>
    </row>
    <row r="2014" spans="1:5" ht="67.5">
      <c r="A2014" s="446">
        <v>92429</v>
      </c>
      <c r="B2014" s="447" t="s">
        <v>4736</v>
      </c>
      <c r="C2014" s="446" t="s">
        <v>42</v>
      </c>
      <c r="D2014" s="448">
        <v>54.54</v>
      </c>
      <c r="E2014" s="210"/>
    </row>
    <row r="2015" spans="1:5" ht="67.5">
      <c r="A2015" s="446">
        <v>92431</v>
      </c>
      <c r="B2015" s="447" t="s">
        <v>4737</v>
      </c>
      <c r="C2015" s="446" t="s">
        <v>42</v>
      </c>
      <c r="D2015" s="448">
        <v>39.869999999999997</v>
      </c>
      <c r="E2015" s="210"/>
    </row>
    <row r="2016" spans="1:5" ht="67.5">
      <c r="A2016" s="446">
        <v>92433</v>
      </c>
      <c r="B2016" s="447" t="s">
        <v>4738</v>
      </c>
      <c r="C2016" s="446" t="s">
        <v>42</v>
      </c>
      <c r="D2016" s="448">
        <v>48.46</v>
      </c>
      <c r="E2016" s="210"/>
    </row>
    <row r="2017" spans="1:5" ht="67.5">
      <c r="A2017" s="446">
        <v>92435</v>
      </c>
      <c r="B2017" s="447" t="s">
        <v>4739</v>
      </c>
      <c r="C2017" s="446" t="s">
        <v>42</v>
      </c>
      <c r="D2017" s="448">
        <v>37.86</v>
      </c>
      <c r="E2017" s="210"/>
    </row>
    <row r="2018" spans="1:5" ht="67.5">
      <c r="A2018" s="446">
        <v>92437</v>
      </c>
      <c r="B2018" s="447" t="s">
        <v>4740</v>
      </c>
      <c r="C2018" s="446" t="s">
        <v>42</v>
      </c>
      <c r="D2018" s="448">
        <v>46.17</v>
      </c>
      <c r="E2018" s="210"/>
    </row>
    <row r="2019" spans="1:5" ht="67.5">
      <c r="A2019" s="446">
        <v>92439</v>
      </c>
      <c r="B2019" s="447" t="s">
        <v>4741</v>
      </c>
      <c r="C2019" s="446" t="s">
        <v>42</v>
      </c>
      <c r="D2019" s="448">
        <v>36.4</v>
      </c>
      <c r="E2019" s="210"/>
    </row>
    <row r="2020" spans="1:5" ht="67.5">
      <c r="A2020" s="446">
        <v>92441</v>
      </c>
      <c r="B2020" s="447" t="s">
        <v>4742</v>
      </c>
      <c r="C2020" s="446" t="s">
        <v>42</v>
      </c>
      <c r="D2020" s="448">
        <v>44.49</v>
      </c>
      <c r="E2020" s="210"/>
    </row>
    <row r="2021" spans="1:5" ht="67.5">
      <c r="A2021" s="446">
        <v>92443</v>
      </c>
      <c r="B2021" s="447" t="s">
        <v>4743</v>
      </c>
      <c r="C2021" s="446" t="s">
        <v>42</v>
      </c>
      <c r="D2021" s="448">
        <v>33.26</v>
      </c>
      <c r="E2021" s="210"/>
    </row>
    <row r="2022" spans="1:5" ht="67.5">
      <c r="A2022" s="446">
        <v>92445</v>
      </c>
      <c r="B2022" s="447" t="s">
        <v>4744</v>
      </c>
      <c r="C2022" s="446" t="s">
        <v>42</v>
      </c>
      <c r="D2022" s="448">
        <v>41.08</v>
      </c>
      <c r="E2022" s="210"/>
    </row>
    <row r="2023" spans="1:5" ht="54">
      <c r="A2023" s="446">
        <v>92446</v>
      </c>
      <c r="B2023" s="447" t="s">
        <v>4745</v>
      </c>
      <c r="C2023" s="446" t="s">
        <v>42</v>
      </c>
      <c r="D2023" s="448">
        <v>190.5</v>
      </c>
      <c r="E2023" s="210"/>
    </row>
    <row r="2024" spans="1:5" ht="54">
      <c r="A2024" s="446">
        <v>92447</v>
      </c>
      <c r="B2024" s="447" t="s">
        <v>4746</v>
      </c>
      <c r="C2024" s="446" t="s">
        <v>42</v>
      </c>
      <c r="D2024" s="448">
        <v>134.47</v>
      </c>
      <c r="E2024" s="210"/>
    </row>
    <row r="2025" spans="1:5" ht="54">
      <c r="A2025" s="446">
        <v>92448</v>
      </c>
      <c r="B2025" s="447" t="s">
        <v>4747</v>
      </c>
      <c r="C2025" s="446" t="s">
        <v>42</v>
      </c>
      <c r="D2025" s="448">
        <v>108.17</v>
      </c>
      <c r="E2025" s="210"/>
    </row>
    <row r="2026" spans="1:5" ht="54">
      <c r="A2026" s="446">
        <v>92449</v>
      </c>
      <c r="B2026" s="447" t="s">
        <v>4748</v>
      </c>
      <c r="C2026" s="446" t="s">
        <v>42</v>
      </c>
      <c r="D2026" s="448">
        <v>207.37</v>
      </c>
      <c r="E2026" s="210"/>
    </row>
    <row r="2027" spans="1:5" ht="54">
      <c r="A2027" s="446">
        <v>92450</v>
      </c>
      <c r="B2027" s="447" t="s">
        <v>4749</v>
      </c>
      <c r="C2027" s="446" t="s">
        <v>42</v>
      </c>
      <c r="D2027" s="448">
        <v>244.58</v>
      </c>
      <c r="E2027" s="210"/>
    </row>
    <row r="2028" spans="1:5" ht="54">
      <c r="A2028" s="446">
        <v>92451</v>
      </c>
      <c r="B2028" s="447" t="s">
        <v>4750</v>
      </c>
      <c r="C2028" s="446" t="s">
        <v>42</v>
      </c>
      <c r="D2028" s="448">
        <v>140.6</v>
      </c>
      <c r="E2028" s="210"/>
    </row>
    <row r="2029" spans="1:5" ht="54">
      <c r="A2029" s="446">
        <v>92452</v>
      </c>
      <c r="B2029" s="447" t="s">
        <v>4751</v>
      </c>
      <c r="C2029" s="446" t="s">
        <v>42</v>
      </c>
      <c r="D2029" s="448">
        <v>121.28</v>
      </c>
      <c r="E2029" s="210"/>
    </row>
    <row r="2030" spans="1:5" ht="54">
      <c r="A2030" s="446">
        <v>92453</v>
      </c>
      <c r="B2030" s="447" t="s">
        <v>4752</v>
      </c>
      <c r="C2030" s="446" t="s">
        <v>42</v>
      </c>
      <c r="D2030" s="448">
        <v>178.03</v>
      </c>
      <c r="E2030" s="210"/>
    </row>
    <row r="2031" spans="1:5" ht="54">
      <c r="A2031" s="446">
        <v>92454</v>
      </c>
      <c r="B2031" s="447" t="s">
        <v>4753</v>
      </c>
      <c r="C2031" s="446" t="s">
        <v>42</v>
      </c>
      <c r="D2031" s="448">
        <v>221.56</v>
      </c>
      <c r="E2031" s="210"/>
    </row>
    <row r="2032" spans="1:5" ht="54">
      <c r="A2032" s="446">
        <v>92455</v>
      </c>
      <c r="B2032" s="447" t="s">
        <v>4754</v>
      </c>
      <c r="C2032" s="446" t="s">
        <v>42</v>
      </c>
      <c r="D2032" s="448">
        <v>115.34</v>
      </c>
      <c r="E2032" s="210"/>
    </row>
    <row r="2033" spans="1:5" ht="54">
      <c r="A2033" s="446">
        <v>92456</v>
      </c>
      <c r="B2033" s="447" t="s">
        <v>4755</v>
      </c>
      <c r="C2033" s="446" t="s">
        <v>42</v>
      </c>
      <c r="D2033" s="448">
        <v>97.47</v>
      </c>
      <c r="E2033" s="210"/>
    </row>
    <row r="2034" spans="1:5" ht="54">
      <c r="A2034" s="446">
        <v>92457</v>
      </c>
      <c r="B2034" s="447" t="s">
        <v>4756</v>
      </c>
      <c r="C2034" s="446" t="s">
        <v>42</v>
      </c>
      <c r="D2034" s="448">
        <v>154.19</v>
      </c>
      <c r="E2034" s="210"/>
    </row>
    <row r="2035" spans="1:5" ht="54">
      <c r="A2035" s="446">
        <v>92458</v>
      </c>
      <c r="B2035" s="447" t="s">
        <v>2117</v>
      </c>
      <c r="C2035" s="446" t="s">
        <v>42</v>
      </c>
      <c r="D2035" s="448">
        <v>207.25</v>
      </c>
      <c r="E2035" s="210"/>
    </row>
    <row r="2036" spans="1:5" ht="54">
      <c r="A2036" s="446">
        <v>92459</v>
      </c>
      <c r="B2036" s="447" t="s">
        <v>4757</v>
      </c>
      <c r="C2036" s="446" t="s">
        <v>42</v>
      </c>
      <c r="D2036" s="448">
        <v>97.52</v>
      </c>
      <c r="E2036" s="210"/>
    </row>
    <row r="2037" spans="1:5" ht="54">
      <c r="A2037" s="446">
        <v>92460</v>
      </c>
      <c r="B2037" s="447" t="s">
        <v>4758</v>
      </c>
      <c r="C2037" s="446" t="s">
        <v>42</v>
      </c>
      <c r="D2037" s="448">
        <v>78.61</v>
      </c>
      <c r="E2037" s="210"/>
    </row>
    <row r="2038" spans="1:5" ht="54">
      <c r="A2038" s="446">
        <v>92461</v>
      </c>
      <c r="B2038" s="447" t="s">
        <v>4759</v>
      </c>
      <c r="C2038" s="446" t="s">
        <v>42</v>
      </c>
      <c r="D2038" s="448">
        <v>142.24</v>
      </c>
      <c r="E2038" s="210"/>
    </row>
    <row r="2039" spans="1:5" ht="54">
      <c r="A2039" s="446">
        <v>92462</v>
      </c>
      <c r="B2039" s="447" t="s">
        <v>4760</v>
      </c>
      <c r="C2039" s="446" t="s">
        <v>42</v>
      </c>
      <c r="D2039" s="448">
        <v>198.44</v>
      </c>
      <c r="E2039" s="210"/>
    </row>
    <row r="2040" spans="1:5" ht="54">
      <c r="A2040" s="446">
        <v>92463</v>
      </c>
      <c r="B2040" s="447" t="s">
        <v>4761</v>
      </c>
      <c r="C2040" s="446" t="s">
        <v>42</v>
      </c>
      <c r="D2040" s="448">
        <v>88.3</v>
      </c>
      <c r="E2040" s="210"/>
    </row>
    <row r="2041" spans="1:5" ht="54">
      <c r="A2041" s="446">
        <v>92464</v>
      </c>
      <c r="B2041" s="447" t="s">
        <v>4762</v>
      </c>
      <c r="C2041" s="446" t="s">
        <v>42</v>
      </c>
      <c r="D2041" s="448">
        <v>74.13</v>
      </c>
      <c r="E2041" s="210"/>
    </row>
    <row r="2042" spans="1:5" ht="67.5">
      <c r="A2042" s="446">
        <v>92465</v>
      </c>
      <c r="B2042" s="447" t="s">
        <v>4763</v>
      </c>
      <c r="C2042" s="446" t="s">
        <v>42</v>
      </c>
      <c r="D2042" s="448">
        <v>108.72</v>
      </c>
      <c r="E2042" s="210"/>
    </row>
    <row r="2043" spans="1:5" ht="67.5">
      <c r="A2043" s="446">
        <v>92466</v>
      </c>
      <c r="B2043" s="447" t="s">
        <v>4764</v>
      </c>
      <c r="C2043" s="446" t="s">
        <v>42</v>
      </c>
      <c r="D2043" s="448">
        <v>190.3</v>
      </c>
      <c r="E2043" s="210"/>
    </row>
    <row r="2044" spans="1:5" ht="67.5">
      <c r="A2044" s="446">
        <v>92467</v>
      </c>
      <c r="B2044" s="447" t="s">
        <v>4765</v>
      </c>
      <c r="C2044" s="446" t="s">
        <v>42</v>
      </c>
      <c r="D2044" s="448">
        <v>68.55</v>
      </c>
      <c r="E2044" s="210"/>
    </row>
    <row r="2045" spans="1:5" ht="67.5">
      <c r="A2045" s="446">
        <v>92468</v>
      </c>
      <c r="B2045" s="447" t="s">
        <v>4766</v>
      </c>
      <c r="C2045" s="446" t="s">
        <v>42</v>
      </c>
      <c r="D2045" s="448">
        <v>65.989999999999995</v>
      </c>
      <c r="E2045" s="210"/>
    </row>
    <row r="2046" spans="1:5" ht="67.5">
      <c r="A2046" s="446">
        <v>92469</v>
      </c>
      <c r="B2046" s="447" t="s">
        <v>4767</v>
      </c>
      <c r="C2046" s="446" t="s">
        <v>42</v>
      </c>
      <c r="D2046" s="448">
        <v>98.8</v>
      </c>
      <c r="E2046" s="210"/>
    </row>
    <row r="2047" spans="1:5" ht="67.5">
      <c r="A2047" s="446">
        <v>92470</v>
      </c>
      <c r="B2047" s="447" t="s">
        <v>4768</v>
      </c>
      <c r="C2047" s="446" t="s">
        <v>42</v>
      </c>
      <c r="D2047" s="448">
        <v>185.94</v>
      </c>
      <c r="E2047" s="210"/>
    </row>
    <row r="2048" spans="1:5" ht="67.5">
      <c r="A2048" s="446">
        <v>92471</v>
      </c>
      <c r="B2048" s="447" t="s">
        <v>4769</v>
      </c>
      <c r="C2048" s="446" t="s">
        <v>42</v>
      </c>
      <c r="D2048" s="448">
        <v>62.4</v>
      </c>
      <c r="E2048" s="210"/>
    </row>
    <row r="2049" spans="1:5" ht="67.5">
      <c r="A2049" s="446">
        <v>92472</v>
      </c>
      <c r="B2049" s="447" t="s">
        <v>4770</v>
      </c>
      <c r="C2049" s="446" t="s">
        <v>42</v>
      </c>
      <c r="D2049" s="448">
        <v>62.1</v>
      </c>
      <c r="E2049" s="210"/>
    </row>
    <row r="2050" spans="1:5" ht="67.5">
      <c r="A2050" s="446">
        <v>92473</v>
      </c>
      <c r="B2050" s="447" t="s">
        <v>4771</v>
      </c>
      <c r="C2050" s="446" t="s">
        <v>42</v>
      </c>
      <c r="D2050" s="448">
        <v>90.83</v>
      </c>
      <c r="E2050" s="210"/>
    </row>
    <row r="2051" spans="1:5" ht="67.5">
      <c r="A2051" s="446">
        <v>92474</v>
      </c>
      <c r="B2051" s="447" t="s">
        <v>4772</v>
      </c>
      <c r="C2051" s="446" t="s">
        <v>42</v>
      </c>
      <c r="D2051" s="448">
        <v>182.19</v>
      </c>
      <c r="E2051" s="210"/>
    </row>
    <row r="2052" spans="1:5" ht="67.5">
      <c r="A2052" s="446">
        <v>92475</v>
      </c>
      <c r="B2052" s="447" t="s">
        <v>4773</v>
      </c>
      <c r="C2052" s="446" t="s">
        <v>42</v>
      </c>
      <c r="D2052" s="448">
        <v>57.44</v>
      </c>
      <c r="E2052" s="210"/>
    </row>
    <row r="2053" spans="1:5" ht="67.5">
      <c r="A2053" s="446">
        <v>92476</v>
      </c>
      <c r="B2053" s="447" t="s">
        <v>4774</v>
      </c>
      <c r="C2053" s="446" t="s">
        <v>42</v>
      </c>
      <c r="D2053" s="448">
        <v>58.81</v>
      </c>
      <c r="E2053" s="210"/>
    </row>
    <row r="2054" spans="1:5" ht="67.5">
      <c r="A2054" s="446">
        <v>92477</v>
      </c>
      <c r="B2054" s="447" t="s">
        <v>4775</v>
      </c>
      <c r="C2054" s="446" t="s">
        <v>42</v>
      </c>
      <c r="D2054" s="448">
        <v>73.67</v>
      </c>
      <c r="E2054" s="210"/>
    </row>
    <row r="2055" spans="1:5" ht="67.5">
      <c r="A2055" s="446">
        <v>92478</v>
      </c>
      <c r="B2055" s="447" t="s">
        <v>4776</v>
      </c>
      <c r="C2055" s="446" t="s">
        <v>42</v>
      </c>
      <c r="D2055" s="448">
        <v>174.79</v>
      </c>
      <c r="E2055" s="210"/>
    </row>
    <row r="2056" spans="1:5" ht="67.5">
      <c r="A2056" s="446">
        <v>92479</v>
      </c>
      <c r="B2056" s="447" t="s">
        <v>4777</v>
      </c>
      <c r="C2056" s="446" t="s">
        <v>42</v>
      </c>
      <c r="D2056" s="448">
        <v>46.77</v>
      </c>
      <c r="E2056" s="210"/>
    </row>
    <row r="2057" spans="1:5" ht="67.5">
      <c r="A2057" s="446">
        <v>92480</v>
      </c>
      <c r="B2057" s="447" t="s">
        <v>4778</v>
      </c>
      <c r="C2057" s="446" t="s">
        <v>42</v>
      </c>
      <c r="D2057" s="448">
        <v>52.21</v>
      </c>
      <c r="E2057" s="210"/>
    </row>
    <row r="2058" spans="1:5" ht="40.5">
      <c r="A2058" s="446">
        <v>92482</v>
      </c>
      <c r="B2058" s="447" t="s">
        <v>4779</v>
      </c>
      <c r="C2058" s="446" t="s">
        <v>42</v>
      </c>
      <c r="D2058" s="448">
        <v>202.65</v>
      </c>
      <c r="E2058" s="210"/>
    </row>
    <row r="2059" spans="1:5" ht="40.5">
      <c r="A2059" s="446">
        <v>92484</v>
      </c>
      <c r="B2059" s="447" t="s">
        <v>4780</v>
      </c>
      <c r="C2059" s="446" t="s">
        <v>42</v>
      </c>
      <c r="D2059" s="448">
        <v>147.74</v>
      </c>
      <c r="E2059" s="210"/>
    </row>
    <row r="2060" spans="1:5" ht="40.5">
      <c r="A2060" s="446">
        <v>92486</v>
      </c>
      <c r="B2060" s="447" t="s">
        <v>4781</v>
      </c>
      <c r="C2060" s="446" t="s">
        <v>42</v>
      </c>
      <c r="D2060" s="448">
        <v>104.35</v>
      </c>
      <c r="E2060" s="210"/>
    </row>
    <row r="2061" spans="1:5" ht="67.5">
      <c r="A2061" s="446">
        <v>92488</v>
      </c>
      <c r="B2061" s="447" t="s">
        <v>4782</v>
      </c>
      <c r="C2061" s="446" t="s">
        <v>42</v>
      </c>
      <c r="D2061" s="448">
        <v>72.760000000000005</v>
      </c>
      <c r="E2061" s="210"/>
    </row>
    <row r="2062" spans="1:5" ht="67.5">
      <c r="A2062" s="446">
        <v>92490</v>
      </c>
      <c r="B2062" s="447" t="s">
        <v>4783</v>
      </c>
      <c r="C2062" s="446" t="s">
        <v>42</v>
      </c>
      <c r="D2062" s="448">
        <v>41.23</v>
      </c>
      <c r="E2062" s="210"/>
    </row>
    <row r="2063" spans="1:5" ht="67.5">
      <c r="A2063" s="446">
        <v>92492</v>
      </c>
      <c r="B2063" s="447" t="s">
        <v>4784</v>
      </c>
      <c r="C2063" s="446" t="s">
        <v>42</v>
      </c>
      <c r="D2063" s="448">
        <v>70.02</v>
      </c>
      <c r="E2063" s="210"/>
    </row>
    <row r="2064" spans="1:5" ht="67.5">
      <c r="A2064" s="446">
        <v>92494</v>
      </c>
      <c r="B2064" s="447" t="s">
        <v>4785</v>
      </c>
      <c r="C2064" s="446" t="s">
        <v>42</v>
      </c>
      <c r="D2064" s="448">
        <v>38.799999999999997</v>
      </c>
      <c r="E2064" s="210"/>
    </row>
    <row r="2065" spans="1:5" ht="67.5">
      <c r="A2065" s="446">
        <v>92496</v>
      </c>
      <c r="B2065" s="447" t="s">
        <v>4786</v>
      </c>
      <c r="C2065" s="446" t="s">
        <v>42</v>
      </c>
      <c r="D2065" s="448">
        <v>68.17</v>
      </c>
      <c r="E2065" s="210"/>
    </row>
    <row r="2066" spans="1:5" ht="67.5">
      <c r="A2066" s="446">
        <v>92498</v>
      </c>
      <c r="B2066" s="447" t="s">
        <v>4787</v>
      </c>
      <c r="C2066" s="446" t="s">
        <v>42</v>
      </c>
      <c r="D2066" s="448">
        <v>37.17</v>
      </c>
      <c r="E2066" s="210"/>
    </row>
    <row r="2067" spans="1:5" ht="67.5">
      <c r="A2067" s="446">
        <v>92500</v>
      </c>
      <c r="B2067" s="447" t="s">
        <v>4788</v>
      </c>
      <c r="C2067" s="446" t="s">
        <v>42</v>
      </c>
      <c r="D2067" s="448">
        <v>67.13</v>
      </c>
      <c r="E2067" s="210"/>
    </row>
    <row r="2068" spans="1:5" ht="67.5">
      <c r="A2068" s="446">
        <v>92502</v>
      </c>
      <c r="B2068" s="447" t="s">
        <v>4789</v>
      </c>
      <c r="C2068" s="446" t="s">
        <v>42</v>
      </c>
      <c r="D2068" s="448">
        <v>36.28</v>
      </c>
      <c r="E2068" s="210"/>
    </row>
    <row r="2069" spans="1:5" ht="67.5">
      <c r="A2069" s="446">
        <v>92504</v>
      </c>
      <c r="B2069" s="447" t="s">
        <v>4790</v>
      </c>
      <c r="C2069" s="446" t="s">
        <v>42</v>
      </c>
      <c r="D2069" s="448">
        <v>40.6</v>
      </c>
      <c r="E2069" s="210"/>
    </row>
    <row r="2070" spans="1:5" ht="67.5">
      <c r="A2070" s="446">
        <v>92506</v>
      </c>
      <c r="B2070" s="447" t="s">
        <v>4791</v>
      </c>
      <c r="C2070" s="446" t="s">
        <v>42</v>
      </c>
      <c r="D2070" s="448">
        <v>34.71</v>
      </c>
      <c r="E2070" s="210"/>
    </row>
    <row r="2071" spans="1:5" ht="54">
      <c r="A2071" s="446">
        <v>92508</v>
      </c>
      <c r="B2071" s="447" t="s">
        <v>4792</v>
      </c>
      <c r="C2071" s="446" t="s">
        <v>42</v>
      </c>
      <c r="D2071" s="448">
        <v>78.7</v>
      </c>
      <c r="E2071" s="210"/>
    </row>
    <row r="2072" spans="1:5" ht="54">
      <c r="A2072" s="446">
        <v>92510</v>
      </c>
      <c r="B2072" s="447" t="s">
        <v>4793</v>
      </c>
      <c r="C2072" s="446" t="s">
        <v>42</v>
      </c>
      <c r="D2072" s="448">
        <v>43.99</v>
      </c>
      <c r="E2072" s="210"/>
    </row>
    <row r="2073" spans="1:5" ht="54">
      <c r="A2073" s="446">
        <v>92512</v>
      </c>
      <c r="B2073" s="447" t="s">
        <v>4794</v>
      </c>
      <c r="C2073" s="446" t="s">
        <v>42</v>
      </c>
      <c r="D2073" s="448">
        <v>63.02</v>
      </c>
      <c r="E2073" s="210"/>
    </row>
    <row r="2074" spans="1:5" ht="54">
      <c r="A2074" s="446">
        <v>92514</v>
      </c>
      <c r="B2074" s="447" t="s">
        <v>4795</v>
      </c>
      <c r="C2074" s="446" t="s">
        <v>42</v>
      </c>
      <c r="D2074" s="448">
        <v>30.63</v>
      </c>
      <c r="E2074" s="210"/>
    </row>
    <row r="2075" spans="1:5" ht="54">
      <c r="A2075" s="446">
        <v>92515</v>
      </c>
      <c r="B2075" s="447" t="s">
        <v>4796</v>
      </c>
      <c r="C2075" s="446" t="s">
        <v>42</v>
      </c>
      <c r="D2075" s="448">
        <v>56.46</v>
      </c>
      <c r="E2075" s="210"/>
    </row>
    <row r="2076" spans="1:5" ht="54">
      <c r="A2076" s="446">
        <v>92518</v>
      </c>
      <c r="B2076" s="447" t="s">
        <v>4797</v>
      </c>
      <c r="C2076" s="446" t="s">
        <v>42</v>
      </c>
      <c r="D2076" s="448">
        <v>25.1</v>
      </c>
      <c r="E2076" s="210"/>
    </row>
    <row r="2077" spans="1:5" ht="54">
      <c r="A2077" s="446">
        <v>92520</v>
      </c>
      <c r="B2077" s="447" t="s">
        <v>4798</v>
      </c>
      <c r="C2077" s="446" t="s">
        <v>42</v>
      </c>
      <c r="D2077" s="448">
        <v>53.11</v>
      </c>
      <c r="E2077" s="210"/>
    </row>
    <row r="2078" spans="1:5" ht="54">
      <c r="A2078" s="446">
        <v>92522</v>
      </c>
      <c r="B2078" s="447" t="s">
        <v>4799</v>
      </c>
      <c r="C2078" s="446" t="s">
        <v>42</v>
      </c>
      <c r="D2078" s="448">
        <v>22.25</v>
      </c>
      <c r="E2078" s="210"/>
    </row>
    <row r="2079" spans="1:5" ht="54">
      <c r="A2079" s="446">
        <v>92524</v>
      </c>
      <c r="B2079" s="447" t="s">
        <v>4800</v>
      </c>
      <c r="C2079" s="446" t="s">
        <v>42</v>
      </c>
      <c r="D2079" s="448">
        <v>50.85</v>
      </c>
      <c r="E2079" s="210"/>
    </row>
    <row r="2080" spans="1:5" ht="54">
      <c r="A2080" s="446">
        <v>92526</v>
      </c>
      <c r="B2080" s="447" t="s">
        <v>4801</v>
      </c>
      <c r="C2080" s="446" t="s">
        <v>42</v>
      </c>
      <c r="D2080" s="448">
        <v>20.29</v>
      </c>
      <c r="E2080" s="210"/>
    </row>
    <row r="2081" spans="1:5" ht="54">
      <c r="A2081" s="446">
        <v>92528</v>
      </c>
      <c r="B2081" s="447" t="s">
        <v>4802</v>
      </c>
      <c r="C2081" s="446" t="s">
        <v>42</v>
      </c>
      <c r="D2081" s="448">
        <v>49.66</v>
      </c>
      <c r="E2081" s="210"/>
    </row>
    <row r="2082" spans="1:5" ht="54">
      <c r="A2082" s="446">
        <v>92530</v>
      </c>
      <c r="B2082" s="447" t="s">
        <v>4803</v>
      </c>
      <c r="C2082" s="446" t="s">
        <v>42</v>
      </c>
      <c r="D2082" s="448">
        <v>19.29</v>
      </c>
      <c r="E2082" s="210"/>
    </row>
    <row r="2083" spans="1:5" ht="54">
      <c r="A2083" s="446">
        <v>92532</v>
      </c>
      <c r="B2083" s="447" t="s">
        <v>4804</v>
      </c>
      <c r="C2083" s="446" t="s">
        <v>42</v>
      </c>
      <c r="D2083" s="448">
        <v>48.74</v>
      </c>
      <c r="E2083" s="210"/>
    </row>
    <row r="2084" spans="1:5" ht="54">
      <c r="A2084" s="446">
        <v>92534</v>
      </c>
      <c r="B2084" s="447" t="s">
        <v>4805</v>
      </c>
      <c r="C2084" s="446" t="s">
        <v>42</v>
      </c>
      <c r="D2084" s="448">
        <v>18.559999999999999</v>
      </c>
      <c r="E2084" s="210"/>
    </row>
    <row r="2085" spans="1:5" ht="54">
      <c r="A2085" s="446">
        <v>92536</v>
      </c>
      <c r="B2085" s="447" t="s">
        <v>4806</v>
      </c>
      <c r="C2085" s="446" t="s">
        <v>42</v>
      </c>
      <c r="D2085" s="448">
        <v>47.08</v>
      </c>
      <c r="E2085" s="210"/>
    </row>
    <row r="2086" spans="1:5" ht="54">
      <c r="A2086" s="446">
        <v>92538</v>
      </c>
      <c r="B2086" s="447" t="s">
        <v>4807</v>
      </c>
      <c r="C2086" s="446" t="s">
        <v>42</v>
      </c>
      <c r="D2086" s="448">
        <v>17.059999999999999</v>
      </c>
      <c r="E2086" s="210"/>
    </row>
    <row r="2087" spans="1:5" ht="40.5">
      <c r="A2087" s="446">
        <v>96252</v>
      </c>
      <c r="B2087" s="447" t="s">
        <v>3018</v>
      </c>
      <c r="C2087" s="446" t="s">
        <v>42</v>
      </c>
      <c r="D2087" s="448">
        <v>189.36</v>
      </c>
      <c r="E2087" s="210"/>
    </row>
    <row r="2088" spans="1:5" ht="67.5">
      <c r="A2088" s="446">
        <v>96257</v>
      </c>
      <c r="B2088" s="447" t="s">
        <v>3019</v>
      </c>
      <c r="C2088" s="446" t="s">
        <v>42</v>
      </c>
      <c r="D2088" s="448">
        <v>147.41</v>
      </c>
      <c r="E2088" s="210"/>
    </row>
    <row r="2089" spans="1:5" ht="67.5">
      <c r="A2089" s="446">
        <v>96258</v>
      </c>
      <c r="B2089" s="447" t="s">
        <v>3020</v>
      </c>
      <c r="C2089" s="446" t="s">
        <v>42</v>
      </c>
      <c r="D2089" s="448">
        <v>138.94999999999999</v>
      </c>
      <c r="E2089" s="210"/>
    </row>
    <row r="2090" spans="1:5" ht="67.5">
      <c r="A2090" s="446">
        <v>96259</v>
      </c>
      <c r="B2090" s="447" t="s">
        <v>3021</v>
      </c>
      <c r="C2090" s="446" t="s">
        <v>42</v>
      </c>
      <c r="D2090" s="448">
        <v>162.52000000000001</v>
      </c>
      <c r="E2090" s="210"/>
    </row>
    <row r="2091" spans="1:5" ht="40.5">
      <c r="A2091" s="446">
        <v>96529</v>
      </c>
      <c r="B2091" s="447" t="s">
        <v>3057</v>
      </c>
      <c r="C2091" s="446" t="s">
        <v>42</v>
      </c>
      <c r="D2091" s="448">
        <v>230.95</v>
      </c>
      <c r="E2091" s="210"/>
    </row>
    <row r="2092" spans="1:5" ht="54">
      <c r="A2092" s="446">
        <v>96530</v>
      </c>
      <c r="B2092" s="447" t="s">
        <v>3058</v>
      </c>
      <c r="C2092" s="446" t="s">
        <v>42</v>
      </c>
      <c r="D2092" s="448">
        <v>122.25</v>
      </c>
      <c r="E2092" s="210"/>
    </row>
    <row r="2093" spans="1:5" ht="54">
      <c r="A2093" s="446">
        <v>96531</v>
      </c>
      <c r="B2093" s="447" t="s">
        <v>3059</v>
      </c>
      <c r="C2093" s="446" t="s">
        <v>42</v>
      </c>
      <c r="D2093" s="448">
        <v>85.42</v>
      </c>
      <c r="E2093" s="210"/>
    </row>
    <row r="2094" spans="1:5" ht="40.5">
      <c r="A2094" s="446">
        <v>96532</v>
      </c>
      <c r="B2094" s="447" t="s">
        <v>3060</v>
      </c>
      <c r="C2094" s="446" t="s">
        <v>42</v>
      </c>
      <c r="D2094" s="448">
        <v>145.19</v>
      </c>
      <c r="E2094" s="210"/>
    </row>
    <row r="2095" spans="1:5" ht="54">
      <c r="A2095" s="446">
        <v>96533</v>
      </c>
      <c r="B2095" s="447" t="s">
        <v>3061</v>
      </c>
      <c r="C2095" s="446" t="s">
        <v>42</v>
      </c>
      <c r="D2095" s="448">
        <v>75.3</v>
      </c>
      <c r="E2095" s="210"/>
    </row>
    <row r="2096" spans="1:5" ht="54">
      <c r="A2096" s="446">
        <v>96534</v>
      </c>
      <c r="B2096" s="447" t="s">
        <v>3062</v>
      </c>
      <c r="C2096" s="446" t="s">
        <v>42</v>
      </c>
      <c r="D2096" s="448">
        <v>59.22</v>
      </c>
      <c r="E2096" s="210"/>
    </row>
    <row r="2097" spans="1:5" ht="40.5">
      <c r="A2097" s="446">
        <v>96535</v>
      </c>
      <c r="B2097" s="447" t="s">
        <v>3063</v>
      </c>
      <c r="C2097" s="446" t="s">
        <v>42</v>
      </c>
      <c r="D2097" s="448">
        <v>100.54</v>
      </c>
      <c r="E2097" s="210"/>
    </row>
    <row r="2098" spans="1:5" ht="54">
      <c r="A2098" s="446">
        <v>96536</v>
      </c>
      <c r="B2098" s="447" t="s">
        <v>3064</v>
      </c>
      <c r="C2098" s="446" t="s">
        <v>42</v>
      </c>
      <c r="D2098" s="448">
        <v>50.86</v>
      </c>
      <c r="E2098" s="210"/>
    </row>
    <row r="2099" spans="1:5" ht="54">
      <c r="A2099" s="446">
        <v>96537</v>
      </c>
      <c r="B2099" s="447" t="s">
        <v>3065</v>
      </c>
      <c r="C2099" s="446" t="s">
        <v>42</v>
      </c>
      <c r="D2099" s="448">
        <v>139.47999999999999</v>
      </c>
      <c r="E2099" s="210"/>
    </row>
    <row r="2100" spans="1:5" ht="54">
      <c r="A2100" s="446">
        <v>96538</v>
      </c>
      <c r="B2100" s="447" t="s">
        <v>3066</v>
      </c>
      <c r="C2100" s="446" t="s">
        <v>42</v>
      </c>
      <c r="D2100" s="448">
        <v>202.95</v>
      </c>
      <c r="E2100" s="210"/>
    </row>
    <row r="2101" spans="1:5" ht="54">
      <c r="A2101" s="446">
        <v>96539</v>
      </c>
      <c r="B2101" s="447" t="s">
        <v>3067</v>
      </c>
      <c r="C2101" s="446" t="s">
        <v>42</v>
      </c>
      <c r="D2101" s="448">
        <v>93.7</v>
      </c>
      <c r="E2101" s="210"/>
    </row>
    <row r="2102" spans="1:5" ht="54">
      <c r="A2102" s="446">
        <v>96540</v>
      </c>
      <c r="B2102" s="447" t="s">
        <v>3068</v>
      </c>
      <c r="C2102" s="446" t="s">
        <v>42</v>
      </c>
      <c r="D2102" s="448">
        <v>94.52</v>
      </c>
      <c r="E2102" s="210"/>
    </row>
    <row r="2103" spans="1:5" ht="54">
      <c r="A2103" s="446">
        <v>96541</v>
      </c>
      <c r="B2103" s="447" t="s">
        <v>3069</v>
      </c>
      <c r="C2103" s="446" t="s">
        <v>42</v>
      </c>
      <c r="D2103" s="448">
        <v>138.62</v>
      </c>
      <c r="E2103" s="210"/>
    </row>
    <row r="2104" spans="1:5" ht="54">
      <c r="A2104" s="446">
        <v>96542</v>
      </c>
      <c r="B2104" s="447" t="s">
        <v>3070</v>
      </c>
      <c r="C2104" s="446" t="s">
        <v>42</v>
      </c>
      <c r="D2104" s="448">
        <v>67.12</v>
      </c>
      <c r="E2104" s="210"/>
    </row>
    <row r="2105" spans="1:5" ht="40.5">
      <c r="A2105" s="446">
        <v>96543</v>
      </c>
      <c r="B2105" s="447" t="s">
        <v>3071</v>
      </c>
      <c r="C2105" s="446" t="s">
        <v>17</v>
      </c>
      <c r="D2105" s="448">
        <v>20.52</v>
      </c>
      <c r="E2105" s="210"/>
    </row>
    <row r="2106" spans="1:5" ht="67.5">
      <c r="A2106" s="446">
        <v>97747</v>
      </c>
      <c r="B2106" s="447" t="s">
        <v>3503</v>
      </c>
      <c r="C2106" s="446" t="s">
        <v>42</v>
      </c>
      <c r="D2106" s="448">
        <v>152.08000000000001</v>
      </c>
      <c r="E2106" s="210"/>
    </row>
    <row r="2107" spans="1:5" ht="40.5">
      <c r="A2107" s="446">
        <v>101791</v>
      </c>
      <c r="B2107" s="447" t="s">
        <v>4808</v>
      </c>
      <c r="C2107" s="446" t="s">
        <v>14</v>
      </c>
      <c r="D2107" s="448">
        <v>24.89</v>
      </c>
      <c r="E2107" s="210"/>
    </row>
    <row r="2108" spans="1:5" ht="54">
      <c r="A2108" s="446">
        <v>101792</v>
      </c>
      <c r="B2108" s="447" t="s">
        <v>4809</v>
      </c>
      <c r="C2108" s="446" t="s">
        <v>31</v>
      </c>
      <c r="D2108" s="448">
        <v>12.64</v>
      </c>
      <c r="E2108" s="210"/>
    </row>
    <row r="2109" spans="1:5" ht="54">
      <c r="A2109" s="446">
        <v>101793</v>
      </c>
      <c r="B2109" s="447" t="s">
        <v>4810</v>
      </c>
      <c r="C2109" s="446" t="s">
        <v>31</v>
      </c>
      <c r="D2109" s="448">
        <v>20.78</v>
      </c>
      <c r="E2109" s="210"/>
    </row>
    <row r="2110" spans="1:5" ht="54">
      <c r="A2110" s="446">
        <v>101969</v>
      </c>
      <c r="B2110" s="447" t="s">
        <v>6162</v>
      </c>
      <c r="C2110" s="446" t="s">
        <v>42</v>
      </c>
      <c r="D2110" s="448">
        <v>134.43</v>
      </c>
      <c r="E2110" s="210"/>
    </row>
    <row r="2111" spans="1:5" ht="54">
      <c r="A2111" s="446">
        <v>101971</v>
      </c>
      <c r="B2111" s="447" t="s">
        <v>6163</v>
      </c>
      <c r="C2111" s="446" t="s">
        <v>42</v>
      </c>
      <c r="D2111" s="448">
        <v>125.7</v>
      </c>
      <c r="E2111" s="210"/>
    </row>
    <row r="2112" spans="1:5" ht="40.5">
      <c r="A2112" s="446">
        <v>101973</v>
      </c>
      <c r="B2112" s="447" t="s">
        <v>6164</v>
      </c>
      <c r="C2112" s="446" t="s">
        <v>42</v>
      </c>
      <c r="D2112" s="448">
        <v>128.22999999999999</v>
      </c>
      <c r="E2112" s="210"/>
    </row>
    <row r="2113" spans="1:5" ht="54">
      <c r="A2113" s="446">
        <v>101974</v>
      </c>
      <c r="B2113" s="447" t="s">
        <v>6165</v>
      </c>
      <c r="C2113" s="446" t="s">
        <v>42</v>
      </c>
      <c r="D2113" s="448">
        <v>323.16000000000003</v>
      </c>
      <c r="E2113" s="210"/>
    </row>
    <row r="2114" spans="1:5" ht="54">
      <c r="A2114" s="446">
        <v>101975</v>
      </c>
      <c r="B2114" s="447" t="s">
        <v>6166</v>
      </c>
      <c r="C2114" s="446" t="s">
        <v>42</v>
      </c>
      <c r="D2114" s="448">
        <v>275.45999999999998</v>
      </c>
      <c r="E2114" s="210"/>
    </row>
    <row r="2115" spans="1:5" ht="54">
      <c r="A2115" s="446">
        <v>101977</v>
      </c>
      <c r="B2115" s="447" t="s">
        <v>6167</v>
      </c>
      <c r="C2115" s="446" t="s">
        <v>42</v>
      </c>
      <c r="D2115" s="448">
        <v>215.82</v>
      </c>
      <c r="E2115" s="210"/>
    </row>
    <row r="2116" spans="1:5" ht="54">
      <c r="A2116" s="446">
        <v>101980</v>
      </c>
      <c r="B2116" s="447" t="s">
        <v>6168</v>
      </c>
      <c r="C2116" s="446" t="s">
        <v>42</v>
      </c>
      <c r="D2116" s="448">
        <v>197.62</v>
      </c>
      <c r="E2116" s="210"/>
    </row>
    <row r="2117" spans="1:5" ht="54">
      <c r="A2117" s="446">
        <v>101981</v>
      </c>
      <c r="B2117" s="447" t="s">
        <v>6169</v>
      </c>
      <c r="C2117" s="446" t="s">
        <v>42</v>
      </c>
      <c r="D2117" s="448">
        <v>152.74</v>
      </c>
      <c r="E2117" s="210"/>
    </row>
    <row r="2118" spans="1:5" ht="54">
      <c r="A2118" s="446">
        <v>101982</v>
      </c>
      <c r="B2118" s="447" t="s">
        <v>6170</v>
      </c>
      <c r="C2118" s="446" t="s">
        <v>42</v>
      </c>
      <c r="D2118" s="448">
        <v>134.44999999999999</v>
      </c>
      <c r="E2118" s="210"/>
    </row>
    <row r="2119" spans="1:5" ht="67.5">
      <c r="A2119" s="446">
        <v>101983</v>
      </c>
      <c r="B2119" s="447" t="s">
        <v>6171</v>
      </c>
      <c r="C2119" s="446" t="s">
        <v>42</v>
      </c>
      <c r="D2119" s="448">
        <v>122.94</v>
      </c>
      <c r="E2119" s="210"/>
    </row>
    <row r="2120" spans="1:5" ht="54">
      <c r="A2120" s="446">
        <v>101985</v>
      </c>
      <c r="B2120" s="447" t="s">
        <v>6172</v>
      </c>
      <c r="C2120" s="446" t="s">
        <v>42</v>
      </c>
      <c r="D2120" s="448">
        <v>129.27000000000001</v>
      </c>
      <c r="E2120" s="210"/>
    </row>
    <row r="2121" spans="1:5" ht="54">
      <c r="A2121" s="446">
        <v>101986</v>
      </c>
      <c r="B2121" s="447" t="s">
        <v>6173</v>
      </c>
      <c r="C2121" s="446" t="s">
        <v>42</v>
      </c>
      <c r="D2121" s="448">
        <v>118.17</v>
      </c>
      <c r="E2121" s="210"/>
    </row>
    <row r="2122" spans="1:5" ht="40.5">
      <c r="A2122" s="446">
        <v>101987</v>
      </c>
      <c r="B2122" s="447" t="s">
        <v>6174</v>
      </c>
      <c r="C2122" s="446" t="s">
        <v>42</v>
      </c>
      <c r="D2122" s="448">
        <v>146.07</v>
      </c>
      <c r="E2122" s="210"/>
    </row>
    <row r="2123" spans="1:5" ht="54">
      <c r="A2123" s="446">
        <v>101988</v>
      </c>
      <c r="B2123" s="447" t="s">
        <v>6175</v>
      </c>
      <c r="C2123" s="446" t="s">
        <v>42</v>
      </c>
      <c r="D2123" s="448">
        <v>140.25</v>
      </c>
      <c r="E2123" s="210"/>
    </row>
    <row r="2124" spans="1:5" ht="54">
      <c r="A2124" s="446">
        <v>101989</v>
      </c>
      <c r="B2124" s="447" t="s">
        <v>6176</v>
      </c>
      <c r="C2124" s="446" t="s">
        <v>42</v>
      </c>
      <c r="D2124" s="448">
        <v>131.63</v>
      </c>
      <c r="E2124" s="210"/>
    </row>
    <row r="2125" spans="1:5" ht="40.5">
      <c r="A2125" s="446">
        <v>101990</v>
      </c>
      <c r="B2125" s="447" t="s">
        <v>6177</v>
      </c>
      <c r="C2125" s="446" t="s">
        <v>42</v>
      </c>
      <c r="D2125" s="448">
        <v>137.75</v>
      </c>
      <c r="E2125" s="210"/>
    </row>
    <row r="2126" spans="1:5" ht="54">
      <c r="A2126" s="446">
        <v>101991</v>
      </c>
      <c r="B2126" s="447" t="s">
        <v>6178</v>
      </c>
      <c r="C2126" s="446" t="s">
        <v>42</v>
      </c>
      <c r="D2126" s="448">
        <v>130.24</v>
      </c>
      <c r="E2126" s="210"/>
    </row>
    <row r="2127" spans="1:5" ht="54">
      <c r="A2127" s="446">
        <v>101992</v>
      </c>
      <c r="B2127" s="447" t="s">
        <v>6179</v>
      </c>
      <c r="C2127" s="446" t="s">
        <v>42</v>
      </c>
      <c r="D2127" s="448">
        <v>119.62</v>
      </c>
      <c r="E2127" s="210"/>
    </row>
    <row r="2128" spans="1:5" ht="40.5">
      <c r="A2128" s="446">
        <v>101993</v>
      </c>
      <c r="B2128" s="447" t="s">
        <v>6180</v>
      </c>
      <c r="C2128" s="446" t="s">
        <v>42</v>
      </c>
      <c r="D2128" s="448">
        <v>170.01</v>
      </c>
      <c r="E2128" s="210"/>
    </row>
    <row r="2129" spans="1:5" ht="54">
      <c r="A2129" s="446">
        <v>101994</v>
      </c>
      <c r="B2129" s="447" t="s">
        <v>6181</v>
      </c>
      <c r="C2129" s="446" t="s">
        <v>42</v>
      </c>
      <c r="D2129" s="448">
        <v>147.75</v>
      </c>
      <c r="E2129" s="210"/>
    </row>
    <row r="2130" spans="1:5" ht="54">
      <c r="A2130" s="446">
        <v>101995</v>
      </c>
      <c r="B2130" s="447" t="s">
        <v>6182</v>
      </c>
      <c r="C2130" s="446" t="s">
        <v>42</v>
      </c>
      <c r="D2130" s="448">
        <v>138.07</v>
      </c>
      <c r="E2130" s="210"/>
    </row>
    <row r="2131" spans="1:5" ht="40.5">
      <c r="A2131" s="446">
        <v>101996</v>
      </c>
      <c r="B2131" s="447" t="s">
        <v>6183</v>
      </c>
      <c r="C2131" s="446" t="s">
        <v>42</v>
      </c>
      <c r="D2131" s="448">
        <v>147.38999999999999</v>
      </c>
      <c r="E2131" s="210"/>
    </row>
    <row r="2132" spans="1:5" ht="54">
      <c r="A2132" s="446">
        <v>101997</v>
      </c>
      <c r="B2132" s="447" t="s">
        <v>6184</v>
      </c>
      <c r="C2132" s="446" t="s">
        <v>42</v>
      </c>
      <c r="D2132" s="448">
        <v>128.88999999999999</v>
      </c>
      <c r="E2132" s="210"/>
    </row>
    <row r="2133" spans="1:5" ht="54">
      <c r="A2133" s="446">
        <v>101998</v>
      </c>
      <c r="B2133" s="447" t="s">
        <v>6185</v>
      </c>
      <c r="C2133" s="446" t="s">
        <v>42</v>
      </c>
      <c r="D2133" s="448">
        <v>118.04</v>
      </c>
      <c r="E2133" s="210"/>
    </row>
    <row r="2134" spans="1:5" ht="40.5">
      <c r="A2134" s="446">
        <v>101999</v>
      </c>
      <c r="B2134" s="447" t="s">
        <v>6186</v>
      </c>
      <c r="C2134" s="446" t="s">
        <v>42</v>
      </c>
      <c r="D2134" s="448">
        <v>181.47</v>
      </c>
      <c r="E2134" s="210"/>
    </row>
    <row r="2135" spans="1:5" ht="54">
      <c r="A2135" s="446">
        <v>102000</v>
      </c>
      <c r="B2135" s="447" t="s">
        <v>6187</v>
      </c>
      <c r="C2135" s="446" t="s">
        <v>42</v>
      </c>
      <c r="D2135" s="448">
        <v>315.66000000000003</v>
      </c>
      <c r="E2135" s="210"/>
    </row>
    <row r="2136" spans="1:5" ht="54">
      <c r="A2136" s="446">
        <v>102001</v>
      </c>
      <c r="B2136" s="447" t="s">
        <v>6188</v>
      </c>
      <c r="C2136" s="446" t="s">
        <v>42</v>
      </c>
      <c r="D2136" s="448">
        <v>271.44</v>
      </c>
      <c r="E2136" s="210"/>
    </row>
    <row r="2137" spans="1:5" ht="54">
      <c r="A2137" s="446">
        <v>102002</v>
      </c>
      <c r="B2137" s="447" t="s">
        <v>6189</v>
      </c>
      <c r="C2137" s="446" t="s">
        <v>42</v>
      </c>
      <c r="D2137" s="448">
        <v>208.41</v>
      </c>
      <c r="E2137" s="210"/>
    </row>
    <row r="2138" spans="1:5" ht="54">
      <c r="A2138" s="446">
        <v>102003</v>
      </c>
      <c r="B2138" s="447" t="s">
        <v>6190</v>
      </c>
      <c r="C2138" s="446" t="s">
        <v>42</v>
      </c>
      <c r="D2138" s="448">
        <v>191.27</v>
      </c>
      <c r="E2138" s="210"/>
    </row>
    <row r="2139" spans="1:5" ht="54">
      <c r="A2139" s="446">
        <v>102004</v>
      </c>
      <c r="B2139" s="447" t="s">
        <v>6191</v>
      </c>
      <c r="C2139" s="446" t="s">
        <v>42</v>
      </c>
      <c r="D2139" s="448">
        <v>148.13999999999999</v>
      </c>
      <c r="E2139" s="210"/>
    </row>
    <row r="2140" spans="1:5" ht="54">
      <c r="A2140" s="446">
        <v>102005</v>
      </c>
      <c r="B2140" s="447" t="s">
        <v>6192</v>
      </c>
      <c r="C2140" s="446" t="s">
        <v>42</v>
      </c>
      <c r="D2140" s="448">
        <v>130.41999999999999</v>
      </c>
      <c r="E2140" s="210"/>
    </row>
    <row r="2141" spans="1:5" ht="67.5">
      <c r="A2141" s="446">
        <v>102006</v>
      </c>
      <c r="B2141" s="447" t="s">
        <v>6193</v>
      </c>
      <c r="C2141" s="446" t="s">
        <v>42</v>
      </c>
      <c r="D2141" s="448">
        <v>119.27</v>
      </c>
      <c r="E2141" s="210"/>
    </row>
    <row r="2142" spans="1:5" ht="54">
      <c r="A2142" s="446">
        <v>102007</v>
      </c>
      <c r="B2142" s="447" t="s">
        <v>6194</v>
      </c>
      <c r="C2142" s="446" t="s">
        <v>42</v>
      </c>
      <c r="D2142" s="448">
        <v>317.29000000000002</v>
      </c>
      <c r="E2142" s="210"/>
    </row>
    <row r="2143" spans="1:5" ht="54">
      <c r="A2143" s="446">
        <v>102008</v>
      </c>
      <c r="B2143" s="447" t="s">
        <v>6195</v>
      </c>
      <c r="C2143" s="446" t="s">
        <v>42</v>
      </c>
      <c r="D2143" s="448">
        <v>265.94</v>
      </c>
      <c r="E2143" s="210"/>
    </row>
    <row r="2144" spans="1:5" ht="54">
      <c r="A2144" s="446">
        <v>102009</v>
      </c>
      <c r="B2144" s="447" t="s">
        <v>6196</v>
      </c>
      <c r="C2144" s="446" t="s">
        <v>42</v>
      </c>
      <c r="D2144" s="448">
        <v>217.86</v>
      </c>
      <c r="E2144" s="210"/>
    </row>
    <row r="2145" spans="1:5" ht="54">
      <c r="A2145" s="446">
        <v>102010</v>
      </c>
      <c r="B2145" s="447" t="s">
        <v>6197</v>
      </c>
      <c r="C2145" s="446" t="s">
        <v>42</v>
      </c>
      <c r="D2145" s="448">
        <v>197.85</v>
      </c>
      <c r="E2145" s="210"/>
    </row>
    <row r="2146" spans="1:5" ht="54">
      <c r="A2146" s="446">
        <v>102011</v>
      </c>
      <c r="B2146" s="447" t="s">
        <v>6198</v>
      </c>
      <c r="C2146" s="446" t="s">
        <v>42</v>
      </c>
      <c r="D2146" s="448">
        <v>152.04</v>
      </c>
      <c r="E2146" s="210"/>
    </row>
    <row r="2147" spans="1:5" ht="54">
      <c r="A2147" s="446">
        <v>102012</v>
      </c>
      <c r="B2147" s="447" t="s">
        <v>6199</v>
      </c>
      <c r="C2147" s="446" t="s">
        <v>42</v>
      </c>
      <c r="D2147" s="448">
        <v>133.11000000000001</v>
      </c>
      <c r="E2147" s="210"/>
    </row>
    <row r="2148" spans="1:5" ht="67.5">
      <c r="A2148" s="446">
        <v>102013</v>
      </c>
      <c r="B2148" s="447" t="s">
        <v>6200</v>
      </c>
      <c r="C2148" s="446" t="s">
        <v>42</v>
      </c>
      <c r="D2148" s="448">
        <v>122.6</v>
      </c>
      <c r="E2148" s="210"/>
    </row>
    <row r="2149" spans="1:5" ht="54">
      <c r="A2149" s="446">
        <v>102014</v>
      </c>
      <c r="B2149" s="447" t="s">
        <v>6201</v>
      </c>
      <c r="C2149" s="446" t="s">
        <v>42</v>
      </c>
      <c r="D2149" s="448">
        <v>339.18</v>
      </c>
      <c r="E2149" s="210"/>
    </row>
    <row r="2150" spans="1:5" ht="54">
      <c r="A2150" s="446">
        <v>102015</v>
      </c>
      <c r="B2150" s="447" t="s">
        <v>6202</v>
      </c>
      <c r="C2150" s="446" t="s">
        <v>42</v>
      </c>
      <c r="D2150" s="448">
        <v>284.57</v>
      </c>
      <c r="E2150" s="210"/>
    </row>
    <row r="2151" spans="1:5" ht="54">
      <c r="A2151" s="446">
        <v>102016</v>
      </c>
      <c r="B2151" s="447" t="s">
        <v>6203</v>
      </c>
      <c r="C2151" s="446" t="s">
        <v>42</v>
      </c>
      <c r="D2151" s="448">
        <v>207.06</v>
      </c>
      <c r="E2151" s="210"/>
    </row>
    <row r="2152" spans="1:5" ht="54">
      <c r="A2152" s="446">
        <v>102017</v>
      </c>
      <c r="B2152" s="447" t="s">
        <v>6204</v>
      </c>
      <c r="C2152" s="446" t="s">
        <v>42</v>
      </c>
      <c r="D2152" s="448">
        <v>188.51</v>
      </c>
      <c r="E2152" s="210"/>
    </row>
    <row r="2153" spans="1:5" ht="54">
      <c r="A2153" s="446">
        <v>102036</v>
      </c>
      <c r="B2153" s="447" t="s">
        <v>6205</v>
      </c>
      <c r="C2153" s="446" t="s">
        <v>42</v>
      </c>
      <c r="D2153" s="448">
        <v>145.56</v>
      </c>
      <c r="E2153" s="210"/>
    </row>
    <row r="2154" spans="1:5" ht="54">
      <c r="A2154" s="446">
        <v>102037</v>
      </c>
      <c r="B2154" s="447" t="s">
        <v>6206</v>
      </c>
      <c r="C2154" s="446" t="s">
        <v>42</v>
      </c>
      <c r="D2154" s="448">
        <v>127.73</v>
      </c>
      <c r="E2154" s="210"/>
    </row>
    <row r="2155" spans="1:5" ht="67.5">
      <c r="A2155" s="446">
        <v>102038</v>
      </c>
      <c r="B2155" s="447" t="s">
        <v>6207</v>
      </c>
      <c r="C2155" s="446" t="s">
        <v>42</v>
      </c>
      <c r="D2155" s="448">
        <v>117.82</v>
      </c>
      <c r="E2155" s="210"/>
    </row>
    <row r="2156" spans="1:5" ht="54">
      <c r="A2156" s="446">
        <v>102039</v>
      </c>
      <c r="B2156" s="447" t="s">
        <v>6208</v>
      </c>
      <c r="C2156" s="446" t="s">
        <v>42</v>
      </c>
      <c r="D2156" s="448">
        <v>327.92</v>
      </c>
      <c r="E2156" s="210"/>
    </row>
    <row r="2157" spans="1:5" ht="54">
      <c r="A2157" s="446">
        <v>102040</v>
      </c>
      <c r="B2157" s="447" t="s">
        <v>6209</v>
      </c>
      <c r="C2157" s="446" t="s">
        <v>42</v>
      </c>
      <c r="D2157" s="448">
        <v>273.95999999999998</v>
      </c>
      <c r="E2157" s="210"/>
    </row>
    <row r="2158" spans="1:5" ht="54">
      <c r="A2158" s="446">
        <v>102041</v>
      </c>
      <c r="B2158" s="447" t="s">
        <v>6210</v>
      </c>
      <c r="C2158" s="446" t="s">
        <v>42</v>
      </c>
      <c r="D2158" s="448">
        <v>220.1</v>
      </c>
      <c r="E2158" s="210"/>
    </row>
    <row r="2159" spans="1:5" ht="54">
      <c r="A2159" s="446">
        <v>102042</v>
      </c>
      <c r="B2159" s="447" t="s">
        <v>6211</v>
      </c>
      <c r="C2159" s="446" t="s">
        <v>42</v>
      </c>
      <c r="D2159" s="448">
        <v>198.18</v>
      </c>
      <c r="E2159" s="210"/>
    </row>
    <row r="2160" spans="1:5" ht="54">
      <c r="A2160" s="446">
        <v>102043</v>
      </c>
      <c r="B2160" s="447" t="s">
        <v>6212</v>
      </c>
      <c r="C2160" s="446" t="s">
        <v>42</v>
      </c>
      <c r="D2160" s="448">
        <v>152.01</v>
      </c>
      <c r="E2160" s="210"/>
    </row>
    <row r="2161" spans="1:5" ht="54">
      <c r="A2161" s="446">
        <v>102044</v>
      </c>
      <c r="B2161" s="447" t="s">
        <v>6213</v>
      </c>
      <c r="C2161" s="446" t="s">
        <v>42</v>
      </c>
      <c r="D2161" s="448">
        <v>133.72999999999999</v>
      </c>
      <c r="E2161" s="210"/>
    </row>
    <row r="2162" spans="1:5" ht="67.5">
      <c r="A2162" s="446">
        <v>102045</v>
      </c>
      <c r="B2162" s="447" t="s">
        <v>6214</v>
      </c>
      <c r="C2162" s="446" t="s">
        <v>42</v>
      </c>
      <c r="D2162" s="448">
        <v>122.77</v>
      </c>
      <c r="E2162" s="210"/>
    </row>
    <row r="2163" spans="1:5" ht="54">
      <c r="A2163" s="446">
        <v>102046</v>
      </c>
      <c r="B2163" s="447" t="s">
        <v>6215</v>
      </c>
      <c r="C2163" s="446" t="s">
        <v>42</v>
      </c>
      <c r="D2163" s="448">
        <v>341.46</v>
      </c>
      <c r="E2163" s="210"/>
    </row>
    <row r="2164" spans="1:5" ht="54">
      <c r="A2164" s="446">
        <v>102047</v>
      </c>
      <c r="B2164" s="447" t="s">
        <v>6216</v>
      </c>
      <c r="C2164" s="446" t="s">
        <v>42</v>
      </c>
      <c r="D2164" s="448">
        <v>290.95999999999998</v>
      </c>
      <c r="E2164" s="210"/>
    </row>
    <row r="2165" spans="1:5" ht="54">
      <c r="A2165" s="446">
        <v>102048</v>
      </c>
      <c r="B2165" s="447" t="s">
        <v>6217</v>
      </c>
      <c r="C2165" s="446" t="s">
        <v>42</v>
      </c>
      <c r="D2165" s="448">
        <v>202.85</v>
      </c>
      <c r="E2165" s="210"/>
    </row>
    <row r="2166" spans="1:5" ht="54">
      <c r="A2166" s="446">
        <v>102049</v>
      </c>
      <c r="B2166" s="447" t="s">
        <v>6218</v>
      </c>
      <c r="C2166" s="446" t="s">
        <v>42</v>
      </c>
      <c r="D2166" s="448">
        <v>182.34</v>
      </c>
      <c r="E2166" s="210"/>
    </row>
    <row r="2167" spans="1:5" ht="54">
      <c r="A2167" s="446">
        <v>102050</v>
      </c>
      <c r="B2167" s="447" t="s">
        <v>6219</v>
      </c>
      <c r="C2167" s="446" t="s">
        <v>42</v>
      </c>
      <c r="D2167" s="448">
        <v>141.13999999999999</v>
      </c>
      <c r="E2167" s="210"/>
    </row>
    <row r="2168" spans="1:5" ht="54">
      <c r="A2168" s="446">
        <v>102051</v>
      </c>
      <c r="B2168" s="447" t="s">
        <v>6220</v>
      </c>
      <c r="C2168" s="446" t="s">
        <v>42</v>
      </c>
      <c r="D2168" s="448">
        <v>123.47</v>
      </c>
      <c r="E2168" s="210"/>
    </row>
    <row r="2169" spans="1:5" ht="67.5">
      <c r="A2169" s="446">
        <v>102052</v>
      </c>
      <c r="B2169" s="447" t="s">
        <v>6221</v>
      </c>
      <c r="C2169" s="446" t="s">
        <v>42</v>
      </c>
      <c r="D2169" s="448">
        <v>113.63</v>
      </c>
      <c r="E2169" s="210"/>
    </row>
    <row r="2170" spans="1:5" ht="54">
      <c r="A2170" s="446">
        <v>102059</v>
      </c>
      <c r="B2170" s="447" t="s">
        <v>6222</v>
      </c>
      <c r="C2170" s="446" t="s">
        <v>42</v>
      </c>
      <c r="D2170" s="448">
        <v>309.83</v>
      </c>
      <c r="E2170" s="210"/>
    </row>
    <row r="2171" spans="1:5" ht="54">
      <c r="A2171" s="446">
        <v>102060</v>
      </c>
      <c r="B2171" s="447" t="s">
        <v>6223</v>
      </c>
      <c r="C2171" s="446" t="s">
        <v>42</v>
      </c>
      <c r="D2171" s="448">
        <v>261.2</v>
      </c>
      <c r="E2171" s="210"/>
    </row>
    <row r="2172" spans="1:5" ht="54">
      <c r="A2172" s="446">
        <v>102061</v>
      </c>
      <c r="B2172" s="447" t="s">
        <v>6224</v>
      </c>
      <c r="C2172" s="446" t="s">
        <v>42</v>
      </c>
      <c r="D2172" s="448">
        <v>204.63</v>
      </c>
      <c r="E2172" s="210"/>
    </row>
    <row r="2173" spans="1:5" ht="54">
      <c r="A2173" s="446">
        <v>102062</v>
      </c>
      <c r="B2173" s="447" t="s">
        <v>6225</v>
      </c>
      <c r="C2173" s="446" t="s">
        <v>42</v>
      </c>
      <c r="D2173" s="448">
        <v>187.99</v>
      </c>
      <c r="E2173" s="210"/>
    </row>
    <row r="2174" spans="1:5" ht="54">
      <c r="A2174" s="446">
        <v>102063</v>
      </c>
      <c r="B2174" s="447" t="s">
        <v>6226</v>
      </c>
      <c r="C2174" s="446" t="s">
        <v>42</v>
      </c>
      <c r="D2174" s="448">
        <v>143.03</v>
      </c>
      <c r="E2174" s="210"/>
    </row>
    <row r="2175" spans="1:5" ht="54">
      <c r="A2175" s="446">
        <v>102064</v>
      </c>
      <c r="B2175" s="447" t="s">
        <v>6227</v>
      </c>
      <c r="C2175" s="446" t="s">
        <v>42</v>
      </c>
      <c r="D2175" s="448">
        <v>124.45</v>
      </c>
      <c r="E2175" s="210"/>
    </row>
    <row r="2176" spans="1:5" ht="67.5">
      <c r="A2176" s="446">
        <v>102065</v>
      </c>
      <c r="B2176" s="447" t="s">
        <v>6228</v>
      </c>
      <c r="C2176" s="446" t="s">
        <v>42</v>
      </c>
      <c r="D2176" s="448">
        <v>114.15</v>
      </c>
      <c r="E2176" s="210"/>
    </row>
    <row r="2177" spans="1:5" ht="54">
      <c r="A2177" s="446">
        <v>102066</v>
      </c>
      <c r="B2177" s="447" t="s">
        <v>6229</v>
      </c>
      <c r="C2177" s="446" t="s">
        <v>42</v>
      </c>
      <c r="D2177" s="448">
        <v>309.26</v>
      </c>
      <c r="E2177" s="210"/>
    </row>
    <row r="2178" spans="1:5" ht="54">
      <c r="A2178" s="446">
        <v>102067</v>
      </c>
      <c r="B2178" s="447" t="s">
        <v>6230</v>
      </c>
      <c r="C2178" s="446" t="s">
        <v>42</v>
      </c>
      <c r="D2178" s="448">
        <v>264.72000000000003</v>
      </c>
      <c r="E2178" s="210"/>
    </row>
    <row r="2179" spans="1:5" ht="54">
      <c r="A2179" s="446">
        <v>102068</v>
      </c>
      <c r="B2179" s="447" t="s">
        <v>6231</v>
      </c>
      <c r="C2179" s="446" t="s">
        <v>42</v>
      </c>
      <c r="D2179" s="448">
        <v>186.19</v>
      </c>
      <c r="E2179" s="210"/>
    </row>
    <row r="2180" spans="1:5" ht="54">
      <c r="A2180" s="446">
        <v>102069</v>
      </c>
      <c r="B2180" s="447" t="s">
        <v>6232</v>
      </c>
      <c r="C2180" s="446" t="s">
        <v>42</v>
      </c>
      <c r="D2180" s="448">
        <v>171.04</v>
      </c>
      <c r="E2180" s="210"/>
    </row>
    <row r="2181" spans="1:5" ht="54">
      <c r="A2181" s="446">
        <v>102070</v>
      </c>
      <c r="B2181" s="447" t="s">
        <v>6233</v>
      </c>
      <c r="C2181" s="446" t="s">
        <v>42</v>
      </c>
      <c r="D2181" s="448">
        <v>131.43</v>
      </c>
      <c r="E2181" s="210"/>
    </row>
    <row r="2182" spans="1:5" ht="54">
      <c r="A2182" s="446">
        <v>102071</v>
      </c>
      <c r="B2182" s="447" t="s">
        <v>6234</v>
      </c>
      <c r="C2182" s="446" t="s">
        <v>42</v>
      </c>
      <c r="D2182" s="448">
        <v>114.96</v>
      </c>
      <c r="E2182" s="210"/>
    </row>
    <row r="2183" spans="1:5" ht="67.5">
      <c r="A2183" s="446">
        <v>102072</v>
      </c>
      <c r="B2183" s="447" t="s">
        <v>6235</v>
      </c>
      <c r="C2183" s="446" t="s">
        <v>42</v>
      </c>
      <c r="D2183" s="448">
        <v>113.15</v>
      </c>
      <c r="E2183" s="210"/>
    </row>
    <row r="2184" spans="1:5" ht="54">
      <c r="A2184" s="446">
        <v>102073</v>
      </c>
      <c r="B2184" s="447" t="s">
        <v>6236</v>
      </c>
      <c r="C2184" s="446" t="s">
        <v>31</v>
      </c>
      <c r="D2184" s="448">
        <v>3173.8</v>
      </c>
      <c r="E2184" s="210"/>
    </row>
    <row r="2185" spans="1:5" ht="54">
      <c r="A2185" s="446">
        <v>102074</v>
      </c>
      <c r="B2185" s="447" t="s">
        <v>6237</v>
      </c>
      <c r="C2185" s="446" t="s">
        <v>31</v>
      </c>
      <c r="D2185" s="448">
        <v>4101.6099999999997</v>
      </c>
      <c r="E2185" s="210"/>
    </row>
    <row r="2186" spans="1:5" ht="54">
      <c r="A2186" s="446">
        <v>102075</v>
      </c>
      <c r="B2186" s="447" t="s">
        <v>6238</v>
      </c>
      <c r="C2186" s="446" t="s">
        <v>31</v>
      </c>
      <c r="D2186" s="448">
        <v>4404.2299999999996</v>
      </c>
      <c r="E2186" s="210"/>
    </row>
    <row r="2187" spans="1:5" ht="54">
      <c r="A2187" s="446">
        <v>102076</v>
      </c>
      <c r="B2187" s="447" t="s">
        <v>6239</v>
      </c>
      <c r="C2187" s="446" t="s">
        <v>31</v>
      </c>
      <c r="D2187" s="448">
        <v>4504.42</v>
      </c>
      <c r="E2187" s="210"/>
    </row>
    <row r="2188" spans="1:5" ht="54">
      <c r="A2188" s="446">
        <v>102077</v>
      </c>
      <c r="B2188" s="447" t="s">
        <v>6240</v>
      </c>
      <c r="C2188" s="446" t="s">
        <v>31</v>
      </c>
      <c r="D2188" s="448">
        <v>4753.55</v>
      </c>
      <c r="E2188" s="210"/>
    </row>
    <row r="2189" spans="1:5" ht="54">
      <c r="A2189" s="446">
        <v>102078</v>
      </c>
      <c r="B2189" s="447" t="s">
        <v>6241</v>
      </c>
      <c r="C2189" s="446" t="s">
        <v>31</v>
      </c>
      <c r="D2189" s="448">
        <v>4740.92</v>
      </c>
      <c r="E2189" s="210"/>
    </row>
    <row r="2190" spans="1:5" ht="54">
      <c r="A2190" s="446">
        <v>102079</v>
      </c>
      <c r="B2190" s="447" t="s">
        <v>6242</v>
      </c>
      <c r="C2190" s="446" t="s">
        <v>31</v>
      </c>
      <c r="D2190" s="448">
        <v>4692.2299999999996</v>
      </c>
      <c r="E2190" s="210"/>
    </row>
    <row r="2191" spans="1:5" ht="54">
      <c r="A2191" s="446">
        <v>102080</v>
      </c>
      <c r="B2191" s="447" t="s">
        <v>6243</v>
      </c>
      <c r="C2191" s="446" t="s">
        <v>31</v>
      </c>
      <c r="D2191" s="448">
        <v>4264.13</v>
      </c>
      <c r="E2191" s="210"/>
    </row>
    <row r="2192" spans="1:5" ht="54">
      <c r="A2192" s="446">
        <v>102086</v>
      </c>
      <c r="B2192" s="447" t="s">
        <v>6244</v>
      </c>
      <c r="C2192" s="446" t="s">
        <v>42</v>
      </c>
      <c r="D2192" s="448">
        <v>142.31</v>
      </c>
      <c r="E2192" s="210"/>
    </row>
    <row r="2193" spans="1:5" ht="54">
      <c r="A2193" s="446">
        <v>102087</v>
      </c>
      <c r="B2193" s="447" t="s">
        <v>6245</v>
      </c>
      <c r="C2193" s="446" t="s">
        <v>42</v>
      </c>
      <c r="D2193" s="448">
        <v>133.25</v>
      </c>
      <c r="E2193" s="210"/>
    </row>
    <row r="2194" spans="1:5" ht="40.5">
      <c r="A2194" s="446">
        <v>102088</v>
      </c>
      <c r="B2194" s="447" t="s">
        <v>6246</v>
      </c>
      <c r="C2194" s="446" t="s">
        <v>42</v>
      </c>
      <c r="D2194" s="448">
        <v>137.91999999999999</v>
      </c>
      <c r="E2194" s="210"/>
    </row>
    <row r="2195" spans="1:5" ht="54">
      <c r="A2195" s="446">
        <v>102089</v>
      </c>
      <c r="B2195" s="447" t="s">
        <v>6247</v>
      </c>
      <c r="C2195" s="446" t="s">
        <v>42</v>
      </c>
      <c r="D2195" s="448">
        <v>123.09</v>
      </c>
      <c r="E2195" s="210"/>
    </row>
    <row r="2196" spans="1:5" ht="54">
      <c r="A2196" s="446">
        <v>102090</v>
      </c>
      <c r="B2196" s="447" t="s">
        <v>6248</v>
      </c>
      <c r="C2196" s="446" t="s">
        <v>42</v>
      </c>
      <c r="D2196" s="448">
        <v>112.82</v>
      </c>
      <c r="E2196" s="210"/>
    </row>
    <row r="2197" spans="1:5" ht="40.5">
      <c r="A2197" s="446">
        <v>102091</v>
      </c>
      <c r="B2197" s="447" t="s">
        <v>6249</v>
      </c>
      <c r="C2197" s="446" t="s">
        <v>42</v>
      </c>
      <c r="D2197" s="448">
        <v>155.1</v>
      </c>
      <c r="E2197" s="210"/>
    </row>
    <row r="2198" spans="1:5" ht="40.5">
      <c r="A2198" s="446">
        <v>89996</v>
      </c>
      <c r="B2198" s="447" t="s">
        <v>1703</v>
      </c>
      <c r="C2198" s="446" t="s">
        <v>17</v>
      </c>
      <c r="D2198" s="448">
        <v>15.42</v>
      </c>
      <c r="E2198" s="210"/>
    </row>
    <row r="2199" spans="1:5" ht="40.5">
      <c r="A2199" s="446">
        <v>89997</v>
      </c>
      <c r="B2199" s="447" t="s">
        <v>1704</v>
      </c>
      <c r="C2199" s="446" t="s">
        <v>17</v>
      </c>
      <c r="D2199" s="448">
        <v>12.98</v>
      </c>
      <c r="E2199" s="210"/>
    </row>
    <row r="2200" spans="1:5" ht="40.5">
      <c r="A2200" s="446">
        <v>89998</v>
      </c>
      <c r="B2200" s="447" t="s">
        <v>1705</v>
      </c>
      <c r="C2200" s="446" t="s">
        <v>17</v>
      </c>
      <c r="D2200" s="448">
        <v>15.04</v>
      </c>
      <c r="E2200" s="210"/>
    </row>
    <row r="2201" spans="1:5" ht="40.5">
      <c r="A2201" s="446">
        <v>89999</v>
      </c>
      <c r="B2201" s="447" t="s">
        <v>1706</v>
      </c>
      <c r="C2201" s="446" t="s">
        <v>17</v>
      </c>
      <c r="D2201" s="448">
        <v>18.72</v>
      </c>
      <c r="E2201" s="210"/>
    </row>
    <row r="2202" spans="1:5" ht="40.5">
      <c r="A2202" s="446">
        <v>90000</v>
      </c>
      <c r="B2202" s="447" t="s">
        <v>1707</v>
      </c>
      <c r="C2202" s="446" t="s">
        <v>17</v>
      </c>
      <c r="D2202" s="448">
        <v>16.37</v>
      </c>
      <c r="E2202" s="210"/>
    </row>
    <row r="2203" spans="1:5" ht="54">
      <c r="A2203" s="446">
        <v>91593</v>
      </c>
      <c r="B2203" s="447" t="s">
        <v>3733</v>
      </c>
      <c r="C2203" s="446" t="s">
        <v>17</v>
      </c>
      <c r="D2203" s="448">
        <v>17.62</v>
      </c>
      <c r="E2203" s="210"/>
    </row>
    <row r="2204" spans="1:5" ht="54">
      <c r="A2204" s="446">
        <v>91594</v>
      </c>
      <c r="B2204" s="447" t="s">
        <v>3734</v>
      </c>
      <c r="C2204" s="446" t="s">
        <v>17</v>
      </c>
      <c r="D2204" s="448">
        <v>17.91</v>
      </c>
      <c r="E2204" s="210"/>
    </row>
    <row r="2205" spans="1:5" ht="54">
      <c r="A2205" s="446">
        <v>91595</v>
      </c>
      <c r="B2205" s="447" t="s">
        <v>3735</v>
      </c>
      <c r="C2205" s="446" t="s">
        <v>17</v>
      </c>
      <c r="D2205" s="448">
        <v>18.27</v>
      </c>
      <c r="E2205" s="210"/>
    </row>
    <row r="2206" spans="1:5" ht="54">
      <c r="A2206" s="446">
        <v>91596</v>
      </c>
      <c r="B2206" s="447" t="s">
        <v>3736</v>
      </c>
      <c r="C2206" s="446" t="s">
        <v>17</v>
      </c>
      <c r="D2206" s="448">
        <v>17.84</v>
      </c>
      <c r="E2206" s="210"/>
    </row>
    <row r="2207" spans="1:5" ht="54">
      <c r="A2207" s="446">
        <v>91597</v>
      </c>
      <c r="B2207" s="447" t="s">
        <v>3737</v>
      </c>
      <c r="C2207" s="446" t="s">
        <v>17</v>
      </c>
      <c r="D2207" s="448">
        <v>12.28</v>
      </c>
      <c r="E2207" s="210"/>
    </row>
    <row r="2208" spans="1:5" ht="54">
      <c r="A2208" s="446">
        <v>91598</v>
      </c>
      <c r="B2208" s="447" t="s">
        <v>3738</v>
      </c>
      <c r="C2208" s="446" t="s">
        <v>17</v>
      </c>
      <c r="D2208" s="448">
        <v>17.23</v>
      </c>
      <c r="E2208" s="210"/>
    </row>
    <row r="2209" spans="1:5" ht="54">
      <c r="A2209" s="446">
        <v>91599</v>
      </c>
      <c r="B2209" s="447" t="s">
        <v>3739</v>
      </c>
      <c r="C2209" s="446" t="s">
        <v>17</v>
      </c>
      <c r="D2209" s="448">
        <v>12.62</v>
      </c>
      <c r="E2209" s="210"/>
    </row>
    <row r="2210" spans="1:5" ht="40.5">
      <c r="A2210" s="446">
        <v>91600</v>
      </c>
      <c r="B2210" s="447" t="s">
        <v>3740</v>
      </c>
      <c r="C2210" s="446" t="s">
        <v>17</v>
      </c>
      <c r="D2210" s="448">
        <v>19.55</v>
      </c>
      <c r="E2210" s="210"/>
    </row>
    <row r="2211" spans="1:5" ht="54">
      <c r="A2211" s="446">
        <v>91601</v>
      </c>
      <c r="B2211" s="447" t="s">
        <v>3741</v>
      </c>
      <c r="C2211" s="446" t="s">
        <v>17</v>
      </c>
      <c r="D2211" s="448">
        <v>17.96</v>
      </c>
      <c r="E2211" s="210"/>
    </row>
    <row r="2212" spans="1:5" ht="54">
      <c r="A2212" s="446">
        <v>91602</v>
      </c>
      <c r="B2212" s="447" t="s">
        <v>3742</v>
      </c>
      <c r="C2212" s="446" t="s">
        <v>17</v>
      </c>
      <c r="D2212" s="448">
        <v>17.36</v>
      </c>
      <c r="E2212" s="210"/>
    </row>
    <row r="2213" spans="1:5" ht="54">
      <c r="A2213" s="446">
        <v>91603</v>
      </c>
      <c r="B2213" s="447" t="s">
        <v>3743</v>
      </c>
      <c r="C2213" s="446" t="s">
        <v>17</v>
      </c>
      <c r="D2213" s="448">
        <v>16.38</v>
      </c>
      <c r="E2213" s="210"/>
    </row>
    <row r="2214" spans="1:5" ht="67.5">
      <c r="A2214" s="446">
        <v>92759</v>
      </c>
      <c r="B2214" s="447" t="s">
        <v>2173</v>
      </c>
      <c r="C2214" s="446" t="s">
        <v>17</v>
      </c>
      <c r="D2214" s="448">
        <v>18.54</v>
      </c>
      <c r="E2214" s="210"/>
    </row>
    <row r="2215" spans="1:5" ht="67.5">
      <c r="A2215" s="446">
        <v>92760</v>
      </c>
      <c r="B2215" s="447" t="s">
        <v>2174</v>
      </c>
      <c r="C2215" s="446" t="s">
        <v>17</v>
      </c>
      <c r="D2215" s="448">
        <v>18.82</v>
      </c>
      <c r="E2215" s="210"/>
    </row>
    <row r="2216" spans="1:5" ht="67.5">
      <c r="A2216" s="446">
        <v>92761</v>
      </c>
      <c r="B2216" s="447" t="s">
        <v>2175</v>
      </c>
      <c r="C2216" s="446" t="s">
        <v>17</v>
      </c>
      <c r="D2216" s="448">
        <v>18.59</v>
      </c>
      <c r="E2216" s="210"/>
    </row>
    <row r="2217" spans="1:5" ht="67.5">
      <c r="A2217" s="446">
        <v>92762</v>
      </c>
      <c r="B2217" s="447" t="s">
        <v>2176</v>
      </c>
      <c r="C2217" s="446" t="s">
        <v>17</v>
      </c>
      <c r="D2217" s="448">
        <v>17.059999999999999</v>
      </c>
      <c r="E2217" s="210"/>
    </row>
    <row r="2218" spans="1:5" ht="67.5">
      <c r="A2218" s="446">
        <v>92763</v>
      </c>
      <c r="B2218" s="447" t="s">
        <v>2177</v>
      </c>
      <c r="C2218" s="446" t="s">
        <v>17</v>
      </c>
      <c r="D2218" s="448">
        <v>14.61</v>
      </c>
      <c r="E2218" s="210"/>
    </row>
    <row r="2219" spans="1:5" ht="67.5">
      <c r="A2219" s="446">
        <v>92764</v>
      </c>
      <c r="B2219" s="447" t="s">
        <v>2178</v>
      </c>
      <c r="C2219" s="446" t="s">
        <v>17</v>
      </c>
      <c r="D2219" s="448">
        <v>14.26</v>
      </c>
      <c r="E2219" s="210"/>
    </row>
    <row r="2220" spans="1:5" ht="67.5">
      <c r="A2220" s="446">
        <v>92765</v>
      </c>
      <c r="B2220" s="447" t="s">
        <v>2179</v>
      </c>
      <c r="C2220" s="446" t="s">
        <v>17</v>
      </c>
      <c r="D2220" s="448">
        <v>16.47</v>
      </c>
      <c r="E2220" s="210"/>
    </row>
    <row r="2221" spans="1:5" ht="67.5">
      <c r="A2221" s="446">
        <v>92766</v>
      </c>
      <c r="B2221" s="447" t="s">
        <v>2180</v>
      </c>
      <c r="C2221" s="446" t="s">
        <v>17</v>
      </c>
      <c r="D2221" s="448">
        <v>16.29</v>
      </c>
      <c r="E2221" s="210"/>
    </row>
    <row r="2222" spans="1:5" ht="67.5">
      <c r="A2222" s="446">
        <v>92767</v>
      </c>
      <c r="B2222" s="447" t="s">
        <v>2181</v>
      </c>
      <c r="C2222" s="446" t="s">
        <v>17</v>
      </c>
      <c r="D2222" s="448">
        <v>18.82</v>
      </c>
      <c r="E2222" s="210"/>
    </row>
    <row r="2223" spans="1:5" ht="67.5">
      <c r="A2223" s="446">
        <v>92768</v>
      </c>
      <c r="B2223" s="447" t="s">
        <v>2182</v>
      </c>
      <c r="C2223" s="446" t="s">
        <v>17</v>
      </c>
      <c r="D2223" s="448">
        <v>17.600000000000001</v>
      </c>
      <c r="E2223" s="210"/>
    </row>
    <row r="2224" spans="1:5" ht="67.5">
      <c r="A2224" s="446">
        <v>92769</v>
      </c>
      <c r="B2224" s="447" t="s">
        <v>2183</v>
      </c>
      <c r="C2224" s="446" t="s">
        <v>17</v>
      </c>
      <c r="D2224" s="448">
        <v>18.09</v>
      </c>
      <c r="E2224" s="210"/>
    </row>
    <row r="2225" spans="1:5" ht="67.5">
      <c r="A2225" s="446">
        <v>92770</v>
      </c>
      <c r="B2225" s="447" t="s">
        <v>2184</v>
      </c>
      <c r="C2225" s="446" t="s">
        <v>17</v>
      </c>
      <c r="D2225" s="448">
        <v>18.010000000000002</v>
      </c>
      <c r="E2225" s="210"/>
    </row>
    <row r="2226" spans="1:5" ht="67.5">
      <c r="A2226" s="446">
        <v>92771</v>
      </c>
      <c r="B2226" s="447" t="s">
        <v>2185</v>
      </c>
      <c r="C2226" s="446" t="s">
        <v>17</v>
      </c>
      <c r="D2226" s="448">
        <v>16.600000000000001</v>
      </c>
      <c r="E2226" s="210"/>
    </row>
    <row r="2227" spans="1:5" ht="67.5">
      <c r="A2227" s="446">
        <v>92772</v>
      </c>
      <c r="B2227" s="447" t="s">
        <v>2186</v>
      </c>
      <c r="C2227" s="446" t="s">
        <v>17</v>
      </c>
      <c r="D2227" s="448">
        <v>14.25</v>
      </c>
      <c r="E2227" s="210"/>
    </row>
    <row r="2228" spans="1:5" ht="67.5">
      <c r="A2228" s="446">
        <v>92773</v>
      </c>
      <c r="B2228" s="447" t="s">
        <v>2187</v>
      </c>
      <c r="C2228" s="446" t="s">
        <v>17</v>
      </c>
      <c r="D2228" s="448">
        <v>14</v>
      </c>
      <c r="E2228" s="210"/>
    </row>
    <row r="2229" spans="1:5" ht="67.5">
      <c r="A2229" s="446">
        <v>92774</v>
      </c>
      <c r="B2229" s="447" t="s">
        <v>2188</v>
      </c>
      <c r="C2229" s="446" t="s">
        <v>17</v>
      </c>
      <c r="D2229" s="448">
        <v>16.29</v>
      </c>
      <c r="E2229" s="210"/>
    </row>
    <row r="2230" spans="1:5" ht="67.5">
      <c r="A2230" s="446">
        <v>92775</v>
      </c>
      <c r="B2230" s="447" t="s">
        <v>2189</v>
      </c>
      <c r="C2230" s="446" t="s">
        <v>17</v>
      </c>
      <c r="D2230" s="448">
        <v>20.52</v>
      </c>
      <c r="E2230" s="210"/>
    </row>
    <row r="2231" spans="1:5" ht="67.5">
      <c r="A2231" s="446">
        <v>92776</v>
      </c>
      <c r="B2231" s="447" t="s">
        <v>2190</v>
      </c>
      <c r="C2231" s="446" t="s">
        <v>17</v>
      </c>
      <c r="D2231" s="448">
        <v>20.34</v>
      </c>
      <c r="E2231" s="210"/>
    </row>
    <row r="2232" spans="1:5" ht="67.5">
      <c r="A2232" s="446">
        <v>92777</v>
      </c>
      <c r="B2232" s="447" t="s">
        <v>2191</v>
      </c>
      <c r="C2232" s="446" t="s">
        <v>17</v>
      </c>
      <c r="D2232" s="448">
        <v>19.72</v>
      </c>
      <c r="E2232" s="210"/>
    </row>
    <row r="2233" spans="1:5" ht="67.5">
      <c r="A2233" s="446">
        <v>92778</v>
      </c>
      <c r="B2233" s="447" t="s">
        <v>2192</v>
      </c>
      <c r="C2233" s="446" t="s">
        <v>17</v>
      </c>
      <c r="D2233" s="448">
        <v>17.91</v>
      </c>
      <c r="E2233" s="210"/>
    </row>
    <row r="2234" spans="1:5" ht="67.5">
      <c r="A2234" s="446">
        <v>92779</v>
      </c>
      <c r="B2234" s="447" t="s">
        <v>2193</v>
      </c>
      <c r="C2234" s="446" t="s">
        <v>17</v>
      </c>
      <c r="D2234" s="448">
        <v>15.23</v>
      </c>
      <c r="E2234" s="210"/>
    </row>
    <row r="2235" spans="1:5" ht="67.5">
      <c r="A2235" s="446">
        <v>92780</v>
      </c>
      <c r="B2235" s="447" t="s">
        <v>2194</v>
      </c>
      <c r="C2235" s="446" t="s">
        <v>17</v>
      </c>
      <c r="D2235" s="448">
        <v>14.69</v>
      </c>
      <c r="E2235" s="210"/>
    </row>
    <row r="2236" spans="1:5" ht="67.5">
      <c r="A2236" s="446">
        <v>92781</v>
      </c>
      <c r="B2236" s="447" t="s">
        <v>2195</v>
      </c>
      <c r="C2236" s="446" t="s">
        <v>17</v>
      </c>
      <c r="D2236" s="448">
        <v>16.739999999999998</v>
      </c>
      <c r="E2236" s="210"/>
    </row>
    <row r="2237" spans="1:5" ht="67.5">
      <c r="A2237" s="446">
        <v>92782</v>
      </c>
      <c r="B2237" s="447" t="s">
        <v>2196</v>
      </c>
      <c r="C2237" s="446" t="s">
        <v>17</v>
      </c>
      <c r="D2237" s="448">
        <v>16.46</v>
      </c>
      <c r="E2237" s="210"/>
    </row>
    <row r="2238" spans="1:5" ht="67.5">
      <c r="A2238" s="446">
        <v>92783</v>
      </c>
      <c r="B2238" s="447" t="s">
        <v>2197</v>
      </c>
      <c r="C2238" s="446" t="s">
        <v>17</v>
      </c>
      <c r="D2238" s="448">
        <v>20.5</v>
      </c>
      <c r="E2238" s="210"/>
    </row>
    <row r="2239" spans="1:5" ht="67.5">
      <c r="A2239" s="446">
        <v>92784</v>
      </c>
      <c r="B2239" s="447" t="s">
        <v>2198</v>
      </c>
      <c r="C2239" s="446" t="s">
        <v>17</v>
      </c>
      <c r="D2239" s="448">
        <v>18.96</v>
      </c>
      <c r="E2239" s="210"/>
    </row>
    <row r="2240" spans="1:5" ht="67.5">
      <c r="A2240" s="446">
        <v>92785</v>
      </c>
      <c r="B2240" s="447" t="s">
        <v>2199</v>
      </c>
      <c r="C2240" s="446" t="s">
        <v>17</v>
      </c>
      <c r="D2240" s="448">
        <v>19.12</v>
      </c>
      <c r="E2240" s="210"/>
    </row>
    <row r="2241" spans="1:5" ht="67.5">
      <c r="A2241" s="446">
        <v>92786</v>
      </c>
      <c r="B2241" s="447" t="s">
        <v>2200</v>
      </c>
      <c r="C2241" s="446" t="s">
        <v>17</v>
      </c>
      <c r="D2241" s="448">
        <v>18.77</v>
      </c>
      <c r="E2241" s="210"/>
    </row>
    <row r="2242" spans="1:5" ht="67.5">
      <c r="A2242" s="446">
        <v>92787</v>
      </c>
      <c r="B2242" s="447" t="s">
        <v>2201</v>
      </c>
      <c r="C2242" s="446" t="s">
        <v>17</v>
      </c>
      <c r="D2242" s="448">
        <v>17.149999999999999</v>
      </c>
      <c r="E2242" s="210"/>
    </row>
    <row r="2243" spans="1:5" ht="67.5">
      <c r="A2243" s="446">
        <v>92788</v>
      </c>
      <c r="B2243" s="447" t="s">
        <v>2202</v>
      </c>
      <c r="C2243" s="446" t="s">
        <v>17</v>
      </c>
      <c r="D2243" s="448">
        <v>14.64</v>
      </c>
      <c r="E2243" s="210"/>
    </row>
    <row r="2244" spans="1:5" ht="67.5">
      <c r="A2244" s="446">
        <v>92789</v>
      </c>
      <c r="B2244" s="447" t="s">
        <v>2203</v>
      </c>
      <c r="C2244" s="446" t="s">
        <v>17</v>
      </c>
      <c r="D2244" s="448">
        <v>14.26</v>
      </c>
      <c r="E2244" s="210"/>
    </row>
    <row r="2245" spans="1:5" ht="67.5">
      <c r="A2245" s="446">
        <v>92790</v>
      </c>
      <c r="B2245" s="447" t="s">
        <v>2204</v>
      </c>
      <c r="C2245" s="446" t="s">
        <v>17</v>
      </c>
      <c r="D2245" s="448">
        <v>16.440000000000001</v>
      </c>
      <c r="E2245" s="210"/>
    </row>
    <row r="2246" spans="1:5" ht="40.5">
      <c r="A2246" s="446">
        <v>92791</v>
      </c>
      <c r="B2246" s="447" t="s">
        <v>2205</v>
      </c>
      <c r="C2246" s="446" t="s">
        <v>17</v>
      </c>
      <c r="D2246" s="448">
        <v>15.36</v>
      </c>
      <c r="E2246" s="210"/>
    </row>
    <row r="2247" spans="1:5" ht="40.5">
      <c r="A2247" s="446">
        <v>92792</v>
      </c>
      <c r="B2247" s="447" t="s">
        <v>2206</v>
      </c>
      <c r="C2247" s="446" t="s">
        <v>17</v>
      </c>
      <c r="D2247" s="448">
        <v>16.27</v>
      </c>
      <c r="E2247" s="210"/>
    </row>
    <row r="2248" spans="1:5" ht="40.5">
      <c r="A2248" s="446">
        <v>92793</v>
      </c>
      <c r="B2248" s="447" t="s">
        <v>2207</v>
      </c>
      <c r="C2248" s="446" t="s">
        <v>17</v>
      </c>
      <c r="D2248" s="448">
        <v>16.559999999999999</v>
      </c>
      <c r="E2248" s="210"/>
    </row>
    <row r="2249" spans="1:5" ht="40.5">
      <c r="A2249" s="446">
        <v>92794</v>
      </c>
      <c r="B2249" s="447" t="s">
        <v>2208</v>
      </c>
      <c r="C2249" s="446" t="s">
        <v>17</v>
      </c>
      <c r="D2249" s="448">
        <v>15.43</v>
      </c>
      <c r="E2249" s="210"/>
    </row>
    <row r="2250" spans="1:5" ht="40.5">
      <c r="A2250" s="446">
        <v>92795</v>
      </c>
      <c r="B2250" s="447" t="s">
        <v>2209</v>
      </c>
      <c r="C2250" s="446" t="s">
        <v>17</v>
      </c>
      <c r="D2250" s="448">
        <v>13.3</v>
      </c>
      <c r="E2250" s="210"/>
    </row>
    <row r="2251" spans="1:5" ht="40.5">
      <c r="A2251" s="446">
        <v>92796</v>
      </c>
      <c r="B2251" s="447" t="s">
        <v>2210</v>
      </c>
      <c r="C2251" s="446" t="s">
        <v>17</v>
      </c>
      <c r="D2251" s="448">
        <v>13.23</v>
      </c>
      <c r="E2251" s="210"/>
    </row>
    <row r="2252" spans="1:5" ht="40.5">
      <c r="A2252" s="446">
        <v>92797</v>
      </c>
      <c r="B2252" s="447" t="s">
        <v>2211</v>
      </c>
      <c r="C2252" s="446" t="s">
        <v>17</v>
      </c>
      <c r="D2252" s="448">
        <v>15.63</v>
      </c>
      <c r="E2252" s="210"/>
    </row>
    <row r="2253" spans="1:5" ht="40.5">
      <c r="A2253" s="446">
        <v>92798</v>
      </c>
      <c r="B2253" s="447" t="s">
        <v>2212</v>
      </c>
      <c r="C2253" s="446" t="s">
        <v>17</v>
      </c>
      <c r="D2253" s="448">
        <v>15.61</v>
      </c>
      <c r="E2253" s="210"/>
    </row>
    <row r="2254" spans="1:5" ht="27">
      <c r="A2254" s="446">
        <v>92799</v>
      </c>
      <c r="B2254" s="447" t="s">
        <v>2213</v>
      </c>
      <c r="C2254" s="446" t="s">
        <v>17</v>
      </c>
      <c r="D2254" s="448">
        <v>15.68</v>
      </c>
      <c r="E2254" s="210"/>
    </row>
    <row r="2255" spans="1:5" ht="27">
      <c r="A2255" s="446">
        <v>92800</v>
      </c>
      <c r="B2255" s="447" t="s">
        <v>2214</v>
      </c>
      <c r="C2255" s="446" t="s">
        <v>17</v>
      </c>
      <c r="D2255" s="448">
        <v>14.99</v>
      </c>
      <c r="E2255" s="210"/>
    </row>
    <row r="2256" spans="1:5" ht="27">
      <c r="A2256" s="446">
        <v>92801</v>
      </c>
      <c r="B2256" s="447" t="s">
        <v>2215</v>
      </c>
      <c r="C2256" s="446" t="s">
        <v>17</v>
      </c>
      <c r="D2256" s="448">
        <v>16.059999999999999</v>
      </c>
      <c r="E2256" s="210"/>
    </row>
    <row r="2257" spans="1:5" ht="27">
      <c r="A2257" s="446">
        <v>92802</v>
      </c>
      <c r="B2257" s="447" t="s">
        <v>2216</v>
      </c>
      <c r="C2257" s="446" t="s">
        <v>17</v>
      </c>
      <c r="D2257" s="448">
        <v>16.440000000000001</v>
      </c>
      <c r="E2257" s="210"/>
    </row>
    <row r="2258" spans="1:5" ht="27">
      <c r="A2258" s="446">
        <v>92803</v>
      </c>
      <c r="B2258" s="447" t="s">
        <v>2217</v>
      </c>
      <c r="C2258" s="446" t="s">
        <v>17</v>
      </c>
      <c r="D2258" s="448">
        <v>15.36</v>
      </c>
      <c r="E2258" s="210"/>
    </row>
    <row r="2259" spans="1:5" ht="27">
      <c r="A2259" s="446">
        <v>92804</v>
      </c>
      <c r="B2259" s="447" t="s">
        <v>2218</v>
      </c>
      <c r="C2259" s="446" t="s">
        <v>17</v>
      </c>
      <c r="D2259" s="448">
        <v>13.25</v>
      </c>
      <c r="E2259" s="210"/>
    </row>
    <row r="2260" spans="1:5" ht="27">
      <c r="A2260" s="446">
        <v>92805</v>
      </c>
      <c r="B2260" s="447" t="s">
        <v>2219</v>
      </c>
      <c r="C2260" s="446" t="s">
        <v>17</v>
      </c>
      <c r="D2260" s="448">
        <v>13.21</v>
      </c>
      <c r="E2260" s="210"/>
    </row>
    <row r="2261" spans="1:5" ht="27">
      <c r="A2261" s="446">
        <v>92806</v>
      </c>
      <c r="B2261" s="447" t="s">
        <v>2220</v>
      </c>
      <c r="C2261" s="446" t="s">
        <v>17</v>
      </c>
      <c r="D2261" s="448">
        <v>15.62</v>
      </c>
      <c r="E2261" s="210"/>
    </row>
    <row r="2262" spans="1:5" ht="27">
      <c r="A2262" s="446">
        <v>92875</v>
      </c>
      <c r="B2262" s="447" t="s">
        <v>2278</v>
      </c>
      <c r="C2262" s="446" t="s">
        <v>17</v>
      </c>
      <c r="D2262" s="448">
        <v>14.87</v>
      </c>
      <c r="E2262" s="210"/>
    </row>
    <row r="2263" spans="1:5" ht="27">
      <c r="A2263" s="446">
        <v>92876</v>
      </c>
      <c r="B2263" s="447" t="s">
        <v>2279</v>
      </c>
      <c r="C2263" s="446" t="s">
        <v>17</v>
      </c>
      <c r="D2263" s="448">
        <v>15.02</v>
      </c>
      <c r="E2263" s="210"/>
    </row>
    <row r="2264" spans="1:5" ht="27">
      <c r="A2264" s="446">
        <v>92877</v>
      </c>
      <c r="B2264" s="447" t="s">
        <v>2280</v>
      </c>
      <c r="C2264" s="446" t="s">
        <v>17</v>
      </c>
      <c r="D2264" s="448">
        <v>16.559999999999999</v>
      </c>
      <c r="E2264" s="210"/>
    </row>
    <row r="2265" spans="1:5" ht="27">
      <c r="A2265" s="446">
        <v>92878</v>
      </c>
      <c r="B2265" s="447" t="s">
        <v>2281</v>
      </c>
      <c r="C2265" s="446" t="s">
        <v>17</v>
      </c>
      <c r="D2265" s="448">
        <v>16.46</v>
      </c>
      <c r="E2265" s="210"/>
    </row>
    <row r="2266" spans="1:5" ht="27">
      <c r="A2266" s="446">
        <v>92879</v>
      </c>
      <c r="B2266" s="447" t="s">
        <v>2282</v>
      </c>
      <c r="C2266" s="446" t="s">
        <v>17</v>
      </c>
      <c r="D2266" s="448">
        <v>16.39</v>
      </c>
      <c r="E2266" s="210"/>
    </row>
    <row r="2267" spans="1:5" ht="27">
      <c r="A2267" s="446">
        <v>92880</v>
      </c>
      <c r="B2267" s="447" t="s">
        <v>2283</v>
      </c>
      <c r="C2267" s="446" t="s">
        <v>17</v>
      </c>
      <c r="D2267" s="448">
        <v>16.809999999999999</v>
      </c>
      <c r="E2267" s="210"/>
    </row>
    <row r="2268" spans="1:5" ht="27">
      <c r="A2268" s="446">
        <v>92881</v>
      </c>
      <c r="B2268" s="447" t="s">
        <v>2284</v>
      </c>
      <c r="C2268" s="446" t="s">
        <v>17</v>
      </c>
      <c r="D2268" s="448">
        <v>16.79</v>
      </c>
      <c r="E2268" s="210"/>
    </row>
    <row r="2269" spans="1:5" ht="27">
      <c r="A2269" s="446">
        <v>92882</v>
      </c>
      <c r="B2269" s="447" t="s">
        <v>2285</v>
      </c>
      <c r="C2269" s="446" t="s">
        <v>17</v>
      </c>
      <c r="D2269" s="448">
        <v>17.420000000000002</v>
      </c>
      <c r="E2269" s="210"/>
    </row>
    <row r="2270" spans="1:5" ht="27">
      <c r="A2270" s="446">
        <v>92883</v>
      </c>
      <c r="B2270" s="447" t="s">
        <v>2286</v>
      </c>
      <c r="C2270" s="446" t="s">
        <v>17</v>
      </c>
      <c r="D2270" s="448">
        <v>17.05</v>
      </c>
      <c r="E2270" s="210"/>
    </row>
    <row r="2271" spans="1:5" ht="27">
      <c r="A2271" s="446">
        <v>92884</v>
      </c>
      <c r="B2271" s="447" t="s">
        <v>2287</v>
      </c>
      <c r="C2271" s="446" t="s">
        <v>17</v>
      </c>
      <c r="D2271" s="448">
        <v>18.190000000000001</v>
      </c>
      <c r="E2271" s="210"/>
    </row>
    <row r="2272" spans="1:5" ht="27">
      <c r="A2272" s="446">
        <v>92885</v>
      </c>
      <c r="B2272" s="447" t="s">
        <v>2288</v>
      </c>
      <c r="C2272" s="446" t="s">
        <v>17</v>
      </c>
      <c r="D2272" s="448">
        <v>17.77</v>
      </c>
      <c r="E2272" s="210"/>
    </row>
    <row r="2273" spans="1:5" ht="27">
      <c r="A2273" s="446">
        <v>92886</v>
      </c>
      <c r="B2273" s="447" t="s">
        <v>2289</v>
      </c>
      <c r="C2273" s="446" t="s">
        <v>17</v>
      </c>
      <c r="D2273" s="448">
        <v>17.420000000000002</v>
      </c>
      <c r="E2273" s="210"/>
    </row>
    <row r="2274" spans="1:5" ht="27">
      <c r="A2274" s="446">
        <v>92887</v>
      </c>
      <c r="B2274" s="447" t="s">
        <v>2290</v>
      </c>
      <c r="C2274" s="446" t="s">
        <v>17</v>
      </c>
      <c r="D2274" s="448">
        <v>17.649999999999999</v>
      </c>
      <c r="E2274" s="210"/>
    </row>
    <row r="2275" spans="1:5" ht="27">
      <c r="A2275" s="446">
        <v>92888</v>
      </c>
      <c r="B2275" s="447" t="s">
        <v>2291</v>
      </c>
      <c r="C2275" s="446" t="s">
        <v>17</v>
      </c>
      <c r="D2275" s="448">
        <v>17.47</v>
      </c>
      <c r="E2275" s="210"/>
    </row>
    <row r="2276" spans="1:5" ht="54">
      <c r="A2276" s="446">
        <v>92915</v>
      </c>
      <c r="B2276" s="447" t="s">
        <v>3318</v>
      </c>
      <c r="C2276" s="446" t="s">
        <v>17</v>
      </c>
      <c r="D2276" s="448">
        <v>19.53</v>
      </c>
      <c r="E2276" s="210"/>
    </row>
    <row r="2277" spans="1:5" ht="54">
      <c r="A2277" s="446">
        <v>92916</v>
      </c>
      <c r="B2277" s="447" t="s">
        <v>3319</v>
      </c>
      <c r="C2277" s="446" t="s">
        <v>17</v>
      </c>
      <c r="D2277" s="448">
        <v>19.579999999999998</v>
      </c>
      <c r="E2277" s="210"/>
    </row>
    <row r="2278" spans="1:5" ht="54">
      <c r="A2278" s="446">
        <v>92917</v>
      </c>
      <c r="B2278" s="447" t="s">
        <v>3320</v>
      </c>
      <c r="C2278" s="446" t="s">
        <v>17</v>
      </c>
      <c r="D2278" s="448">
        <v>19.149999999999999</v>
      </c>
      <c r="E2278" s="210"/>
    </row>
    <row r="2279" spans="1:5" ht="54">
      <c r="A2279" s="446">
        <v>92919</v>
      </c>
      <c r="B2279" s="447" t="s">
        <v>3321</v>
      </c>
      <c r="C2279" s="446" t="s">
        <v>17</v>
      </c>
      <c r="D2279" s="448">
        <v>17.489999999999998</v>
      </c>
      <c r="E2279" s="210"/>
    </row>
    <row r="2280" spans="1:5" ht="54">
      <c r="A2280" s="446">
        <v>92921</v>
      </c>
      <c r="B2280" s="447" t="s">
        <v>3322</v>
      </c>
      <c r="C2280" s="446" t="s">
        <v>17</v>
      </c>
      <c r="D2280" s="448">
        <v>14.92</v>
      </c>
      <c r="E2280" s="210"/>
    </row>
    <row r="2281" spans="1:5" ht="54">
      <c r="A2281" s="446">
        <v>92922</v>
      </c>
      <c r="B2281" s="447" t="s">
        <v>3323</v>
      </c>
      <c r="C2281" s="446" t="s">
        <v>17</v>
      </c>
      <c r="D2281" s="448">
        <v>14.48</v>
      </c>
      <c r="E2281" s="210"/>
    </row>
    <row r="2282" spans="1:5" ht="54">
      <c r="A2282" s="446">
        <v>92923</v>
      </c>
      <c r="B2282" s="447" t="s">
        <v>3324</v>
      </c>
      <c r="C2282" s="446" t="s">
        <v>17</v>
      </c>
      <c r="D2282" s="448">
        <v>16.61</v>
      </c>
      <c r="E2282" s="210"/>
    </row>
    <row r="2283" spans="1:5" ht="54">
      <c r="A2283" s="446">
        <v>92924</v>
      </c>
      <c r="B2283" s="447" t="s">
        <v>3325</v>
      </c>
      <c r="C2283" s="446" t="s">
        <v>17</v>
      </c>
      <c r="D2283" s="448">
        <v>16.37</v>
      </c>
      <c r="E2283" s="210"/>
    </row>
    <row r="2284" spans="1:5" ht="40.5">
      <c r="A2284" s="446">
        <v>95445</v>
      </c>
      <c r="B2284" s="447" t="s">
        <v>2830</v>
      </c>
      <c r="C2284" s="446" t="s">
        <v>17</v>
      </c>
      <c r="D2284" s="448">
        <v>13.46</v>
      </c>
      <c r="E2284" s="210"/>
    </row>
    <row r="2285" spans="1:5" ht="40.5">
      <c r="A2285" s="446">
        <v>95446</v>
      </c>
      <c r="B2285" s="447" t="s">
        <v>2831</v>
      </c>
      <c r="C2285" s="446" t="s">
        <v>17</v>
      </c>
      <c r="D2285" s="448">
        <v>14.82</v>
      </c>
      <c r="E2285" s="210"/>
    </row>
    <row r="2286" spans="1:5" ht="40.5">
      <c r="A2286" s="446">
        <v>95448</v>
      </c>
      <c r="B2286" s="447" t="s">
        <v>4811</v>
      </c>
      <c r="C2286" s="446" t="s">
        <v>17</v>
      </c>
      <c r="D2286" s="448">
        <v>17.149999999999999</v>
      </c>
      <c r="E2286" s="210"/>
    </row>
    <row r="2287" spans="1:5" ht="54">
      <c r="A2287" s="446">
        <v>95576</v>
      </c>
      <c r="B2287" s="447" t="s">
        <v>3437</v>
      </c>
      <c r="C2287" s="446" t="s">
        <v>17</v>
      </c>
      <c r="D2287" s="448">
        <v>18.600000000000001</v>
      </c>
      <c r="E2287" s="210"/>
    </row>
    <row r="2288" spans="1:5" ht="40.5">
      <c r="A2288" s="446">
        <v>95577</v>
      </c>
      <c r="B2288" s="447" t="s">
        <v>2842</v>
      </c>
      <c r="C2288" s="446" t="s">
        <v>17</v>
      </c>
      <c r="D2288" s="448">
        <v>17.149999999999999</v>
      </c>
      <c r="E2288" s="210"/>
    </row>
    <row r="2289" spans="1:5" ht="54">
      <c r="A2289" s="446">
        <v>95578</v>
      </c>
      <c r="B2289" s="447" t="s">
        <v>3438</v>
      </c>
      <c r="C2289" s="446" t="s">
        <v>17</v>
      </c>
      <c r="D2289" s="448">
        <v>14.77</v>
      </c>
      <c r="E2289" s="210"/>
    </row>
    <row r="2290" spans="1:5" ht="40.5">
      <c r="A2290" s="446">
        <v>95579</v>
      </c>
      <c r="B2290" s="447" t="s">
        <v>2843</v>
      </c>
      <c r="C2290" s="446" t="s">
        <v>17</v>
      </c>
      <c r="D2290" s="448">
        <v>14.45</v>
      </c>
      <c r="E2290" s="210"/>
    </row>
    <row r="2291" spans="1:5" ht="40.5">
      <c r="A2291" s="446">
        <v>95580</v>
      </c>
      <c r="B2291" s="447" t="s">
        <v>2844</v>
      </c>
      <c r="C2291" s="446" t="s">
        <v>17</v>
      </c>
      <c r="D2291" s="448">
        <v>16.7</v>
      </c>
      <c r="E2291" s="210"/>
    </row>
    <row r="2292" spans="1:5" ht="40.5">
      <c r="A2292" s="446">
        <v>95581</v>
      </c>
      <c r="B2292" s="447" t="s">
        <v>2845</v>
      </c>
      <c r="C2292" s="446" t="s">
        <v>17</v>
      </c>
      <c r="D2292" s="448">
        <v>16.54</v>
      </c>
      <c r="E2292" s="210"/>
    </row>
    <row r="2293" spans="1:5" ht="40.5">
      <c r="A2293" s="446">
        <v>95582</v>
      </c>
      <c r="B2293" s="447" t="s">
        <v>4812</v>
      </c>
      <c r="C2293" s="446" t="s">
        <v>17</v>
      </c>
      <c r="D2293" s="448">
        <v>17.98</v>
      </c>
      <c r="E2293" s="210"/>
    </row>
    <row r="2294" spans="1:5" ht="40.5">
      <c r="A2294" s="446">
        <v>95583</v>
      </c>
      <c r="B2294" s="447" t="s">
        <v>2846</v>
      </c>
      <c r="C2294" s="446" t="s">
        <v>17</v>
      </c>
      <c r="D2294" s="448">
        <v>19.16</v>
      </c>
      <c r="E2294" s="210"/>
    </row>
    <row r="2295" spans="1:5" ht="40.5">
      <c r="A2295" s="446">
        <v>95584</v>
      </c>
      <c r="B2295" s="447" t="s">
        <v>2847</v>
      </c>
      <c r="C2295" s="446" t="s">
        <v>17</v>
      </c>
      <c r="D2295" s="448">
        <v>18.510000000000002</v>
      </c>
      <c r="E2295" s="210"/>
    </row>
    <row r="2296" spans="1:5" ht="54">
      <c r="A2296" s="446">
        <v>95585</v>
      </c>
      <c r="B2296" s="447" t="s">
        <v>3439</v>
      </c>
      <c r="C2296" s="446" t="s">
        <v>17</v>
      </c>
      <c r="D2296" s="448">
        <v>18.95</v>
      </c>
      <c r="E2296" s="210"/>
    </row>
    <row r="2297" spans="1:5" ht="40.5">
      <c r="A2297" s="446">
        <v>95586</v>
      </c>
      <c r="B2297" s="447" t="s">
        <v>2848</v>
      </c>
      <c r="C2297" s="446" t="s">
        <v>17</v>
      </c>
      <c r="D2297" s="448">
        <v>17.41</v>
      </c>
      <c r="E2297" s="210"/>
    </row>
    <row r="2298" spans="1:5" ht="54">
      <c r="A2298" s="446">
        <v>95587</v>
      </c>
      <c r="B2298" s="447" t="s">
        <v>3440</v>
      </c>
      <c r="C2298" s="446" t="s">
        <v>17</v>
      </c>
      <c r="D2298" s="448">
        <v>14.98</v>
      </c>
      <c r="E2298" s="210"/>
    </row>
    <row r="2299" spans="1:5" ht="40.5">
      <c r="A2299" s="446">
        <v>95588</v>
      </c>
      <c r="B2299" s="447" t="s">
        <v>2849</v>
      </c>
      <c r="C2299" s="446" t="s">
        <v>17</v>
      </c>
      <c r="D2299" s="448">
        <v>14.63</v>
      </c>
      <c r="E2299" s="210"/>
    </row>
    <row r="2300" spans="1:5" ht="40.5">
      <c r="A2300" s="446">
        <v>95589</v>
      </c>
      <c r="B2300" s="447" t="s">
        <v>2850</v>
      </c>
      <c r="C2300" s="446" t="s">
        <v>17</v>
      </c>
      <c r="D2300" s="448">
        <v>16.829999999999998</v>
      </c>
      <c r="E2300" s="210"/>
    </row>
    <row r="2301" spans="1:5" ht="40.5">
      <c r="A2301" s="446">
        <v>95590</v>
      </c>
      <c r="B2301" s="447" t="s">
        <v>2851</v>
      </c>
      <c r="C2301" s="446" t="s">
        <v>17</v>
      </c>
      <c r="D2301" s="448">
        <v>16.66</v>
      </c>
      <c r="E2301" s="210"/>
    </row>
    <row r="2302" spans="1:5" ht="40.5">
      <c r="A2302" s="446">
        <v>95591</v>
      </c>
      <c r="B2302" s="447" t="s">
        <v>4813</v>
      </c>
      <c r="C2302" s="446" t="s">
        <v>17</v>
      </c>
      <c r="D2302" s="448">
        <v>18.05</v>
      </c>
      <c r="E2302" s="210"/>
    </row>
    <row r="2303" spans="1:5" ht="40.5">
      <c r="A2303" s="446">
        <v>95592</v>
      </c>
      <c r="B2303" s="447" t="s">
        <v>2852</v>
      </c>
      <c r="C2303" s="446" t="s">
        <v>17</v>
      </c>
      <c r="D2303" s="448">
        <v>22.12</v>
      </c>
      <c r="E2303" s="210"/>
    </row>
    <row r="2304" spans="1:5" ht="40.5">
      <c r="A2304" s="446">
        <v>95593</v>
      </c>
      <c r="B2304" s="447" t="s">
        <v>2853</v>
      </c>
      <c r="C2304" s="446" t="s">
        <v>17</v>
      </c>
      <c r="D2304" s="448">
        <v>20.61</v>
      </c>
      <c r="E2304" s="210"/>
    </row>
    <row r="2305" spans="1:5" ht="54">
      <c r="A2305" s="446">
        <v>95943</v>
      </c>
      <c r="B2305" s="447" t="s">
        <v>6250</v>
      </c>
      <c r="C2305" s="446" t="s">
        <v>17</v>
      </c>
      <c r="D2305" s="448">
        <v>22.89</v>
      </c>
      <c r="E2305" s="210"/>
    </row>
    <row r="2306" spans="1:5" ht="54">
      <c r="A2306" s="446">
        <v>95944</v>
      </c>
      <c r="B2306" s="447" t="s">
        <v>6251</v>
      </c>
      <c r="C2306" s="446" t="s">
        <v>17</v>
      </c>
      <c r="D2306" s="448">
        <v>22.56</v>
      </c>
      <c r="E2306" s="210"/>
    </row>
    <row r="2307" spans="1:5" ht="54">
      <c r="A2307" s="446">
        <v>95945</v>
      </c>
      <c r="B2307" s="447" t="s">
        <v>6252</v>
      </c>
      <c r="C2307" s="446" t="s">
        <v>17</v>
      </c>
      <c r="D2307" s="448">
        <v>20.49</v>
      </c>
      <c r="E2307" s="210"/>
    </row>
    <row r="2308" spans="1:5" ht="54">
      <c r="A2308" s="446">
        <v>95946</v>
      </c>
      <c r="B2308" s="447" t="s">
        <v>6253</v>
      </c>
      <c r="C2308" s="446" t="s">
        <v>17</v>
      </c>
      <c r="D2308" s="448">
        <v>17.79</v>
      </c>
      <c r="E2308" s="210"/>
    </row>
    <row r="2309" spans="1:5" ht="54">
      <c r="A2309" s="446">
        <v>95947</v>
      </c>
      <c r="B2309" s="447" t="s">
        <v>6254</v>
      </c>
      <c r="C2309" s="446" t="s">
        <v>17</v>
      </c>
      <c r="D2309" s="448">
        <v>14.61</v>
      </c>
      <c r="E2309" s="210"/>
    </row>
    <row r="2310" spans="1:5" ht="54">
      <c r="A2310" s="446">
        <v>95948</v>
      </c>
      <c r="B2310" s="447" t="s">
        <v>6255</v>
      </c>
      <c r="C2310" s="446" t="s">
        <v>17</v>
      </c>
      <c r="D2310" s="448">
        <v>13.86</v>
      </c>
      <c r="E2310" s="210"/>
    </row>
    <row r="2311" spans="1:5" ht="40.5">
      <c r="A2311" s="446">
        <v>96544</v>
      </c>
      <c r="B2311" s="447" t="s">
        <v>3072</v>
      </c>
      <c r="C2311" s="446" t="s">
        <v>17</v>
      </c>
      <c r="D2311" s="448">
        <v>20.3</v>
      </c>
      <c r="E2311" s="210"/>
    </row>
    <row r="2312" spans="1:5" ht="40.5">
      <c r="A2312" s="446">
        <v>96545</v>
      </c>
      <c r="B2312" s="447" t="s">
        <v>3073</v>
      </c>
      <c r="C2312" s="446" t="s">
        <v>17</v>
      </c>
      <c r="D2312" s="448">
        <v>19.73</v>
      </c>
      <c r="E2312" s="210"/>
    </row>
    <row r="2313" spans="1:5" ht="40.5">
      <c r="A2313" s="446">
        <v>96546</v>
      </c>
      <c r="B2313" s="447" t="s">
        <v>3074</v>
      </c>
      <c r="C2313" s="446" t="s">
        <v>17</v>
      </c>
      <c r="D2313" s="448">
        <v>17.95</v>
      </c>
      <c r="E2313" s="210"/>
    </row>
    <row r="2314" spans="1:5" ht="40.5">
      <c r="A2314" s="446">
        <v>96547</v>
      </c>
      <c r="B2314" s="447" t="s">
        <v>3075</v>
      </c>
      <c r="C2314" s="446" t="s">
        <v>17</v>
      </c>
      <c r="D2314" s="448">
        <v>15.33</v>
      </c>
      <c r="E2314" s="210"/>
    </row>
    <row r="2315" spans="1:5" ht="40.5">
      <c r="A2315" s="446">
        <v>96548</v>
      </c>
      <c r="B2315" s="447" t="s">
        <v>3076</v>
      </c>
      <c r="C2315" s="446" t="s">
        <v>17</v>
      </c>
      <c r="D2315" s="448">
        <v>14.84</v>
      </c>
      <c r="E2315" s="210"/>
    </row>
    <row r="2316" spans="1:5" ht="40.5">
      <c r="A2316" s="446">
        <v>96549</v>
      </c>
      <c r="B2316" s="447" t="s">
        <v>3077</v>
      </c>
      <c r="C2316" s="446" t="s">
        <v>17</v>
      </c>
      <c r="D2316" s="448">
        <v>16.940000000000001</v>
      </c>
      <c r="E2316" s="210"/>
    </row>
    <row r="2317" spans="1:5" ht="40.5">
      <c r="A2317" s="446">
        <v>96550</v>
      </c>
      <c r="B2317" s="447" t="s">
        <v>3078</v>
      </c>
      <c r="C2317" s="446" t="s">
        <v>17</v>
      </c>
      <c r="D2317" s="448">
        <v>16.68</v>
      </c>
      <c r="E2317" s="210"/>
    </row>
    <row r="2318" spans="1:5" ht="54">
      <c r="A2318" s="446">
        <v>100064</v>
      </c>
      <c r="B2318" s="447" t="s">
        <v>6765</v>
      </c>
      <c r="C2318" s="446" t="s">
        <v>17</v>
      </c>
      <c r="D2318" s="448">
        <v>17.84</v>
      </c>
      <c r="E2318" s="210"/>
    </row>
    <row r="2319" spans="1:5" ht="54">
      <c r="A2319" s="446">
        <v>100066</v>
      </c>
      <c r="B2319" s="447" t="s">
        <v>3744</v>
      </c>
      <c r="C2319" s="446" t="s">
        <v>17</v>
      </c>
      <c r="D2319" s="448">
        <v>17.920000000000002</v>
      </c>
      <c r="E2319" s="210"/>
    </row>
    <row r="2320" spans="1:5" ht="54">
      <c r="A2320" s="446">
        <v>100067</v>
      </c>
      <c r="B2320" s="447" t="s">
        <v>3745</v>
      </c>
      <c r="C2320" s="446" t="s">
        <v>17</v>
      </c>
      <c r="D2320" s="448">
        <v>16.71</v>
      </c>
      <c r="E2320" s="210"/>
    </row>
    <row r="2321" spans="1:5" ht="54">
      <c r="A2321" s="446">
        <v>100068</v>
      </c>
      <c r="B2321" s="447" t="s">
        <v>3746</v>
      </c>
      <c r="C2321" s="446" t="s">
        <v>17</v>
      </c>
      <c r="D2321" s="448">
        <v>14.12</v>
      </c>
      <c r="E2321" s="210"/>
    </row>
    <row r="2322" spans="1:5" ht="27">
      <c r="A2322" s="446">
        <v>89993</v>
      </c>
      <c r="B2322" s="447" t="s">
        <v>336</v>
      </c>
      <c r="C2322" s="446" t="s">
        <v>31</v>
      </c>
      <c r="D2322" s="448">
        <v>669.42</v>
      </c>
      <c r="E2322" s="210"/>
    </row>
    <row r="2323" spans="1:5" ht="40.5">
      <c r="A2323" s="446">
        <v>89994</v>
      </c>
      <c r="B2323" s="447" t="s">
        <v>1701</v>
      </c>
      <c r="C2323" s="446" t="s">
        <v>31</v>
      </c>
      <c r="D2323" s="448">
        <v>576.49</v>
      </c>
      <c r="E2323" s="210"/>
    </row>
    <row r="2324" spans="1:5" ht="40.5">
      <c r="A2324" s="446">
        <v>89995</v>
      </c>
      <c r="B2324" s="447" t="s">
        <v>1702</v>
      </c>
      <c r="C2324" s="446" t="s">
        <v>31</v>
      </c>
      <c r="D2324" s="448">
        <v>645.65</v>
      </c>
      <c r="E2324" s="210"/>
    </row>
    <row r="2325" spans="1:5" ht="54">
      <c r="A2325" s="446">
        <v>90278</v>
      </c>
      <c r="B2325" s="447" t="s">
        <v>1709</v>
      </c>
      <c r="C2325" s="446" t="s">
        <v>31</v>
      </c>
      <c r="D2325" s="448">
        <v>344.63</v>
      </c>
      <c r="E2325" s="210"/>
    </row>
    <row r="2326" spans="1:5" ht="54">
      <c r="A2326" s="446">
        <v>90279</v>
      </c>
      <c r="B2326" s="447" t="s">
        <v>1710</v>
      </c>
      <c r="C2326" s="446" t="s">
        <v>31</v>
      </c>
      <c r="D2326" s="448">
        <v>370.73</v>
      </c>
      <c r="E2326" s="210"/>
    </row>
    <row r="2327" spans="1:5" ht="54">
      <c r="A2327" s="446">
        <v>90280</v>
      </c>
      <c r="B2327" s="447" t="s">
        <v>1711</v>
      </c>
      <c r="C2327" s="446" t="s">
        <v>31</v>
      </c>
      <c r="D2327" s="448">
        <v>414.88</v>
      </c>
      <c r="E2327" s="210"/>
    </row>
    <row r="2328" spans="1:5" ht="54">
      <c r="A2328" s="446">
        <v>90281</v>
      </c>
      <c r="B2328" s="447" t="s">
        <v>1712</v>
      </c>
      <c r="C2328" s="446" t="s">
        <v>31</v>
      </c>
      <c r="D2328" s="448">
        <v>479.4</v>
      </c>
      <c r="E2328" s="210"/>
    </row>
    <row r="2329" spans="1:5" ht="54">
      <c r="A2329" s="446">
        <v>90282</v>
      </c>
      <c r="B2329" s="447" t="s">
        <v>1713</v>
      </c>
      <c r="C2329" s="446" t="s">
        <v>31</v>
      </c>
      <c r="D2329" s="448">
        <v>347.84</v>
      </c>
      <c r="E2329" s="210"/>
    </row>
    <row r="2330" spans="1:5" ht="54">
      <c r="A2330" s="446">
        <v>90283</v>
      </c>
      <c r="B2330" s="447" t="s">
        <v>1714</v>
      </c>
      <c r="C2330" s="446" t="s">
        <v>31</v>
      </c>
      <c r="D2330" s="448">
        <v>375.21</v>
      </c>
      <c r="E2330" s="210"/>
    </row>
    <row r="2331" spans="1:5" ht="54">
      <c r="A2331" s="446">
        <v>90284</v>
      </c>
      <c r="B2331" s="447" t="s">
        <v>1715</v>
      </c>
      <c r="C2331" s="446" t="s">
        <v>31</v>
      </c>
      <c r="D2331" s="448">
        <v>420.47</v>
      </c>
      <c r="E2331" s="210"/>
    </row>
    <row r="2332" spans="1:5" ht="54">
      <c r="A2332" s="446">
        <v>90285</v>
      </c>
      <c r="B2332" s="447" t="s">
        <v>1716</v>
      </c>
      <c r="C2332" s="446" t="s">
        <v>31</v>
      </c>
      <c r="D2332" s="448">
        <v>487.94</v>
      </c>
      <c r="E2332" s="210"/>
    </row>
    <row r="2333" spans="1:5" ht="81">
      <c r="A2333" s="446">
        <v>90853</v>
      </c>
      <c r="B2333" s="447" t="s">
        <v>3747</v>
      </c>
      <c r="C2333" s="446" t="s">
        <v>31</v>
      </c>
      <c r="D2333" s="448">
        <v>574.46</v>
      </c>
      <c r="E2333" s="210"/>
    </row>
    <row r="2334" spans="1:5" ht="81">
      <c r="A2334" s="446">
        <v>90854</v>
      </c>
      <c r="B2334" s="447" t="s">
        <v>3748</v>
      </c>
      <c r="C2334" s="446" t="s">
        <v>31</v>
      </c>
      <c r="D2334" s="448">
        <v>557.55999999999995</v>
      </c>
      <c r="E2334" s="210"/>
    </row>
    <row r="2335" spans="1:5" ht="81">
      <c r="A2335" s="446">
        <v>90855</v>
      </c>
      <c r="B2335" s="447" t="s">
        <v>3749</v>
      </c>
      <c r="C2335" s="446" t="s">
        <v>31</v>
      </c>
      <c r="D2335" s="448">
        <v>604.74</v>
      </c>
      <c r="E2335" s="210"/>
    </row>
    <row r="2336" spans="1:5" ht="81">
      <c r="A2336" s="446">
        <v>90856</v>
      </c>
      <c r="B2336" s="447" t="s">
        <v>3750</v>
      </c>
      <c r="C2336" s="446" t="s">
        <v>31</v>
      </c>
      <c r="D2336" s="448">
        <v>577.65</v>
      </c>
      <c r="E2336" s="210"/>
    </row>
    <row r="2337" spans="1:5" ht="81">
      <c r="A2337" s="446">
        <v>90857</v>
      </c>
      <c r="B2337" s="447" t="s">
        <v>3751</v>
      </c>
      <c r="C2337" s="446" t="s">
        <v>31</v>
      </c>
      <c r="D2337" s="448">
        <v>559.69000000000005</v>
      </c>
      <c r="E2337" s="210"/>
    </row>
    <row r="2338" spans="1:5" ht="81">
      <c r="A2338" s="446">
        <v>90858</v>
      </c>
      <c r="B2338" s="447" t="s">
        <v>3752</v>
      </c>
      <c r="C2338" s="446" t="s">
        <v>31</v>
      </c>
      <c r="D2338" s="448">
        <v>619.36</v>
      </c>
      <c r="E2338" s="210"/>
    </row>
    <row r="2339" spans="1:5" ht="81">
      <c r="A2339" s="446">
        <v>90859</v>
      </c>
      <c r="B2339" s="447" t="s">
        <v>3753</v>
      </c>
      <c r="C2339" s="446" t="s">
        <v>31</v>
      </c>
      <c r="D2339" s="448">
        <v>579.6</v>
      </c>
      <c r="E2339" s="210"/>
    </row>
    <row r="2340" spans="1:5" ht="81">
      <c r="A2340" s="446">
        <v>90860</v>
      </c>
      <c r="B2340" s="447" t="s">
        <v>3754</v>
      </c>
      <c r="C2340" s="446" t="s">
        <v>31</v>
      </c>
      <c r="D2340" s="448">
        <v>584.01</v>
      </c>
      <c r="E2340" s="210"/>
    </row>
    <row r="2341" spans="1:5" ht="67.5">
      <c r="A2341" s="446">
        <v>90861</v>
      </c>
      <c r="B2341" s="447" t="s">
        <v>3755</v>
      </c>
      <c r="C2341" s="446" t="s">
        <v>31</v>
      </c>
      <c r="D2341" s="448">
        <v>564.98</v>
      </c>
      <c r="E2341" s="210"/>
    </row>
    <row r="2342" spans="1:5" ht="67.5">
      <c r="A2342" s="446">
        <v>90862</v>
      </c>
      <c r="B2342" s="447" t="s">
        <v>3756</v>
      </c>
      <c r="C2342" s="446" t="s">
        <v>31</v>
      </c>
      <c r="D2342" s="448">
        <v>546.37</v>
      </c>
      <c r="E2342" s="210"/>
    </row>
    <row r="2343" spans="1:5" ht="67.5">
      <c r="A2343" s="446">
        <v>92718</v>
      </c>
      <c r="B2343" s="447" t="s">
        <v>2147</v>
      </c>
      <c r="C2343" s="446" t="s">
        <v>31</v>
      </c>
      <c r="D2343" s="448">
        <v>617.65</v>
      </c>
      <c r="E2343" s="210"/>
    </row>
    <row r="2344" spans="1:5" ht="67.5">
      <c r="A2344" s="446">
        <v>92719</v>
      </c>
      <c r="B2344" s="447" t="s">
        <v>2148</v>
      </c>
      <c r="C2344" s="446" t="s">
        <v>31</v>
      </c>
      <c r="D2344" s="448">
        <v>501.04</v>
      </c>
      <c r="E2344" s="210"/>
    </row>
    <row r="2345" spans="1:5" ht="67.5">
      <c r="A2345" s="446">
        <v>92720</v>
      </c>
      <c r="B2345" s="447" t="s">
        <v>2149</v>
      </c>
      <c r="C2345" s="446" t="s">
        <v>31</v>
      </c>
      <c r="D2345" s="448">
        <v>536.79</v>
      </c>
      <c r="E2345" s="210"/>
    </row>
    <row r="2346" spans="1:5" ht="67.5">
      <c r="A2346" s="446">
        <v>92721</v>
      </c>
      <c r="B2346" s="447" t="s">
        <v>2150</v>
      </c>
      <c r="C2346" s="446" t="s">
        <v>31</v>
      </c>
      <c r="D2346" s="448">
        <v>493.89</v>
      </c>
      <c r="E2346" s="210"/>
    </row>
    <row r="2347" spans="1:5" ht="67.5">
      <c r="A2347" s="446">
        <v>92722</v>
      </c>
      <c r="B2347" s="447" t="s">
        <v>2151</v>
      </c>
      <c r="C2347" s="446" t="s">
        <v>31</v>
      </c>
      <c r="D2347" s="448">
        <v>533.82000000000005</v>
      </c>
      <c r="E2347" s="210"/>
    </row>
    <row r="2348" spans="1:5" ht="81">
      <c r="A2348" s="446">
        <v>92723</v>
      </c>
      <c r="B2348" s="447" t="s">
        <v>2152</v>
      </c>
      <c r="C2348" s="446" t="s">
        <v>31</v>
      </c>
      <c r="D2348" s="448">
        <v>521.54999999999995</v>
      </c>
      <c r="E2348" s="210"/>
    </row>
    <row r="2349" spans="1:5" ht="67.5">
      <c r="A2349" s="446">
        <v>92724</v>
      </c>
      <c r="B2349" s="447" t="s">
        <v>2153</v>
      </c>
      <c r="C2349" s="446" t="s">
        <v>31</v>
      </c>
      <c r="D2349" s="448">
        <v>518.96</v>
      </c>
      <c r="E2349" s="210"/>
    </row>
    <row r="2350" spans="1:5" ht="81">
      <c r="A2350" s="446">
        <v>92725</v>
      </c>
      <c r="B2350" s="447" t="s">
        <v>2154</v>
      </c>
      <c r="C2350" s="446" t="s">
        <v>31</v>
      </c>
      <c r="D2350" s="448">
        <v>517.85</v>
      </c>
      <c r="E2350" s="210"/>
    </row>
    <row r="2351" spans="1:5" ht="81">
      <c r="A2351" s="446">
        <v>92726</v>
      </c>
      <c r="B2351" s="447" t="s">
        <v>2155</v>
      </c>
      <c r="C2351" s="446" t="s">
        <v>31</v>
      </c>
      <c r="D2351" s="448">
        <v>516</v>
      </c>
      <c r="E2351" s="210"/>
    </row>
    <row r="2352" spans="1:5" ht="94.5">
      <c r="A2352" s="446">
        <v>92727</v>
      </c>
      <c r="B2352" s="447" t="s">
        <v>2156</v>
      </c>
      <c r="C2352" s="446" t="s">
        <v>31</v>
      </c>
      <c r="D2352" s="448">
        <v>561.67999999999995</v>
      </c>
      <c r="E2352" s="210"/>
    </row>
    <row r="2353" spans="1:5" ht="94.5">
      <c r="A2353" s="446">
        <v>92728</v>
      </c>
      <c r="B2353" s="447" t="s">
        <v>2157</v>
      </c>
      <c r="C2353" s="446" t="s">
        <v>31</v>
      </c>
      <c r="D2353" s="448">
        <v>543.1</v>
      </c>
      <c r="E2353" s="210"/>
    </row>
    <row r="2354" spans="1:5" ht="94.5">
      <c r="A2354" s="446">
        <v>92729</v>
      </c>
      <c r="B2354" s="447" t="s">
        <v>3757</v>
      </c>
      <c r="C2354" s="446" t="s">
        <v>31</v>
      </c>
      <c r="D2354" s="448">
        <v>535.23</v>
      </c>
      <c r="E2354" s="210"/>
    </row>
    <row r="2355" spans="1:5" ht="94.5">
      <c r="A2355" s="446">
        <v>92730</v>
      </c>
      <c r="B2355" s="447" t="s">
        <v>2158</v>
      </c>
      <c r="C2355" s="446" t="s">
        <v>31</v>
      </c>
      <c r="D2355" s="448">
        <v>522.1</v>
      </c>
      <c r="E2355" s="210"/>
    </row>
    <row r="2356" spans="1:5" ht="94.5">
      <c r="A2356" s="446">
        <v>92731</v>
      </c>
      <c r="B2356" s="447" t="s">
        <v>2159</v>
      </c>
      <c r="C2356" s="446" t="s">
        <v>31</v>
      </c>
      <c r="D2356" s="448">
        <v>537.29</v>
      </c>
      <c r="E2356" s="210"/>
    </row>
    <row r="2357" spans="1:5" ht="94.5">
      <c r="A2357" s="446">
        <v>92732</v>
      </c>
      <c r="B2357" s="447" t="s">
        <v>2160</v>
      </c>
      <c r="C2357" s="446" t="s">
        <v>31</v>
      </c>
      <c r="D2357" s="448">
        <v>524.54999999999995</v>
      </c>
      <c r="E2357" s="210"/>
    </row>
    <row r="2358" spans="1:5" ht="94.5">
      <c r="A2358" s="446">
        <v>92733</v>
      </c>
      <c r="B2358" s="447" t="s">
        <v>2161</v>
      </c>
      <c r="C2358" s="446" t="s">
        <v>31</v>
      </c>
      <c r="D2358" s="448">
        <v>519.13</v>
      </c>
      <c r="E2358" s="210"/>
    </row>
    <row r="2359" spans="1:5" ht="94.5">
      <c r="A2359" s="446">
        <v>92734</v>
      </c>
      <c r="B2359" s="447" t="s">
        <v>2162</v>
      </c>
      <c r="C2359" s="446" t="s">
        <v>31</v>
      </c>
      <c r="D2359" s="448">
        <v>510.14</v>
      </c>
      <c r="E2359" s="210"/>
    </row>
    <row r="2360" spans="1:5" ht="94.5">
      <c r="A2360" s="446">
        <v>92735</v>
      </c>
      <c r="B2360" s="447" t="s">
        <v>2163</v>
      </c>
      <c r="C2360" s="446" t="s">
        <v>31</v>
      </c>
      <c r="D2360" s="448">
        <v>515.37</v>
      </c>
      <c r="E2360" s="210"/>
    </row>
    <row r="2361" spans="1:5" ht="94.5">
      <c r="A2361" s="446">
        <v>92736</v>
      </c>
      <c r="B2361" s="447" t="s">
        <v>2164</v>
      </c>
      <c r="C2361" s="446" t="s">
        <v>31</v>
      </c>
      <c r="D2361" s="448">
        <v>505.66</v>
      </c>
      <c r="E2361" s="210"/>
    </row>
    <row r="2362" spans="1:5" ht="94.5">
      <c r="A2362" s="446">
        <v>92739</v>
      </c>
      <c r="B2362" s="447" t="s">
        <v>2165</v>
      </c>
      <c r="C2362" s="446" t="s">
        <v>31</v>
      </c>
      <c r="D2362" s="448">
        <v>491.55</v>
      </c>
      <c r="E2362" s="210"/>
    </row>
    <row r="2363" spans="1:5" ht="94.5">
      <c r="A2363" s="446">
        <v>92740</v>
      </c>
      <c r="B2363" s="447" t="s">
        <v>2166</v>
      </c>
      <c r="C2363" s="446" t="s">
        <v>31</v>
      </c>
      <c r="D2363" s="448">
        <v>486.74</v>
      </c>
      <c r="E2363" s="210"/>
    </row>
    <row r="2364" spans="1:5" ht="81">
      <c r="A2364" s="446">
        <v>92741</v>
      </c>
      <c r="B2364" s="447" t="s">
        <v>2167</v>
      </c>
      <c r="C2364" s="446" t="s">
        <v>31</v>
      </c>
      <c r="D2364" s="448">
        <v>663.57</v>
      </c>
      <c r="E2364" s="210"/>
    </row>
    <row r="2365" spans="1:5" ht="81">
      <c r="A2365" s="446">
        <v>92742</v>
      </c>
      <c r="B2365" s="447" t="s">
        <v>2168</v>
      </c>
      <c r="C2365" s="446" t="s">
        <v>31</v>
      </c>
      <c r="D2365" s="448">
        <v>849.51</v>
      </c>
      <c r="E2365" s="210"/>
    </row>
    <row r="2366" spans="1:5" ht="40.5">
      <c r="A2366" s="446">
        <v>92873</v>
      </c>
      <c r="B2366" s="447" t="s">
        <v>48</v>
      </c>
      <c r="C2366" s="446" t="s">
        <v>31</v>
      </c>
      <c r="D2366" s="448">
        <v>144.18</v>
      </c>
      <c r="E2366" s="210"/>
    </row>
    <row r="2367" spans="1:5" ht="40.5">
      <c r="A2367" s="446">
        <v>92874</v>
      </c>
      <c r="B2367" s="447" t="s">
        <v>2277</v>
      </c>
      <c r="C2367" s="446" t="s">
        <v>31</v>
      </c>
      <c r="D2367" s="448">
        <v>23.86</v>
      </c>
      <c r="E2367" s="210"/>
    </row>
    <row r="2368" spans="1:5" ht="67.5">
      <c r="A2368" s="446">
        <v>94962</v>
      </c>
      <c r="B2368" s="447" t="s">
        <v>7002</v>
      </c>
      <c r="C2368" s="446" t="s">
        <v>31</v>
      </c>
      <c r="D2368" s="448">
        <v>296.5</v>
      </c>
      <c r="E2368" s="210"/>
    </row>
    <row r="2369" spans="1:5" ht="54">
      <c r="A2369" s="446">
        <v>94963</v>
      </c>
      <c r="B2369" s="447" t="s">
        <v>7003</v>
      </c>
      <c r="C2369" s="446" t="s">
        <v>31</v>
      </c>
      <c r="D2369" s="448">
        <v>333.61</v>
      </c>
      <c r="E2369" s="210"/>
    </row>
    <row r="2370" spans="1:5" ht="54">
      <c r="A2370" s="446">
        <v>94964</v>
      </c>
      <c r="B2370" s="447" t="s">
        <v>7004</v>
      </c>
      <c r="C2370" s="446" t="s">
        <v>31</v>
      </c>
      <c r="D2370" s="448">
        <v>367.28</v>
      </c>
      <c r="E2370" s="210"/>
    </row>
    <row r="2371" spans="1:5" ht="54">
      <c r="A2371" s="446">
        <v>94965</v>
      </c>
      <c r="B2371" s="447" t="s">
        <v>7005</v>
      </c>
      <c r="C2371" s="446" t="s">
        <v>31</v>
      </c>
      <c r="D2371" s="448">
        <v>385.69</v>
      </c>
      <c r="E2371" s="210"/>
    </row>
    <row r="2372" spans="1:5" ht="54">
      <c r="A2372" s="446">
        <v>94966</v>
      </c>
      <c r="B2372" s="447" t="s">
        <v>7006</v>
      </c>
      <c r="C2372" s="446" t="s">
        <v>31</v>
      </c>
      <c r="D2372" s="448">
        <v>400.57</v>
      </c>
      <c r="E2372" s="210"/>
    </row>
    <row r="2373" spans="1:5" ht="54">
      <c r="A2373" s="446">
        <v>94967</v>
      </c>
      <c r="B2373" s="447" t="s">
        <v>7007</v>
      </c>
      <c r="C2373" s="446" t="s">
        <v>31</v>
      </c>
      <c r="D2373" s="448">
        <v>461.83</v>
      </c>
      <c r="E2373" s="210"/>
    </row>
    <row r="2374" spans="1:5" ht="67.5">
      <c r="A2374" s="446">
        <v>94968</v>
      </c>
      <c r="B2374" s="447" t="s">
        <v>7008</v>
      </c>
      <c r="C2374" s="446" t="s">
        <v>31</v>
      </c>
      <c r="D2374" s="448">
        <v>295.51</v>
      </c>
      <c r="E2374" s="210"/>
    </row>
    <row r="2375" spans="1:5" ht="54">
      <c r="A2375" s="446">
        <v>94969</v>
      </c>
      <c r="B2375" s="447" t="s">
        <v>7009</v>
      </c>
      <c r="C2375" s="446" t="s">
        <v>31</v>
      </c>
      <c r="D2375" s="448">
        <v>330.51</v>
      </c>
      <c r="E2375" s="210"/>
    </row>
    <row r="2376" spans="1:5" ht="54">
      <c r="A2376" s="446">
        <v>94970</v>
      </c>
      <c r="B2376" s="447" t="s">
        <v>7010</v>
      </c>
      <c r="C2376" s="446" t="s">
        <v>31</v>
      </c>
      <c r="D2376" s="448">
        <v>360.42</v>
      </c>
      <c r="E2376" s="210"/>
    </row>
    <row r="2377" spans="1:5" ht="54">
      <c r="A2377" s="446">
        <v>94971</v>
      </c>
      <c r="B2377" s="447" t="s">
        <v>7011</v>
      </c>
      <c r="C2377" s="446" t="s">
        <v>31</v>
      </c>
      <c r="D2377" s="448">
        <v>382.79</v>
      </c>
      <c r="E2377" s="210"/>
    </row>
    <row r="2378" spans="1:5" ht="54">
      <c r="A2378" s="446">
        <v>94972</v>
      </c>
      <c r="B2378" s="447" t="s">
        <v>7012</v>
      </c>
      <c r="C2378" s="446" t="s">
        <v>31</v>
      </c>
      <c r="D2378" s="448">
        <v>397.66</v>
      </c>
      <c r="E2378" s="210"/>
    </row>
    <row r="2379" spans="1:5" ht="54">
      <c r="A2379" s="446">
        <v>94973</v>
      </c>
      <c r="B2379" s="447" t="s">
        <v>7013</v>
      </c>
      <c r="C2379" s="446" t="s">
        <v>31</v>
      </c>
      <c r="D2379" s="448">
        <v>458.02</v>
      </c>
      <c r="E2379" s="210"/>
    </row>
    <row r="2380" spans="1:5" ht="54">
      <c r="A2380" s="446">
        <v>94974</v>
      </c>
      <c r="B2380" s="447" t="s">
        <v>7014</v>
      </c>
      <c r="C2380" s="446" t="s">
        <v>31</v>
      </c>
      <c r="D2380" s="448">
        <v>339.33</v>
      </c>
      <c r="E2380" s="210"/>
    </row>
    <row r="2381" spans="1:5" ht="40.5">
      <c r="A2381" s="446">
        <v>94975</v>
      </c>
      <c r="B2381" s="447" t="s">
        <v>7015</v>
      </c>
      <c r="C2381" s="446" t="s">
        <v>31</v>
      </c>
      <c r="D2381" s="448">
        <v>372.69</v>
      </c>
      <c r="E2381" s="210"/>
    </row>
    <row r="2382" spans="1:5" ht="54">
      <c r="A2382" s="446">
        <v>96555</v>
      </c>
      <c r="B2382" s="447" t="s">
        <v>3079</v>
      </c>
      <c r="C2382" s="446" t="s">
        <v>31</v>
      </c>
      <c r="D2382" s="448">
        <v>534.73</v>
      </c>
      <c r="E2382" s="210"/>
    </row>
    <row r="2383" spans="1:5" ht="40.5">
      <c r="A2383" s="446">
        <v>96556</v>
      </c>
      <c r="B2383" s="447" t="s">
        <v>3080</v>
      </c>
      <c r="C2383" s="446" t="s">
        <v>31</v>
      </c>
      <c r="D2383" s="448">
        <v>591.42999999999995</v>
      </c>
      <c r="E2383" s="210"/>
    </row>
    <row r="2384" spans="1:5" ht="54">
      <c r="A2384" s="446">
        <v>96557</v>
      </c>
      <c r="B2384" s="447" t="s">
        <v>3081</v>
      </c>
      <c r="C2384" s="446" t="s">
        <v>31</v>
      </c>
      <c r="D2384" s="448">
        <v>565.45000000000005</v>
      </c>
      <c r="E2384" s="210"/>
    </row>
    <row r="2385" spans="1:5" ht="40.5">
      <c r="A2385" s="446">
        <v>96558</v>
      </c>
      <c r="B2385" s="447" t="s">
        <v>3082</v>
      </c>
      <c r="C2385" s="446" t="s">
        <v>31</v>
      </c>
      <c r="D2385" s="448">
        <v>570.58000000000004</v>
      </c>
      <c r="E2385" s="210"/>
    </row>
    <row r="2386" spans="1:5" ht="67.5">
      <c r="A2386" s="446">
        <v>99235</v>
      </c>
      <c r="B2386" s="447" t="s">
        <v>3758</v>
      </c>
      <c r="C2386" s="446" t="s">
        <v>31</v>
      </c>
      <c r="D2386" s="448">
        <v>552.35</v>
      </c>
      <c r="E2386" s="210"/>
    </row>
    <row r="2387" spans="1:5" ht="81">
      <c r="A2387" s="446">
        <v>99431</v>
      </c>
      <c r="B2387" s="447" t="s">
        <v>3759</v>
      </c>
      <c r="C2387" s="446" t="s">
        <v>31</v>
      </c>
      <c r="D2387" s="448">
        <v>572.08000000000004</v>
      </c>
      <c r="E2387" s="210"/>
    </row>
    <row r="2388" spans="1:5" ht="81">
      <c r="A2388" s="446">
        <v>99432</v>
      </c>
      <c r="B2388" s="447" t="s">
        <v>3760</v>
      </c>
      <c r="C2388" s="446" t="s">
        <v>31</v>
      </c>
      <c r="D2388" s="448">
        <v>555.25</v>
      </c>
      <c r="E2388" s="210"/>
    </row>
    <row r="2389" spans="1:5" ht="81">
      <c r="A2389" s="446">
        <v>99433</v>
      </c>
      <c r="B2389" s="447" t="s">
        <v>3761</v>
      </c>
      <c r="C2389" s="446" t="s">
        <v>31</v>
      </c>
      <c r="D2389" s="448">
        <v>602.28</v>
      </c>
      <c r="E2389" s="210"/>
    </row>
    <row r="2390" spans="1:5" ht="81">
      <c r="A2390" s="446">
        <v>99434</v>
      </c>
      <c r="B2390" s="447" t="s">
        <v>3762</v>
      </c>
      <c r="C2390" s="446" t="s">
        <v>31</v>
      </c>
      <c r="D2390" s="448">
        <v>575.27</v>
      </c>
      <c r="E2390" s="210"/>
    </row>
    <row r="2391" spans="1:5" ht="81">
      <c r="A2391" s="446">
        <v>99435</v>
      </c>
      <c r="B2391" s="447" t="s">
        <v>3763</v>
      </c>
      <c r="C2391" s="446" t="s">
        <v>31</v>
      </c>
      <c r="D2391" s="448">
        <v>557.38</v>
      </c>
      <c r="E2391" s="210"/>
    </row>
    <row r="2392" spans="1:5" ht="81">
      <c r="A2392" s="446">
        <v>99436</v>
      </c>
      <c r="B2392" s="447" t="s">
        <v>3764</v>
      </c>
      <c r="C2392" s="446" t="s">
        <v>31</v>
      </c>
      <c r="D2392" s="448">
        <v>616.9</v>
      </c>
      <c r="E2392" s="210"/>
    </row>
    <row r="2393" spans="1:5" ht="81">
      <c r="A2393" s="446">
        <v>99437</v>
      </c>
      <c r="B2393" s="447" t="s">
        <v>3765</v>
      </c>
      <c r="C2393" s="446" t="s">
        <v>31</v>
      </c>
      <c r="D2393" s="448">
        <v>585.91</v>
      </c>
      <c r="E2393" s="210"/>
    </row>
    <row r="2394" spans="1:5" ht="81">
      <c r="A2394" s="446">
        <v>99438</v>
      </c>
      <c r="B2394" s="447" t="s">
        <v>3766</v>
      </c>
      <c r="C2394" s="446" t="s">
        <v>31</v>
      </c>
      <c r="D2394" s="448">
        <v>590.32000000000005</v>
      </c>
      <c r="E2394" s="210"/>
    </row>
    <row r="2395" spans="1:5" ht="81">
      <c r="A2395" s="446">
        <v>99439</v>
      </c>
      <c r="B2395" s="447" t="s">
        <v>3767</v>
      </c>
      <c r="C2395" s="446" t="s">
        <v>31</v>
      </c>
      <c r="D2395" s="448">
        <v>562.64</v>
      </c>
      <c r="E2395" s="210"/>
    </row>
    <row r="2396" spans="1:5" ht="67.5">
      <c r="A2396" s="446">
        <v>102473</v>
      </c>
      <c r="B2396" s="447" t="s">
        <v>7016</v>
      </c>
      <c r="C2396" s="446" t="s">
        <v>31</v>
      </c>
      <c r="D2396" s="448">
        <v>316.24</v>
      </c>
      <c r="E2396" s="210"/>
    </row>
    <row r="2397" spans="1:5" ht="54">
      <c r="A2397" s="446">
        <v>102474</v>
      </c>
      <c r="B2397" s="447" t="s">
        <v>7017</v>
      </c>
      <c r="C2397" s="446" t="s">
        <v>31</v>
      </c>
      <c r="D2397" s="448">
        <v>353.16</v>
      </c>
      <c r="E2397" s="210"/>
    </row>
    <row r="2398" spans="1:5" ht="54">
      <c r="A2398" s="446">
        <v>102475</v>
      </c>
      <c r="B2398" s="447" t="s">
        <v>7018</v>
      </c>
      <c r="C2398" s="446" t="s">
        <v>31</v>
      </c>
      <c r="D2398" s="448">
        <v>389.3</v>
      </c>
      <c r="E2398" s="210"/>
    </row>
    <row r="2399" spans="1:5" ht="54">
      <c r="A2399" s="446">
        <v>102476</v>
      </c>
      <c r="B2399" s="447" t="s">
        <v>7019</v>
      </c>
      <c r="C2399" s="446" t="s">
        <v>31</v>
      </c>
      <c r="D2399" s="448">
        <v>409.78</v>
      </c>
      <c r="E2399" s="210"/>
    </row>
    <row r="2400" spans="1:5" ht="54">
      <c r="A2400" s="446">
        <v>102477</v>
      </c>
      <c r="B2400" s="447" t="s">
        <v>7020</v>
      </c>
      <c r="C2400" s="446" t="s">
        <v>31</v>
      </c>
      <c r="D2400" s="448">
        <v>437.71</v>
      </c>
      <c r="E2400" s="210"/>
    </row>
    <row r="2401" spans="1:5" ht="54">
      <c r="A2401" s="446">
        <v>102478</v>
      </c>
      <c r="B2401" s="447" t="s">
        <v>7021</v>
      </c>
      <c r="C2401" s="446" t="s">
        <v>31</v>
      </c>
      <c r="D2401" s="448">
        <v>489.04</v>
      </c>
      <c r="E2401" s="210"/>
    </row>
    <row r="2402" spans="1:5" ht="67.5">
      <c r="A2402" s="446">
        <v>102479</v>
      </c>
      <c r="B2402" s="447" t="s">
        <v>7022</v>
      </c>
      <c r="C2402" s="446" t="s">
        <v>31</v>
      </c>
      <c r="D2402" s="448">
        <v>315.18</v>
      </c>
      <c r="E2402" s="210"/>
    </row>
    <row r="2403" spans="1:5" ht="54">
      <c r="A2403" s="446">
        <v>102480</v>
      </c>
      <c r="B2403" s="447" t="s">
        <v>7023</v>
      </c>
      <c r="C2403" s="446" t="s">
        <v>31</v>
      </c>
      <c r="D2403" s="448">
        <v>350.17</v>
      </c>
      <c r="E2403" s="210"/>
    </row>
    <row r="2404" spans="1:5" ht="54">
      <c r="A2404" s="446">
        <v>102481</v>
      </c>
      <c r="B2404" s="447" t="s">
        <v>7024</v>
      </c>
      <c r="C2404" s="446" t="s">
        <v>31</v>
      </c>
      <c r="D2404" s="448">
        <v>382.3</v>
      </c>
      <c r="E2404" s="210"/>
    </row>
    <row r="2405" spans="1:5" ht="54">
      <c r="A2405" s="446">
        <v>102482</v>
      </c>
      <c r="B2405" s="447" t="s">
        <v>7025</v>
      </c>
      <c r="C2405" s="446" t="s">
        <v>31</v>
      </c>
      <c r="D2405" s="448">
        <v>409.01</v>
      </c>
      <c r="E2405" s="210"/>
    </row>
    <row r="2406" spans="1:5" ht="54">
      <c r="A2406" s="446">
        <v>102483</v>
      </c>
      <c r="B2406" s="447" t="s">
        <v>7026</v>
      </c>
      <c r="C2406" s="446" t="s">
        <v>31</v>
      </c>
      <c r="D2406" s="448">
        <v>434.37</v>
      </c>
      <c r="E2406" s="210"/>
    </row>
    <row r="2407" spans="1:5" ht="54">
      <c r="A2407" s="446">
        <v>102484</v>
      </c>
      <c r="B2407" s="447" t="s">
        <v>7027</v>
      </c>
      <c r="C2407" s="446" t="s">
        <v>31</v>
      </c>
      <c r="D2407" s="448">
        <v>489.55</v>
      </c>
      <c r="E2407" s="210"/>
    </row>
    <row r="2408" spans="1:5" ht="54">
      <c r="A2408" s="446">
        <v>102485</v>
      </c>
      <c r="B2408" s="447" t="s">
        <v>7028</v>
      </c>
      <c r="C2408" s="446" t="s">
        <v>31</v>
      </c>
      <c r="D2408" s="448">
        <v>358.7</v>
      </c>
      <c r="E2408" s="210"/>
    </row>
    <row r="2409" spans="1:5" ht="54">
      <c r="A2409" s="446">
        <v>102486</v>
      </c>
      <c r="B2409" s="447" t="s">
        <v>7029</v>
      </c>
      <c r="C2409" s="446" t="s">
        <v>31</v>
      </c>
      <c r="D2409" s="448">
        <v>391.77</v>
      </c>
      <c r="E2409" s="210"/>
    </row>
    <row r="2410" spans="1:5" ht="40.5">
      <c r="A2410" s="446">
        <v>102487</v>
      </c>
      <c r="B2410" s="447" t="s">
        <v>7030</v>
      </c>
      <c r="C2410" s="446" t="s">
        <v>31</v>
      </c>
      <c r="D2410" s="448">
        <v>423.29</v>
      </c>
      <c r="E2410" s="210"/>
    </row>
    <row r="2411" spans="1:5" ht="67.5">
      <c r="A2411" s="446">
        <v>101963</v>
      </c>
      <c r="B2411" s="447" t="s">
        <v>6256</v>
      </c>
      <c r="C2411" s="446" t="s">
        <v>42</v>
      </c>
      <c r="D2411" s="448">
        <v>169.31</v>
      </c>
      <c r="E2411" s="210"/>
    </row>
    <row r="2412" spans="1:5" ht="67.5">
      <c r="A2412" s="446">
        <v>101964</v>
      </c>
      <c r="B2412" s="447" t="s">
        <v>6257</v>
      </c>
      <c r="C2412" s="446" t="s">
        <v>42</v>
      </c>
      <c r="D2412" s="448">
        <v>157.02000000000001</v>
      </c>
      <c r="E2412" s="210"/>
    </row>
    <row r="2413" spans="1:5" ht="54">
      <c r="A2413" s="446">
        <v>101165</v>
      </c>
      <c r="B2413" s="447" t="s">
        <v>4814</v>
      </c>
      <c r="C2413" s="446" t="s">
        <v>31</v>
      </c>
      <c r="D2413" s="448">
        <v>671.12</v>
      </c>
      <c r="E2413" s="210"/>
    </row>
    <row r="2414" spans="1:5" ht="54">
      <c r="A2414" s="446">
        <v>101166</v>
      </c>
      <c r="B2414" s="447" t="s">
        <v>4815</v>
      </c>
      <c r="C2414" s="446" t="s">
        <v>31</v>
      </c>
      <c r="D2414" s="448">
        <v>574.84</v>
      </c>
      <c r="E2414" s="210"/>
    </row>
    <row r="2415" spans="1:5" ht="40.5">
      <c r="A2415" s="446">
        <v>98576</v>
      </c>
      <c r="B2415" s="447" t="s">
        <v>3768</v>
      </c>
      <c r="C2415" s="446" t="s">
        <v>14</v>
      </c>
      <c r="D2415" s="448">
        <v>20.32</v>
      </c>
      <c r="E2415" s="210"/>
    </row>
    <row r="2416" spans="1:5" ht="27">
      <c r="A2416" s="446">
        <v>93182</v>
      </c>
      <c r="B2416" s="447" t="s">
        <v>493</v>
      </c>
      <c r="C2416" s="446" t="s">
        <v>14</v>
      </c>
      <c r="D2416" s="448">
        <v>37.130000000000003</v>
      </c>
      <c r="E2416" s="210"/>
    </row>
    <row r="2417" spans="1:5" ht="27">
      <c r="A2417" s="446">
        <v>93183</v>
      </c>
      <c r="B2417" s="447" t="s">
        <v>494</v>
      </c>
      <c r="C2417" s="446" t="s">
        <v>14</v>
      </c>
      <c r="D2417" s="448">
        <v>48.92</v>
      </c>
      <c r="E2417" s="210"/>
    </row>
    <row r="2418" spans="1:5" ht="27">
      <c r="A2418" s="446">
        <v>93184</v>
      </c>
      <c r="B2418" s="447" t="s">
        <v>495</v>
      </c>
      <c r="C2418" s="446" t="s">
        <v>14</v>
      </c>
      <c r="D2418" s="448">
        <v>26.96</v>
      </c>
      <c r="E2418" s="210"/>
    </row>
    <row r="2419" spans="1:5" ht="27">
      <c r="A2419" s="446">
        <v>93185</v>
      </c>
      <c r="B2419" s="447" t="s">
        <v>496</v>
      </c>
      <c r="C2419" s="446" t="s">
        <v>14</v>
      </c>
      <c r="D2419" s="448">
        <v>48.32</v>
      </c>
      <c r="E2419" s="210"/>
    </row>
    <row r="2420" spans="1:5" ht="40.5">
      <c r="A2420" s="446">
        <v>93186</v>
      </c>
      <c r="B2420" s="447" t="s">
        <v>2349</v>
      </c>
      <c r="C2420" s="446" t="s">
        <v>14</v>
      </c>
      <c r="D2420" s="448">
        <v>64.41</v>
      </c>
      <c r="E2420" s="210"/>
    </row>
    <row r="2421" spans="1:5" ht="40.5">
      <c r="A2421" s="446">
        <v>93187</v>
      </c>
      <c r="B2421" s="447" t="s">
        <v>2350</v>
      </c>
      <c r="C2421" s="446" t="s">
        <v>14</v>
      </c>
      <c r="D2421" s="448">
        <v>75.45</v>
      </c>
      <c r="E2421" s="210"/>
    </row>
    <row r="2422" spans="1:5" ht="27">
      <c r="A2422" s="446">
        <v>93188</v>
      </c>
      <c r="B2422" s="447" t="s">
        <v>2351</v>
      </c>
      <c r="C2422" s="446" t="s">
        <v>14</v>
      </c>
      <c r="D2422" s="448">
        <v>61.11</v>
      </c>
      <c r="E2422" s="210"/>
    </row>
    <row r="2423" spans="1:5" ht="40.5">
      <c r="A2423" s="446">
        <v>93189</v>
      </c>
      <c r="B2423" s="447" t="s">
        <v>2352</v>
      </c>
      <c r="C2423" s="446" t="s">
        <v>14</v>
      </c>
      <c r="D2423" s="448">
        <v>76.489999999999995</v>
      </c>
      <c r="E2423" s="210"/>
    </row>
    <row r="2424" spans="1:5" ht="40.5">
      <c r="A2424" s="446">
        <v>93190</v>
      </c>
      <c r="B2424" s="447" t="s">
        <v>2353</v>
      </c>
      <c r="C2424" s="446" t="s">
        <v>14</v>
      </c>
      <c r="D2424" s="448">
        <v>38.22</v>
      </c>
      <c r="E2424" s="210"/>
    </row>
    <row r="2425" spans="1:5" ht="40.5">
      <c r="A2425" s="446">
        <v>93191</v>
      </c>
      <c r="B2425" s="447" t="s">
        <v>2354</v>
      </c>
      <c r="C2425" s="446" t="s">
        <v>14</v>
      </c>
      <c r="D2425" s="448">
        <v>41.95</v>
      </c>
      <c r="E2425" s="210"/>
    </row>
    <row r="2426" spans="1:5" ht="40.5">
      <c r="A2426" s="446">
        <v>93192</v>
      </c>
      <c r="B2426" s="447" t="s">
        <v>2355</v>
      </c>
      <c r="C2426" s="446" t="s">
        <v>14</v>
      </c>
      <c r="D2426" s="448">
        <v>42.25</v>
      </c>
      <c r="E2426" s="210"/>
    </row>
    <row r="2427" spans="1:5" ht="40.5">
      <c r="A2427" s="446">
        <v>93193</v>
      </c>
      <c r="B2427" s="447" t="s">
        <v>2356</v>
      </c>
      <c r="C2427" s="446" t="s">
        <v>14</v>
      </c>
      <c r="D2427" s="448">
        <v>43.06</v>
      </c>
      <c r="E2427" s="210"/>
    </row>
    <row r="2428" spans="1:5" ht="27">
      <c r="A2428" s="446">
        <v>93194</v>
      </c>
      <c r="B2428" s="447" t="s">
        <v>2357</v>
      </c>
      <c r="C2428" s="446" t="s">
        <v>14</v>
      </c>
      <c r="D2428" s="448">
        <v>36.51</v>
      </c>
      <c r="E2428" s="210"/>
    </row>
    <row r="2429" spans="1:5" ht="40.5">
      <c r="A2429" s="446">
        <v>93195</v>
      </c>
      <c r="B2429" s="447" t="s">
        <v>2358</v>
      </c>
      <c r="C2429" s="446" t="s">
        <v>14</v>
      </c>
      <c r="D2429" s="448">
        <v>43.39</v>
      </c>
      <c r="E2429" s="210"/>
    </row>
    <row r="2430" spans="1:5" ht="40.5">
      <c r="A2430" s="446">
        <v>93196</v>
      </c>
      <c r="B2430" s="447" t="s">
        <v>2359</v>
      </c>
      <c r="C2430" s="446" t="s">
        <v>14</v>
      </c>
      <c r="D2430" s="448">
        <v>61.55</v>
      </c>
      <c r="E2430" s="210"/>
    </row>
    <row r="2431" spans="1:5" ht="40.5">
      <c r="A2431" s="446">
        <v>93197</v>
      </c>
      <c r="B2431" s="447" t="s">
        <v>497</v>
      </c>
      <c r="C2431" s="446" t="s">
        <v>14</v>
      </c>
      <c r="D2431" s="448">
        <v>68.55</v>
      </c>
      <c r="E2431" s="210"/>
    </row>
    <row r="2432" spans="1:5" ht="40.5">
      <c r="A2432" s="446">
        <v>93198</v>
      </c>
      <c r="B2432" s="447" t="s">
        <v>2360</v>
      </c>
      <c r="C2432" s="446" t="s">
        <v>14</v>
      </c>
      <c r="D2432" s="448">
        <v>33.49</v>
      </c>
      <c r="E2432" s="210"/>
    </row>
    <row r="2433" spans="1:5" ht="54">
      <c r="A2433" s="446">
        <v>93199</v>
      </c>
      <c r="B2433" s="447" t="s">
        <v>2361</v>
      </c>
      <c r="C2433" s="446" t="s">
        <v>14</v>
      </c>
      <c r="D2433" s="448">
        <v>33.1</v>
      </c>
      <c r="E2433" s="210"/>
    </row>
    <row r="2434" spans="1:5" ht="40.5">
      <c r="A2434" s="446">
        <v>93200</v>
      </c>
      <c r="B2434" s="447" t="s">
        <v>498</v>
      </c>
      <c r="C2434" s="446" t="s">
        <v>14</v>
      </c>
      <c r="D2434" s="448">
        <v>2.2400000000000002</v>
      </c>
      <c r="E2434" s="210"/>
    </row>
    <row r="2435" spans="1:5" ht="40.5">
      <c r="A2435" s="446">
        <v>93201</v>
      </c>
      <c r="B2435" s="447" t="s">
        <v>499</v>
      </c>
      <c r="C2435" s="446" t="s">
        <v>14</v>
      </c>
      <c r="D2435" s="448">
        <v>4.4400000000000004</v>
      </c>
      <c r="E2435" s="210"/>
    </row>
    <row r="2436" spans="1:5" ht="27">
      <c r="A2436" s="446">
        <v>93202</v>
      </c>
      <c r="B2436" s="447" t="s">
        <v>2362</v>
      </c>
      <c r="C2436" s="446" t="s">
        <v>14</v>
      </c>
      <c r="D2436" s="448">
        <v>21.7</v>
      </c>
      <c r="E2436" s="210"/>
    </row>
    <row r="2437" spans="1:5" ht="40.5">
      <c r="A2437" s="446">
        <v>93203</v>
      </c>
      <c r="B2437" s="447" t="s">
        <v>3434</v>
      </c>
      <c r="C2437" s="446" t="s">
        <v>14</v>
      </c>
      <c r="D2437" s="448">
        <v>13.9</v>
      </c>
      <c r="E2437" s="210"/>
    </row>
    <row r="2438" spans="1:5" ht="27">
      <c r="A2438" s="446">
        <v>93204</v>
      </c>
      <c r="B2438" s="447" t="s">
        <v>2363</v>
      </c>
      <c r="C2438" s="446" t="s">
        <v>14</v>
      </c>
      <c r="D2438" s="448">
        <v>49.66</v>
      </c>
      <c r="E2438" s="210"/>
    </row>
    <row r="2439" spans="1:5" ht="40.5">
      <c r="A2439" s="446">
        <v>93205</v>
      </c>
      <c r="B2439" s="447" t="s">
        <v>2364</v>
      </c>
      <c r="C2439" s="446" t="s">
        <v>14</v>
      </c>
      <c r="D2439" s="448">
        <v>34.909999999999997</v>
      </c>
      <c r="E2439" s="210"/>
    </row>
    <row r="2440" spans="1:5" ht="67.5">
      <c r="A2440" s="446">
        <v>95952</v>
      </c>
      <c r="B2440" s="447" t="s">
        <v>587</v>
      </c>
      <c r="C2440" s="446" t="s">
        <v>31</v>
      </c>
      <c r="D2440" s="448">
        <v>2269.4</v>
      </c>
      <c r="E2440" s="210"/>
    </row>
    <row r="2441" spans="1:5" ht="67.5">
      <c r="A2441" s="446">
        <v>95953</v>
      </c>
      <c r="B2441" s="447" t="s">
        <v>2961</v>
      </c>
      <c r="C2441" s="446" t="s">
        <v>31</v>
      </c>
      <c r="D2441" s="448">
        <v>3364.49</v>
      </c>
      <c r="E2441" s="210"/>
    </row>
    <row r="2442" spans="1:5" ht="81">
      <c r="A2442" s="446">
        <v>95954</v>
      </c>
      <c r="B2442" s="447" t="s">
        <v>588</v>
      </c>
      <c r="C2442" s="446" t="s">
        <v>31</v>
      </c>
      <c r="D2442" s="448">
        <v>2485.6</v>
      </c>
      <c r="E2442" s="210"/>
    </row>
    <row r="2443" spans="1:5" ht="67.5">
      <c r="A2443" s="446">
        <v>95955</v>
      </c>
      <c r="B2443" s="447" t="s">
        <v>589</v>
      </c>
      <c r="C2443" s="446" t="s">
        <v>31</v>
      </c>
      <c r="D2443" s="448">
        <v>2989.42</v>
      </c>
      <c r="E2443" s="210"/>
    </row>
    <row r="2444" spans="1:5" ht="67.5">
      <c r="A2444" s="446">
        <v>95956</v>
      </c>
      <c r="B2444" s="447" t="s">
        <v>2962</v>
      </c>
      <c r="C2444" s="446" t="s">
        <v>31</v>
      </c>
      <c r="D2444" s="448">
        <v>2409.62</v>
      </c>
      <c r="E2444" s="210"/>
    </row>
    <row r="2445" spans="1:5" ht="54">
      <c r="A2445" s="446">
        <v>95957</v>
      </c>
      <c r="B2445" s="447" t="s">
        <v>590</v>
      </c>
      <c r="C2445" s="446" t="s">
        <v>31</v>
      </c>
      <c r="D2445" s="448">
        <v>3276.76</v>
      </c>
      <c r="E2445" s="210"/>
    </row>
    <row r="2446" spans="1:5" ht="40.5">
      <c r="A2446" s="446">
        <v>95969</v>
      </c>
      <c r="B2446" s="447" t="s">
        <v>2964</v>
      </c>
      <c r="C2446" s="446" t="s">
        <v>31</v>
      </c>
      <c r="D2446" s="448">
        <v>2865.39</v>
      </c>
      <c r="E2446" s="210"/>
    </row>
    <row r="2447" spans="1:5" ht="40.5">
      <c r="A2447" s="446">
        <v>97733</v>
      </c>
      <c r="B2447" s="447" t="s">
        <v>3769</v>
      </c>
      <c r="C2447" s="446" t="s">
        <v>31</v>
      </c>
      <c r="D2447" s="448">
        <v>2730.49</v>
      </c>
      <c r="E2447" s="210"/>
    </row>
    <row r="2448" spans="1:5" ht="40.5">
      <c r="A2448" s="446">
        <v>97734</v>
      </c>
      <c r="B2448" s="447" t="s">
        <v>3770</v>
      </c>
      <c r="C2448" s="446" t="s">
        <v>31</v>
      </c>
      <c r="D2448" s="448">
        <v>2300.73</v>
      </c>
      <c r="E2448" s="210"/>
    </row>
    <row r="2449" spans="1:5" ht="40.5">
      <c r="A2449" s="446">
        <v>97735</v>
      </c>
      <c r="B2449" s="447" t="s">
        <v>3771</v>
      </c>
      <c r="C2449" s="446" t="s">
        <v>31</v>
      </c>
      <c r="D2449" s="448">
        <v>1971.46</v>
      </c>
      <c r="E2449" s="210"/>
    </row>
    <row r="2450" spans="1:5" ht="40.5">
      <c r="A2450" s="446">
        <v>97736</v>
      </c>
      <c r="B2450" s="447" t="s">
        <v>3772</v>
      </c>
      <c r="C2450" s="446" t="s">
        <v>31</v>
      </c>
      <c r="D2450" s="448">
        <v>1405.33</v>
      </c>
      <c r="E2450" s="210"/>
    </row>
    <row r="2451" spans="1:5" ht="40.5">
      <c r="A2451" s="446">
        <v>97737</v>
      </c>
      <c r="B2451" s="447" t="s">
        <v>3773</v>
      </c>
      <c r="C2451" s="446" t="s">
        <v>31</v>
      </c>
      <c r="D2451" s="448">
        <v>2978.15</v>
      </c>
      <c r="E2451" s="210"/>
    </row>
    <row r="2452" spans="1:5" ht="54">
      <c r="A2452" s="446">
        <v>97738</v>
      </c>
      <c r="B2452" s="447" t="s">
        <v>3774</v>
      </c>
      <c r="C2452" s="446" t="s">
        <v>31</v>
      </c>
      <c r="D2452" s="448">
        <v>3665.35</v>
      </c>
      <c r="E2452" s="210"/>
    </row>
    <row r="2453" spans="1:5" ht="40.5">
      <c r="A2453" s="446">
        <v>97739</v>
      </c>
      <c r="B2453" s="447" t="s">
        <v>3775</v>
      </c>
      <c r="C2453" s="446" t="s">
        <v>31</v>
      </c>
      <c r="D2453" s="448">
        <v>2269.67</v>
      </c>
      <c r="E2453" s="210"/>
    </row>
    <row r="2454" spans="1:5" ht="40.5">
      <c r="A2454" s="446">
        <v>97740</v>
      </c>
      <c r="B2454" s="447" t="s">
        <v>3776</v>
      </c>
      <c r="C2454" s="446" t="s">
        <v>31</v>
      </c>
      <c r="D2454" s="448">
        <v>1853.25</v>
      </c>
      <c r="E2454" s="210"/>
    </row>
    <row r="2455" spans="1:5" ht="54">
      <c r="A2455" s="446">
        <v>98615</v>
      </c>
      <c r="B2455" s="447" t="s">
        <v>3777</v>
      </c>
      <c r="C2455" s="446" t="s">
        <v>42</v>
      </c>
      <c r="D2455" s="448">
        <v>112.7</v>
      </c>
      <c r="E2455" s="210"/>
    </row>
    <row r="2456" spans="1:5" ht="54">
      <c r="A2456" s="446">
        <v>98616</v>
      </c>
      <c r="B2456" s="447" t="s">
        <v>3778</v>
      </c>
      <c r="C2456" s="446" t="s">
        <v>42</v>
      </c>
      <c r="D2456" s="448">
        <v>90.55</v>
      </c>
      <c r="E2456" s="210"/>
    </row>
    <row r="2457" spans="1:5" ht="40.5">
      <c r="A2457" s="446">
        <v>98617</v>
      </c>
      <c r="B2457" s="447" t="s">
        <v>3779</v>
      </c>
      <c r="C2457" s="446" t="s">
        <v>42</v>
      </c>
      <c r="D2457" s="448">
        <v>84.74</v>
      </c>
      <c r="E2457" s="210"/>
    </row>
    <row r="2458" spans="1:5" ht="54">
      <c r="A2458" s="446">
        <v>98618</v>
      </c>
      <c r="B2458" s="447" t="s">
        <v>3780</v>
      </c>
      <c r="C2458" s="446" t="s">
        <v>42</v>
      </c>
      <c r="D2458" s="448">
        <v>115.76</v>
      </c>
      <c r="E2458" s="210"/>
    </row>
    <row r="2459" spans="1:5" ht="54">
      <c r="A2459" s="446">
        <v>98619</v>
      </c>
      <c r="B2459" s="447" t="s">
        <v>3781</v>
      </c>
      <c r="C2459" s="446" t="s">
        <v>42</v>
      </c>
      <c r="D2459" s="448">
        <v>106.94</v>
      </c>
      <c r="E2459" s="210"/>
    </row>
    <row r="2460" spans="1:5" ht="40.5">
      <c r="A2460" s="446">
        <v>98620</v>
      </c>
      <c r="B2460" s="447" t="s">
        <v>3782</v>
      </c>
      <c r="C2460" s="446" t="s">
        <v>42</v>
      </c>
      <c r="D2460" s="448">
        <v>102.48</v>
      </c>
      <c r="E2460" s="210"/>
    </row>
    <row r="2461" spans="1:5" ht="54">
      <c r="A2461" s="446">
        <v>98621</v>
      </c>
      <c r="B2461" s="447" t="s">
        <v>3783</v>
      </c>
      <c r="C2461" s="446" t="s">
        <v>42</v>
      </c>
      <c r="D2461" s="448">
        <v>133.35</v>
      </c>
      <c r="E2461" s="210"/>
    </row>
    <row r="2462" spans="1:5" ht="54">
      <c r="A2462" s="446">
        <v>98622</v>
      </c>
      <c r="B2462" s="447" t="s">
        <v>3784</v>
      </c>
      <c r="C2462" s="446" t="s">
        <v>42</v>
      </c>
      <c r="D2462" s="448">
        <v>126.26</v>
      </c>
      <c r="E2462" s="210"/>
    </row>
    <row r="2463" spans="1:5" ht="40.5">
      <c r="A2463" s="446">
        <v>98623</v>
      </c>
      <c r="B2463" s="447" t="s">
        <v>3785</v>
      </c>
      <c r="C2463" s="446" t="s">
        <v>42</v>
      </c>
      <c r="D2463" s="448">
        <v>122.61</v>
      </c>
      <c r="E2463" s="210"/>
    </row>
    <row r="2464" spans="1:5" ht="54">
      <c r="A2464" s="446">
        <v>98624</v>
      </c>
      <c r="B2464" s="447" t="s">
        <v>3786</v>
      </c>
      <c r="C2464" s="446" t="s">
        <v>42</v>
      </c>
      <c r="D2464" s="448">
        <v>152.04</v>
      </c>
      <c r="E2464" s="210"/>
    </row>
    <row r="2465" spans="1:5" ht="54">
      <c r="A2465" s="446">
        <v>98625</v>
      </c>
      <c r="B2465" s="447" t="s">
        <v>3787</v>
      </c>
      <c r="C2465" s="446" t="s">
        <v>42</v>
      </c>
      <c r="D2465" s="448">
        <v>146.02000000000001</v>
      </c>
      <c r="E2465" s="210"/>
    </row>
    <row r="2466" spans="1:5" ht="40.5">
      <c r="A2466" s="446">
        <v>98626</v>
      </c>
      <c r="B2466" s="447" t="s">
        <v>3788</v>
      </c>
      <c r="C2466" s="446" t="s">
        <v>42</v>
      </c>
      <c r="D2466" s="448">
        <v>142.88</v>
      </c>
      <c r="E2466" s="210"/>
    </row>
    <row r="2467" spans="1:5" ht="40.5">
      <c r="A2467" s="446">
        <v>98655</v>
      </c>
      <c r="B2467" s="447" t="s">
        <v>3789</v>
      </c>
      <c r="C2467" s="446" t="s">
        <v>14</v>
      </c>
      <c r="D2467" s="448">
        <v>632.88</v>
      </c>
      <c r="E2467" s="210"/>
    </row>
    <row r="2468" spans="1:5" ht="40.5">
      <c r="A2468" s="446">
        <v>98656</v>
      </c>
      <c r="B2468" s="447" t="s">
        <v>3790</v>
      </c>
      <c r="C2468" s="446" t="s">
        <v>14</v>
      </c>
      <c r="D2468" s="448">
        <v>640.05999999999995</v>
      </c>
      <c r="E2468" s="210"/>
    </row>
    <row r="2469" spans="1:5" ht="40.5">
      <c r="A2469" s="446">
        <v>98657</v>
      </c>
      <c r="B2469" s="447" t="s">
        <v>3791</v>
      </c>
      <c r="C2469" s="446" t="s">
        <v>14</v>
      </c>
      <c r="D2469" s="448">
        <v>647.25</v>
      </c>
      <c r="E2469" s="210"/>
    </row>
    <row r="2470" spans="1:5" ht="40.5">
      <c r="A2470" s="446">
        <v>98658</v>
      </c>
      <c r="B2470" s="447" t="s">
        <v>3792</v>
      </c>
      <c r="C2470" s="446" t="s">
        <v>14</v>
      </c>
      <c r="D2470" s="448">
        <v>654.44000000000005</v>
      </c>
      <c r="E2470" s="210"/>
    </row>
    <row r="2471" spans="1:5" ht="40.5">
      <c r="A2471" s="446">
        <v>98659</v>
      </c>
      <c r="B2471" s="447" t="s">
        <v>3793</v>
      </c>
      <c r="C2471" s="446" t="s">
        <v>14</v>
      </c>
      <c r="D2471" s="448">
        <v>668.81</v>
      </c>
      <c r="E2471" s="210"/>
    </row>
    <row r="2472" spans="1:5" ht="40.5">
      <c r="A2472" s="446">
        <v>98746</v>
      </c>
      <c r="B2472" s="447" t="s">
        <v>3794</v>
      </c>
      <c r="C2472" s="446" t="s">
        <v>14</v>
      </c>
      <c r="D2472" s="448">
        <v>42.05</v>
      </c>
      <c r="E2472" s="210"/>
    </row>
    <row r="2473" spans="1:5" ht="40.5">
      <c r="A2473" s="446">
        <v>98749</v>
      </c>
      <c r="B2473" s="447" t="s">
        <v>3795</v>
      </c>
      <c r="C2473" s="446" t="s">
        <v>14</v>
      </c>
      <c r="D2473" s="448">
        <v>50.06</v>
      </c>
      <c r="E2473" s="210"/>
    </row>
    <row r="2474" spans="1:5" ht="40.5">
      <c r="A2474" s="446">
        <v>98750</v>
      </c>
      <c r="B2474" s="447" t="s">
        <v>3796</v>
      </c>
      <c r="C2474" s="446" t="s">
        <v>14</v>
      </c>
      <c r="D2474" s="448">
        <v>59.74</v>
      </c>
      <c r="E2474" s="210"/>
    </row>
    <row r="2475" spans="1:5" ht="40.5">
      <c r="A2475" s="446">
        <v>98751</v>
      </c>
      <c r="B2475" s="447" t="s">
        <v>3797</v>
      </c>
      <c r="C2475" s="446" t="s">
        <v>14</v>
      </c>
      <c r="D2475" s="448">
        <v>84.98</v>
      </c>
      <c r="E2475" s="210"/>
    </row>
    <row r="2476" spans="1:5" ht="40.5">
      <c r="A2476" s="446">
        <v>98752</v>
      </c>
      <c r="B2476" s="447" t="s">
        <v>3798</v>
      </c>
      <c r="C2476" s="446" t="s">
        <v>14</v>
      </c>
      <c r="D2476" s="448">
        <v>115.36</v>
      </c>
      <c r="E2476" s="210"/>
    </row>
    <row r="2477" spans="1:5" ht="40.5">
      <c r="A2477" s="446">
        <v>98753</v>
      </c>
      <c r="B2477" s="447" t="s">
        <v>3799</v>
      </c>
      <c r="C2477" s="446" t="s">
        <v>14</v>
      </c>
      <c r="D2477" s="448">
        <v>153.11000000000001</v>
      </c>
      <c r="E2477" s="210"/>
    </row>
    <row r="2478" spans="1:5" ht="81">
      <c r="A2478" s="446">
        <v>100763</v>
      </c>
      <c r="B2478" s="447" t="s">
        <v>4816</v>
      </c>
      <c r="C2478" s="446" t="s">
        <v>17</v>
      </c>
      <c r="D2478" s="448">
        <v>16.18</v>
      </c>
      <c r="E2478" s="210"/>
    </row>
    <row r="2479" spans="1:5" ht="81">
      <c r="A2479" s="446">
        <v>100764</v>
      </c>
      <c r="B2479" s="447" t="s">
        <v>4817</v>
      </c>
      <c r="C2479" s="446" t="s">
        <v>17</v>
      </c>
      <c r="D2479" s="448">
        <v>16.07</v>
      </c>
      <c r="E2479" s="210"/>
    </row>
    <row r="2480" spans="1:5" ht="81">
      <c r="A2480" s="446">
        <v>100765</v>
      </c>
      <c r="B2480" s="447" t="s">
        <v>4818</v>
      </c>
      <c r="C2480" s="446" t="s">
        <v>17</v>
      </c>
      <c r="D2480" s="448">
        <v>15.59</v>
      </c>
      <c r="E2480" s="210"/>
    </row>
    <row r="2481" spans="1:5" ht="81">
      <c r="A2481" s="446">
        <v>100766</v>
      </c>
      <c r="B2481" s="447" t="s">
        <v>7031</v>
      </c>
      <c r="C2481" s="446" t="s">
        <v>17</v>
      </c>
      <c r="D2481" s="448">
        <v>15.72</v>
      </c>
      <c r="E2481" s="210"/>
    </row>
    <row r="2482" spans="1:5" ht="94.5">
      <c r="A2482" s="446">
        <v>100767</v>
      </c>
      <c r="B2482" s="447" t="s">
        <v>4819</v>
      </c>
      <c r="C2482" s="446" t="s">
        <v>17</v>
      </c>
      <c r="D2482" s="448">
        <v>14.48</v>
      </c>
      <c r="E2482" s="210"/>
    </row>
    <row r="2483" spans="1:5" ht="94.5">
      <c r="A2483" s="446">
        <v>100768</v>
      </c>
      <c r="B2483" s="447" t="s">
        <v>7032</v>
      </c>
      <c r="C2483" s="446" t="s">
        <v>17</v>
      </c>
      <c r="D2483" s="448">
        <v>17.670000000000002</v>
      </c>
      <c r="E2483" s="210"/>
    </row>
    <row r="2484" spans="1:5" ht="94.5">
      <c r="A2484" s="446">
        <v>100769</v>
      </c>
      <c r="B2484" s="447" t="s">
        <v>4820</v>
      </c>
      <c r="C2484" s="446" t="s">
        <v>17</v>
      </c>
      <c r="D2484" s="448">
        <v>21.39</v>
      </c>
      <c r="E2484" s="210"/>
    </row>
    <row r="2485" spans="1:5" ht="94.5">
      <c r="A2485" s="446">
        <v>100770</v>
      </c>
      <c r="B2485" s="447" t="s">
        <v>7033</v>
      </c>
      <c r="C2485" s="446" t="s">
        <v>17</v>
      </c>
      <c r="D2485" s="448">
        <v>20.82</v>
      </c>
      <c r="E2485" s="210"/>
    </row>
    <row r="2486" spans="1:5" ht="81">
      <c r="A2486" s="446">
        <v>100771</v>
      </c>
      <c r="B2486" s="447" t="s">
        <v>4821</v>
      </c>
      <c r="C2486" s="446" t="s">
        <v>17</v>
      </c>
      <c r="D2486" s="448">
        <v>24.43</v>
      </c>
      <c r="E2486" s="210"/>
    </row>
    <row r="2487" spans="1:5" ht="81">
      <c r="A2487" s="446">
        <v>100772</v>
      </c>
      <c r="B2487" s="447" t="s">
        <v>7034</v>
      </c>
      <c r="C2487" s="446" t="s">
        <v>17</v>
      </c>
      <c r="D2487" s="448">
        <v>14.93</v>
      </c>
      <c r="E2487" s="210"/>
    </row>
    <row r="2488" spans="1:5" ht="67.5">
      <c r="A2488" s="446">
        <v>100773</v>
      </c>
      <c r="B2488" s="447" t="s">
        <v>4822</v>
      </c>
      <c r="C2488" s="446" t="s">
        <v>17</v>
      </c>
      <c r="D2488" s="448">
        <v>18.57</v>
      </c>
      <c r="E2488" s="210"/>
    </row>
    <row r="2489" spans="1:5" ht="67.5">
      <c r="A2489" s="446">
        <v>100774</v>
      </c>
      <c r="B2489" s="447" t="s">
        <v>4823</v>
      </c>
      <c r="C2489" s="446" t="s">
        <v>17</v>
      </c>
      <c r="D2489" s="448">
        <v>11.95</v>
      </c>
      <c r="E2489" s="210"/>
    </row>
    <row r="2490" spans="1:5" ht="67.5">
      <c r="A2490" s="446">
        <v>100775</v>
      </c>
      <c r="B2490" s="447" t="s">
        <v>4824</v>
      </c>
      <c r="C2490" s="446" t="s">
        <v>17</v>
      </c>
      <c r="D2490" s="448">
        <v>13.49</v>
      </c>
      <c r="E2490" s="210"/>
    </row>
    <row r="2491" spans="1:5" ht="81">
      <c r="A2491" s="446">
        <v>100776</v>
      </c>
      <c r="B2491" s="447" t="s">
        <v>4825</v>
      </c>
      <c r="C2491" s="446" t="s">
        <v>17</v>
      </c>
      <c r="D2491" s="448">
        <v>18.61</v>
      </c>
      <c r="E2491" s="210"/>
    </row>
    <row r="2492" spans="1:5" ht="81">
      <c r="A2492" s="446">
        <v>100777</v>
      </c>
      <c r="B2492" s="447" t="s">
        <v>4826</v>
      </c>
      <c r="C2492" s="446" t="s">
        <v>17</v>
      </c>
      <c r="D2492" s="448">
        <v>14.45</v>
      </c>
      <c r="E2492" s="210"/>
    </row>
    <row r="2493" spans="1:5" ht="81">
      <c r="A2493" s="446">
        <v>100778</v>
      </c>
      <c r="B2493" s="447" t="s">
        <v>4827</v>
      </c>
      <c r="C2493" s="446" t="s">
        <v>17</v>
      </c>
      <c r="D2493" s="448">
        <v>10.59</v>
      </c>
      <c r="E2493" s="210"/>
    </row>
    <row r="2494" spans="1:5" ht="40.5">
      <c r="A2494" s="446">
        <v>98560</v>
      </c>
      <c r="B2494" s="447" t="s">
        <v>3800</v>
      </c>
      <c r="C2494" s="446" t="s">
        <v>42</v>
      </c>
      <c r="D2494" s="448">
        <v>34.520000000000003</v>
      </c>
      <c r="E2494" s="210"/>
    </row>
    <row r="2495" spans="1:5" ht="54">
      <c r="A2495" s="446">
        <v>98561</v>
      </c>
      <c r="B2495" s="447" t="s">
        <v>3801</v>
      </c>
      <c r="C2495" s="446" t="s">
        <v>42</v>
      </c>
      <c r="D2495" s="448">
        <v>30.34</v>
      </c>
      <c r="E2495" s="210"/>
    </row>
    <row r="2496" spans="1:5" ht="54">
      <c r="A2496" s="446">
        <v>98562</v>
      </c>
      <c r="B2496" s="447" t="s">
        <v>3802</v>
      </c>
      <c r="C2496" s="446" t="s">
        <v>42</v>
      </c>
      <c r="D2496" s="448">
        <v>31.01</v>
      </c>
      <c r="E2496" s="210"/>
    </row>
    <row r="2497" spans="1:5" ht="40.5">
      <c r="A2497" s="446">
        <v>98555</v>
      </c>
      <c r="B2497" s="447" t="s">
        <v>3803</v>
      </c>
      <c r="C2497" s="446" t="s">
        <v>42</v>
      </c>
      <c r="D2497" s="448">
        <v>19.62</v>
      </c>
      <c r="E2497" s="210"/>
    </row>
    <row r="2498" spans="1:5" ht="54">
      <c r="A2498" s="446">
        <v>98556</v>
      </c>
      <c r="B2498" s="447" t="s">
        <v>3804</v>
      </c>
      <c r="C2498" s="446" t="s">
        <v>42</v>
      </c>
      <c r="D2498" s="448">
        <v>38.770000000000003</v>
      </c>
      <c r="E2498" s="210"/>
    </row>
    <row r="2499" spans="1:5" ht="54">
      <c r="A2499" s="446">
        <v>98558</v>
      </c>
      <c r="B2499" s="447" t="s">
        <v>3805</v>
      </c>
      <c r="C2499" s="446" t="s">
        <v>34</v>
      </c>
      <c r="D2499" s="448">
        <v>6.04</v>
      </c>
      <c r="E2499" s="210"/>
    </row>
    <row r="2500" spans="1:5" ht="27">
      <c r="A2500" s="446">
        <v>98559</v>
      </c>
      <c r="B2500" s="447" t="s">
        <v>3806</v>
      </c>
      <c r="C2500" s="446" t="s">
        <v>14</v>
      </c>
      <c r="D2500" s="448">
        <v>3.95</v>
      </c>
      <c r="E2500" s="210"/>
    </row>
    <row r="2501" spans="1:5" ht="54">
      <c r="A2501" s="446">
        <v>98546</v>
      </c>
      <c r="B2501" s="447" t="s">
        <v>3807</v>
      </c>
      <c r="C2501" s="446" t="s">
        <v>42</v>
      </c>
      <c r="D2501" s="448">
        <v>90.53</v>
      </c>
      <c r="E2501" s="210"/>
    </row>
    <row r="2502" spans="1:5" ht="54">
      <c r="A2502" s="446">
        <v>98547</v>
      </c>
      <c r="B2502" s="447" t="s">
        <v>3808</v>
      </c>
      <c r="C2502" s="446" t="s">
        <v>42</v>
      </c>
      <c r="D2502" s="448">
        <v>172.6</v>
      </c>
      <c r="E2502" s="210"/>
    </row>
    <row r="2503" spans="1:5" ht="40.5">
      <c r="A2503" s="446">
        <v>98553</v>
      </c>
      <c r="B2503" s="447" t="s">
        <v>4828</v>
      </c>
      <c r="C2503" s="446" t="s">
        <v>42</v>
      </c>
      <c r="D2503" s="448">
        <v>100.75</v>
      </c>
      <c r="E2503" s="210"/>
    </row>
    <row r="2504" spans="1:5" ht="40.5">
      <c r="A2504" s="446">
        <v>98554</v>
      </c>
      <c r="B2504" s="447" t="s">
        <v>4829</v>
      </c>
      <c r="C2504" s="446" t="s">
        <v>42</v>
      </c>
      <c r="D2504" s="448">
        <v>33.64</v>
      </c>
      <c r="E2504" s="210"/>
    </row>
    <row r="2505" spans="1:5" ht="27">
      <c r="A2505" s="446">
        <v>98557</v>
      </c>
      <c r="B2505" s="447" t="s">
        <v>3809</v>
      </c>
      <c r="C2505" s="446" t="s">
        <v>42</v>
      </c>
      <c r="D2505" s="448">
        <v>55.87</v>
      </c>
      <c r="E2505" s="210"/>
    </row>
    <row r="2506" spans="1:5" ht="40.5">
      <c r="A2506" s="446">
        <v>98563</v>
      </c>
      <c r="B2506" s="447" t="s">
        <v>3810</v>
      </c>
      <c r="C2506" s="446" t="s">
        <v>42</v>
      </c>
      <c r="D2506" s="448">
        <v>26.06</v>
      </c>
      <c r="E2506" s="210"/>
    </row>
    <row r="2507" spans="1:5" ht="40.5">
      <c r="A2507" s="446">
        <v>98564</v>
      </c>
      <c r="B2507" s="447" t="s">
        <v>3811</v>
      </c>
      <c r="C2507" s="446" t="s">
        <v>42</v>
      </c>
      <c r="D2507" s="448">
        <v>37.49</v>
      </c>
      <c r="E2507" s="210"/>
    </row>
    <row r="2508" spans="1:5" ht="40.5">
      <c r="A2508" s="446">
        <v>98565</v>
      </c>
      <c r="B2508" s="447" t="s">
        <v>3812</v>
      </c>
      <c r="C2508" s="446" t="s">
        <v>42</v>
      </c>
      <c r="D2508" s="448">
        <v>37.14</v>
      </c>
      <c r="E2508" s="210"/>
    </row>
    <row r="2509" spans="1:5" ht="40.5">
      <c r="A2509" s="446">
        <v>98566</v>
      </c>
      <c r="B2509" s="447" t="s">
        <v>3813</v>
      </c>
      <c r="C2509" s="446" t="s">
        <v>42</v>
      </c>
      <c r="D2509" s="448">
        <v>48.57</v>
      </c>
      <c r="E2509" s="210"/>
    </row>
    <row r="2510" spans="1:5" ht="40.5">
      <c r="A2510" s="446">
        <v>98567</v>
      </c>
      <c r="B2510" s="447" t="s">
        <v>3814</v>
      </c>
      <c r="C2510" s="446" t="s">
        <v>42</v>
      </c>
      <c r="D2510" s="448">
        <v>47.62</v>
      </c>
      <c r="E2510" s="210"/>
    </row>
    <row r="2511" spans="1:5" ht="40.5">
      <c r="A2511" s="446">
        <v>98568</v>
      </c>
      <c r="B2511" s="447" t="s">
        <v>3815</v>
      </c>
      <c r="C2511" s="446" t="s">
        <v>42</v>
      </c>
      <c r="D2511" s="448">
        <v>59.03</v>
      </c>
      <c r="E2511" s="210"/>
    </row>
    <row r="2512" spans="1:5" ht="40.5">
      <c r="A2512" s="446">
        <v>98569</v>
      </c>
      <c r="B2512" s="447" t="s">
        <v>3816</v>
      </c>
      <c r="C2512" s="446" t="s">
        <v>42</v>
      </c>
      <c r="D2512" s="448">
        <v>58.69</v>
      </c>
      <c r="E2512" s="210"/>
    </row>
    <row r="2513" spans="1:5" ht="40.5">
      <c r="A2513" s="446">
        <v>98570</v>
      </c>
      <c r="B2513" s="447" t="s">
        <v>3817</v>
      </c>
      <c r="C2513" s="446" t="s">
        <v>42</v>
      </c>
      <c r="D2513" s="448">
        <v>70.14</v>
      </c>
      <c r="E2513" s="210"/>
    </row>
    <row r="2514" spans="1:5" ht="40.5">
      <c r="A2514" s="446">
        <v>98571</v>
      </c>
      <c r="B2514" s="447" t="s">
        <v>3818</v>
      </c>
      <c r="C2514" s="446" t="s">
        <v>42</v>
      </c>
      <c r="D2514" s="448">
        <v>32.71</v>
      </c>
      <c r="E2514" s="210"/>
    </row>
    <row r="2515" spans="1:5" ht="40.5">
      <c r="A2515" s="446">
        <v>98572</v>
      </c>
      <c r="B2515" s="447" t="s">
        <v>3819</v>
      </c>
      <c r="C2515" s="446" t="s">
        <v>42</v>
      </c>
      <c r="D2515" s="448">
        <v>40.17</v>
      </c>
      <c r="E2515" s="210"/>
    </row>
    <row r="2516" spans="1:5" ht="40.5">
      <c r="A2516" s="446">
        <v>98573</v>
      </c>
      <c r="B2516" s="447" t="s">
        <v>3820</v>
      </c>
      <c r="C2516" s="446" t="s">
        <v>42</v>
      </c>
      <c r="D2516" s="448">
        <v>51.33</v>
      </c>
      <c r="E2516" s="210"/>
    </row>
    <row r="2517" spans="1:5" ht="54">
      <c r="A2517" s="446">
        <v>91831</v>
      </c>
      <c r="B2517" s="447" t="s">
        <v>1945</v>
      </c>
      <c r="C2517" s="446" t="s">
        <v>14</v>
      </c>
      <c r="D2517" s="448">
        <v>6.12</v>
      </c>
      <c r="E2517" s="210"/>
    </row>
    <row r="2518" spans="1:5" ht="54">
      <c r="A2518" s="446">
        <v>91833</v>
      </c>
      <c r="B2518" s="447" t="s">
        <v>3821</v>
      </c>
      <c r="C2518" s="446" t="s">
        <v>14</v>
      </c>
      <c r="D2518" s="448">
        <v>6.52</v>
      </c>
      <c r="E2518" s="210"/>
    </row>
    <row r="2519" spans="1:5" ht="54">
      <c r="A2519" s="446">
        <v>91834</v>
      </c>
      <c r="B2519" s="447" t="s">
        <v>1946</v>
      </c>
      <c r="C2519" s="446" t="s">
        <v>14</v>
      </c>
      <c r="D2519" s="448">
        <v>6.76</v>
      </c>
      <c r="E2519" s="210"/>
    </row>
    <row r="2520" spans="1:5" ht="54">
      <c r="A2520" s="446">
        <v>91835</v>
      </c>
      <c r="B2520" s="447" t="s">
        <v>3822</v>
      </c>
      <c r="C2520" s="446" t="s">
        <v>14</v>
      </c>
      <c r="D2520" s="448">
        <v>7.8</v>
      </c>
      <c r="E2520" s="210"/>
    </row>
    <row r="2521" spans="1:5" ht="54">
      <c r="A2521" s="446">
        <v>91836</v>
      </c>
      <c r="B2521" s="447" t="s">
        <v>1947</v>
      </c>
      <c r="C2521" s="446" t="s">
        <v>14</v>
      </c>
      <c r="D2521" s="448">
        <v>8.81</v>
      </c>
      <c r="E2521" s="210"/>
    </row>
    <row r="2522" spans="1:5" ht="54">
      <c r="A2522" s="446">
        <v>91837</v>
      </c>
      <c r="B2522" s="447" t="s">
        <v>3823</v>
      </c>
      <c r="C2522" s="446" t="s">
        <v>14</v>
      </c>
      <c r="D2522" s="448">
        <v>11.25</v>
      </c>
      <c r="E2522" s="210"/>
    </row>
    <row r="2523" spans="1:5" ht="54">
      <c r="A2523" s="446">
        <v>91839</v>
      </c>
      <c r="B2523" s="447" t="s">
        <v>3824</v>
      </c>
      <c r="C2523" s="446" t="s">
        <v>14</v>
      </c>
      <c r="D2523" s="448">
        <v>7.84</v>
      </c>
      <c r="E2523" s="210"/>
    </row>
    <row r="2524" spans="1:5" ht="54">
      <c r="A2524" s="446">
        <v>91840</v>
      </c>
      <c r="B2524" s="447" t="s">
        <v>3825</v>
      </c>
      <c r="C2524" s="446" t="s">
        <v>14</v>
      </c>
      <c r="D2524" s="448">
        <v>9.83</v>
      </c>
      <c r="E2524" s="210"/>
    </row>
    <row r="2525" spans="1:5" ht="54">
      <c r="A2525" s="446">
        <v>91841</v>
      </c>
      <c r="B2525" s="447" t="s">
        <v>3826</v>
      </c>
      <c r="C2525" s="446" t="s">
        <v>14</v>
      </c>
      <c r="D2525" s="448">
        <v>9.27</v>
      </c>
      <c r="E2525" s="210"/>
    </row>
    <row r="2526" spans="1:5" ht="54">
      <c r="A2526" s="446">
        <v>91842</v>
      </c>
      <c r="B2526" s="447" t="s">
        <v>1948</v>
      </c>
      <c r="C2526" s="446" t="s">
        <v>14</v>
      </c>
      <c r="D2526" s="448">
        <v>4.17</v>
      </c>
      <c r="E2526" s="210"/>
    </row>
    <row r="2527" spans="1:5" ht="54">
      <c r="A2527" s="446">
        <v>91843</v>
      </c>
      <c r="B2527" s="447" t="s">
        <v>3827</v>
      </c>
      <c r="C2527" s="446" t="s">
        <v>14</v>
      </c>
      <c r="D2527" s="448">
        <v>4.57</v>
      </c>
      <c r="E2527" s="210"/>
    </row>
    <row r="2528" spans="1:5" ht="54">
      <c r="A2528" s="446">
        <v>91844</v>
      </c>
      <c r="B2528" s="447" t="s">
        <v>1949</v>
      </c>
      <c r="C2528" s="446" t="s">
        <v>14</v>
      </c>
      <c r="D2528" s="448">
        <v>4.8099999999999996</v>
      </c>
      <c r="E2528" s="210"/>
    </row>
    <row r="2529" spans="1:5" ht="54">
      <c r="A2529" s="446">
        <v>91845</v>
      </c>
      <c r="B2529" s="447" t="s">
        <v>3828</v>
      </c>
      <c r="C2529" s="446" t="s">
        <v>14</v>
      </c>
      <c r="D2529" s="448">
        <v>5.85</v>
      </c>
      <c r="E2529" s="210"/>
    </row>
    <row r="2530" spans="1:5" ht="54">
      <c r="A2530" s="446">
        <v>91846</v>
      </c>
      <c r="B2530" s="447" t="s">
        <v>1950</v>
      </c>
      <c r="C2530" s="446" t="s">
        <v>14</v>
      </c>
      <c r="D2530" s="448">
        <v>6.86</v>
      </c>
      <c r="E2530" s="210"/>
    </row>
    <row r="2531" spans="1:5" ht="54">
      <c r="A2531" s="446">
        <v>91847</v>
      </c>
      <c r="B2531" s="447" t="s">
        <v>3829</v>
      </c>
      <c r="C2531" s="446" t="s">
        <v>14</v>
      </c>
      <c r="D2531" s="448">
        <v>9.3000000000000007</v>
      </c>
      <c r="E2531" s="210"/>
    </row>
    <row r="2532" spans="1:5" ht="54">
      <c r="A2532" s="446">
        <v>91849</v>
      </c>
      <c r="B2532" s="447" t="s">
        <v>3830</v>
      </c>
      <c r="C2532" s="446" t="s">
        <v>14</v>
      </c>
      <c r="D2532" s="448">
        <v>5.89</v>
      </c>
      <c r="E2532" s="210"/>
    </row>
    <row r="2533" spans="1:5" ht="54">
      <c r="A2533" s="446">
        <v>91850</v>
      </c>
      <c r="B2533" s="447" t="s">
        <v>3831</v>
      </c>
      <c r="C2533" s="446" t="s">
        <v>14</v>
      </c>
      <c r="D2533" s="448">
        <v>7.93</v>
      </c>
      <c r="E2533" s="210"/>
    </row>
    <row r="2534" spans="1:5" ht="54">
      <c r="A2534" s="446">
        <v>91851</v>
      </c>
      <c r="B2534" s="447" t="s">
        <v>3832</v>
      </c>
      <c r="C2534" s="446" t="s">
        <v>14</v>
      </c>
      <c r="D2534" s="448">
        <v>7.37</v>
      </c>
      <c r="E2534" s="210"/>
    </row>
    <row r="2535" spans="1:5" ht="54">
      <c r="A2535" s="446">
        <v>91852</v>
      </c>
      <c r="B2535" s="447" t="s">
        <v>1951</v>
      </c>
      <c r="C2535" s="446" t="s">
        <v>14</v>
      </c>
      <c r="D2535" s="448">
        <v>5.85</v>
      </c>
      <c r="E2535" s="210"/>
    </row>
    <row r="2536" spans="1:5" ht="67.5">
      <c r="A2536" s="446">
        <v>91853</v>
      </c>
      <c r="B2536" s="447" t="s">
        <v>3833</v>
      </c>
      <c r="C2536" s="446" t="s">
        <v>14</v>
      </c>
      <c r="D2536" s="448">
        <v>6.22</v>
      </c>
      <c r="E2536" s="210"/>
    </row>
    <row r="2537" spans="1:5" ht="54">
      <c r="A2537" s="446">
        <v>91854</v>
      </c>
      <c r="B2537" s="447" t="s">
        <v>1952</v>
      </c>
      <c r="C2537" s="446" t="s">
        <v>14</v>
      </c>
      <c r="D2537" s="448">
        <v>6.47</v>
      </c>
      <c r="E2537" s="210"/>
    </row>
    <row r="2538" spans="1:5" ht="67.5">
      <c r="A2538" s="446">
        <v>91855</v>
      </c>
      <c r="B2538" s="447" t="s">
        <v>3834</v>
      </c>
      <c r="C2538" s="446" t="s">
        <v>14</v>
      </c>
      <c r="D2538" s="448">
        <v>7.43</v>
      </c>
      <c r="E2538" s="210"/>
    </row>
    <row r="2539" spans="1:5" ht="54">
      <c r="A2539" s="446">
        <v>91856</v>
      </c>
      <c r="B2539" s="447" t="s">
        <v>1953</v>
      </c>
      <c r="C2539" s="446" t="s">
        <v>14</v>
      </c>
      <c r="D2539" s="448">
        <v>8.43</v>
      </c>
      <c r="E2539" s="210"/>
    </row>
    <row r="2540" spans="1:5" ht="67.5">
      <c r="A2540" s="446">
        <v>91857</v>
      </c>
      <c r="B2540" s="447" t="s">
        <v>3835</v>
      </c>
      <c r="C2540" s="446" t="s">
        <v>14</v>
      </c>
      <c r="D2540" s="448">
        <v>10.68</v>
      </c>
      <c r="E2540" s="210"/>
    </row>
    <row r="2541" spans="1:5" ht="54">
      <c r="A2541" s="446">
        <v>91859</v>
      </c>
      <c r="B2541" s="447" t="s">
        <v>3836</v>
      </c>
      <c r="C2541" s="446" t="s">
        <v>14</v>
      </c>
      <c r="D2541" s="448">
        <v>7.52</v>
      </c>
      <c r="E2541" s="210"/>
    </row>
    <row r="2542" spans="1:5" ht="54">
      <c r="A2542" s="446">
        <v>91860</v>
      </c>
      <c r="B2542" s="447" t="s">
        <v>3837</v>
      </c>
      <c r="C2542" s="446" t="s">
        <v>14</v>
      </c>
      <c r="D2542" s="448">
        <v>9.4600000000000009</v>
      </c>
      <c r="E2542" s="210"/>
    </row>
    <row r="2543" spans="1:5" ht="54">
      <c r="A2543" s="446">
        <v>91861</v>
      </c>
      <c r="B2543" s="447" t="s">
        <v>3838</v>
      </c>
      <c r="C2543" s="446" t="s">
        <v>14</v>
      </c>
      <c r="D2543" s="448">
        <v>8.94</v>
      </c>
      <c r="E2543" s="210"/>
    </row>
    <row r="2544" spans="1:5" ht="54">
      <c r="A2544" s="446">
        <v>91862</v>
      </c>
      <c r="B2544" s="447" t="s">
        <v>1954</v>
      </c>
      <c r="C2544" s="446" t="s">
        <v>14</v>
      </c>
      <c r="D2544" s="448">
        <v>7.41</v>
      </c>
      <c r="E2544" s="210"/>
    </row>
    <row r="2545" spans="1:5" ht="54">
      <c r="A2545" s="446">
        <v>91863</v>
      </c>
      <c r="B2545" s="447" t="s">
        <v>1955</v>
      </c>
      <c r="C2545" s="446" t="s">
        <v>14</v>
      </c>
      <c r="D2545" s="448">
        <v>8.64</v>
      </c>
      <c r="E2545" s="210"/>
    </row>
    <row r="2546" spans="1:5" ht="54">
      <c r="A2546" s="446">
        <v>91864</v>
      </c>
      <c r="B2546" s="447" t="s">
        <v>1956</v>
      </c>
      <c r="C2546" s="446" t="s">
        <v>14</v>
      </c>
      <c r="D2546" s="448">
        <v>11.39</v>
      </c>
      <c r="E2546" s="210"/>
    </row>
    <row r="2547" spans="1:5" ht="54">
      <c r="A2547" s="446">
        <v>91865</v>
      </c>
      <c r="B2547" s="447" t="s">
        <v>1957</v>
      </c>
      <c r="C2547" s="446" t="s">
        <v>14</v>
      </c>
      <c r="D2547" s="448">
        <v>14.11</v>
      </c>
      <c r="E2547" s="210"/>
    </row>
    <row r="2548" spans="1:5" ht="54">
      <c r="A2548" s="446">
        <v>91866</v>
      </c>
      <c r="B2548" s="447" t="s">
        <v>1958</v>
      </c>
      <c r="C2548" s="446" t="s">
        <v>14</v>
      </c>
      <c r="D2548" s="448">
        <v>5.57</v>
      </c>
      <c r="E2548" s="210"/>
    </row>
    <row r="2549" spans="1:5" ht="54">
      <c r="A2549" s="446">
        <v>91867</v>
      </c>
      <c r="B2549" s="447" t="s">
        <v>1959</v>
      </c>
      <c r="C2549" s="446" t="s">
        <v>14</v>
      </c>
      <c r="D2549" s="448">
        <v>6.79</v>
      </c>
      <c r="E2549" s="210"/>
    </row>
    <row r="2550" spans="1:5" ht="54">
      <c r="A2550" s="446">
        <v>91868</v>
      </c>
      <c r="B2550" s="447" t="s">
        <v>1960</v>
      </c>
      <c r="C2550" s="446" t="s">
        <v>14</v>
      </c>
      <c r="D2550" s="448">
        <v>9.5500000000000007</v>
      </c>
      <c r="E2550" s="210"/>
    </row>
    <row r="2551" spans="1:5" ht="54">
      <c r="A2551" s="446">
        <v>91869</v>
      </c>
      <c r="B2551" s="447" t="s">
        <v>1961</v>
      </c>
      <c r="C2551" s="446" t="s">
        <v>14</v>
      </c>
      <c r="D2551" s="448">
        <v>12.27</v>
      </c>
      <c r="E2551" s="210"/>
    </row>
    <row r="2552" spans="1:5" ht="54">
      <c r="A2552" s="446">
        <v>91870</v>
      </c>
      <c r="B2552" s="447" t="s">
        <v>1962</v>
      </c>
      <c r="C2552" s="446" t="s">
        <v>14</v>
      </c>
      <c r="D2552" s="448">
        <v>7.7</v>
      </c>
      <c r="E2552" s="210"/>
    </row>
    <row r="2553" spans="1:5" ht="54">
      <c r="A2553" s="446">
        <v>91871</v>
      </c>
      <c r="B2553" s="447" t="s">
        <v>1963</v>
      </c>
      <c r="C2553" s="446" t="s">
        <v>14</v>
      </c>
      <c r="D2553" s="448">
        <v>8.9700000000000006</v>
      </c>
      <c r="E2553" s="210"/>
    </row>
    <row r="2554" spans="1:5" ht="54">
      <c r="A2554" s="446">
        <v>91872</v>
      </c>
      <c r="B2554" s="447" t="s">
        <v>1964</v>
      </c>
      <c r="C2554" s="446" t="s">
        <v>14</v>
      </c>
      <c r="D2554" s="448">
        <v>11.72</v>
      </c>
      <c r="E2554" s="210"/>
    </row>
    <row r="2555" spans="1:5" ht="54">
      <c r="A2555" s="446">
        <v>91873</v>
      </c>
      <c r="B2555" s="447" t="s">
        <v>1965</v>
      </c>
      <c r="C2555" s="446" t="s">
        <v>14</v>
      </c>
      <c r="D2555" s="448">
        <v>14.4</v>
      </c>
      <c r="E2555" s="210"/>
    </row>
    <row r="2556" spans="1:5" ht="40.5">
      <c r="A2556" s="446">
        <v>93008</v>
      </c>
      <c r="B2556" s="447" t="s">
        <v>2326</v>
      </c>
      <c r="C2556" s="446" t="s">
        <v>14</v>
      </c>
      <c r="D2556" s="448">
        <v>12.24</v>
      </c>
      <c r="E2556" s="210"/>
    </row>
    <row r="2557" spans="1:5" ht="40.5">
      <c r="A2557" s="446">
        <v>93009</v>
      </c>
      <c r="B2557" s="447" t="s">
        <v>2327</v>
      </c>
      <c r="C2557" s="446" t="s">
        <v>14</v>
      </c>
      <c r="D2557" s="448">
        <v>18.28</v>
      </c>
      <c r="E2557" s="210"/>
    </row>
    <row r="2558" spans="1:5" ht="40.5">
      <c r="A2558" s="446">
        <v>93010</v>
      </c>
      <c r="B2558" s="447" t="s">
        <v>2328</v>
      </c>
      <c r="C2558" s="446" t="s">
        <v>14</v>
      </c>
      <c r="D2558" s="448">
        <v>25.56</v>
      </c>
      <c r="E2558" s="210"/>
    </row>
    <row r="2559" spans="1:5" ht="40.5">
      <c r="A2559" s="446">
        <v>93011</v>
      </c>
      <c r="B2559" s="447" t="s">
        <v>2329</v>
      </c>
      <c r="C2559" s="446" t="s">
        <v>14</v>
      </c>
      <c r="D2559" s="448">
        <v>31.34</v>
      </c>
      <c r="E2559" s="210"/>
    </row>
    <row r="2560" spans="1:5" ht="40.5">
      <c r="A2560" s="446">
        <v>93012</v>
      </c>
      <c r="B2560" s="447" t="s">
        <v>2330</v>
      </c>
      <c r="C2560" s="446" t="s">
        <v>14</v>
      </c>
      <c r="D2560" s="448">
        <v>47.59</v>
      </c>
      <c r="E2560" s="210"/>
    </row>
    <row r="2561" spans="1:5" ht="40.5">
      <c r="A2561" s="446">
        <v>95726</v>
      </c>
      <c r="B2561" s="447" t="s">
        <v>2907</v>
      </c>
      <c r="C2561" s="446" t="s">
        <v>14</v>
      </c>
      <c r="D2561" s="448">
        <v>5.18</v>
      </c>
      <c r="E2561" s="210"/>
    </row>
    <row r="2562" spans="1:5" ht="40.5">
      <c r="A2562" s="446">
        <v>95727</v>
      </c>
      <c r="B2562" s="447" t="s">
        <v>2908</v>
      </c>
      <c r="C2562" s="446" t="s">
        <v>14</v>
      </c>
      <c r="D2562" s="448">
        <v>5.87</v>
      </c>
      <c r="E2562" s="210"/>
    </row>
    <row r="2563" spans="1:5" ht="40.5">
      <c r="A2563" s="446">
        <v>95728</v>
      </c>
      <c r="B2563" s="447" t="s">
        <v>2909</v>
      </c>
      <c r="C2563" s="446" t="s">
        <v>14</v>
      </c>
      <c r="D2563" s="448">
        <v>7.38</v>
      </c>
      <c r="E2563" s="210"/>
    </row>
    <row r="2564" spans="1:5" ht="40.5">
      <c r="A2564" s="446">
        <v>95729</v>
      </c>
      <c r="B2564" s="447" t="s">
        <v>2910</v>
      </c>
      <c r="C2564" s="446" t="s">
        <v>14</v>
      </c>
      <c r="D2564" s="448">
        <v>6.56</v>
      </c>
      <c r="E2564" s="210"/>
    </row>
    <row r="2565" spans="1:5" ht="54">
      <c r="A2565" s="446">
        <v>95730</v>
      </c>
      <c r="B2565" s="447" t="s">
        <v>2911</v>
      </c>
      <c r="C2565" s="446" t="s">
        <v>14</v>
      </c>
      <c r="D2565" s="448">
        <v>7.25</v>
      </c>
      <c r="E2565" s="210"/>
    </row>
    <row r="2566" spans="1:5" ht="40.5">
      <c r="A2566" s="446">
        <v>95731</v>
      </c>
      <c r="B2566" s="447" t="s">
        <v>2912</v>
      </c>
      <c r="C2566" s="446" t="s">
        <v>14</v>
      </c>
      <c r="D2566" s="448">
        <v>8.76</v>
      </c>
      <c r="E2566" s="210"/>
    </row>
    <row r="2567" spans="1:5" ht="54">
      <c r="A2567" s="446">
        <v>95732</v>
      </c>
      <c r="B2567" s="447" t="s">
        <v>2913</v>
      </c>
      <c r="C2567" s="446" t="s">
        <v>34</v>
      </c>
      <c r="D2567" s="448">
        <v>3.3</v>
      </c>
      <c r="E2567" s="210"/>
    </row>
    <row r="2568" spans="1:5" ht="54">
      <c r="A2568" s="446">
        <v>95745</v>
      </c>
      <c r="B2568" s="447" t="s">
        <v>2919</v>
      </c>
      <c r="C2568" s="446" t="s">
        <v>14</v>
      </c>
      <c r="D2568" s="448">
        <v>16.77</v>
      </c>
      <c r="E2568" s="210"/>
    </row>
    <row r="2569" spans="1:5" ht="54">
      <c r="A2569" s="446">
        <v>95746</v>
      </c>
      <c r="B2569" s="447" t="s">
        <v>2920</v>
      </c>
      <c r="C2569" s="446" t="s">
        <v>14</v>
      </c>
      <c r="D2569" s="448">
        <v>20.79</v>
      </c>
      <c r="E2569" s="210"/>
    </row>
    <row r="2570" spans="1:5" ht="54">
      <c r="A2570" s="446">
        <v>95747</v>
      </c>
      <c r="B2570" s="447" t="s">
        <v>2921</v>
      </c>
      <c r="C2570" s="446" t="s">
        <v>14</v>
      </c>
      <c r="D2570" s="448">
        <v>34.58</v>
      </c>
      <c r="E2570" s="210"/>
    </row>
    <row r="2571" spans="1:5" ht="54">
      <c r="A2571" s="446">
        <v>95748</v>
      </c>
      <c r="B2571" s="447" t="s">
        <v>582</v>
      </c>
      <c r="C2571" s="446" t="s">
        <v>14</v>
      </c>
      <c r="D2571" s="448">
        <v>37.15</v>
      </c>
      <c r="E2571" s="210"/>
    </row>
    <row r="2572" spans="1:5" ht="54">
      <c r="A2572" s="446">
        <v>95749</v>
      </c>
      <c r="B2572" s="447" t="s">
        <v>2922</v>
      </c>
      <c r="C2572" s="446" t="s">
        <v>14</v>
      </c>
      <c r="D2572" s="448">
        <v>21.24</v>
      </c>
      <c r="E2572" s="210"/>
    </row>
    <row r="2573" spans="1:5" ht="54">
      <c r="A2573" s="446">
        <v>95750</v>
      </c>
      <c r="B2573" s="447" t="s">
        <v>2923</v>
      </c>
      <c r="C2573" s="446" t="s">
        <v>14</v>
      </c>
      <c r="D2573" s="448">
        <v>25.14</v>
      </c>
      <c r="E2573" s="210"/>
    </row>
    <row r="2574" spans="1:5" ht="54">
      <c r="A2574" s="446">
        <v>95751</v>
      </c>
      <c r="B2574" s="447" t="s">
        <v>2924</v>
      </c>
      <c r="C2574" s="446" t="s">
        <v>14</v>
      </c>
      <c r="D2574" s="448">
        <v>38.799999999999997</v>
      </c>
      <c r="E2574" s="210"/>
    </row>
    <row r="2575" spans="1:5" ht="54">
      <c r="A2575" s="446">
        <v>95752</v>
      </c>
      <c r="B2575" s="447" t="s">
        <v>2925</v>
      </c>
      <c r="C2575" s="446" t="s">
        <v>14</v>
      </c>
      <c r="D2575" s="448">
        <v>41.21</v>
      </c>
      <c r="E2575" s="210"/>
    </row>
    <row r="2576" spans="1:5" ht="40.5">
      <c r="A2576" s="446">
        <v>97667</v>
      </c>
      <c r="B2576" s="447" t="s">
        <v>3839</v>
      </c>
      <c r="C2576" s="446" t="s">
        <v>14</v>
      </c>
      <c r="D2576" s="448">
        <v>6.2</v>
      </c>
      <c r="E2576" s="210"/>
    </row>
    <row r="2577" spans="1:5" ht="40.5">
      <c r="A2577" s="446">
        <v>97668</v>
      </c>
      <c r="B2577" s="447" t="s">
        <v>3840</v>
      </c>
      <c r="C2577" s="446" t="s">
        <v>14</v>
      </c>
      <c r="D2577" s="448">
        <v>9.44</v>
      </c>
      <c r="E2577" s="210"/>
    </row>
    <row r="2578" spans="1:5" ht="40.5">
      <c r="A2578" s="446">
        <v>97669</v>
      </c>
      <c r="B2578" s="447" t="s">
        <v>3841</v>
      </c>
      <c r="C2578" s="446" t="s">
        <v>14</v>
      </c>
      <c r="D2578" s="448">
        <v>14.79</v>
      </c>
      <c r="E2578" s="210"/>
    </row>
    <row r="2579" spans="1:5" ht="40.5">
      <c r="A2579" s="446">
        <v>97670</v>
      </c>
      <c r="B2579" s="447" t="s">
        <v>3842</v>
      </c>
      <c r="C2579" s="446" t="s">
        <v>14</v>
      </c>
      <c r="D2579" s="448">
        <v>19.23</v>
      </c>
      <c r="E2579" s="210"/>
    </row>
    <row r="2580" spans="1:5" ht="54">
      <c r="A2580" s="446">
        <v>91874</v>
      </c>
      <c r="B2580" s="447" t="s">
        <v>1966</v>
      </c>
      <c r="C2580" s="446" t="s">
        <v>34</v>
      </c>
      <c r="D2580" s="448">
        <v>3.26</v>
      </c>
      <c r="E2580" s="210"/>
    </row>
    <row r="2581" spans="1:5" ht="54">
      <c r="A2581" s="446">
        <v>91875</v>
      </c>
      <c r="B2581" s="447" t="s">
        <v>1967</v>
      </c>
      <c r="C2581" s="446" t="s">
        <v>34</v>
      </c>
      <c r="D2581" s="448">
        <v>4.3099999999999996</v>
      </c>
      <c r="E2581" s="210"/>
    </row>
    <row r="2582" spans="1:5" ht="54">
      <c r="A2582" s="446">
        <v>91876</v>
      </c>
      <c r="B2582" s="447" t="s">
        <v>1968</v>
      </c>
      <c r="C2582" s="446" t="s">
        <v>34</v>
      </c>
      <c r="D2582" s="448">
        <v>5.7</v>
      </c>
      <c r="E2582" s="210"/>
    </row>
    <row r="2583" spans="1:5" ht="54">
      <c r="A2583" s="446">
        <v>91877</v>
      </c>
      <c r="B2583" s="447" t="s">
        <v>427</v>
      </c>
      <c r="C2583" s="446" t="s">
        <v>34</v>
      </c>
      <c r="D2583" s="448">
        <v>7.57</v>
      </c>
      <c r="E2583" s="210"/>
    </row>
    <row r="2584" spans="1:5" ht="54">
      <c r="A2584" s="446">
        <v>91878</v>
      </c>
      <c r="B2584" s="447" t="s">
        <v>1969</v>
      </c>
      <c r="C2584" s="446" t="s">
        <v>34</v>
      </c>
      <c r="D2584" s="448">
        <v>4.1900000000000004</v>
      </c>
      <c r="E2584" s="210"/>
    </row>
    <row r="2585" spans="1:5" ht="54">
      <c r="A2585" s="446">
        <v>91879</v>
      </c>
      <c r="B2585" s="447" t="s">
        <v>1970</v>
      </c>
      <c r="C2585" s="446" t="s">
        <v>34</v>
      </c>
      <c r="D2585" s="448">
        <v>5.23</v>
      </c>
      <c r="E2585" s="210"/>
    </row>
    <row r="2586" spans="1:5" ht="54">
      <c r="A2586" s="446">
        <v>91880</v>
      </c>
      <c r="B2586" s="447" t="s">
        <v>1971</v>
      </c>
      <c r="C2586" s="446" t="s">
        <v>34</v>
      </c>
      <c r="D2586" s="448">
        <v>6.64</v>
      </c>
      <c r="E2586" s="210"/>
    </row>
    <row r="2587" spans="1:5" ht="54">
      <c r="A2587" s="446">
        <v>91881</v>
      </c>
      <c r="B2587" s="447" t="s">
        <v>428</v>
      </c>
      <c r="C2587" s="446" t="s">
        <v>34</v>
      </c>
      <c r="D2587" s="448">
        <v>8.51</v>
      </c>
      <c r="E2587" s="210"/>
    </row>
    <row r="2588" spans="1:5" ht="54">
      <c r="A2588" s="446">
        <v>91882</v>
      </c>
      <c r="B2588" s="447" t="s">
        <v>1972</v>
      </c>
      <c r="C2588" s="446" t="s">
        <v>34</v>
      </c>
      <c r="D2588" s="448">
        <v>5.2</v>
      </c>
      <c r="E2588" s="210"/>
    </row>
    <row r="2589" spans="1:5" ht="54">
      <c r="A2589" s="446">
        <v>91884</v>
      </c>
      <c r="B2589" s="447" t="s">
        <v>1973</v>
      </c>
      <c r="C2589" s="446" t="s">
        <v>34</v>
      </c>
      <c r="D2589" s="448">
        <v>5.99</v>
      </c>
      <c r="E2589" s="210"/>
    </row>
    <row r="2590" spans="1:5" ht="54">
      <c r="A2590" s="446">
        <v>91885</v>
      </c>
      <c r="B2590" s="447" t="s">
        <v>1974</v>
      </c>
      <c r="C2590" s="446" t="s">
        <v>34</v>
      </c>
      <c r="D2590" s="448">
        <v>7.09</v>
      </c>
      <c r="E2590" s="210"/>
    </row>
    <row r="2591" spans="1:5" ht="54">
      <c r="A2591" s="446">
        <v>91886</v>
      </c>
      <c r="B2591" s="447" t="s">
        <v>1975</v>
      </c>
      <c r="C2591" s="446" t="s">
        <v>34</v>
      </c>
      <c r="D2591" s="448">
        <v>8.6</v>
      </c>
      <c r="E2591" s="210"/>
    </row>
    <row r="2592" spans="1:5" ht="54">
      <c r="A2592" s="446">
        <v>91887</v>
      </c>
      <c r="B2592" s="447" t="s">
        <v>1976</v>
      </c>
      <c r="C2592" s="446" t="s">
        <v>34</v>
      </c>
      <c r="D2592" s="448">
        <v>6.02</v>
      </c>
      <c r="E2592" s="210"/>
    </row>
    <row r="2593" spans="1:5" ht="54">
      <c r="A2593" s="446">
        <v>91889</v>
      </c>
      <c r="B2593" s="447" t="s">
        <v>1977</v>
      </c>
      <c r="C2593" s="446" t="s">
        <v>34</v>
      </c>
      <c r="D2593" s="448">
        <v>5.8</v>
      </c>
      <c r="E2593" s="210"/>
    </row>
    <row r="2594" spans="1:5" ht="54">
      <c r="A2594" s="446">
        <v>91890</v>
      </c>
      <c r="B2594" s="447" t="s">
        <v>1978</v>
      </c>
      <c r="C2594" s="446" t="s">
        <v>34</v>
      </c>
      <c r="D2594" s="448">
        <v>7.17</v>
      </c>
      <c r="E2594" s="210"/>
    </row>
    <row r="2595" spans="1:5" ht="54">
      <c r="A2595" s="446">
        <v>91892</v>
      </c>
      <c r="B2595" s="447" t="s">
        <v>1979</v>
      </c>
      <c r="C2595" s="446" t="s">
        <v>34</v>
      </c>
      <c r="D2595" s="448">
        <v>8.6199999999999992</v>
      </c>
      <c r="E2595" s="210"/>
    </row>
    <row r="2596" spans="1:5" ht="54">
      <c r="A2596" s="446">
        <v>91893</v>
      </c>
      <c r="B2596" s="447" t="s">
        <v>1980</v>
      </c>
      <c r="C2596" s="446" t="s">
        <v>34</v>
      </c>
      <c r="D2596" s="448">
        <v>9.7899999999999991</v>
      </c>
      <c r="E2596" s="210"/>
    </row>
    <row r="2597" spans="1:5" ht="54">
      <c r="A2597" s="446">
        <v>91895</v>
      </c>
      <c r="B2597" s="447" t="s">
        <v>3843</v>
      </c>
      <c r="C2597" s="446" t="s">
        <v>34</v>
      </c>
      <c r="D2597" s="448">
        <v>11.26</v>
      </c>
      <c r="E2597" s="210"/>
    </row>
    <row r="2598" spans="1:5" ht="54">
      <c r="A2598" s="446">
        <v>91896</v>
      </c>
      <c r="B2598" s="447" t="s">
        <v>429</v>
      </c>
      <c r="C2598" s="446" t="s">
        <v>34</v>
      </c>
      <c r="D2598" s="448">
        <v>11.96</v>
      </c>
      <c r="E2598" s="210"/>
    </row>
    <row r="2599" spans="1:5" ht="54">
      <c r="A2599" s="446">
        <v>91898</v>
      </c>
      <c r="B2599" s="447" t="s">
        <v>1981</v>
      </c>
      <c r="C2599" s="446" t="s">
        <v>34</v>
      </c>
      <c r="D2599" s="448">
        <v>13.53</v>
      </c>
      <c r="E2599" s="210"/>
    </row>
    <row r="2600" spans="1:5" ht="54">
      <c r="A2600" s="446">
        <v>91899</v>
      </c>
      <c r="B2600" s="447" t="s">
        <v>1982</v>
      </c>
      <c r="C2600" s="446" t="s">
        <v>34</v>
      </c>
      <c r="D2600" s="448">
        <v>7.37</v>
      </c>
      <c r="E2600" s="210"/>
    </row>
    <row r="2601" spans="1:5" ht="54">
      <c r="A2601" s="446">
        <v>91901</v>
      </c>
      <c r="B2601" s="447" t="s">
        <v>1983</v>
      </c>
      <c r="C2601" s="446" t="s">
        <v>34</v>
      </c>
      <c r="D2601" s="448">
        <v>7.15</v>
      </c>
      <c r="E2601" s="210"/>
    </row>
    <row r="2602" spans="1:5" ht="54">
      <c r="A2602" s="446">
        <v>91902</v>
      </c>
      <c r="B2602" s="447" t="s">
        <v>1984</v>
      </c>
      <c r="C2602" s="446" t="s">
        <v>34</v>
      </c>
      <c r="D2602" s="448">
        <v>8.52</v>
      </c>
      <c r="E2602" s="210"/>
    </row>
    <row r="2603" spans="1:5" ht="54">
      <c r="A2603" s="446">
        <v>91904</v>
      </c>
      <c r="B2603" s="447" t="s">
        <v>1985</v>
      </c>
      <c r="C2603" s="446" t="s">
        <v>34</v>
      </c>
      <c r="D2603" s="448">
        <v>9.9700000000000006</v>
      </c>
      <c r="E2603" s="210"/>
    </row>
    <row r="2604" spans="1:5" ht="54">
      <c r="A2604" s="446">
        <v>91905</v>
      </c>
      <c r="B2604" s="447" t="s">
        <v>1986</v>
      </c>
      <c r="C2604" s="446" t="s">
        <v>34</v>
      </c>
      <c r="D2604" s="448">
        <v>11.15</v>
      </c>
      <c r="E2604" s="210"/>
    </row>
    <row r="2605" spans="1:5" ht="54">
      <c r="A2605" s="446">
        <v>91907</v>
      </c>
      <c r="B2605" s="447" t="s">
        <v>3844</v>
      </c>
      <c r="C2605" s="446" t="s">
        <v>34</v>
      </c>
      <c r="D2605" s="448">
        <v>12.62</v>
      </c>
      <c r="E2605" s="210"/>
    </row>
    <row r="2606" spans="1:5" ht="54">
      <c r="A2606" s="446">
        <v>91908</v>
      </c>
      <c r="B2606" s="447" t="s">
        <v>1987</v>
      </c>
      <c r="C2606" s="446" t="s">
        <v>34</v>
      </c>
      <c r="D2606" s="448">
        <v>13.34</v>
      </c>
      <c r="E2606" s="210"/>
    </row>
    <row r="2607" spans="1:5" ht="54">
      <c r="A2607" s="446">
        <v>91910</v>
      </c>
      <c r="B2607" s="447" t="s">
        <v>1988</v>
      </c>
      <c r="C2607" s="446" t="s">
        <v>34</v>
      </c>
      <c r="D2607" s="448">
        <v>14.91</v>
      </c>
      <c r="E2607" s="210"/>
    </row>
    <row r="2608" spans="1:5" ht="67.5">
      <c r="A2608" s="446">
        <v>91911</v>
      </c>
      <c r="B2608" s="447" t="s">
        <v>1989</v>
      </c>
      <c r="C2608" s="446" t="s">
        <v>34</v>
      </c>
      <c r="D2608" s="448">
        <v>8.93</v>
      </c>
      <c r="E2608" s="210"/>
    </row>
    <row r="2609" spans="1:5" ht="67.5">
      <c r="A2609" s="446">
        <v>91913</v>
      </c>
      <c r="B2609" s="447" t="s">
        <v>430</v>
      </c>
      <c r="C2609" s="446" t="s">
        <v>34</v>
      </c>
      <c r="D2609" s="448">
        <v>8.7100000000000009</v>
      </c>
      <c r="E2609" s="210"/>
    </row>
    <row r="2610" spans="1:5" ht="67.5">
      <c r="A2610" s="446">
        <v>91914</v>
      </c>
      <c r="B2610" s="447" t="s">
        <v>1990</v>
      </c>
      <c r="C2610" s="446" t="s">
        <v>34</v>
      </c>
      <c r="D2610" s="448">
        <v>9.7200000000000006</v>
      </c>
      <c r="E2610" s="210"/>
    </row>
    <row r="2611" spans="1:5" ht="67.5">
      <c r="A2611" s="446">
        <v>91916</v>
      </c>
      <c r="B2611" s="447" t="s">
        <v>431</v>
      </c>
      <c r="C2611" s="446" t="s">
        <v>34</v>
      </c>
      <c r="D2611" s="448">
        <v>11.17</v>
      </c>
      <c r="E2611" s="210"/>
    </row>
    <row r="2612" spans="1:5" ht="54">
      <c r="A2612" s="446">
        <v>91917</v>
      </c>
      <c r="B2612" s="447" t="s">
        <v>1991</v>
      </c>
      <c r="C2612" s="446" t="s">
        <v>34</v>
      </c>
      <c r="D2612" s="448">
        <v>11.86</v>
      </c>
      <c r="E2612" s="210"/>
    </row>
    <row r="2613" spans="1:5" ht="54">
      <c r="A2613" s="446">
        <v>91919</v>
      </c>
      <c r="B2613" s="447" t="s">
        <v>3845</v>
      </c>
      <c r="C2613" s="446" t="s">
        <v>34</v>
      </c>
      <c r="D2613" s="448">
        <v>13.33</v>
      </c>
      <c r="E2613" s="210"/>
    </row>
    <row r="2614" spans="1:5" ht="67.5">
      <c r="A2614" s="446">
        <v>91920</v>
      </c>
      <c r="B2614" s="447" t="s">
        <v>432</v>
      </c>
      <c r="C2614" s="446" t="s">
        <v>34</v>
      </c>
      <c r="D2614" s="448">
        <v>13.5</v>
      </c>
      <c r="E2614" s="210"/>
    </row>
    <row r="2615" spans="1:5" ht="67.5">
      <c r="A2615" s="446">
        <v>91922</v>
      </c>
      <c r="B2615" s="447" t="s">
        <v>1992</v>
      </c>
      <c r="C2615" s="446" t="s">
        <v>34</v>
      </c>
      <c r="D2615" s="448">
        <v>15.07</v>
      </c>
      <c r="E2615" s="210"/>
    </row>
    <row r="2616" spans="1:5" ht="40.5">
      <c r="A2616" s="446">
        <v>93013</v>
      </c>
      <c r="B2616" s="447" t="s">
        <v>489</v>
      </c>
      <c r="C2616" s="446" t="s">
        <v>34</v>
      </c>
      <c r="D2616" s="448">
        <v>9.82</v>
      </c>
      <c r="E2616" s="210"/>
    </row>
    <row r="2617" spans="1:5" ht="40.5">
      <c r="A2617" s="446">
        <v>93014</v>
      </c>
      <c r="B2617" s="447" t="s">
        <v>2331</v>
      </c>
      <c r="C2617" s="446" t="s">
        <v>34</v>
      </c>
      <c r="D2617" s="448">
        <v>12.1</v>
      </c>
      <c r="E2617" s="210"/>
    </row>
    <row r="2618" spans="1:5" ht="40.5">
      <c r="A2618" s="446">
        <v>93015</v>
      </c>
      <c r="B2618" s="447" t="s">
        <v>490</v>
      </c>
      <c r="C2618" s="446" t="s">
        <v>34</v>
      </c>
      <c r="D2618" s="448">
        <v>18.32</v>
      </c>
      <c r="E2618" s="210"/>
    </row>
    <row r="2619" spans="1:5" ht="40.5">
      <c r="A2619" s="446">
        <v>93016</v>
      </c>
      <c r="B2619" s="447" t="s">
        <v>2332</v>
      </c>
      <c r="C2619" s="446" t="s">
        <v>34</v>
      </c>
      <c r="D2619" s="448">
        <v>22.28</v>
      </c>
      <c r="E2619" s="210"/>
    </row>
    <row r="2620" spans="1:5" ht="40.5">
      <c r="A2620" s="446">
        <v>93017</v>
      </c>
      <c r="B2620" s="447" t="s">
        <v>2333</v>
      </c>
      <c r="C2620" s="446" t="s">
        <v>34</v>
      </c>
      <c r="D2620" s="448">
        <v>33.53</v>
      </c>
      <c r="E2620" s="210"/>
    </row>
    <row r="2621" spans="1:5" ht="40.5">
      <c r="A2621" s="446">
        <v>93018</v>
      </c>
      <c r="B2621" s="447" t="s">
        <v>2334</v>
      </c>
      <c r="C2621" s="446" t="s">
        <v>34</v>
      </c>
      <c r="D2621" s="448">
        <v>15.01</v>
      </c>
      <c r="E2621" s="210"/>
    </row>
    <row r="2622" spans="1:5" ht="40.5">
      <c r="A2622" s="446">
        <v>93020</v>
      </c>
      <c r="B2622" s="447" t="s">
        <v>2335</v>
      </c>
      <c r="C2622" s="446" t="s">
        <v>34</v>
      </c>
      <c r="D2622" s="448">
        <v>19.27</v>
      </c>
      <c r="E2622" s="210"/>
    </row>
    <row r="2623" spans="1:5" ht="40.5">
      <c r="A2623" s="446">
        <v>93022</v>
      </c>
      <c r="B2623" s="447" t="s">
        <v>2336</v>
      </c>
      <c r="C2623" s="446" t="s">
        <v>34</v>
      </c>
      <c r="D2623" s="448">
        <v>32.25</v>
      </c>
      <c r="E2623" s="210"/>
    </row>
    <row r="2624" spans="1:5" ht="40.5">
      <c r="A2624" s="446">
        <v>93024</v>
      </c>
      <c r="B2624" s="447" t="s">
        <v>2337</v>
      </c>
      <c r="C2624" s="446" t="s">
        <v>34</v>
      </c>
      <c r="D2624" s="448">
        <v>33.880000000000003</v>
      </c>
      <c r="E2624" s="210"/>
    </row>
    <row r="2625" spans="1:5" ht="40.5">
      <c r="A2625" s="446">
        <v>93026</v>
      </c>
      <c r="B2625" s="447" t="s">
        <v>2338</v>
      </c>
      <c r="C2625" s="446" t="s">
        <v>34</v>
      </c>
      <c r="D2625" s="448">
        <v>55.44</v>
      </c>
      <c r="E2625" s="210"/>
    </row>
    <row r="2626" spans="1:5" ht="54">
      <c r="A2626" s="446">
        <v>95733</v>
      </c>
      <c r="B2626" s="447" t="s">
        <v>2914</v>
      </c>
      <c r="C2626" s="446" t="s">
        <v>34</v>
      </c>
      <c r="D2626" s="448">
        <v>4.28</v>
      </c>
      <c r="E2626" s="210"/>
    </row>
    <row r="2627" spans="1:5" ht="40.5">
      <c r="A2627" s="446">
        <v>95734</v>
      </c>
      <c r="B2627" s="447" t="s">
        <v>2915</v>
      </c>
      <c r="C2627" s="446" t="s">
        <v>34</v>
      </c>
      <c r="D2627" s="448">
        <v>5.7</v>
      </c>
      <c r="E2627" s="210"/>
    </row>
    <row r="2628" spans="1:5" ht="54">
      <c r="A2628" s="446">
        <v>95735</v>
      </c>
      <c r="B2628" s="447" t="s">
        <v>2916</v>
      </c>
      <c r="C2628" s="446" t="s">
        <v>34</v>
      </c>
      <c r="D2628" s="448">
        <v>4.7300000000000004</v>
      </c>
      <c r="E2628" s="210"/>
    </row>
    <row r="2629" spans="1:5" ht="54">
      <c r="A2629" s="446">
        <v>95736</v>
      </c>
      <c r="B2629" s="447" t="s">
        <v>2917</v>
      </c>
      <c r="C2629" s="446" t="s">
        <v>34</v>
      </c>
      <c r="D2629" s="448">
        <v>5.54</v>
      </c>
      <c r="E2629" s="210"/>
    </row>
    <row r="2630" spans="1:5" ht="54">
      <c r="A2630" s="446">
        <v>95738</v>
      </c>
      <c r="B2630" s="447" t="s">
        <v>2918</v>
      </c>
      <c r="C2630" s="446" t="s">
        <v>34</v>
      </c>
      <c r="D2630" s="448">
        <v>6.73</v>
      </c>
      <c r="E2630" s="210"/>
    </row>
    <row r="2631" spans="1:5" ht="54">
      <c r="A2631" s="446">
        <v>95753</v>
      </c>
      <c r="B2631" s="447" t="s">
        <v>2926</v>
      </c>
      <c r="C2631" s="446" t="s">
        <v>34</v>
      </c>
      <c r="D2631" s="448">
        <v>5.13</v>
      </c>
      <c r="E2631" s="210"/>
    </row>
    <row r="2632" spans="1:5" ht="54">
      <c r="A2632" s="446">
        <v>95754</v>
      </c>
      <c r="B2632" s="447" t="s">
        <v>2927</v>
      </c>
      <c r="C2632" s="446" t="s">
        <v>34</v>
      </c>
      <c r="D2632" s="448">
        <v>6.38</v>
      </c>
      <c r="E2632" s="210"/>
    </row>
    <row r="2633" spans="1:5" ht="54">
      <c r="A2633" s="446">
        <v>95755</v>
      </c>
      <c r="B2633" s="447" t="s">
        <v>2928</v>
      </c>
      <c r="C2633" s="446" t="s">
        <v>34</v>
      </c>
      <c r="D2633" s="448">
        <v>9.2799999999999994</v>
      </c>
      <c r="E2633" s="210"/>
    </row>
    <row r="2634" spans="1:5" ht="54">
      <c r="A2634" s="446">
        <v>95756</v>
      </c>
      <c r="B2634" s="447" t="s">
        <v>2929</v>
      </c>
      <c r="C2634" s="446" t="s">
        <v>34</v>
      </c>
      <c r="D2634" s="448">
        <v>12.43</v>
      </c>
      <c r="E2634" s="210"/>
    </row>
    <row r="2635" spans="1:5" ht="54">
      <c r="A2635" s="446">
        <v>95757</v>
      </c>
      <c r="B2635" s="447" t="s">
        <v>2930</v>
      </c>
      <c r="C2635" s="446" t="s">
        <v>34</v>
      </c>
      <c r="D2635" s="448">
        <v>7.62</v>
      </c>
      <c r="E2635" s="210"/>
    </row>
    <row r="2636" spans="1:5" ht="54">
      <c r="A2636" s="446">
        <v>95758</v>
      </c>
      <c r="B2636" s="447" t="s">
        <v>2931</v>
      </c>
      <c r="C2636" s="446" t="s">
        <v>34</v>
      </c>
      <c r="D2636" s="448">
        <v>8.58</v>
      </c>
      <c r="E2636" s="210"/>
    </row>
    <row r="2637" spans="1:5" ht="54">
      <c r="A2637" s="446">
        <v>95759</v>
      </c>
      <c r="B2637" s="447" t="s">
        <v>2932</v>
      </c>
      <c r="C2637" s="446" t="s">
        <v>34</v>
      </c>
      <c r="D2637" s="448">
        <v>11.07</v>
      </c>
      <c r="E2637" s="210"/>
    </row>
    <row r="2638" spans="1:5" ht="54">
      <c r="A2638" s="446">
        <v>95760</v>
      </c>
      <c r="B2638" s="447" t="s">
        <v>2933</v>
      </c>
      <c r="C2638" s="446" t="s">
        <v>34</v>
      </c>
      <c r="D2638" s="448">
        <v>13.74</v>
      </c>
      <c r="E2638" s="210"/>
    </row>
    <row r="2639" spans="1:5" ht="54">
      <c r="A2639" s="446">
        <v>97559</v>
      </c>
      <c r="B2639" s="447" t="s">
        <v>3846</v>
      </c>
      <c r="C2639" s="446" t="s">
        <v>34</v>
      </c>
      <c r="D2639" s="448">
        <v>7.01</v>
      </c>
      <c r="E2639" s="210"/>
    </row>
    <row r="2640" spans="1:5" ht="54">
      <c r="A2640" s="446">
        <v>97562</v>
      </c>
      <c r="B2640" s="447" t="s">
        <v>3847</v>
      </c>
      <c r="C2640" s="446" t="s">
        <v>34</v>
      </c>
      <c r="D2640" s="448">
        <v>8.36</v>
      </c>
      <c r="E2640" s="210"/>
    </row>
    <row r="2641" spans="1:5" ht="67.5">
      <c r="A2641" s="446">
        <v>97564</v>
      </c>
      <c r="B2641" s="447" t="s">
        <v>3848</v>
      </c>
      <c r="C2641" s="446" t="s">
        <v>34</v>
      </c>
      <c r="D2641" s="448">
        <v>9.56</v>
      </c>
      <c r="E2641" s="210"/>
    </row>
    <row r="2642" spans="1:5" ht="54">
      <c r="A2642" s="446">
        <v>91924</v>
      </c>
      <c r="B2642" s="447" t="s">
        <v>1993</v>
      </c>
      <c r="C2642" s="446" t="s">
        <v>14</v>
      </c>
      <c r="D2642" s="448">
        <v>2.61</v>
      </c>
      <c r="E2642" s="210"/>
    </row>
    <row r="2643" spans="1:5" ht="54">
      <c r="A2643" s="446">
        <v>91925</v>
      </c>
      <c r="B2643" s="447" t="s">
        <v>1994</v>
      </c>
      <c r="C2643" s="446" t="s">
        <v>14</v>
      </c>
      <c r="D2643" s="448">
        <v>3.9</v>
      </c>
      <c r="E2643" s="210"/>
    </row>
    <row r="2644" spans="1:5" ht="54">
      <c r="A2644" s="446">
        <v>91926</v>
      </c>
      <c r="B2644" s="447" t="s">
        <v>1995</v>
      </c>
      <c r="C2644" s="446" t="s">
        <v>14</v>
      </c>
      <c r="D2644" s="448">
        <v>3.89</v>
      </c>
      <c r="E2644" s="210"/>
    </row>
    <row r="2645" spans="1:5" ht="54">
      <c r="A2645" s="446">
        <v>91927</v>
      </c>
      <c r="B2645" s="447" t="s">
        <v>1996</v>
      </c>
      <c r="C2645" s="446" t="s">
        <v>14</v>
      </c>
      <c r="D2645" s="448">
        <v>5.3</v>
      </c>
      <c r="E2645" s="210"/>
    </row>
    <row r="2646" spans="1:5" ht="54">
      <c r="A2646" s="446">
        <v>91928</v>
      </c>
      <c r="B2646" s="447" t="s">
        <v>1997</v>
      </c>
      <c r="C2646" s="446" t="s">
        <v>14</v>
      </c>
      <c r="D2646" s="448">
        <v>6.52</v>
      </c>
      <c r="E2646" s="210"/>
    </row>
    <row r="2647" spans="1:5" ht="54">
      <c r="A2647" s="446">
        <v>91929</v>
      </c>
      <c r="B2647" s="447" t="s">
        <v>1998</v>
      </c>
      <c r="C2647" s="446" t="s">
        <v>14</v>
      </c>
      <c r="D2647" s="448">
        <v>7.5</v>
      </c>
      <c r="E2647" s="210"/>
    </row>
    <row r="2648" spans="1:5" ht="54">
      <c r="A2648" s="446">
        <v>91930</v>
      </c>
      <c r="B2648" s="447" t="s">
        <v>1999</v>
      </c>
      <c r="C2648" s="446" t="s">
        <v>14</v>
      </c>
      <c r="D2648" s="448">
        <v>8.9700000000000006</v>
      </c>
      <c r="E2648" s="210"/>
    </row>
    <row r="2649" spans="1:5" ht="54">
      <c r="A2649" s="446">
        <v>91931</v>
      </c>
      <c r="B2649" s="447" t="s">
        <v>2000</v>
      </c>
      <c r="C2649" s="446" t="s">
        <v>14</v>
      </c>
      <c r="D2649" s="448">
        <v>10.16</v>
      </c>
      <c r="E2649" s="210"/>
    </row>
    <row r="2650" spans="1:5" ht="54">
      <c r="A2650" s="446">
        <v>91932</v>
      </c>
      <c r="B2650" s="447" t="s">
        <v>2001</v>
      </c>
      <c r="C2650" s="446" t="s">
        <v>14</v>
      </c>
      <c r="D2650" s="448">
        <v>14.93</v>
      </c>
      <c r="E2650" s="210"/>
    </row>
    <row r="2651" spans="1:5" ht="54">
      <c r="A2651" s="446">
        <v>91933</v>
      </c>
      <c r="B2651" s="447" t="s">
        <v>2002</v>
      </c>
      <c r="C2651" s="446" t="s">
        <v>14</v>
      </c>
      <c r="D2651" s="448">
        <v>16.05</v>
      </c>
      <c r="E2651" s="210"/>
    </row>
    <row r="2652" spans="1:5" ht="54">
      <c r="A2652" s="446">
        <v>91934</v>
      </c>
      <c r="B2652" s="447" t="s">
        <v>2003</v>
      </c>
      <c r="C2652" s="446" t="s">
        <v>14</v>
      </c>
      <c r="D2652" s="448">
        <v>22.89</v>
      </c>
      <c r="E2652" s="210"/>
    </row>
    <row r="2653" spans="1:5" ht="54">
      <c r="A2653" s="446">
        <v>91935</v>
      </c>
      <c r="B2653" s="447" t="s">
        <v>2004</v>
      </c>
      <c r="C2653" s="446" t="s">
        <v>14</v>
      </c>
      <c r="D2653" s="448">
        <v>24.52</v>
      </c>
      <c r="E2653" s="210"/>
    </row>
    <row r="2654" spans="1:5" ht="40.5">
      <c r="A2654" s="446">
        <v>92979</v>
      </c>
      <c r="B2654" s="447" t="s">
        <v>2302</v>
      </c>
      <c r="C2654" s="446" t="s">
        <v>14</v>
      </c>
      <c r="D2654" s="448">
        <v>11.04</v>
      </c>
      <c r="E2654" s="210"/>
    </row>
    <row r="2655" spans="1:5" ht="54">
      <c r="A2655" s="446">
        <v>92980</v>
      </c>
      <c r="B2655" s="447" t="s">
        <v>2303</v>
      </c>
      <c r="C2655" s="446" t="s">
        <v>14</v>
      </c>
      <c r="D2655" s="448">
        <v>12</v>
      </c>
      <c r="E2655" s="210"/>
    </row>
    <row r="2656" spans="1:5" ht="40.5">
      <c r="A2656" s="446">
        <v>92981</v>
      </c>
      <c r="B2656" s="447" t="s">
        <v>2304</v>
      </c>
      <c r="C2656" s="446" t="s">
        <v>14</v>
      </c>
      <c r="D2656" s="448">
        <v>16.97</v>
      </c>
      <c r="E2656" s="210"/>
    </row>
    <row r="2657" spans="1:5" ht="54">
      <c r="A2657" s="446">
        <v>92982</v>
      </c>
      <c r="B2657" s="447" t="s">
        <v>2305</v>
      </c>
      <c r="C2657" s="446" t="s">
        <v>14</v>
      </c>
      <c r="D2657" s="448">
        <v>18.38</v>
      </c>
      <c r="E2657" s="210"/>
    </row>
    <row r="2658" spans="1:5" ht="40.5">
      <c r="A2658" s="446">
        <v>92983</v>
      </c>
      <c r="B2658" s="447" t="s">
        <v>2306</v>
      </c>
      <c r="C2658" s="446" t="s">
        <v>14</v>
      </c>
      <c r="D2658" s="448">
        <v>28.3</v>
      </c>
      <c r="E2658" s="210"/>
    </row>
    <row r="2659" spans="1:5" ht="54">
      <c r="A2659" s="446">
        <v>92984</v>
      </c>
      <c r="B2659" s="447" t="s">
        <v>2307</v>
      </c>
      <c r="C2659" s="446" t="s">
        <v>14</v>
      </c>
      <c r="D2659" s="448">
        <v>29.08</v>
      </c>
      <c r="E2659" s="210"/>
    </row>
    <row r="2660" spans="1:5" ht="40.5">
      <c r="A2660" s="446">
        <v>92985</v>
      </c>
      <c r="B2660" s="447" t="s">
        <v>2308</v>
      </c>
      <c r="C2660" s="446" t="s">
        <v>14</v>
      </c>
      <c r="D2660" s="448">
        <v>38.42</v>
      </c>
      <c r="E2660" s="210"/>
    </row>
    <row r="2661" spans="1:5" ht="54">
      <c r="A2661" s="446">
        <v>92986</v>
      </c>
      <c r="B2661" s="447" t="s">
        <v>2309</v>
      </c>
      <c r="C2661" s="446" t="s">
        <v>14</v>
      </c>
      <c r="D2661" s="448">
        <v>39.6</v>
      </c>
      <c r="E2661" s="210"/>
    </row>
    <row r="2662" spans="1:5" ht="40.5">
      <c r="A2662" s="446">
        <v>92987</v>
      </c>
      <c r="B2662" s="447" t="s">
        <v>2310</v>
      </c>
      <c r="C2662" s="446" t="s">
        <v>14</v>
      </c>
      <c r="D2662" s="448">
        <v>55.73</v>
      </c>
      <c r="E2662" s="210"/>
    </row>
    <row r="2663" spans="1:5" ht="54">
      <c r="A2663" s="446">
        <v>92988</v>
      </c>
      <c r="B2663" s="447" t="s">
        <v>2311</v>
      </c>
      <c r="C2663" s="446" t="s">
        <v>14</v>
      </c>
      <c r="D2663" s="448">
        <v>55.87</v>
      </c>
      <c r="E2663" s="210"/>
    </row>
    <row r="2664" spans="1:5" ht="40.5">
      <c r="A2664" s="446">
        <v>92989</v>
      </c>
      <c r="B2664" s="447" t="s">
        <v>2312</v>
      </c>
      <c r="C2664" s="446" t="s">
        <v>14</v>
      </c>
      <c r="D2664" s="448">
        <v>77.81</v>
      </c>
      <c r="E2664" s="210"/>
    </row>
    <row r="2665" spans="1:5" ht="54">
      <c r="A2665" s="446">
        <v>92990</v>
      </c>
      <c r="B2665" s="447" t="s">
        <v>2313</v>
      </c>
      <c r="C2665" s="446" t="s">
        <v>14</v>
      </c>
      <c r="D2665" s="448">
        <v>76.900000000000006</v>
      </c>
      <c r="E2665" s="210"/>
    </row>
    <row r="2666" spans="1:5" ht="40.5">
      <c r="A2666" s="446">
        <v>92991</v>
      </c>
      <c r="B2666" s="447" t="s">
        <v>2314</v>
      </c>
      <c r="C2666" s="446" t="s">
        <v>14</v>
      </c>
      <c r="D2666" s="448">
        <v>101.7</v>
      </c>
      <c r="E2666" s="210"/>
    </row>
    <row r="2667" spans="1:5" ht="54">
      <c r="A2667" s="446">
        <v>92992</v>
      </c>
      <c r="B2667" s="447" t="s">
        <v>2315</v>
      </c>
      <c r="C2667" s="446" t="s">
        <v>14</v>
      </c>
      <c r="D2667" s="448">
        <v>101.77</v>
      </c>
      <c r="E2667" s="210"/>
    </row>
    <row r="2668" spans="1:5" ht="54">
      <c r="A2668" s="446">
        <v>92993</v>
      </c>
      <c r="B2668" s="447" t="s">
        <v>2316</v>
      </c>
      <c r="C2668" s="446" t="s">
        <v>14</v>
      </c>
      <c r="D2668" s="448">
        <v>130.65</v>
      </c>
      <c r="E2668" s="210"/>
    </row>
    <row r="2669" spans="1:5" ht="54">
      <c r="A2669" s="446">
        <v>92994</v>
      </c>
      <c r="B2669" s="447" t="s">
        <v>2317</v>
      </c>
      <c r="C2669" s="446" t="s">
        <v>14</v>
      </c>
      <c r="D2669" s="448">
        <v>131.97999999999999</v>
      </c>
      <c r="E2669" s="210"/>
    </row>
    <row r="2670" spans="1:5" ht="54">
      <c r="A2670" s="446">
        <v>92995</v>
      </c>
      <c r="B2670" s="447" t="s">
        <v>2318</v>
      </c>
      <c r="C2670" s="446" t="s">
        <v>14</v>
      </c>
      <c r="D2670" s="448">
        <v>162.77000000000001</v>
      </c>
      <c r="E2670" s="210"/>
    </row>
    <row r="2671" spans="1:5" ht="54">
      <c r="A2671" s="446">
        <v>92996</v>
      </c>
      <c r="B2671" s="447" t="s">
        <v>2319</v>
      </c>
      <c r="C2671" s="446" t="s">
        <v>14</v>
      </c>
      <c r="D2671" s="448">
        <v>163.22999999999999</v>
      </c>
      <c r="E2671" s="210"/>
    </row>
    <row r="2672" spans="1:5" ht="54">
      <c r="A2672" s="446">
        <v>92997</v>
      </c>
      <c r="B2672" s="447" t="s">
        <v>2320</v>
      </c>
      <c r="C2672" s="446" t="s">
        <v>14</v>
      </c>
      <c r="D2672" s="448">
        <v>197.9</v>
      </c>
      <c r="E2672" s="210"/>
    </row>
    <row r="2673" spans="1:5" ht="54">
      <c r="A2673" s="446">
        <v>92998</v>
      </c>
      <c r="B2673" s="447" t="s">
        <v>2321</v>
      </c>
      <c r="C2673" s="446" t="s">
        <v>14</v>
      </c>
      <c r="D2673" s="448">
        <v>199.85</v>
      </c>
      <c r="E2673" s="210"/>
    </row>
    <row r="2674" spans="1:5" ht="54">
      <c r="A2674" s="446">
        <v>92999</v>
      </c>
      <c r="B2674" s="447" t="s">
        <v>2322</v>
      </c>
      <c r="C2674" s="446" t="s">
        <v>14</v>
      </c>
      <c r="D2674" s="448">
        <v>261.02</v>
      </c>
      <c r="E2674" s="210"/>
    </row>
    <row r="2675" spans="1:5" ht="54">
      <c r="A2675" s="446">
        <v>93000</v>
      </c>
      <c r="B2675" s="447" t="s">
        <v>2323</v>
      </c>
      <c r="C2675" s="446" t="s">
        <v>14</v>
      </c>
      <c r="D2675" s="448">
        <v>262.64</v>
      </c>
      <c r="E2675" s="210"/>
    </row>
    <row r="2676" spans="1:5" ht="40.5">
      <c r="A2676" s="446">
        <v>93001</v>
      </c>
      <c r="B2676" s="447" t="s">
        <v>2324</v>
      </c>
      <c r="C2676" s="446" t="s">
        <v>14</v>
      </c>
      <c r="D2676" s="448">
        <v>319.02</v>
      </c>
      <c r="E2676" s="210"/>
    </row>
    <row r="2677" spans="1:5" ht="54">
      <c r="A2677" s="446">
        <v>93002</v>
      </c>
      <c r="B2677" s="447" t="s">
        <v>2325</v>
      </c>
      <c r="C2677" s="446" t="s">
        <v>14</v>
      </c>
      <c r="D2677" s="448">
        <v>328.09</v>
      </c>
      <c r="E2677" s="210"/>
    </row>
    <row r="2678" spans="1:5" ht="54">
      <c r="A2678" s="446">
        <v>101884</v>
      </c>
      <c r="B2678" s="447" t="s">
        <v>5768</v>
      </c>
      <c r="C2678" s="446" t="s">
        <v>14</v>
      </c>
      <c r="D2678" s="448">
        <v>10.87</v>
      </c>
      <c r="E2678" s="210"/>
    </row>
    <row r="2679" spans="1:5" ht="54">
      <c r="A2679" s="446">
        <v>101885</v>
      </c>
      <c r="B2679" s="447" t="s">
        <v>5769</v>
      </c>
      <c r="C2679" s="446" t="s">
        <v>14</v>
      </c>
      <c r="D2679" s="448">
        <v>11.83</v>
      </c>
      <c r="E2679" s="210"/>
    </row>
    <row r="2680" spans="1:5" ht="54">
      <c r="A2680" s="446">
        <v>101886</v>
      </c>
      <c r="B2680" s="447" t="s">
        <v>5770</v>
      </c>
      <c r="C2680" s="446" t="s">
        <v>14</v>
      </c>
      <c r="D2680" s="448">
        <v>16.77</v>
      </c>
      <c r="E2680" s="210"/>
    </row>
    <row r="2681" spans="1:5" ht="54">
      <c r="A2681" s="446">
        <v>101887</v>
      </c>
      <c r="B2681" s="447" t="s">
        <v>5771</v>
      </c>
      <c r="C2681" s="446" t="s">
        <v>14</v>
      </c>
      <c r="D2681" s="448">
        <v>18.18</v>
      </c>
      <c r="E2681" s="210"/>
    </row>
    <row r="2682" spans="1:5" ht="54">
      <c r="A2682" s="446">
        <v>101888</v>
      </c>
      <c r="B2682" s="447" t="s">
        <v>5772</v>
      </c>
      <c r="C2682" s="446" t="s">
        <v>14</v>
      </c>
      <c r="D2682" s="448">
        <v>26.92</v>
      </c>
      <c r="E2682" s="210"/>
    </row>
    <row r="2683" spans="1:5" ht="54">
      <c r="A2683" s="446">
        <v>101889</v>
      </c>
      <c r="B2683" s="447" t="s">
        <v>5773</v>
      </c>
      <c r="C2683" s="446" t="s">
        <v>14</v>
      </c>
      <c r="D2683" s="448">
        <v>27.71</v>
      </c>
      <c r="E2683" s="210"/>
    </row>
    <row r="2684" spans="1:5" ht="40.5">
      <c r="A2684" s="446">
        <v>91936</v>
      </c>
      <c r="B2684" s="447" t="s">
        <v>2005</v>
      </c>
      <c r="C2684" s="446" t="s">
        <v>34</v>
      </c>
      <c r="D2684" s="448">
        <v>9.1</v>
      </c>
      <c r="E2684" s="210"/>
    </row>
    <row r="2685" spans="1:5" ht="40.5">
      <c r="A2685" s="446">
        <v>91937</v>
      </c>
      <c r="B2685" s="447" t="s">
        <v>2006</v>
      </c>
      <c r="C2685" s="446" t="s">
        <v>34</v>
      </c>
      <c r="D2685" s="448">
        <v>7.72</v>
      </c>
      <c r="E2685" s="210"/>
    </row>
    <row r="2686" spans="1:5" ht="40.5">
      <c r="A2686" s="446">
        <v>91939</v>
      </c>
      <c r="B2686" s="447" t="s">
        <v>2007</v>
      </c>
      <c r="C2686" s="446" t="s">
        <v>34</v>
      </c>
      <c r="D2686" s="448">
        <v>18.940000000000001</v>
      </c>
      <c r="E2686" s="210"/>
    </row>
    <row r="2687" spans="1:5" ht="40.5">
      <c r="A2687" s="446">
        <v>91940</v>
      </c>
      <c r="B2687" s="447" t="s">
        <v>2008</v>
      </c>
      <c r="C2687" s="446" t="s">
        <v>34</v>
      </c>
      <c r="D2687" s="448">
        <v>10.16</v>
      </c>
      <c r="E2687" s="210"/>
    </row>
    <row r="2688" spans="1:5" ht="40.5">
      <c r="A2688" s="446">
        <v>91941</v>
      </c>
      <c r="B2688" s="447" t="s">
        <v>2009</v>
      </c>
      <c r="C2688" s="446" t="s">
        <v>34</v>
      </c>
      <c r="D2688" s="448">
        <v>6.87</v>
      </c>
      <c r="E2688" s="210"/>
    </row>
    <row r="2689" spans="1:5" ht="40.5">
      <c r="A2689" s="446">
        <v>91942</v>
      </c>
      <c r="B2689" s="447" t="s">
        <v>2010</v>
      </c>
      <c r="C2689" s="446" t="s">
        <v>34</v>
      </c>
      <c r="D2689" s="448">
        <v>23.31</v>
      </c>
      <c r="E2689" s="210"/>
    </row>
    <row r="2690" spans="1:5" ht="40.5">
      <c r="A2690" s="446">
        <v>91943</v>
      </c>
      <c r="B2690" s="447" t="s">
        <v>2011</v>
      </c>
      <c r="C2690" s="446" t="s">
        <v>34</v>
      </c>
      <c r="D2690" s="448">
        <v>13.2</v>
      </c>
      <c r="E2690" s="210"/>
    </row>
    <row r="2691" spans="1:5" ht="40.5">
      <c r="A2691" s="446">
        <v>91944</v>
      </c>
      <c r="B2691" s="447" t="s">
        <v>2012</v>
      </c>
      <c r="C2691" s="446" t="s">
        <v>34</v>
      </c>
      <c r="D2691" s="448">
        <v>9.42</v>
      </c>
      <c r="E2691" s="210"/>
    </row>
    <row r="2692" spans="1:5" ht="40.5">
      <c r="A2692" s="446">
        <v>92865</v>
      </c>
      <c r="B2692" s="447" t="s">
        <v>484</v>
      </c>
      <c r="C2692" s="446" t="s">
        <v>34</v>
      </c>
      <c r="D2692" s="448">
        <v>8.18</v>
      </c>
      <c r="E2692" s="210"/>
    </row>
    <row r="2693" spans="1:5" ht="40.5">
      <c r="A2693" s="446">
        <v>92866</v>
      </c>
      <c r="B2693" s="447" t="s">
        <v>485</v>
      </c>
      <c r="C2693" s="446" t="s">
        <v>34</v>
      </c>
      <c r="D2693" s="448">
        <v>6.24</v>
      </c>
      <c r="E2693" s="210"/>
    </row>
    <row r="2694" spans="1:5" ht="40.5">
      <c r="A2694" s="446">
        <v>92867</v>
      </c>
      <c r="B2694" s="447" t="s">
        <v>486</v>
      </c>
      <c r="C2694" s="446" t="s">
        <v>34</v>
      </c>
      <c r="D2694" s="448">
        <v>18.89</v>
      </c>
      <c r="E2694" s="210"/>
    </row>
    <row r="2695" spans="1:5" ht="40.5">
      <c r="A2695" s="446">
        <v>92868</v>
      </c>
      <c r="B2695" s="447" t="s">
        <v>2273</v>
      </c>
      <c r="C2695" s="446" t="s">
        <v>34</v>
      </c>
      <c r="D2695" s="448">
        <v>10.11</v>
      </c>
      <c r="E2695" s="210"/>
    </row>
    <row r="2696" spans="1:5" ht="40.5">
      <c r="A2696" s="446">
        <v>92869</v>
      </c>
      <c r="B2696" s="447" t="s">
        <v>2274</v>
      </c>
      <c r="C2696" s="446" t="s">
        <v>34</v>
      </c>
      <c r="D2696" s="448">
        <v>6.82</v>
      </c>
      <c r="E2696" s="210"/>
    </row>
    <row r="2697" spans="1:5" ht="40.5">
      <c r="A2697" s="446">
        <v>92870</v>
      </c>
      <c r="B2697" s="447" t="s">
        <v>487</v>
      </c>
      <c r="C2697" s="446" t="s">
        <v>34</v>
      </c>
      <c r="D2697" s="448">
        <v>23.42</v>
      </c>
      <c r="E2697" s="210"/>
    </row>
    <row r="2698" spans="1:5" ht="40.5">
      <c r="A2698" s="446">
        <v>92871</v>
      </c>
      <c r="B2698" s="447" t="s">
        <v>2275</v>
      </c>
      <c r="C2698" s="446" t="s">
        <v>34</v>
      </c>
      <c r="D2698" s="448">
        <v>13.31</v>
      </c>
      <c r="E2698" s="210"/>
    </row>
    <row r="2699" spans="1:5" ht="40.5">
      <c r="A2699" s="446">
        <v>92872</v>
      </c>
      <c r="B2699" s="447" t="s">
        <v>2276</v>
      </c>
      <c r="C2699" s="446" t="s">
        <v>34</v>
      </c>
      <c r="D2699" s="448">
        <v>9.5299999999999994</v>
      </c>
      <c r="E2699" s="210"/>
    </row>
    <row r="2700" spans="1:5" ht="54">
      <c r="A2700" s="446">
        <v>95777</v>
      </c>
      <c r="B2700" s="447" t="s">
        <v>2934</v>
      </c>
      <c r="C2700" s="446" t="s">
        <v>34</v>
      </c>
      <c r="D2700" s="448">
        <v>20.45</v>
      </c>
      <c r="E2700" s="210"/>
    </row>
    <row r="2701" spans="1:5" ht="54">
      <c r="A2701" s="446">
        <v>95778</v>
      </c>
      <c r="B2701" s="447" t="s">
        <v>2935</v>
      </c>
      <c r="C2701" s="446" t="s">
        <v>34</v>
      </c>
      <c r="D2701" s="448">
        <v>20.98</v>
      </c>
      <c r="E2701" s="210"/>
    </row>
    <row r="2702" spans="1:5" ht="54">
      <c r="A2702" s="446">
        <v>95779</v>
      </c>
      <c r="B2702" s="447" t="s">
        <v>2936</v>
      </c>
      <c r="C2702" s="446" t="s">
        <v>34</v>
      </c>
      <c r="D2702" s="448">
        <v>19.2</v>
      </c>
      <c r="E2702" s="210"/>
    </row>
    <row r="2703" spans="1:5" ht="54">
      <c r="A2703" s="446">
        <v>95780</v>
      </c>
      <c r="B2703" s="447" t="s">
        <v>2937</v>
      </c>
      <c r="C2703" s="446" t="s">
        <v>34</v>
      </c>
      <c r="D2703" s="448">
        <v>23.37</v>
      </c>
      <c r="E2703" s="210"/>
    </row>
    <row r="2704" spans="1:5" ht="54">
      <c r="A2704" s="446">
        <v>95781</v>
      </c>
      <c r="B2704" s="447" t="s">
        <v>2938</v>
      </c>
      <c r="C2704" s="446" t="s">
        <v>34</v>
      </c>
      <c r="D2704" s="448">
        <v>23.77</v>
      </c>
      <c r="E2704" s="210"/>
    </row>
    <row r="2705" spans="1:5" ht="54">
      <c r="A2705" s="446">
        <v>95782</v>
      </c>
      <c r="B2705" s="447" t="s">
        <v>583</v>
      </c>
      <c r="C2705" s="446" t="s">
        <v>34</v>
      </c>
      <c r="D2705" s="448">
        <v>24.8</v>
      </c>
      <c r="E2705" s="210"/>
    </row>
    <row r="2706" spans="1:5" ht="54">
      <c r="A2706" s="446">
        <v>95785</v>
      </c>
      <c r="B2706" s="447" t="s">
        <v>2939</v>
      </c>
      <c r="C2706" s="446" t="s">
        <v>34</v>
      </c>
      <c r="D2706" s="448">
        <v>28.31</v>
      </c>
      <c r="E2706" s="210"/>
    </row>
    <row r="2707" spans="1:5" ht="54">
      <c r="A2707" s="446">
        <v>95787</v>
      </c>
      <c r="B2707" s="447" t="s">
        <v>584</v>
      </c>
      <c r="C2707" s="446" t="s">
        <v>34</v>
      </c>
      <c r="D2707" s="448">
        <v>20.53</v>
      </c>
      <c r="E2707" s="210"/>
    </row>
    <row r="2708" spans="1:5" ht="54">
      <c r="A2708" s="446">
        <v>95789</v>
      </c>
      <c r="B2708" s="447" t="s">
        <v>585</v>
      </c>
      <c r="C2708" s="446" t="s">
        <v>34</v>
      </c>
      <c r="D2708" s="448">
        <v>25.69</v>
      </c>
      <c r="E2708" s="210"/>
    </row>
    <row r="2709" spans="1:5" ht="54">
      <c r="A2709" s="446">
        <v>95791</v>
      </c>
      <c r="B2709" s="447" t="s">
        <v>586</v>
      </c>
      <c r="C2709" s="446" t="s">
        <v>34</v>
      </c>
      <c r="D2709" s="448">
        <v>33.4</v>
      </c>
      <c r="E2709" s="210"/>
    </row>
    <row r="2710" spans="1:5" ht="54">
      <c r="A2710" s="446">
        <v>95795</v>
      </c>
      <c r="B2710" s="447" t="s">
        <v>2940</v>
      </c>
      <c r="C2710" s="446" t="s">
        <v>34</v>
      </c>
      <c r="D2710" s="448">
        <v>23.67</v>
      </c>
      <c r="E2710" s="210"/>
    </row>
    <row r="2711" spans="1:5" ht="54">
      <c r="A2711" s="446">
        <v>95796</v>
      </c>
      <c r="B2711" s="447" t="s">
        <v>2941</v>
      </c>
      <c r="C2711" s="446" t="s">
        <v>34</v>
      </c>
      <c r="D2711" s="448">
        <v>30.21</v>
      </c>
      <c r="E2711" s="210"/>
    </row>
    <row r="2712" spans="1:5" ht="54">
      <c r="A2712" s="446">
        <v>95797</v>
      </c>
      <c r="B2712" s="447" t="s">
        <v>2942</v>
      </c>
      <c r="C2712" s="446" t="s">
        <v>34</v>
      </c>
      <c r="D2712" s="448">
        <v>38.71</v>
      </c>
      <c r="E2712" s="210"/>
    </row>
    <row r="2713" spans="1:5" ht="54">
      <c r="A2713" s="446">
        <v>95801</v>
      </c>
      <c r="B2713" s="447" t="s">
        <v>2943</v>
      </c>
      <c r="C2713" s="446" t="s">
        <v>34</v>
      </c>
      <c r="D2713" s="448">
        <v>28.5</v>
      </c>
      <c r="E2713" s="210"/>
    </row>
    <row r="2714" spans="1:5" ht="54">
      <c r="A2714" s="446">
        <v>95802</v>
      </c>
      <c r="B2714" s="447" t="s">
        <v>2944</v>
      </c>
      <c r="C2714" s="446" t="s">
        <v>34</v>
      </c>
      <c r="D2714" s="448">
        <v>31.85</v>
      </c>
      <c r="E2714" s="210"/>
    </row>
    <row r="2715" spans="1:5" ht="54">
      <c r="A2715" s="446">
        <v>95803</v>
      </c>
      <c r="B2715" s="447" t="s">
        <v>2945</v>
      </c>
      <c r="C2715" s="446" t="s">
        <v>34</v>
      </c>
      <c r="D2715" s="448">
        <v>42.69</v>
      </c>
      <c r="E2715" s="210"/>
    </row>
    <row r="2716" spans="1:5" ht="54">
      <c r="A2716" s="446">
        <v>95804</v>
      </c>
      <c r="B2716" s="447" t="s">
        <v>2946</v>
      </c>
      <c r="C2716" s="446" t="s">
        <v>34</v>
      </c>
      <c r="D2716" s="448">
        <v>17</v>
      </c>
      <c r="E2716" s="210"/>
    </row>
    <row r="2717" spans="1:5" ht="54">
      <c r="A2717" s="446">
        <v>95805</v>
      </c>
      <c r="B2717" s="447" t="s">
        <v>2947</v>
      </c>
      <c r="C2717" s="446" t="s">
        <v>34</v>
      </c>
      <c r="D2717" s="448">
        <v>17.149999999999999</v>
      </c>
      <c r="E2717" s="210"/>
    </row>
    <row r="2718" spans="1:5" ht="54">
      <c r="A2718" s="446">
        <v>95806</v>
      </c>
      <c r="B2718" s="447" t="s">
        <v>2948</v>
      </c>
      <c r="C2718" s="446" t="s">
        <v>34</v>
      </c>
      <c r="D2718" s="448">
        <v>17.690000000000001</v>
      </c>
      <c r="E2718" s="210"/>
    </row>
    <row r="2719" spans="1:5" ht="54">
      <c r="A2719" s="446">
        <v>95807</v>
      </c>
      <c r="B2719" s="447" t="s">
        <v>2949</v>
      </c>
      <c r="C2719" s="446" t="s">
        <v>34</v>
      </c>
      <c r="D2719" s="448">
        <v>19.48</v>
      </c>
      <c r="E2719" s="210"/>
    </row>
    <row r="2720" spans="1:5" ht="54">
      <c r="A2720" s="446">
        <v>95808</v>
      </c>
      <c r="B2720" s="447" t="s">
        <v>2950</v>
      </c>
      <c r="C2720" s="446" t="s">
        <v>34</v>
      </c>
      <c r="D2720" s="448">
        <v>19.940000000000001</v>
      </c>
      <c r="E2720" s="210"/>
    </row>
    <row r="2721" spans="1:5" ht="54">
      <c r="A2721" s="446">
        <v>95809</v>
      </c>
      <c r="B2721" s="447" t="s">
        <v>2951</v>
      </c>
      <c r="C2721" s="446" t="s">
        <v>34</v>
      </c>
      <c r="D2721" s="448">
        <v>21.91</v>
      </c>
      <c r="E2721" s="210"/>
    </row>
    <row r="2722" spans="1:5" ht="54">
      <c r="A2722" s="446">
        <v>95810</v>
      </c>
      <c r="B2722" s="447" t="s">
        <v>2952</v>
      </c>
      <c r="C2722" s="446" t="s">
        <v>34</v>
      </c>
      <c r="D2722" s="448">
        <v>10.66</v>
      </c>
      <c r="E2722" s="210"/>
    </row>
    <row r="2723" spans="1:5" ht="54">
      <c r="A2723" s="446">
        <v>95811</v>
      </c>
      <c r="B2723" s="447" t="s">
        <v>2953</v>
      </c>
      <c r="C2723" s="446" t="s">
        <v>34</v>
      </c>
      <c r="D2723" s="448">
        <v>11.12</v>
      </c>
      <c r="E2723" s="210"/>
    </row>
    <row r="2724" spans="1:5" ht="54">
      <c r="A2724" s="446">
        <v>95812</v>
      </c>
      <c r="B2724" s="447" t="s">
        <v>2954</v>
      </c>
      <c r="C2724" s="446" t="s">
        <v>34</v>
      </c>
      <c r="D2724" s="448">
        <v>13.08</v>
      </c>
      <c r="E2724" s="210"/>
    </row>
    <row r="2725" spans="1:5" ht="54">
      <c r="A2725" s="446">
        <v>95813</v>
      </c>
      <c r="B2725" s="447" t="s">
        <v>2955</v>
      </c>
      <c r="C2725" s="446" t="s">
        <v>34</v>
      </c>
      <c r="D2725" s="448">
        <v>12.8</v>
      </c>
      <c r="E2725" s="210"/>
    </row>
    <row r="2726" spans="1:5" ht="54">
      <c r="A2726" s="446">
        <v>95814</v>
      </c>
      <c r="B2726" s="447" t="s">
        <v>2956</v>
      </c>
      <c r="C2726" s="446" t="s">
        <v>34</v>
      </c>
      <c r="D2726" s="448">
        <v>13.48</v>
      </c>
      <c r="E2726" s="210"/>
    </row>
    <row r="2727" spans="1:5" ht="54">
      <c r="A2727" s="446">
        <v>95815</v>
      </c>
      <c r="B2727" s="447" t="s">
        <v>2957</v>
      </c>
      <c r="C2727" s="446" t="s">
        <v>34</v>
      </c>
      <c r="D2727" s="448">
        <v>17.28</v>
      </c>
      <c r="E2727" s="210"/>
    </row>
    <row r="2728" spans="1:5" ht="54">
      <c r="A2728" s="446">
        <v>95816</v>
      </c>
      <c r="B2728" s="447" t="s">
        <v>2958</v>
      </c>
      <c r="C2728" s="446" t="s">
        <v>34</v>
      </c>
      <c r="D2728" s="448">
        <v>23.95</v>
      </c>
      <c r="E2728" s="210"/>
    </row>
    <row r="2729" spans="1:5" ht="54">
      <c r="A2729" s="446">
        <v>95817</v>
      </c>
      <c r="B2729" s="447" t="s">
        <v>2959</v>
      </c>
      <c r="C2729" s="446" t="s">
        <v>34</v>
      </c>
      <c r="D2729" s="448">
        <v>24.53</v>
      </c>
      <c r="E2729" s="210"/>
    </row>
    <row r="2730" spans="1:5" ht="54">
      <c r="A2730" s="446">
        <v>95818</v>
      </c>
      <c r="B2730" s="447" t="s">
        <v>2960</v>
      </c>
      <c r="C2730" s="446" t="s">
        <v>34</v>
      </c>
      <c r="D2730" s="448">
        <v>29.64</v>
      </c>
      <c r="E2730" s="210"/>
    </row>
    <row r="2731" spans="1:5" ht="54">
      <c r="A2731" s="446">
        <v>97881</v>
      </c>
      <c r="B2731" s="447" t="s">
        <v>6573</v>
      </c>
      <c r="C2731" s="446" t="s">
        <v>34</v>
      </c>
      <c r="D2731" s="448">
        <v>113.94</v>
      </c>
      <c r="E2731" s="210"/>
    </row>
    <row r="2732" spans="1:5" ht="54">
      <c r="A2732" s="446">
        <v>97882</v>
      </c>
      <c r="B2732" s="447" t="s">
        <v>6574</v>
      </c>
      <c r="C2732" s="446" t="s">
        <v>34</v>
      </c>
      <c r="D2732" s="448">
        <v>179.13</v>
      </c>
      <c r="E2732" s="210"/>
    </row>
    <row r="2733" spans="1:5" ht="54">
      <c r="A2733" s="446">
        <v>97883</v>
      </c>
      <c r="B2733" s="447" t="s">
        <v>6575</v>
      </c>
      <c r="C2733" s="446" t="s">
        <v>34</v>
      </c>
      <c r="D2733" s="448">
        <v>345.42</v>
      </c>
      <c r="E2733" s="210"/>
    </row>
    <row r="2734" spans="1:5" ht="54">
      <c r="A2734" s="446">
        <v>97884</v>
      </c>
      <c r="B2734" s="447" t="s">
        <v>6576</v>
      </c>
      <c r="C2734" s="446" t="s">
        <v>34</v>
      </c>
      <c r="D2734" s="448">
        <v>678.77</v>
      </c>
      <c r="E2734" s="210"/>
    </row>
    <row r="2735" spans="1:5" ht="54">
      <c r="A2735" s="446">
        <v>97885</v>
      </c>
      <c r="B2735" s="447" t="s">
        <v>6577</v>
      </c>
      <c r="C2735" s="446" t="s">
        <v>34</v>
      </c>
      <c r="D2735" s="448">
        <v>1053.07</v>
      </c>
      <c r="E2735" s="210"/>
    </row>
    <row r="2736" spans="1:5" ht="54">
      <c r="A2736" s="446">
        <v>97886</v>
      </c>
      <c r="B2736" s="447" t="s">
        <v>6578</v>
      </c>
      <c r="C2736" s="446" t="s">
        <v>34</v>
      </c>
      <c r="D2736" s="448">
        <v>146.86000000000001</v>
      </c>
      <c r="E2736" s="210"/>
    </row>
    <row r="2737" spans="1:5" ht="54">
      <c r="A2737" s="446">
        <v>97887</v>
      </c>
      <c r="B2737" s="447" t="s">
        <v>6579</v>
      </c>
      <c r="C2737" s="446" t="s">
        <v>34</v>
      </c>
      <c r="D2737" s="448">
        <v>232.62</v>
      </c>
      <c r="E2737" s="210"/>
    </row>
    <row r="2738" spans="1:5" ht="54">
      <c r="A2738" s="446">
        <v>97888</v>
      </c>
      <c r="B2738" s="447" t="s">
        <v>6580</v>
      </c>
      <c r="C2738" s="446" t="s">
        <v>34</v>
      </c>
      <c r="D2738" s="448">
        <v>455.48</v>
      </c>
      <c r="E2738" s="210"/>
    </row>
    <row r="2739" spans="1:5" ht="54">
      <c r="A2739" s="446">
        <v>97889</v>
      </c>
      <c r="B2739" s="447" t="s">
        <v>6581</v>
      </c>
      <c r="C2739" s="446" t="s">
        <v>34</v>
      </c>
      <c r="D2739" s="448">
        <v>609.04</v>
      </c>
      <c r="E2739" s="210"/>
    </row>
    <row r="2740" spans="1:5" ht="54">
      <c r="A2740" s="446">
        <v>97890</v>
      </c>
      <c r="B2740" s="447" t="s">
        <v>6582</v>
      </c>
      <c r="C2740" s="446" t="s">
        <v>34</v>
      </c>
      <c r="D2740" s="448">
        <v>718.72</v>
      </c>
      <c r="E2740" s="210"/>
    </row>
    <row r="2741" spans="1:5" ht="54">
      <c r="A2741" s="446">
        <v>97891</v>
      </c>
      <c r="B2741" s="447" t="s">
        <v>6583</v>
      </c>
      <c r="C2741" s="446" t="s">
        <v>34</v>
      </c>
      <c r="D2741" s="448">
        <v>155.43</v>
      </c>
      <c r="E2741" s="210"/>
    </row>
    <row r="2742" spans="1:5" ht="54">
      <c r="A2742" s="446">
        <v>97892</v>
      </c>
      <c r="B2742" s="447" t="s">
        <v>6584</v>
      </c>
      <c r="C2742" s="446" t="s">
        <v>34</v>
      </c>
      <c r="D2742" s="448">
        <v>292.26</v>
      </c>
      <c r="E2742" s="210"/>
    </row>
    <row r="2743" spans="1:5" ht="54">
      <c r="A2743" s="446">
        <v>97893</v>
      </c>
      <c r="B2743" s="447" t="s">
        <v>6585</v>
      </c>
      <c r="C2743" s="446" t="s">
        <v>34</v>
      </c>
      <c r="D2743" s="448">
        <v>400.92</v>
      </c>
      <c r="E2743" s="210"/>
    </row>
    <row r="2744" spans="1:5" ht="54">
      <c r="A2744" s="446">
        <v>97894</v>
      </c>
      <c r="B2744" s="447" t="s">
        <v>6586</v>
      </c>
      <c r="C2744" s="446" t="s">
        <v>34</v>
      </c>
      <c r="D2744" s="448">
        <v>466.5</v>
      </c>
      <c r="E2744" s="210"/>
    </row>
    <row r="2745" spans="1:5" ht="40.5">
      <c r="A2745" s="446">
        <v>93653</v>
      </c>
      <c r="B2745" s="447" t="s">
        <v>5774</v>
      </c>
      <c r="C2745" s="446" t="s">
        <v>34</v>
      </c>
      <c r="D2745" s="448">
        <v>11.32</v>
      </c>
      <c r="E2745" s="210"/>
    </row>
    <row r="2746" spans="1:5" ht="40.5">
      <c r="A2746" s="446">
        <v>93654</v>
      </c>
      <c r="B2746" s="447" t="s">
        <v>5775</v>
      </c>
      <c r="C2746" s="446" t="s">
        <v>34</v>
      </c>
      <c r="D2746" s="448">
        <v>11.72</v>
      </c>
      <c r="E2746" s="210"/>
    </row>
    <row r="2747" spans="1:5" ht="40.5">
      <c r="A2747" s="446">
        <v>93655</v>
      </c>
      <c r="B2747" s="447" t="s">
        <v>5776</v>
      </c>
      <c r="C2747" s="446" t="s">
        <v>34</v>
      </c>
      <c r="D2747" s="448">
        <v>12.56</v>
      </c>
      <c r="E2747" s="210"/>
    </row>
    <row r="2748" spans="1:5" ht="40.5">
      <c r="A2748" s="446">
        <v>93656</v>
      </c>
      <c r="B2748" s="447" t="s">
        <v>5777</v>
      </c>
      <c r="C2748" s="446" t="s">
        <v>34</v>
      </c>
      <c r="D2748" s="448">
        <v>12.56</v>
      </c>
      <c r="E2748" s="210"/>
    </row>
    <row r="2749" spans="1:5" ht="40.5">
      <c r="A2749" s="446">
        <v>93657</v>
      </c>
      <c r="B2749" s="447" t="s">
        <v>5778</v>
      </c>
      <c r="C2749" s="446" t="s">
        <v>34</v>
      </c>
      <c r="D2749" s="448">
        <v>13.55</v>
      </c>
      <c r="E2749" s="210"/>
    </row>
    <row r="2750" spans="1:5" ht="40.5">
      <c r="A2750" s="446">
        <v>93658</v>
      </c>
      <c r="B2750" s="447" t="s">
        <v>5779</v>
      </c>
      <c r="C2750" s="446" t="s">
        <v>34</v>
      </c>
      <c r="D2750" s="448">
        <v>19.63</v>
      </c>
      <c r="E2750" s="210"/>
    </row>
    <row r="2751" spans="1:5" ht="40.5">
      <c r="A2751" s="446">
        <v>93659</v>
      </c>
      <c r="B2751" s="447" t="s">
        <v>5780</v>
      </c>
      <c r="C2751" s="446" t="s">
        <v>34</v>
      </c>
      <c r="D2751" s="448">
        <v>21.61</v>
      </c>
      <c r="E2751" s="210"/>
    </row>
    <row r="2752" spans="1:5" ht="40.5">
      <c r="A2752" s="446">
        <v>93660</v>
      </c>
      <c r="B2752" s="447" t="s">
        <v>5781</v>
      </c>
      <c r="C2752" s="446" t="s">
        <v>34</v>
      </c>
      <c r="D2752" s="448">
        <v>57.79</v>
      </c>
      <c r="E2752" s="210"/>
    </row>
    <row r="2753" spans="1:5" ht="40.5">
      <c r="A2753" s="446">
        <v>93661</v>
      </c>
      <c r="B2753" s="447" t="s">
        <v>5782</v>
      </c>
      <c r="C2753" s="446" t="s">
        <v>34</v>
      </c>
      <c r="D2753" s="448">
        <v>58.6</v>
      </c>
      <c r="E2753" s="210"/>
    </row>
    <row r="2754" spans="1:5" ht="40.5">
      <c r="A2754" s="446">
        <v>93662</v>
      </c>
      <c r="B2754" s="447" t="s">
        <v>5783</v>
      </c>
      <c r="C2754" s="446" t="s">
        <v>34</v>
      </c>
      <c r="D2754" s="448">
        <v>60.28</v>
      </c>
      <c r="E2754" s="210"/>
    </row>
    <row r="2755" spans="1:5" ht="40.5">
      <c r="A2755" s="446">
        <v>93663</v>
      </c>
      <c r="B2755" s="447" t="s">
        <v>5784</v>
      </c>
      <c r="C2755" s="446" t="s">
        <v>34</v>
      </c>
      <c r="D2755" s="448">
        <v>60.28</v>
      </c>
      <c r="E2755" s="210"/>
    </row>
    <row r="2756" spans="1:5" ht="40.5">
      <c r="A2756" s="446">
        <v>93664</v>
      </c>
      <c r="B2756" s="447" t="s">
        <v>5785</v>
      </c>
      <c r="C2756" s="446" t="s">
        <v>34</v>
      </c>
      <c r="D2756" s="448">
        <v>62.27</v>
      </c>
      <c r="E2756" s="210"/>
    </row>
    <row r="2757" spans="1:5" ht="40.5">
      <c r="A2757" s="446">
        <v>93665</v>
      </c>
      <c r="B2757" s="447" t="s">
        <v>5786</v>
      </c>
      <c r="C2757" s="446" t="s">
        <v>34</v>
      </c>
      <c r="D2757" s="448">
        <v>64.489999999999995</v>
      </c>
      <c r="E2757" s="210"/>
    </row>
    <row r="2758" spans="1:5" ht="40.5">
      <c r="A2758" s="446">
        <v>93666</v>
      </c>
      <c r="B2758" s="447" t="s">
        <v>5787</v>
      </c>
      <c r="C2758" s="446" t="s">
        <v>34</v>
      </c>
      <c r="D2758" s="448">
        <v>68.45</v>
      </c>
      <c r="E2758" s="210"/>
    </row>
    <row r="2759" spans="1:5" ht="40.5">
      <c r="A2759" s="446">
        <v>93667</v>
      </c>
      <c r="B2759" s="447" t="s">
        <v>5788</v>
      </c>
      <c r="C2759" s="446" t="s">
        <v>34</v>
      </c>
      <c r="D2759" s="448">
        <v>71.86</v>
      </c>
      <c r="E2759" s="210"/>
    </row>
    <row r="2760" spans="1:5" ht="40.5">
      <c r="A2760" s="446">
        <v>93668</v>
      </c>
      <c r="B2760" s="447" t="s">
        <v>5789</v>
      </c>
      <c r="C2760" s="446" t="s">
        <v>34</v>
      </c>
      <c r="D2760" s="448">
        <v>73.06</v>
      </c>
      <c r="E2760" s="210"/>
    </row>
    <row r="2761" spans="1:5" ht="40.5">
      <c r="A2761" s="446">
        <v>93669</v>
      </c>
      <c r="B2761" s="447" t="s">
        <v>5790</v>
      </c>
      <c r="C2761" s="446" t="s">
        <v>34</v>
      </c>
      <c r="D2761" s="448">
        <v>75.59</v>
      </c>
      <c r="E2761" s="210"/>
    </row>
    <row r="2762" spans="1:5" ht="40.5">
      <c r="A2762" s="446">
        <v>93670</v>
      </c>
      <c r="B2762" s="447" t="s">
        <v>5791</v>
      </c>
      <c r="C2762" s="446" t="s">
        <v>34</v>
      </c>
      <c r="D2762" s="448">
        <v>75.59</v>
      </c>
      <c r="E2762" s="210"/>
    </row>
    <row r="2763" spans="1:5" ht="40.5">
      <c r="A2763" s="446">
        <v>93671</v>
      </c>
      <c r="B2763" s="447" t="s">
        <v>5792</v>
      </c>
      <c r="C2763" s="446" t="s">
        <v>34</v>
      </c>
      <c r="D2763" s="448">
        <v>78.569999999999993</v>
      </c>
      <c r="E2763" s="210"/>
    </row>
    <row r="2764" spans="1:5" ht="40.5">
      <c r="A2764" s="446">
        <v>93672</v>
      </c>
      <c r="B2764" s="447" t="s">
        <v>5793</v>
      </c>
      <c r="C2764" s="446" t="s">
        <v>34</v>
      </c>
      <c r="D2764" s="448">
        <v>83.14</v>
      </c>
      <c r="E2764" s="210"/>
    </row>
    <row r="2765" spans="1:5" ht="40.5">
      <c r="A2765" s="446">
        <v>93673</v>
      </c>
      <c r="B2765" s="447" t="s">
        <v>5794</v>
      </c>
      <c r="C2765" s="446" t="s">
        <v>34</v>
      </c>
      <c r="D2765" s="448">
        <v>89.09</v>
      </c>
      <c r="E2765" s="210"/>
    </row>
    <row r="2766" spans="1:5" ht="40.5">
      <c r="A2766" s="446">
        <v>97359</v>
      </c>
      <c r="B2766" s="447" t="s">
        <v>5795</v>
      </c>
      <c r="C2766" s="446" t="s">
        <v>34</v>
      </c>
      <c r="D2766" s="448">
        <v>2809.63</v>
      </c>
      <c r="E2766" s="210"/>
    </row>
    <row r="2767" spans="1:5" ht="40.5">
      <c r="A2767" s="446">
        <v>97360</v>
      </c>
      <c r="B2767" s="447" t="s">
        <v>5796</v>
      </c>
      <c r="C2767" s="446" t="s">
        <v>34</v>
      </c>
      <c r="D2767" s="448">
        <v>5425.59</v>
      </c>
      <c r="E2767" s="210"/>
    </row>
    <row r="2768" spans="1:5" ht="40.5">
      <c r="A2768" s="446">
        <v>97361</v>
      </c>
      <c r="B2768" s="447" t="s">
        <v>5797</v>
      </c>
      <c r="C2768" s="446" t="s">
        <v>34</v>
      </c>
      <c r="D2768" s="448">
        <v>7234.12</v>
      </c>
      <c r="E2768" s="210"/>
    </row>
    <row r="2769" spans="1:5" ht="40.5">
      <c r="A2769" s="446">
        <v>97362</v>
      </c>
      <c r="B2769" s="447" t="s">
        <v>5798</v>
      </c>
      <c r="C2769" s="446" t="s">
        <v>34</v>
      </c>
      <c r="D2769" s="448">
        <v>1917.35</v>
      </c>
      <c r="E2769" s="210"/>
    </row>
    <row r="2770" spans="1:5" ht="67.5">
      <c r="A2770" s="446">
        <v>101875</v>
      </c>
      <c r="B2770" s="447" t="s">
        <v>5799</v>
      </c>
      <c r="C2770" s="446" t="s">
        <v>34</v>
      </c>
      <c r="D2770" s="448">
        <v>404.34</v>
      </c>
      <c r="E2770" s="210"/>
    </row>
    <row r="2771" spans="1:5" ht="54">
      <c r="A2771" s="446">
        <v>101876</v>
      </c>
      <c r="B2771" s="447" t="s">
        <v>5800</v>
      </c>
      <c r="C2771" s="446" t="s">
        <v>34</v>
      </c>
      <c r="D2771" s="448">
        <v>61.43</v>
      </c>
      <c r="E2771" s="210"/>
    </row>
    <row r="2772" spans="1:5" ht="54">
      <c r="A2772" s="446">
        <v>101877</v>
      </c>
      <c r="B2772" s="447" t="s">
        <v>5801</v>
      </c>
      <c r="C2772" s="446" t="s">
        <v>34</v>
      </c>
      <c r="D2772" s="448">
        <v>41.93</v>
      </c>
      <c r="E2772" s="210"/>
    </row>
    <row r="2773" spans="1:5" ht="67.5">
      <c r="A2773" s="446">
        <v>101878</v>
      </c>
      <c r="B2773" s="447" t="s">
        <v>5802</v>
      </c>
      <c r="C2773" s="446" t="s">
        <v>34</v>
      </c>
      <c r="D2773" s="448">
        <v>545.84</v>
      </c>
      <c r="E2773" s="210"/>
    </row>
    <row r="2774" spans="1:5" ht="67.5">
      <c r="A2774" s="446">
        <v>101879</v>
      </c>
      <c r="B2774" s="447" t="s">
        <v>5803</v>
      </c>
      <c r="C2774" s="446" t="s">
        <v>34</v>
      </c>
      <c r="D2774" s="448">
        <v>588.44000000000005</v>
      </c>
      <c r="E2774" s="210"/>
    </row>
    <row r="2775" spans="1:5" ht="67.5">
      <c r="A2775" s="446">
        <v>101880</v>
      </c>
      <c r="B2775" s="447" t="s">
        <v>5804</v>
      </c>
      <c r="C2775" s="446" t="s">
        <v>34</v>
      </c>
      <c r="D2775" s="448">
        <v>676.85</v>
      </c>
      <c r="E2775" s="210"/>
    </row>
    <row r="2776" spans="1:5" ht="67.5">
      <c r="A2776" s="446">
        <v>101881</v>
      </c>
      <c r="B2776" s="447" t="s">
        <v>5805</v>
      </c>
      <c r="C2776" s="446" t="s">
        <v>34</v>
      </c>
      <c r="D2776" s="448">
        <v>979.09</v>
      </c>
      <c r="E2776" s="210"/>
    </row>
    <row r="2777" spans="1:5" ht="67.5">
      <c r="A2777" s="446">
        <v>101882</v>
      </c>
      <c r="B2777" s="447" t="s">
        <v>5806</v>
      </c>
      <c r="C2777" s="446" t="s">
        <v>34</v>
      </c>
      <c r="D2777" s="448">
        <v>1395.68</v>
      </c>
      <c r="E2777" s="210"/>
    </row>
    <row r="2778" spans="1:5" ht="67.5">
      <c r="A2778" s="446">
        <v>101883</v>
      </c>
      <c r="B2778" s="447" t="s">
        <v>5807</v>
      </c>
      <c r="C2778" s="446" t="s">
        <v>34</v>
      </c>
      <c r="D2778" s="448">
        <v>560.59</v>
      </c>
      <c r="E2778" s="210"/>
    </row>
    <row r="2779" spans="1:5" ht="40.5">
      <c r="A2779" s="446">
        <v>101890</v>
      </c>
      <c r="B2779" s="447" t="s">
        <v>5808</v>
      </c>
      <c r="C2779" s="446" t="s">
        <v>34</v>
      </c>
      <c r="D2779" s="448">
        <v>15.34</v>
      </c>
      <c r="E2779" s="210"/>
    </row>
    <row r="2780" spans="1:5" ht="40.5">
      <c r="A2780" s="446">
        <v>101891</v>
      </c>
      <c r="B2780" s="447" t="s">
        <v>5809</v>
      </c>
      <c r="C2780" s="446" t="s">
        <v>34</v>
      </c>
      <c r="D2780" s="448">
        <v>26.12</v>
      </c>
      <c r="E2780" s="210"/>
    </row>
    <row r="2781" spans="1:5" ht="40.5">
      <c r="A2781" s="446">
        <v>101892</v>
      </c>
      <c r="B2781" s="447" t="s">
        <v>5810</v>
      </c>
      <c r="C2781" s="446" t="s">
        <v>34</v>
      </c>
      <c r="D2781" s="448">
        <v>71.95</v>
      </c>
      <c r="E2781" s="210"/>
    </row>
    <row r="2782" spans="1:5" ht="40.5">
      <c r="A2782" s="446">
        <v>101893</v>
      </c>
      <c r="B2782" s="447" t="s">
        <v>5811</v>
      </c>
      <c r="C2782" s="446" t="s">
        <v>34</v>
      </c>
      <c r="D2782" s="448">
        <v>91.33</v>
      </c>
      <c r="E2782" s="210"/>
    </row>
    <row r="2783" spans="1:5" ht="40.5">
      <c r="A2783" s="446">
        <v>101894</v>
      </c>
      <c r="B2783" s="447" t="s">
        <v>5812</v>
      </c>
      <c r="C2783" s="446" t="s">
        <v>34</v>
      </c>
      <c r="D2783" s="448">
        <v>147.08000000000001</v>
      </c>
      <c r="E2783" s="210"/>
    </row>
    <row r="2784" spans="1:5" ht="40.5">
      <c r="A2784" s="446">
        <v>101895</v>
      </c>
      <c r="B2784" s="447" t="s">
        <v>5813</v>
      </c>
      <c r="C2784" s="446" t="s">
        <v>34</v>
      </c>
      <c r="D2784" s="448">
        <v>416.12</v>
      </c>
      <c r="E2784" s="210"/>
    </row>
    <row r="2785" spans="1:5" ht="40.5">
      <c r="A2785" s="446">
        <v>101896</v>
      </c>
      <c r="B2785" s="447" t="s">
        <v>5814</v>
      </c>
      <c r="C2785" s="446" t="s">
        <v>34</v>
      </c>
      <c r="D2785" s="448">
        <v>636.5</v>
      </c>
      <c r="E2785" s="210"/>
    </row>
    <row r="2786" spans="1:5" ht="40.5">
      <c r="A2786" s="446">
        <v>101897</v>
      </c>
      <c r="B2786" s="447" t="s">
        <v>5815</v>
      </c>
      <c r="C2786" s="446" t="s">
        <v>34</v>
      </c>
      <c r="D2786" s="448">
        <v>1031.9100000000001</v>
      </c>
      <c r="E2786" s="210"/>
    </row>
    <row r="2787" spans="1:5" ht="40.5">
      <c r="A2787" s="446">
        <v>101898</v>
      </c>
      <c r="B2787" s="447" t="s">
        <v>5816</v>
      </c>
      <c r="C2787" s="446" t="s">
        <v>34</v>
      </c>
      <c r="D2787" s="448">
        <v>1391.38</v>
      </c>
      <c r="E2787" s="210"/>
    </row>
    <row r="2788" spans="1:5" ht="40.5">
      <c r="A2788" s="446">
        <v>101899</v>
      </c>
      <c r="B2788" s="447" t="s">
        <v>5817</v>
      </c>
      <c r="C2788" s="446" t="s">
        <v>34</v>
      </c>
      <c r="D2788" s="448">
        <v>2246.42</v>
      </c>
      <c r="E2788" s="210"/>
    </row>
    <row r="2789" spans="1:5" ht="40.5">
      <c r="A2789" s="446">
        <v>101900</v>
      </c>
      <c r="B2789" s="447" t="s">
        <v>5818</v>
      </c>
      <c r="C2789" s="446" t="s">
        <v>34</v>
      </c>
      <c r="D2789" s="448">
        <v>4722.99</v>
      </c>
      <c r="E2789" s="210"/>
    </row>
    <row r="2790" spans="1:5" ht="27">
      <c r="A2790" s="446">
        <v>101901</v>
      </c>
      <c r="B2790" s="447" t="s">
        <v>5819</v>
      </c>
      <c r="C2790" s="446" t="s">
        <v>34</v>
      </c>
      <c r="D2790" s="448">
        <v>139.63999999999999</v>
      </c>
      <c r="E2790" s="210"/>
    </row>
    <row r="2791" spans="1:5" ht="27">
      <c r="A2791" s="446">
        <v>101902</v>
      </c>
      <c r="B2791" s="447" t="s">
        <v>5820</v>
      </c>
      <c r="C2791" s="446" t="s">
        <v>34</v>
      </c>
      <c r="D2791" s="448">
        <v>172.2</v>
      </c>
      <c r="E2791" s="210"/>
    </row>
    <row r="2792" spans="1:5" ht="27">
      <c r="A2792" s="446">
        <v>101903</v>
      </c>
      <c r="B2792" s="447" t="s">
        <v>5821</v>
      </c>
      <c r="C2792" s="446" t="s">
        <v>34</v>
      </c>
      <c r="D2792" s="448">
        <v>359.84</v>
      </c>
      <c r="E2792" s="210"/>
    </row>
    <row r="2793" spans="1:5" ht="27">
      <c r="A2793" s="446">
        <v>101904</v>
      </c>
      <c r="B2793" s="447" t="s">
        <v>5822</v>
      </c>
      <c r="C2793" s="446" t="s">
        <v>34</v>
      </c>
      <c r="D2793" s="448">
        <v>1335.85</v>
      </c>
      <c r="E2793" s="210"/>
    </row>
    <row r="2794" spans="1:5" ht="40.5">
      <c r="A2794" s="446">
        <v>101938</v>
      </c>
      <c r="B2794" s="447" t="s">
        <v>6258</v>
      </c>
      <c r="C2794" s="446" t="s">
        <v>34</v>
      </c>
      <c r="D2794" s="448">
        <v>82.68</v>
      </c>
      <c r="E2794" s="210"/>
    </row>
    <row r="2795" spans="1:5" ht="40.5">
      <c r="A2795" s="446">
        <v>101946</v>
      </c>
      <c r="B2795" s="447" t="s">
        <v>6259</v>
      </c>
      <c r="C2795" s="446" t="s">
        <v>34</v>
      </c>
      <c r="D2795" s="448">
        <v>115.83</v>
      </c>
      <c r="E2795" s="210"/>
    </row>
    <row r="2796" spans="1:5" ht="54">
      <c r="A2796" s="446">
        <v>91945</v>
      </c>
      <c r="B2796" s="447" t="s">
        <v>433</v>
      </c>
      <c r="C2796" s="446" t="s">
        <v>34</v>
      </c>
      <c r="D2796" s="448">
        <v>6.91</v>
      </c>
      <c r="E2796" s="210"/>
    </row>
    <row r="2797" spans="1:5" ht="54">
      <c r="A2797" s="446">
        <v>91946</v>
      </c>
      <c r="B2797" s="447" t="s">
        <v>434</v>
      </c>
      <c r="C2797" s="446" t="s">
        <v>34</v>
      </c>
      <c r="D2797" s="448">
        <v>5.84</v>
      </c>
      <c r="E2797" s="210"/>
    </row>
    <row r="2798" spans="1:5" ht="54">
      <c r="A2798" s="446">
        <v>91947</v>
      </c>
      <c r="B2798" s="447" t="s">
        <v>435</v>
      </c>
      <c r="C2798" s="446" t="s">
        <v>34</v>
      </c>
      <c r="D2798" s="448">
        <v>5.19</v>
      </c>
      <c r="E2798" s="210"/>
    </row>
    <row r="2799" spans="1:5" ht="54">
      <c r="A2799" s="446">
        <v>91949</v>
      </c>
      <c r="B2799" s="447" t="s">
        <v>436</v>
      </c>
      <c r="C2799" s="446" t="s">
        <v>34</v>
      </c>
      <c r="D2799" s="448">
        <v>10.75</v>
      </c>
      <c r="E2799" s="210"/>
    </row>
    <row r="2800" spans="1:5" ht="54">
      <c r="A2800" s="446">
        <v>91950</v>
      </c>
      <c r="B2800" s="447" t="s">
        <v>437</v>
      </c>
      <c r="C2800" s="446" t="s">
        <v>34</v>
      </c>
      <c r="D2800" s="448">
        <v>9.4700000000000006</v>
      </c>
      <c r="E2800" s="210"/>
    </row>
    <row r="2801" spans="1:5" ht="54">
      <c r="A2801" s="446">
        <v>91951</v>
      </c>
      <c r="B2801" s="447" t="s">
        <v>438</v>
      </c>
      <c r="C2801" s="446" t="s">
        <v>34</v>
      </c>
      <c r="D2801" s="448">
        <v>8.6999999999999993</v>
      </c>
      <c r="E2801" s="210"/>
    </row>
    <row r="2802" spans="1:5" ht="40.5">
      <c r="A2802" s="446">
        <v>91952</v>
      </c>
      <c r="B2802" s="447" t="s">
        <v>2013</v>
      </c>
      <c r="C2802" s="446" t="s">
        <v>34</v>
      </c>
      <c r="D2802" s="448">
        <v>12.84</v>
      </c>
      <c r="E2802" s="210"/>
    </row>
    <row r="2803" spans="1:5" ht="40.5">
      <c r="A2803" s="446">
        <v>91953</v>
      </c>
      <c r="B2803" s="447" t="s">
        <v>439</v>
      </c>
      <c r="C2803" s="446" t="s">
        <v>34</v>
      </c>
      <c r="D2803" s="448">
        <v>18.68</v>
      </c>
      <c r="E2803" s="210"/>
    </row>
    <row r="2804" spans="1:5" ht="40.5">
      <c r="A2804" s="446">
        <v>91954</v>
      </c>
      <c r="B2804" s="447" t="s">
        <v>2014</v>
      </c>
      <c r="C2804" s="446" t="s">
        <v>34</v>
      </c>
      <c r="D2804" s="448">
        <v>17.2</v>
      </c>
      <c r="E2804" s="210"/>
    </row>
    <row r="2805" spans="1:5" ht="40.5">
      <c r="A2805" s="446">
        <v>91955</v>
      </c>
      <c r="B2805" s="447" t="s">
        <v>440</v>
      </c>
      <c r="C2805" s="446" t="s">
        <v>34</v>
      </c>
      <c r="D2805" s="448">
        <v>23.04</v>
      </c>
      <c r="E2805" s="210"/>
    </row>
    <row r="2806" spans="1:5" ht="54">
      <c r="A2806" s="446">
        <v>91956</v>
      </c>
      <c r="B2806" s="447" t="s">
        <v>2015</v>
      </c>
      <c r="C2806" s="446" t="s">
        <v>34</v>
      </c>
      <c r="D2806" s="448">
        <v>28.07</v>
      </c>
      <c r="E2806" s="210"/>
    </row>
    <row r="2807" spans="1:5" ht="54">
      <c r="A2807" s="446">
        <v>91957</v>
      </c>
      <c r="B2807" s="447" t="s">
        <v>2016</v>
      </c>
      <c r="C2807" s="446" t="s">
        <v>34</v>
      </c>
      <c r="D2807" s="448">
        <v>33.909999999999997</v>
      </c>
      <c r="E2807" s="210"/>
    </row>
    <row r="2808" spans="1:5" ht="40.5">
      <c r="A2808" s="446">
        <v>91958</v>
      </c>
      <c r="B2808" s="447" t="s">
        <v>2017</v>
      </c>
      <c r="C2808" s="446" t="s">
        <v>34</v>
      </c>
      <c r="D2808" s="448">
        <v>23.75</v>
      </c>
      <c r="E2808" s="210"/>
    </row>
    <row r="2809" spans="1:5" ht="40.5">
      <c r="A2809" s="446">
        <v>91959</v>
      </c>
      <c r="B2809" s="447" t="s">
        <v>441</v>
      </c>
      <c r="C2809" s="446" t="s">
        <v>34</v>
      </c>
      <c r="D2809" s="448">
        <v>29.59</v>
      </c>
      <c r="E2809" s="210"/>
    </row>
    <row r="2810" spans="1:5" ht="40.5">
      <c r="A2810" s="446">
        <v>91960</v>
      </c>
      <c r="B2810" s="447" t="s">
        <v>442</v>
      </c>
      <c r="C2810" s="446" t="s">
        <v>34</v>
      </c>
      <c r="D2810" s="448">
        <v>32.44</v>
      </c>
      <c r="E2810" s="210"/>
    </row>
    <row r="2811" spans="1:5" ht="40.5">
      <c r="A2811" s="446">
        <v>91961</v>
      </c>
      <c r="B2811" s="447" t="s">
        <v>443</v>
      </c>
      <c r="C2811" s="446" t="s">
        <v>34</v>
      </c>
      <c r="D2811" s="448">
        <v>38.28</v>
      </c>
      <c r="E2811" s="210"/>
    </row>
    <row r="2812" spans="1:5" ht="54">
      <c r="A2812" s="446">
        <v>91962</v>
      </c>
      <c r="B2812" s="447" t="s">
        <v>2018</v>
      </c>
      <c r="C2812" s="446" t="s">
        <v>34</v>
      </c>
      <c r="D2812" s="448">
        <v>43.35</v>
      </c>
      <c r="E2812" s="210"/>
    </row>
    <row r="2813" spans="1:5" ht="54">
      <c r="A2813" s="446">
        <v>91963</v>
      </c>
      <c r="B2813" s="447" t="s">
        <v>2019</v>
      </c>
      <c r="C2813" s="446" t="s">
        <v>34</v>
      </c>
      <c r="D2813" s="448">
        <v>49.19</v>
      </c>
      <c r="E2813" s="210"/>
    </row>
    <row r="2814" spans="1:5" ht="54">
      <c r="A2814" s="446">
        <v>91964</v>
      </c>
      <c r="B2814" s="447" t="s">
        <v>2020</v>
      </c>
      <c r="C2814" s="446" t="s">
        <v>34</v>
      </c>
      <c r="D2814" s="448">
        <v>38.979999999999997</v>
      </c>
      <c r="E2814" s="210"/>
    </row>
    <row r="2815" spans="1:5" ht="54">
      <c r="A2815" s="446">
        <v>91965</v>
      </c>
      <c r="B2815" s="447" t="s">
        <v>2021</v>
      </c>
      <c r="C2815" s="446" t="s">
        <v>34</v>
      </c>
      <c r="D2815" s="448">
        <v>44.82</v>
      </c>
      <c r="E2815" s="210"/>
    </row>
    <row r="2816" spans="1:5" ht="40.5">
      <c r="A2816" s="446">
        <v>91966</v>
      </c>
      <c r="B2816" s="447" t="s">
        <v>2022</v>
      </c>
      <c r="C2816" s="446" t="s">
        <v>34</v>
      </c>
      <c r="D2816" s="448">
        <v>34.659999999999997</v>
      </c>
      <c r="E2816" s="210"/>
    </row>
    <row r="2817" spans="1:5" ht="40.5">
      <c r="A2817" s="446">
        <v>91967</v>
      </c>
      <c r="B2817" s="447" t="s">
        <v>444</v>
      </c>
      <c r="C2817" s="446" t="s">
        <v>34</v>
      </c>
      <c r="D2817" s="448">
        <v>40.5</v>
      </c>
      <c r="E2817" s="210"/>
    </row>
    <row r="2818" spans="1:5" ht="40.5">
      <c r="A2818" s="446">
        <v>91968</v>
      </c>
      <c r="B2818" s="447" t="s">
        <v>445</v>
      </c>
      <c r="C2818" s="446" t="s">
        <v>34</v>
      </c>
      <c r="D2818" s="448">
        <v>47.67</v>
      </c>
      <c r="E2818" s="210"/>
    </row>
    <row r="2819" spans="1:5" ht="40.5">
      <c r="A2819" s="446">
        <v>91969</v>
      </c>
      <c r="B2819" s="447" t="s">
        <v>446</v>
      </c>
      <c r="C2819" s="446" t="s">
        <v>34</v>
      </c>
      <c r="D2819" s="448">
        <v>53.51</v>
      </c>
      <c r="E2819" s="210"/>
    </row>
    <row r="2820" spans="1:5" ht="54">
      <c r="A2820" s="446">
        <v>91970</v>
      </c>
      <c r="B2820" s="447" t="s">
        <v>2023</v>
      </c>
      <c r="C2820" s="446" t="s">
        <v>34</v>
      </c>
      <c r="D2820" s="448">
        <v>50.12</v>
      </c>
      <c r="E2820" s="210"/>
    </row>
    <row r="2821" spans="1:5" ht="54">
      <c r="A2821" s="446">
        <v>91971</v>
      </c>
      <c r="B2821" s="447" t="s">
        <v>2024</v>
      </c>
      <c r="C2821" s="446" t="s">
        <v>34</v>
      </c>
      <c r="D2821" s="448">
        <v>59.59</v>
      </c>
      <c r="E2821" s="210"/>
    </row>
    <row r="2822" spans="1:5" ht="54">
      <c r="A2822" s="446">
        <v>91972</v>
      </c>
      <c r="B2822" s="447" t="s">
        <v>2025</v>
      </c>
      <c r="C2822" s="446" t="s">
        <v>34</v>
      </c>
      <c r="D2822" s="448">
        <v>54.48</v>
      </c>
      <c r="E2822" s="210"/>
    </row>
    <row r="2823" spans="1:5" ht="54">
      <c r="A2823" s="446">
        <v>91973</v>
      </c>
      <c r="B2823" s="447" t="s">
        <v>2026</v>
      </c>
      <c r="C2823" s="446" t="s">
        <v>34</v>
      </c>
      <c r="D2823" s="448">
        <v>63.95</v>
      </c>
      <c r="E2823" s="210"/>
    </row>
    <row r="2824" spans="1:5" ht="40.5">
      <c r="A2824" s="446">
        <v>91974</v>
      </c>
      <c r="B2824" s="447" t="s">
        <v>2027</v>
      </c>
      <c r="C2824" s="446" t="s">
        <v>34</v>
      </c>
      <c r="D2824" s="448">
        <v>45.76</v>
      </c>
      <c r="E2824" s="210"/>
    </row>
    <row r="2825" spans="1:5" ht="40.5">
      <c r="A2825" s="446">
        <v>91975</v>
      </c>
      <c r="B2825" s="447" t="s">
        <v>447</v>
      </c>
      <c r="C2825" s="446" t="s">
        <v>34</v>
      </c>
      <c r="D2825" s="448">
        <v>55.23</v>
      </c>
      <c r="E2825" s="210"/>
    </row>
    <row r="2826" spans="1:5" ht="40.5">
      <c r="A2826" s="446">
        <v>91976</v>
      </c>
      <c r="B2826" s="447" t="s">
        <v>2028</v>
      </c>
      <c r="C2826" s="446" t="s">
        <v>34</v>
      </c>
      <c r="D2826" s="448">
        <v>67.650000000000006</v>
      </c>
      <c r="E2826" s="210"/>
    </row>
    <row r="2827" spans="1:5" ht="40.5">
      <c r="A2827" s="446">
        <v>91977</v>
      </c>
      <c r="B2827" s="447" t="s">
        <v>448</v>
      </c>
      <c r="C2827" s="446" t="s">
        <v>34</v>
      </c>
      <c r="D2827" s="448">
        <v>77.12</v>
      </c>
      <c r="E2827" s="210"/>
    </row>
    <row r="2828" spans="1:5" ht="40.5">
      <c r="A2828" s="446">
        <v>91978</v>
      </c>
      <c r="B2828" s="447" t="s">
        <v>3306</v>
      </c>
      <c r="C2828" s="446" t="s">
        <v>34</v>
      </c>
      <c r="D2828" s="448">
        <v>28.02</v>
      </c>
      <c r="E2828" s="210"/>
    </row>
    <row r="2829" spans="1:5" ht="40.5">
      <c r="A2829" s="446">
        <v>91979</v>
      </c>
      <c r="B2829" s="447" t="s">
        <v>3307</v>
      </c>
      <c r="C2829" s="446" t="s">
        <v>34</v>
      </c>
      <c r="D2829" s="448">
        <v>33.86</v>
      </c>
      <c r="E2829" s="210"/>
    </row>
    <row r="2830" spans="1:5" ht="40.5">
      <c r="A2830" s="446">
        <v>91980</v>
      </c>
      <c r="B2830" s="447" t="s">
        <v>3308</v>
      </c>
      <c r="C2830" s="446" t="s">
        <v>34</v>
      </c>
      <c r="D2830" s="448">
        <v>27.04</v>
      </c>
      <c r="E2830" s="210"/>
    </row>
    <row r="2831" spans="1:5" ht="40.5">
      <c r="A2831" s="446">
        <v>91981</v>
      </c>
      <c r="B2831" s="447" t="s">
        <v>3309</v>
      </c>
      <c r="C2831" s="446" t="s">
        <v>34</v>
      </c>
      <c r="D2831" s="448">
        <v>32.880000000000003</v>
      </c>
      <c r="E2831" s="210"/>
    </row>
    <row r="2832" spans="1:5" ht="40.5">
      <c r="A2832" s="446">
        <v>91982</v>
      </c>
      <c r="B2832" s="447" t="s">
        <v>3310</v>
      </c>
      <c r="C2832" s="446" t="s">
        <v>34</v>
      </c>
      <c r="D2832" s="448">
        <v>69.349999999999994</v>
      </c>
      <c r="E2832" s="210"/>
    </row>
    <row r="2833" spans="1:5" ht="40.5">
      <c r="A2833" s="446">
        <v>91983</v>
      </c>
      <c r="B2833" s="447" t="s">
        <v>3311</v>
      </c>
      <c r="C2833" s="446" t="s">
        <v>34</v>
      </c>
      <c r="D2833" s="448">
        <v>75.19</v>
      </c>
      <c r="E2833" s="210"/>
    </row>
    <row r="2834" spans="1:5" ht="54">
      <c r="A2834" s="446">
        <v>91984</v>
      </c>
      <c r="B2834" s="447" t="s">
        <v>3312</v>
      </c>
      <c r="C2834" s="446" t="s">
        <v>34</v>
      </c>
      <c r="D2834" s="448">
        <v>11.93</v>
      </c>
      <c r="E2834" s="210"/>
    </row>
    <row r="2835" spans="1:5" ht="54">
      <c r="A2835" s="446">
        <v>91985</v>
      </c>
      <c r="B2835" s="447" t="s">
        <v>3313</v>
      </c>
      <c r="C2835" s="446" t="s">
        <v>34</v>
      </c>
      <c r="D2835" s="448">
        <v>17.77</v>
      </c>
      <c r="E2835" s="210"/>
    </row>
    <row r="2836" spans="1:5" ht="40.5">
      <c r="A2836" s="446">
        <v>91986</v>
      </c>
      <c r="B2836" s="447" t="s">
        <v>3314</v>
      </c>
      <c r="C2836" s="446" t="s">
        <v>34</v>
      </c>
      <c r="D2836" s="448">
        <v>26.28</v>
      </c>
      <c r="E2836" s="210"/>
    </row>
    <row r="2837" spans="1:5" ht="40.5">
      <c r="A2837" s="446">
        <v>91987</v>
      </c>
      <c r="B2837" s="447" t="s">
        <v>3315</v>
      </c>
      <c r="C2837" s="446" t="s">
        <v>34</v>
      </c>
      <c r="D2837" s="448">
        <v>32.119999999999997</v>
      </c>
      <c r="E2837" s="210"/>
    </row>
    <row r="2838" spans="1:5" ht="54">
      <c r="A2838" s="446">
        <v>91988</v>
      </c>
      <c r="B2838" s="447" t="s">
        <v>3316</v>
      </c>
      <c r="C2838" s="446" t="s">
        <v>34</v>
      </c>
      <c r="D2838" s="448">
        <v>15.22</v>
      </c>
      <c r="E2838" s="210"/>
    </row>
    <row r="2839" spans="1:5" ht="54">
      <c r="A2839" s="446">
        <v>91989</v>
      </c>
      <c r="B2839" s="447" t="s">
        <v>3317</v>
      </c>
      <c r="C2839" s="446" t="s">
        <v>34</v>
      </c>
      <c r="D2839" s="448">
        <v>21.06</v>
      </c>
      <c r="E2839" s="210"/>
    </row>
    <row r="2840" spans="1:5" ht="40.5">
      <c r="A2840" s="446">
        <v>91990</v>
      </c>
      <c r="B2840" s="447" t="s">
        <v>49</v>
      </c>
      <c r="C2840" s="446" t="s">
        <v>34</v>
      </c>
      <c r="D2840" s="448">
        <v>22.36</v>
      </c>
      <c r="E2840" s="210"/>
    </row>
    <row r="2841" spans="1:5" ht="40.5">
      <c r="A2841" s="446">
        <v>91991</v>
      </c>
      <c r="B2841" s="447" t="s">
        <v>449</v>
      </c>
      <c r="C2841" s="446" t="s">
        <v>34</v>
      </c>
      <c r="D2841" s="448">
        <v>24.13</v>
      </c>
      <c r="E2841" s="210"/>
    </row>
    <row r="2842" spans="1:5" ht="40.5">
      <c r="A2842" s="446">
        <v>91992</v>
      </c>
      <c r="B2842" s="447" t="s">
        <v>2029</v>
      </c>
      <c r="C2842" s="446" t="s">
        <v>34</v>
      </c>
      <c r="D2842" s="448">
        <v>28.2</v>
      </c>
      <c r="E2842" s="210"/>
    </row>
    <row r="2843" spans="1:5" ht="40.5">
      <c r="A2843" s="446">
        <v>91993</v>
      </c>
      <c r="B2843" s="447" t="s">
        <v>2030</v>
      </c>
      <c r="C2843" s="446" t="s">
        <v>34</v>
      </c>
      <c r="D2843" s="448">
        <v>29.97</v>
      </c>
      <c r="E2843" s="210"/>
    </row>
    <row r="2844" spans="1:5" ht="40.5">
      <c r="A2844" s="446">
        <v>91994</v>
      </c>
      <c r="B2844" s="447" t="s">
        <v>450</v>
      </c>
      <c r="C2844" s="446" t="s">
        <v>34</v>
      </c>
      <c r="D2844" s="448">
        <v>16.29</v>
      </c>
      <c r="E2844" s="210"/>
    </row>
    <row r="2845" spans="1:5" ht="40.5">
      <c r="A2845" s="446">
        <v>91995</v>
      </c>
      <c r="B2845" s="447" t="s">
        <v>451</v>
      </c>
      <c r="C2845" s="446" t="s">
        <v>34</v>
      </c>
      <c r="D2845" s="448">
        <v>18.059999999999999</v>
      </c>
      <c r="E2845" s="210"/>
    </row>
    <row r="2846" spans="1:5" ht="40.5">
      <c r="A2846" s="446">
        <v>91996</v>
      </c>
      <c r="B2846" s="447" t="s">
        <v>2031</v>
      </c>
      <c r="C2846" s="446" t="s">
        <v>34</v>
      </c>
      <c r="D2846" s="448">
        <v>22.13</v>
      </c>
      <c r="E2846" s="210"/>
    </row>
    <row r="2847" spans="1:5" ht="40.5">
      <c r="A2847" s="446">
        <v>91997</v>
      </c>
      <c r="B2847" s="447" t="s">
        <v>2032</v>
      </c>
      <c r="C2847" s="446" t="s">
        <v>34</v>
      </c>
      <c r="D2847" s="448">
        <v>23.9</v>
      </c>
      <c r="E2847" s="210"/>
    </row>
    <row r="2848" spans="1:5" ht="40.5">
      <c r="A2848" s="446">
        <v>91998</v>
      </c>
      <c r="B2848" s="447" t="s">
        <v>452</v>
      </c>
      <c r="C2848" s="446" t="s">
        <v>34</v>
      </c>
      <c r="D2848" s="448">
        <v>13.94</v>
      </c>
      <c r="E2848" s="210"/>
    </row>
    <row r="2849" spans="1:5" ht="40.5">
      <c r="A2849" s="446">
        <v>91999</v>
      </c>
      <c r="B2849" s="447" t="s">
        <v>453</v>
      </c>
      <c r="C2849" s="446" t="s">
        <v>34</v>
      </c>
      <c r="D2849" s="448">
        <v>15.71</v>
      </c>
      <c r="E2849" s="210"/>
    </row>
    <row r="2850" spans="1:5" ht="40.5">
      <c r="A2850" s="446">
        <v>92000</v>
      </c>
      <c r="B2850" s="447" t="s">
        <v>2033</v>
      </c>
      <c r="C2850" s="446" t="s">
        <v>34</v>
      </c>
      <c r="D2850" s="448">
        <v>19.78</v>
      </c>
      <c r="E2850" s="210"/>
    </row>
    <row r="2851" spans="1:5" ht="40.5">
      <c r="A2851" s="446">
        <v>92001</v>
      </c>
      <c r="B2851" s="447" t="s">
        <v>2034</v>
      </c>
      <c r="C2851" s="446" t="s">
        <v>34</v>
      </c>
      <c r="D2851" s="448">
        <v>21.55</v>
      </c>
      <c r="E2851" s="210"/>
    </row>
    <row r="2852" spans="1:5" ht="40.5">
      <c r="A2852" s="446">
        <v>92002</v>
      </c>
      <c r="B2852" s="447" t="s">
        <v>2035</v>
      </c>
      <c r="C2852" s="446" t="s">
        <v>34</v>
      </c>
      <c r="D2852" s="448">
        <v>30.62</v>
      </c>
      <c r="E2852" s="210"/>
    </row>
    <row r="2853" spans="1:5" ht="40.5">
      <c r="A2853" s="446">
        <v>92003</v>
      </c>
      <c r="B2853" s="447" t="s">
        <v>2036</v>
      </c>
      <c r="C2853" s="446" t="s">
        <v>34</v>
      </c>
      <c r="D2853" s="448">
        <v>34.159999999999997</v>
      </c>
      <c r="E2853" s="210"/>
    </row>
    <row r="2854" spans="1:5" ht="40.5">
      <c r="A2854" s="446">
        <v>92004</v>
      </c>
      <c r="B2854" s="447" t="s">
        <v>2037</v>
      </c>
      <c r="C2854" s="446" t="s">
        <v>34</v>
      </c>
      <c r="D2854" s="448">
        <v>36.46</v>
      </c>
      <c r="E2854" s="210"/>
    </row>
    <row r="2855" spans="1:5" ht="40.5">
      <c r="A2855" s="446">
        <v>92005</v>
      </c>
      <c r="B2855" s="447" t="s">
        <v>2038</v>
      </c>
      <c r="C2855" s="446" t="s">
        <v>34</v>
      </c>
      <c r="D2855" s="448">
        <v>40</v>
      </c>
      <c r="E2855" s="210"/>
    </row>
    <row r="2856" spans="1:5" ht="40.5">
      <c r="A2856" s="446">
        <v>92006</v>
      </c>
      <c r="B2856" s="447" t="s">
        <v>2039</v>
      </c>
      <c r="C2856" s="446" t="s">
        <v>34</v>
      </c>
      <c r="D2856" s="448">
        <v>25.9</v>
      </c>
      <c r="E2856" s="210"/>
    </row>
    <row r="2857" spans="1:5" ht="40.5">
      <c r="A2857" s="446">
        <v>92007</v>
      </c>
      <c r="B2857" s="447" t="s">
        <v>2040</v>
      </c>
      <c r="C2857" s="446" t="s">
        <v>34</v>
      </c>
      <c r="D2857" s="448">
        <v>29.44</v>
      </c>
      <c r="E2857" s="210"/>
    </row>
    <row r="2858" spans="1:5" ht="40.5">
      <c r="A2858" s="446">
        <v>92008</v>
      </c>
      <c r="B2858" s="447" t="s">
        <v>2041</v>
      </c>
      <c r="C2858" s="446" t="s">
        <v>34</v>
      </c>
      <c r="D2858" s="448">
        <v>31.74</v>
      </c>
      <c r="E2858" s="210"/>
    </row>
    <row r="2859" spans="1:5" ht="40.5">
      <c r="A2859" s="446">
        <v>92009</v>
      </c>
      <c r="B2859" s="447" t="s">
        <v>2042</v>
      </c>
      <c r="C2859" s="446" t="s">
        <v>34</v>
      </c>
      <c r="D2859" s="448">
        <v>35.28</v>
      </c>
      <c r="E2859" s="210"/>
    </row>
    <row r="2860" spans="1:5" ht="40.5">
      <c r="A2860" s="446">
        <v>92010</v>
      </c>
      <c r="B2860" s="447" t="s">
        <v>2043</v>
      </c>
      <c r="C2860" s="446" t="s">
        <v>34</v>
      </c>
      <c r="D2860" s="448">
        <v>44.94</v>
      </c>
      <c r="E2860" s="210"/>
    </row>
    <row r="2861" spans="1:5" ht="40.5">
      <c r="A2861" s="446">
        <v>92011</v>
      </c>
      <c r="B2861" s="447" t="s">
        <v>2044</v>
      </c>
      <c r="C2861" s="446" t="s">
        <v>34</v>
      </c>
      <c r="D2861" s="448">
        <v>50.25</v>
      </c>
      <c r="E2861" s="210"/>
    </row>
    <row r="2862" spans="1:5" ht="40.5">
      <c r="A2862" s="446">
        <v>92012</v>
      </c>
      <c r="B2862" s="447" t="s">
        <v>2045</v>
      </c>
      <c r="C2862" s="446" t="s">
        <v>34</v>
      </c>
      <c r="D2862" s="448">
        <v>50.78</v>
      </c>
      <c r="E2862" s="210"/>
    </row>
    <row r="2863" spans="1:5" ht="40.5">
      <c r="A2863" s="446">
        <v>92013</v>
      </c>
      <c r="B2863" s="447" t="s">
        <v>2046</v>
      </c>
      <c r="C2863" s="446" t="s">
        <v>34</v>
      </c>
      <c r="D2863" s="448">
        <v>56.09</v>
      </c>
      <c r="E2863" s="210"/>
    </row>
    <row r="2864" spans="1:5" ht="40.5">
      <c r="A2864" s="446">
        <v>92014</v>
      </c>
      <c r="B2864" s="447" t="s">
        <v>2047</v>
      </c>
      <c r="C2864" s="446" t="s">
        <v>34</v>
      </c>
      <c r="D2864" s="448">
        <v>37.869999999999997</v>
      </c>
      <c r="E2864" s="210"/>
    </row>
    <row r="2865" spans="1:5" ht="40.5">
      <c r="A2865" s="446">
        <v>92015</v>
      </c>
      <c r="B2865" s="447" t="s">
        <v>2048</v>
      </c>
      <c r="C2865" s="446" t="s">
        <v>34</v>
      </c>
      <c r="D2865" s="448">
        <v>43.18</v>
      </c>
      <c r="E2865" s="210"/>
    </row>
    <row r="2866" spans="1:5" ht="40.5">
      <c r="A2866" s="446">
        <v>92016</v>
      </c>
      <c r="B2866" s="447" t="s">
        <v>2049</v>
      </c>
      <c r="C2866" s="446" t="s">
        <v>34</v>
      </c>
      <c r="D2866" s="448">
        <v>43.71</v>
      </c>
      <c r="E2866" s="210"/>
    </row>
    <row r="2867" spans="1:5" ht="40.5">
      <c r="A2867" s="446">
        <v>92017</v>
      </c>
      <c r="B2867" s="447" t="s">
        <v>2050</v>
      </c>
      <c r="C2867" s="446" t="s">
        <v>34</v>
      </c>
      <c r="D2867" s="448">
        <v>49.02</v>
      </c>
      <c r="E2867" s="210"/>
    </row>
    <row r="2868" spans="1:5" ht="40.5">
      <c r="A2868" s="446">
        <v>92018</v>
      </c>
      <c r="B2868" s="447" t="s">
        <v>2051</v>
      </c>
      <c r="C2868" s="446" t="s">
        <v>34</v>
      </c>
      <c r="D2868" s="448">
        <v>50.16</v>
      </c>
      <c r="E2868" s="210"/>
    </row>
    <row r="2869" spans="1:5" ht="40.5">
      <c r="A2869" s="446">
        <v>92019</v>
      </c>
      <c r="B2869" s="447" t="s">
        <v>2052</v>
      </c>
      <c r="C2869" s="446" t="s">
        <v>34</v>
      </c>
      <c r="D2869" s="448">
        <v>59.63</v>
      </c>
      <c r="E2869" s="210"/>
    </row>
    <row r="2870" spans="1:5" ht="40.5">
      <c r="A2870" s="446">
        <v>92020</v>
      </c>
      <c r="B2870" s="447" t="s">
        <v>2053</v>
      </c>
      <c r="C2870" s="446" t="s">
        <v>34</v>
      </c>
      <c r="D2870" s="448">
        <v>74.27</v>
      </c>
      <c r="E2870" s="210"/>
    </row>
    <row r="2871" spans="1:5" ht="40.5">
      <c r="A2871" s="446">
        <v>92021</v>
      </c>
      <c r="B2871" s="447" t="s">
        <v>2054</v>
      </c>
      <c r="C2871" s="446" t="s">
        <v>34</v>
      </c>
      <c r="D2871" s="448">
        <v>83.74</v>
      </c>
      <c r="E2871" s="210"/>
    </row>
    <row r="2872" spans="1:5" ht="54">
      <c r="A2872" s="446">
        <v>92022</v>
      </c>
      <c r="B2872" s="447" t="s">
        <v>454</v>
      </c>
      <c r="C2872" s="446" t="s">
        <v>34</v>
      </c>
      <c r="D2872" s="448">
        <v>27.16</v>
      </c>
      <c r="E2872" s="210"/>
    </row>
    <row r="2873" spans="1:5" ht="54">
      <c r="A2873" s="446">
        <v>92023</v>
      </c>
      <c r="B2873" s="447" t="s">
        <v>2055</v>
      </c>
      <c r="C2873" s="446" t="s">
        <v>34</v>
      </c>
      <c r="D2873" s="448">
        <v>33</v>
      </c>
      <c r="E2873" s="210"/>
    </row>
    <row r="2874" spans="1:5" ht="54">
      <c r="A2874" s="446">
        <v>92024</v>
      </c>
      <c r="B2874" s="447" t="s">
        <v>2056</v>
      </c>
      <c r="C2874" s="446" t="s">
        <v>34</v>
      </c>
      <c r="D2874" s="448">
        <v>41.53</v>
      </c>
      <c r="E2874" s="210"/>
    </row>
    <row r="2875" spans="1:5" ht="54">
      <c r="A2875" s="446">
        <v>92025</v>
      </c>
      <c r="B2875" s="447" t="s">
        <v>2057</v>
      </c>
      <c r="C2875" s="446" t="s">
        <v>34</v>
      </c>
      <c r="D2875" s="448">
        <v>47.37</v>
      </c>
      <c r="E2875" s="210"/>
    </row>
    <row r="2876" spans="1:5" ht="54">
      <c r="A2876" s="446">
        <v>92026</v>
      </c>
      <c r="B2876" s="447" t="s">
        <v>2058</v>
      </c>
      <c r="C2876" s="446" t="s">
        <v>34</v>
      </c>
      <c r="D2876" s="448">
        <v>38.07</v>
      </c>
      <c r="E2876" s="210"/>
    </row>
    <row r="2877" spans="1:5" ht="54">
      <c r="A2877" s="446">
        <v>92027</v>
      </c>
      <c r="B2877" s="447" t="s">
        <v>2059</v>
      </c>
      <c r="C2877" s="446" t="s">
        <v>34</v>
      </c>
      <c r="D2877" s="448">
        <v>43.91</v>
      </c>
      <c r="E2877" s="210"/>
    </row>
    <row r="2878" spans="1:5" ht="54">
      <c r="A2878" s="446">
        <v>92028</v>
      </c>
      <c r="B2878" s="447" t="s">
        <v>2060</v>
      </c>
      <c r="C2878" s="446" t="s">
        <v>34</v>
      </c>
      <c r="D2878" s="448">
        <v>31.53</v>
      </c>
      <c r="E2878" s="210"/>
    </row>
    <row r="2879" spans="1:5" ht="54">
      <c r="A2879" s="446">
        <v>92029</v>
      </c>
      <c r="B2879" s="447" t="s">
        <v>2061</v>
      </c>
      <c r="C2879" s="446" t="s">
        <v>34</v>
      </c>
      <c r="D2879" s="448">
        <v>37.369999999999997</v>
      </c>
      <c r="E2879" s="210"/>
    </row>
    <row r="2880" spans="1:5" ht="54">
      <c r="A2880" s="446">
        <v>92030</v>
      </c>
      <c r="B2880" s="447" t="s">
        <v>2062</v>
      </c>
      <c r="C2880" s="446" t="s">
        <v>34</v>
      </c>
      <c r="D2880" s="448">
        <v>45.85</v>
      </c>
      <c r="E2880" s="210"/>
    </row>
    <row r="2881" spans="1:5" ht="54">
      <c r="A2881" s="446">
        <v>92031</v>
      </c>
      <c r="B2881" s="447" t="s">
        <v>2063</v>
      </c>
      <c r="C2881" s="446" t="s">
        <v>34</v>
      </c>
      <c r="D2881" s="448">
        <v>51.69</v>
      </c>
      <c r="E2881" s="210"/>
    </row>
    <row r="2882" spans="1:5" ht="54">
      <c r="A2882" s="446">
        <v>92032</v>
      </c>
      <c r="B2882" s="447" t="s">
        <v>2064</v>
      </c>
      <c r="C2882" s="446" t="s">
        <v>34</v>
      </c>
      <c r="D2882" s="448">
        <v>46.76</v>
      </c>
      <c r="E2882" s="210"/>
    </row>
    <row r="2883" spans="1:5" ht="54">
      <c r="A2883" s="446">
        <v>92033</v>
      </c>
      <c r="B2883" s="447" t="s">
        <v>2065</v>
      </c>
      <c r="C2883" s="446" t="s">
        <v>34</v>
      </c>
      <c r="D2883" s="448">
        <v>52.6</v>
      </c>
      <c r="E2883" s="210"/>
    </row>
    <row r="2884" spans="1:5" ht="67.5">
      <c r="A2884" s="446">
        <v>92034</v>
      </c>
      <c r="B2884" s="447" t="s">
        <v>2066</v>
      </c>
      <c r="C2884" s="446" t="s">
        <v>34</v>
      </c>
      <c r="D2884" s="448">
        <v>42.44</v>
      </c>
      <c r="E2884" s="210"/>
    </row>
    <row r="2885" spans="1:5" ht="67.5">
      <c r="A2885" s="446">
        <v>92035</v>
      </c>
      <c r="B2885" s="447" t="s">
        <v>2067</v>
      </c>
      <c r="C2885" s="446" t="s">
        <v>34</v>
      </c>
      <c r="D2885" s="448">
        <v>48.28</v>
      </c>
      <c r="E2885" s="210"/>
    </row>
    <row r="2886" spans="1:5" ht="54">
      <c r="A2886" s="446">
        <v>97583</v>
      </c>
      <c r="B2886" s="447" t="s">
        <v>4830</v>
      </c>
      <c r="C2886" s="446" t="s">
        <v>34</v>
      </c>
      <c r="D2886" s="448">
        <v>75.28</v>
      </c>
      <c r="E2886" s="210"/>
    </row>
    <row r="2887" spans="1:5" ht="54">
      <c r="A2887" s="446">
        <v>97584</v>
      </c>
      <c r="B2887" s="447" t="s">
        <v>4831</v>
      </c>
      <c r="C2887" s="446" t="s">
        <v>34</v>
      </c>
      <c r="D2887" s="448">
        <v>106.89</v>
      </c>
      <c r="E2887" s="210"/>
    </row>
    <row r="2888" spans="1:5" ht="54">
      <c r="A2888" s="446">
        <v>97585</v>
      </c>
      <c r="B2888" s="447" t="s">
        <v>4832</v>
      </c>
      <c r="C2888" s="446" t="s">
        <v>34</v>
      </c>
      <c r="D2888" s="448">
        <v>102.13</v>
      </c>
      <c r="E2888" s="210"/>
    </row>
    <row r="2889" spans="1:5" ht="54">
      <c r="A2889" s="446">
        <v>97586</v>
      </c>
      <c r="B2889" s="447" t="s">
        <v>4833</v>
      </c>
      <c r="C2889" s="446" t="s">
        <v>34</v>
      </c>
      <c r="D2889" s="448">
        <v>140.31</v>
      </c>
      <c r="E2889" s="210"/>
    </row>
    <row r="2890" spans="1:5" ht="54">
      <c r="A2890" s="446">
        <v>97587</v>
      </c>
      <c r="B2890" s="447" t="s">
        <v>4834</v>
      </c>
      <c r="C2890" s="446" t="s">
        <v>34</v>
      </c>
      <c r="D2890" s="448">
        <v>260.38</v>
      </c>
      <c r="E2890" s="210"/>
    </row>
    <row r="2891" spans="1:5" ht="54">
      <c r="A2891" s="446">
        <v>97589</v>
      </c>
      <c r="B2891" s="447" t="s">
        <v>4835</v>
      </c>
      <c r="C2891" s="446" t="s">
        <v>34</v>
      </c>
      <c r="D2891" s="448">
        <v>28.38</v>
      </c>
      <c r="E2891" s="210"/>
    </row>
    <row r="2892" spans="1:5" ht="54">
      <c r="A2892" s="446">
        <v>97590</v>
      </c>
      <c r="B2892" s="447" t="s">
        <v>4836</v>
      </c>
      <c r="C2892" s="446" t="s">
        <v>34</v>
      </c>
      <c r="D2892" s="448">
        <v>81.13</v>
      </c>
      <c r="E2892" s="210"/>
    </row>
    <row r="2893" spans="1:5" ht="54">
      <c r="A2893" s="446">
        <v>97591</v>
      </c>
      <c r="B2893" s="447" t="s">
        <v>4837</v>
      </c>
      <c r="C2893" s="446" t="s">
        <v>34</v>
      </c>
      <c r="D2893" s="448">
        <v>103.45</v>
      </c>
      <c r="E2893" s="210"/>
    </row>
    <row r="2894" spans="1:5" ht="40.5">
      <c r="A2894" s="446">
        <v>97592</v>
      </c>
      <c r="B2894" s="447" t="s">
        <v>4838</v>
      </c>
      <c r="C2894" s="446" t="s">
        <v>34</v>
      </c>
      <c r="D2894" s="448">
        <v>28.97</v>
      </c>
      <c r="E2894" s="210"/>
    </row>
    <row r="2895" spans="1:5" ht="54">
      <c r="A2895" s="446">
        <v>97593</v>
      </c>
      <c r="B2895" s="447" t="s">
        <v>4839</v>
      </c>
      <c r="C2895" s="446" t="s">
        <v>34</v>
      </c>
      <c r="D2895" s="448">
        <v>122.51</v>
      </c>
      <c r="E2895" s="210"/>
    </row>
    <row r="2896" spans="1:5" ht="54">
      <c r="A2896" s="446">
        <v>97594</v>
      </c>
      <c r="B2896" s="447" t="s">
        <v>4840</v>
      </c>
      <c r="C2896" s="446" t="s">
        <v>34</v>
      </c>
      <c r="D2896" s="448">
        <v>105.17</v>
      </c>
      <c r="E2896" s="210"/>
    </row>
    <row r="2897" spans="1:5" ht="40.5">
      <c r="A2897" s="446">
        <v>97595</v>
      </c>
      <c r="B2897" s="447" t="s">
        <v>4841</v>
      </c>
      <c r="C2897" s="446" t="s">
        <v>34</v>
      </c>
      <c r="D2897" s="448">
        <v>88.29</v>
      </c>
      <c r="E2897" s="210"/>
    </row>
    <row r="2898" spans="1:5" ht="40.5">
      <c r="A2898" s="446">
        <v>97596</v>
      </c>
      <c r="B2898" s="447" t="s">
        <v>4842</v>
      </c>
      <c r="C2898" s="446" t="s">
        <v>34</v>
      </c>
      <c r="D2898" s="448">
        <v>59.79</v>
      </c>
      <c r="E2898" s="210"/>
    </row>
    <row r="2899" spans="1:5" ht="40.5">
      <c r="A2899" s="446">
        <v>97597</v>
      </c>
      <c r="B2899" s="447" t="s">
        <v>4843</v>
      </c>
      <c r="C2899" s="446" t="s">
        <v>34</v>
      </c>
      <c r="D2899" s="448">
        <v>61.04</v>
      </c>
      <c r="E2899" s="210"/>
    </row>
    <row r="2900" spans="1:5" ht="40.5">
      <c r="A2900" s="446">
        <v>97598</v>
      </c>
      <c r="B2900" s="447" t="s">
        <v>4844</v>
      </c>
      <c r="C2900" s="446" t="s">
        <v>34</v>
      </c>
      <c r="D2900" s="448">
        <v>57.4</v>
      </c>
      <c r="E2900" s="210"/>
    </row>
    <row r="2901" spans="1:5" ht="40.5">
      <c r="A2901" s="446">
        <v>97599</v>
      </c>
      <c r="B2901" s="447" t="s">
        <v>4845</v>
      </c>
      <c r="C2901" s="446" t="s">
        <v>34</v>
      </c>
      <c r="D2901" s="448">
        <v>21.88</v>
      </c>
      <c r="E2901" s="210"/>
    </row>
    <row r="2902" spans="1:5" ht="27">
      <c r="A2902" s="446">
        <v>97609</v>
      </c>
      <c r="B2902" s="447" t="s">
        <v>4846</v>
      </c>
      <c r="C2902" s="446" t="s">
        <v>34</v>
      </c>
      <c r="D2902" s="448">
        <v>12.94</v>
      </c>
      <c r="E2902" s="210"/>
    </row>
    <row r="2903" spans="1:5" ht="27">
      <c r="A2903" s="446">
        <v>97610</v>
      </c>
      <c r="B2903" s="447" t="s">
        <v>4847</v>
      </c>
      <c r="C2903" s="446" t="s">
        <v>34</v>
      </c>
      <c r="D2903" s="448">
        <v>13.86</v>
      </c>
      <c r="E2903" s="210"/>
    </row>
    <row r="2904" spans="1:5" ht="40.5">
      <c r="A2904" s="446">
        <v>97611</v>
      </c>
      <c r="B2904" s="447" t="s">
        <v>4848</v>
      </c>
      <c r="C2904" s="446" t="s">
        <v>34</v>
      </c>
      <c r="D2904" s="448">
        <v>16.09</v>
      </c>
      <c r="E2904" s="210"/>
    </row>
    <row r="2905" spans="1:5" ht="40.5">
      <c r="A2905" s="446">
        <v>97612</v>
      </c>
      <c r="B2905" s="447" t="s">
        <v>4849</v>
      </c>
      <c r="C2905" s="446" t="s">
        <v>34</v>
      </c>
      <c r="D2905" s="448">
        <v>17.39</v>
      </c>
      <c r="E2905" s="210"/>
    </row>
    <row r="2906" spans="1:5" ht="40.5">
      <c r="A2906" s="446">
        <v>97613</v>
      </c>
      <c r="B2906" s="447" t="s">
        <v>4850</v>
      </c>
      <c r="C2906" s="446" t="s">
        <v>34</v>
      </c>
      <c r="D2906" s="448">
        <v>21.71</v>
      </c>
      <c r="E2906" s="210"/>
    </row>
    <row r="2907" spans="1:5" ht="40.5">
      <c r="A2907" s="446">
        <v>97614</v>
      </c>
      <c r="B2907" s="447" t="s">
        <v>4851</v>
      </c>
      <c r="C2907" s="446" t="s">
        <v>34</v>
      </c>
      <c r="D2907" s="448">
        <v>37.299999999999997</v>
      </c>
      <c r="E2907" s="210"/>
    </row>
    <row r="2908" spans="1:5" ht="40.5">
      <c r="A2908" s="446">
        <v>97615</v>
      </c>
      <c r="B2908" s="447" t="s">
        <v>4852</v>
      </c>
      <c r="C2908" s="446" t="s">
        <v>34</v>
      </c>
      <c r="D2908" s="448">
        <v>44.6</v>
      </c>
      <c r="E2908" s="210"/>
    </row>
    <row r="2909" spans="1:5" ht="40.5">
      <c r="A2909" s="446">
        <v>97616</v>
      </c>
      <c r="B2909" s="447" t="s">
        <v>4853</v>
      </c>
      <c r="C2909" s="446" t="s">
        <v>34</v>
      </c>
      <c r="D2909" s="448">
        <v>51.75</v>
      </c>
      <c r="E2909" s="210"/>
    </row>
    <row r="2910" spans="1:5" ht="40.5">
      <c r="A2910" s="446">
        <v>97617</v>
      </c>
      <c r="B2910" s="447" t="s">
        <v>4854</v>
      </c>
      <c r="C2910" s="446" t="s">
        <v>34</v>
      </c>
      <c r="D2910" s="448">
        <v>51.54</v>
      </c>
      <c r="E2910" s="210"/>
    </row>
    <row r="2911" spans="1:5" ht="40.5">
      <c r="A2911" s="446">
        <v>97618</v>
      </c>
      <c r="B2911" s="447" t="s">
        <v>4855</v>
      </c>
      <c r="C2911" s="446" t="s">
        <v>34</v>
      </c>
      <c r="D2911" s="448">
        <v>46.42</v>
      </c>
      <c r="E2911" s="210"/>
    </row>
    <row r="2912" spans="1:5" ht="40.5">
      <c r="A2912" s="446">
        <v>100902</v>
      </c>
      <c r="B2912" s="447" t="s">
        <v>4856</v>
      </c>
      <c r="C2912" s="446" t="s">
        <v>34</v>
      </c>
      <c r="D2912" s="448">
        <v>21.09</v>
      </c>
      <c r="E2912" s="210"/>
    </row>
    <row r="2913" spans="1:5" ht="40.5">
      <c r="A2913" s="446">
        <v>100903</v>
      </c>
      <c r="B2913" s="447" t="s">
        <v>4857</v>
      </c>
      <c r="C2913" s="446" t="s">
        <v>34</v>
      </c>
      <c r="D2913" s="448">
        <v>25.15</v>
      </c>
      <c r="E2913" s="210"/>
    </row>
    <row r="2914" spans="1:5" ht="54">
      <c r="A2914" s="446">
        <v>100904</v>
      </c>
      <c r="B2914" s="447" t="s">
        <v>4858</v>
      </c>
      <c r="C2914" s="446" t="s">
        <v>34</v>
      </c>
      <c r="D2914" s="448">
        <v>75.28</v>
      </c>
      <c r="E2914" s="210"/>
    </row>
    <row r="2915" spans="1:5" ht="67.5">
      <c r="A2915" s="446">
        <v>100905</v>
      </c>
      <c r="B2915" s="447" t="s">
        <v>4859</v>
      </c>
      <c r="C2915" s="446" t="s">
        <v>34</v>
      </c>
      <c r="D2915" s="448">
        <v>204.27</v>
      </c>
      <c r="E2915" s="210"/>
    </row>
    <row r="2916" spans="1:5" ht="67.5">
      <c r="A2916" s="446">
        <v>100906</v>
      </c>
      <c r="B2916" s="447" t="s">
        <v>4860</v>
      </c>
      <c r="C2916" s="446" t="s">
        <v>34</v>
      </c>
      <c r="D2916" s="448">
        <v>280.63</v>
      </c>
      <c r="E2916" s="210"/>
    </row>
    <row r="2917" spans="1:5" ht="40.5">
      <c r="A2917" s="446">
        <v>100919</v>
      </c>
      <c r="B2917" s="447" t="s">
        <v>4861</v>
      </c>
      <c r="C2917" s="446" t="s">
        <v>34</v>
      </c>
      <c r="D2917" s="448">
        <v>42.39</v>
      </c>
      <c r="E2917" s="210"/>
    </row>
    <row r="2918" spans="1:5" ht="40.5">
      <c r="A2918" s="446">
        <v>100920</v>
      </c>
      <c r="B2918" s="447" t="s">
        <v>4862</v>
      </c>
      <c r="C2918" s="446" t="s">
        <v>34</v>
      </c>
      <c r="D2918" s="448">
        <v>71.14</v>
      </c>
      <c r="E2918" s="210"/>
    </row>
    <row r="2919" spans="1:5" ht="40.5">
      <c r="A2919" s="446">
        <v>100921</v>
      </c>
      <c r="B2919" s="447" t="s">
        <v>4863</v>
      </c>
      <c r="C2919" s="446" t="s">
        <v>34</v>
      </c>
      <c r="D2919" s="448">
        <v>53.74</v>
      </c>
      <c r="E2919" s="210"/>
    </row>
    <row r="2920" spans="1:5" ht="40.5">
      <c r="A2920" s="446">
        <v>100922</v>
      </c>
      <c r="B2920" s="447" t="s">
        <v>4864</v>
      </c>
      <c r="C2920" s="446" t="s">
        <v>34</v>
      </c>
      <c r="D2920" s="448">
        <v>38.79</v>
      </c>
      <c r="E2920" s="210"/>
    </row>
    <row r="2921" spans="1:5" ht="40.5">
      <c r="A2921" s="446">
        <v>100923</v>
      </c>
      <c r="B2921" s="447" t="s">
        <v>4865</v>
      </c>
      <c r="C2921" s="446" t="s">
        <v>34</v>
      </c>
      <c r="D2921" s="448">
        <v>45.61</v>
      </c>
      <c r="E2921" s="210"/>
    </row>
    <row r="2922" spans="1:5" ht="67.5">
      <c r="A2922" s="446">
        <v>101489</v>
      </c>
      <c r="B2922" s="447" t="s">
        <v>4866</v>
      </c>
      <c r="C2922" s="446" t="s">
        <v>34</v>
      </c>
      <c r="D2922" s="448">
        <v>1044.8499999999999</v>
      </c>
      <c r="E2922" s="210"/>
    </row>
    <row r="2923" spans="1:5" ht="67.5">
      <c r="A2923" s="446">
        <v>101490</v>
      </c>
      <c r="B2923" s="447" t="s">
        <v>4867</v>
      </c>
      <c r="C2923" s="446" t="s">
        <v>34</v>
      </c>
      <c r="D2923" s="448">
        <v>1138.02</v>
      </c>
      <c r="E2923" s="210"/>
    </row>
    <row r="2924" spans="1:5" ht="67.5">
      <c r="A2924" s="446">
        <v>101491</v>
      </c>
      <c r="B2924" s="447" t="s">
        <v>4868</v>
      </c>
      <c r="C2924" s="446" t="s">
        <v>34</v>
      </c>
      <c r="D2924" s="448">
        <v>1188.18</v>
      </c>
      <c r="E2924" s="210"/>
    </row>
    <row r="2925" spans="1:5" ht="67.5">
      <c r="A2925" s="446">
        <v>101492</v>
      </c>
      <c r="B2925" s="447" t="s">
        <v>4869</v>
      </c>
      <c r="C2925" s="446" t="s">
        <v>34</v>
      </c>
      <c r="D2925" s="448">
        <v>1325.01</v>
      </c>
      <c r="E2925" s="210"/>
    </row>
    <row r="2926" spans="1:5" ht="67.5">
      <c r="A2926" s="446">
        <v>101493</v>
      </c>
      <c r="B2926" s="447" t="s">
        <v>4870</v>
      </c>
      <c r="C2926" s="446" t="s">
        <v>34</v>
      </c>
      <c r="D2926" s="448">
        <v>1034.7</v>
      </c>
      <c r="E2926" s="210"/>
    </row>
    <row r="2927" spans="1:5" ht="67.5">
      <c r="A2927" s="446">
        <v>101494</v>
      </c>
      <c r="B2927" s="447" t="s">
        <v>4871</v>
      </c>
      <c r="C2927" s="446" t="s">
        <v>34</v>
      </c>
      <c r="D2927" s="448">
        <v>1127.8699999999999</v>
      </c>
      <c r="E2927" s="210"/>
    </row>
    <row r="2928" spans="1:5" ht="67.5">
      <c r="A2928" s="446">
        <v>101495</v>
      </c>
      <c r="B2928" s="447" t="s">
        <v>4872</v>
      </c>
      <c r="C2928" s="446" t="s">
        <v>34</v>
      </c>
      <c r="D2928" s="448">
        <v>1178.03</v>
      </c>
      <c r="E2928" s="210"/>
    </row>
    <row r="2929" spans="1:5" ht="67.5">
      <c r="A2929" s="446">
        <v>101496</v>
      </c>
      <c r="B2929" s="447" t="s">
        <v>4873</v>
      </c>
      <c r="C2929" s="446" t="s">
        <v>34</v>
      </c>
      <c r="D2929" s="448">
        <v>1314.86</v>
      </c>
      <c r="E2929" s="210"/>
    </row>
    <row r="2930" spans="1:5" ht="67.5">
      <c r="A2930" s="446">
        <v>101497</v>
      </c>
      <c r="B2930" s="447" t="s">
        <v>4874</v>
      </c>
      <c r="C2930" s="446" t="s">
        <v>34</v>
      </c>
      <c r="D2930" s="448">
        <v>1272.3599999999999</v>
      </c>
      <c r="E2930" s="210"/>
    </row>
    <row r="2931" spans="1:5" ht="67.5">
      <c r="A2931" s="446">
        <v>101498</v>
      </c>
      <c r="B2931" s="447" t="s">
        <v>4875</v>
      </c>
      <c r="C2931" s="446" t="s">
        <v>34</v>
      </c>
      <c r="D2931" s="448">
        <v>1413.38</v>
      </c>
      <c r="E2931" s="210"/>
    </row>
    <row r="2932" spans="1:5" ht="67.5">
      <c r="A2932" s="446">
        <v>101499</v>
      </c>
      <c r="B2932" s="447" t="s">
        <v>4876</v>
      </c>
      <c r="C2932" s="446" t="s">
        <v>34</v>
      </c>
      <c r="D2932" s="448">
        <v>1489.31</v>
      </c>
      <c r="E2932" s="210"/>
    </row>
    <row r="2933" spans="1:5" ht="67.5">
      <c r="A2933" s="446">
        <v>101500</v>
      </c>
      <c r="B2933" s="447" t="s">
        <v>4877</v>
      </c>
      <c r="C2933" s="446" t="s">
        <v>34</v>
      </c>
      <c r="D2933" s="448">
        <v>1685.58</v>
      </c>
      <c r="E2933" s="210"/>
    </row>
    <row r="2934" spans="1:5" ht="54">
      <c r="A2934" s="446">
        <v>101501</v>
      </c>
      <c r="B2934" s="447" t="s">
        <v>4878</v>
      </c>
      <c r="C2934" s="446" t="s">
        <v>34</v>
      </c>
      <c r="D2934" s="448">
        <v>1267.82</v>
      </c>
      <c r="E2934" s="210"/>
    </row>
    <row r="2935" spans="1:5" ht="54">
      <c r="A2935" s="446">
        <v>101502</v>
      </c>
      <c r="B2935" s="447" t="s">
        <v>4879</v>
      </c>
      <c r="C2935" s="446" t="s">
        <v>34</v>
      </c>
      <c r="D2935" s="448">
        <v>1408.84</v>
      </c>
      <c r="E2935" s="210"/>
    </row>
    <row r="2936" spans="1:5" ht="54">
      <c r="A2936" s="446">
        <v>101503</v>
      </c>
      <c r="B2936" s="447" t="s">
        <v>4880</v>
      </c>
      <c r="C2936" s="446" t="s">
        <v>34</v>
      </c>
      <c r="D2936" s="448">
        <v>1484.77</v>
      </c>
      <c r="E2936" s="210"/>
    </row>
    <row r="2937" spans="1:5" ht="54">
      <c r="A2937" s="446">
        <v>101504</v>
      </c>
      <c r="B2937" s="447" t="s">
        <v>4881</v>
      </c>
      <c r="C2937" s="446" t="s">
        <v>34</v>
      </c>
      <c r="D2937" s="448">
        <v>1681.04</v>
      </c>
      <c r="E2937" s="210"/>
    </row>
    <row r="2938" spans="1:5" ht="67.5">
      <c r="A2938" s="446">
        <v>101505</v>
      </c>
      <c r="B2938" s="447" t="s">
        <v>4882</v>
      </c>
      <c r="C2938" s="446" t="s">
        <v>34</v>
      </c>
      <c r="D2938" s="448">
        <v>1382.08</v>
      </c>
      <c r="E2938" s="210"/>
    </row>
    <row r="2939" spans="1:5" ht="67.5">
      <c r="A2939" s="446">
        <v>101506</v>
      </c>
      <c r="B2939" s="447" t="s">
        <v>4883</v>
      </c>
      <c r="C2939" s="446" t="s">
        <v>34</v>
      </c>
      <c r="D2939" s="448">
        <v>1570.11</v>
      </c>
      <c r="E2939" s="210"/>
    </row>
    <row r="2940" spans="1:5" ht="67.5">
      <c r="A2940" s="446">
        <v>101507</v>
      </c>
      <c r="B2940" s="447" t="s">
        <v>4884</v>
      </c>
      <c r="C2940" s="446" t="s">
        <v>34</v>
      </c>
      <c r="D2940" s="448">
        <v>1671.34</v>
      </c>
      <c r="E2940" s="210"/>
    </row>
    <row r="2941" spans="1:5" ht="67.5">
      <c r="A2941" s="446">
        <v>101508</v>
      </c>
      <c r="B2941" s="447" t="s">
        <v>4885</v>
      </c>
      <c r="C2941" s="446" t="s">
        <v>34</v>
      </c>
      <c r="D2941" s="448">
        <v>1926</v>
      </c>
      <c r="E2941" s="210"/>
    </row>
    <row r="2942" spans="1:5" ht="67.5">
      <c r="A2942" s="446">
        <v>101509</v>
      </c>
      <c r="B2942" s="447" t="s">
        <v>4886</v>
      </c>
      <c r="C2942" s="446" t="s">
        <v>34</v>
      </c>
      <c r="D2942" s="448">
        <v>1509.9</v>
      </c>
      <c r="E2942" s="210"/>
    </row>
    <row r="2943" spans="1:5" ht="67.5">
      <c r="A2943" s="446">
        <v>101510</v>
      </c>
      <c r="B2943" s="447" t="s">
        <v>4887</v>
      </c>
      <c r="C2943" s="446" t="s">
        <v>34</v>
      </c>
      <c r="D2943" s="448">
        <v>1697.93</v>
      </c>
      <c r="E2943" s="210"/>
    </row>
    <row r="2944" spans="1:5" ht="67.5">
      <c r="A2944" s="446">
        <v>101511</v>
      </c>
      <c r="B2944" s="447" t="s">
        <v>4888</v>
      </c>
      <c r="C2944" s="446" t="s">
        <v>34</v>
      </c>
      <c r="D2944" s="448">
        <v>1799.16</v>
      </c>
      <c r="E2944" s="210"/>
    </row>
    <row r="2945" spans="1:5" ht="67.5">
      <c r="A2945" s="446">
        <v>101512</v>
      </c>
      <c r="B2945" s="447" t="s">
        <v>4889</v>
      </c>
      <c r="C2945" s="446" t="s">
        <v>34</v>
      </c>
      <c r="D2945" s="448">
        <v>2053.8200000000002</v>
      </c>
      <c r="E2945" s="210"/>
    </row>
    <row r="2946" spans="1:5" ht="67.5">
      <c r="A2946" s="446">
        <v>101513</v>
      </c>
      <c r="B2946" s="447" t="s">
        <v>4890</v>
      </c>
      <c r="C2946" s="446" t="s">
        <v>34</v>
      </c>
      <c r="D2946" s="448">
        <v>615.22</v>
      </c>
      <c r="E2946" s="210"/>
    </row>
    <row r="2947" spans="1:5" ht="67.5">
      <c r="A2947" s="446">
        <v>101514</v>
      </c>
      <c r="B2947" s="447" t="s">
        <v>4891</v>
      </c>
      <c r="C2947" s="446" t="s">
        <v>34</v>
      </c>
      <c r="D2947" s="448">
        <v>727.02</v>
      </c>
      <c r="E2947" s="210"/>
    </row>
    <row r="2948" spans="1:5" ht="67.5">
      <c r="A2948" s="446">
        <v>101515</v>
      </c>
      <c r="B2948" s="447" t="s">
        <v>4892</v>
      </c>
      <c r="C2948" s="446" t="s">
        <v>34</v>
      </c>
      <c r="D2948" s="448">
        <v>787.21</v>
      </c>
      <c r="E2948" s="210"/>
    </row>
    <row r="2949" spans="1:5" ht="67.5">
      <c r="A2949" s="446">
        <v>101516</v>
      </c>
      <c r="B2949" s="447" t="s">
        <v>4893</v>
      </c>
      <c r="C2949" s="446" t="s">
        <v>34</v>
      </c>
      <c r="D2949" s="448">
        <v>926.08</v>
      </c>
      <c r="E2949" s="210"/>
    </row>
    <row r="2950" spans="1:5" ht="67.5">
      <c r="A2950" s="446">
        <v>101517</v>
      </c>
      <c r="B2950" s="447" t="s">
        <v>4894</v>
      </c>
      <c r="C2950" s="446" t="s">
        <v>34</v>
      </c>
      <c r="D2950" s="448">
        <v>605.08000000000004</v>
      </c>
      <c r="E2950" s="210"/>
    </row>
    <row r="2951" spans="1:5" ht="67.5">
      <c r="A2951" s="446">
        <v>101518</v>
      </c>
      <c r="B2951" s="447" t="s">
        <v>4895</v>
      </c>
      <c r="C2951" s="446" t="s">
        <v>34</v>
      </c>
      <c r="D2951" s="448">
        <v>716.88</v>
      </c>
      <c r="E2951" s="210"/>
    </row>
    <row r="2952" spans="1:5" ht="67.5">
      <c r="A2952" s="446">
        <v>101519</v>
      </c>
      <c r="B2952" s="447" t="s">
        <v>4896</v>
      </c>
      <c r="C2952" s="446" t="s">
        <v>34</v>
      </c>
      <c r="D2952" s="448">
        <v>777.07</v>
      </c>
      <c r="E2952" s="210"/>
    </row>
    <row r="2953" spans="1:5" ht="67.5">
      <c r="A2953" s="446">
        <v>101520</v>
      </c>
      <c r="B2953" s="447" t="s">
        <v>4897</v>
      </c>
      <c r="C2953" s="446" t="s">
        <v>34</v>
      </c>
      <c r="D2953" s="448">
        <v>915.94</v>
      </c>
      <c r="E2953" s="210"/>
    </row>
    <row r="2954" spans="1:5" ht="67.5">
      <c r="A2954" s="446">
        <v>101521</v>
      </c>
      <c r="B2954" s="447" t="s">
        <v>4898</v>
      </c>
      <c r="C2954" s="446" t="s">
        <v>34</v>
      </c>
      <c r="D2954" s="448">
        <v>857.98</v>
      </c>
      <c r="E2954" s="210"/>
    </row>
    <row r="2955" spans="1:5" ht="67.5">
      <c r="A2955" s="446">
        <v>101522</v>
      </c>
      <c r="B2955" s="447" t="s">
        <v>4899</v>
      </c>
      <c r="C2955" s="446" t="s">
        <v>34</v>
      </c>
      <c r="D2955" s="448">
        <v>1025.68</v>
      </c>
      <c r="E2955" s="210"/>
    </row>
    <row r="2956" spans="1:5" ht="67.5">
      <c r="A2956" s="446">
        <v>101523</v>
      </c>
      <c r="B2956" s="447" t="s">
        <v>4900</v>
      </c>
      <c r="C2956" s="446" t="s">
        <v>34</v>
      </c>
      <c r="D2956" s="448">
        <v>1115.97</v>
      </c>
      <c r="E2956" s="210"/>
    </row>
    <row r="2957" spans="1:5" ht="67.5">
      <c r="A2957" s="446">
        <v>101524</v>
      </c>
      <c r="B2957" s="447" t="s">
        <v>4901</v>
      </c>
      <c r="C2957" s="446" t="s">
        <v>34</v>
      </c>
      <c r="D2957" s="448">
        <v>1324.27</v>
      </c>
      <c r="E2957" s="210"/>
    </row>
    <row r="2958" spans="1:5" ht="67.5">
      <c r="A2958" s="446">
        <v>101525</v>
      </c>
      <c r="B2958" s="447" t="s">
        <v>4902</v>
      </c>
      <c r="C2958" s="446" t="s">
        <v>34</v>
      </c>
      <c r="D2958" s="448">
        <v>853.45</v>
      </c>
      <c r="E2958" s="210"/>
    </row>
    <row r="2959" spans="1:5" ht="67.5">
      <c r="A2959" s="446">
        <v>101526</v>
      </c>
      <c r="B2959" s="447" t="s">
        <v>4903</v>
      </c>
      <c r="C2959" s="446" t="s">
        <v>34</v>
      </c>
      <c r="D2959" s="448">
        <v>1021.15</v>
      </c>
      <c r="E2959" s="210"/>
    </row>
    <row r="2960" spans="1:5" ht="67.5">
      <c r="A2960" s="446">
        <v>101527</v>
      </c>
      <c r="B2960" s="447" t="s">
        <v>4904</v>
      </c>
      <c r="C2960" s="446" t="s">
        <v>34</v>
      </c>
      <c r="D2960" s="448">
        <v>1111.44</v>
      </c>
      <c r="E2960" s="210"/>
    </row>
    <row r="2961" spans="1:5" ht="67.5">
      <c r="A2961" s="446">
        <v>101528</v>
      </c>
      <c r="B2961" s="447" t="s">
        <v>4905</v>
      </c>
      <c r="C2961" s="446" t="s">
        <v>34</v>
      </c>
      <c r="D2961" s="448">
        <v>1319.74</v>
      </c>
      <c r="E2961" s="210"/>
    </row>
    <row r="2962" spans="1:5" ht="67.5">
      <c r="A2962" s="446">
        <v>101529</v>
      </c>
      <c r="B2962" s="447" t="s">
        <v>4906</v>
      </c>
      <c r="C2962" s="446" t="s">
        <v>34</v>
      </c>
      <c r="D2962" s="448">
        <v>984.55</v>
      </c>
      <c r="E2962" s="210"/>
    </row>
    <row r="2963" spans="1:5" ht="67.5">
      <c r="A2963" s="446">
        <v>101530</v>
      </c>
      <c r="B2963" s="447" t="s">
        <v>4907</v>
      </c>
      <c r="C2963" s="446" t="s">
        <v>34</v>
      </c>
      <c r="D2963" s="448">
        <v>1208.1500000000001</v>
      </c>
      <c r="E2963" s="210"/>
    </row>
    <row r="2964" spans="1:5" ht="67.5">
      <c r="A2964" s="446">
        <v>101531</v>
      </c>
      <c r="B2964" s="447" t="s">
        <v>4908</v>
      </c>
      <c r="C2964" s="446" t="s">
        <v>34</v>
      </c>
      <c r="D2964" s="448">
        <v>1328.54</v>
      </c>
      <c r="E2964" s="210"/>
    </row>
    <row r="2965" spans="1:5" ht="67.5">
      <c r="A2965" s="446">
        <v>101532</v>
      </c>
      <c r="B2965" s="447" t="s">
        <v>4909</v>
      </c>
      <c r="C2965" s="446" t="s">
        <v>34</v>
      </c>
      <c r="D2965" s="448">
        <v>1606.27</v>
      </c>
      <c r="E2965" s="210"/>
    </row>
    <row r="2966" spans="1:5" ht="67.5">
      <c r="A2966" s="446">
        <v>101533</v>
      </c>
      <c r="B2966" s="447" t="s">
        <v>4910</v>
      </c>
      <c r="C2966" s="446" t="s">
        <v>34</v>
      </c>
      <c r="D2966" s="448">
        <v>1112.3800000000001</v>
      </c>
      <c r="E2966" s="210"/>
    </row>
    <row r="2967" spans="1:5" ht="67.5">
      <c r="A2967" s="446">
        <v>101534</v>
      </c>
      <c r="B2967" s="447" t="s">
        <v>4911</v>
      </c>
      <c r="C2967" s="446" t="s">
        <v>34</v>
      </c>
      <c r="D2967" s="448">
        <v>1335.98</v>
      </c>
      <c r="E2967" s="210"/>
    </row>
    <row r="2968" spans="1:5" ht="67.5">
      <c r="A2968" s="446">
        <v>101535</v>
      </c>
      <c r="B2968" s="447" t="s">
        <v>4912</v>
      </c>
      <c r="C2968" s="446" t="s">
        <v>34</v>
      </c>
      <c r="D2968" s="448">
        <v>1456.37</v>
      </c>
      <c r="E2968" s="210"/>
    </row>
    <row r="2969" spans="1:5" ht="67.5">
      <c r="A2969" s="446">
        <v>101536</v>
      </c>
      <c r="B2969" s="447" t="s">
        <v>4913</v>
      </c>
      <c r="C2969" s="446" t="s">
        <v>34</v>
      </c>
      <c r="D2969" s="448">
        <v>1734.1</v>
      </c>
      <c r="E2969" s="210"/>
    </row>
    <row r="2970" spans="1:5" ht="40.5">
      <c r="A2970" s="446">
        <v>101537</v>
      </c>
      <c r="B2970" s="447" t="s">
        <v>4914</v>
      </c>
      <c r="C2970" s="446" t="s">
        <v>34</v>
      </c>
      <c r="D2970" s="448">
        <v>103.71</v>
      </c>
      <c r="E2970" s="210"/>
    </row>
    <row r="2971" spans="1:5" ht="40.5">
      <c r="A2971" s="446">
        <v>101538</v>
      </c>
      <c r="B2971" s="447" t="s">
        <v>4915</v>
      </c>
      <c r="C2971" s="446" t="s">
        <v>34</v>
      </c>
      <c r="D2971" s="448">
        <v>40.340000000000003</v>
      </c>
      <c r="E2971" s="210"/>
    </row>
    <row r="2972" spans="1:5" ht="40.5">
      <c r="A2972" s="446">
        <v>101539</v>
      </c>
      <c r="B2972" s="447" t="s">
        <v>4916</v>
      </c>
      <c r="C2972" s="446" t="s">
        <v>34</v>
      </c>
      <c r="D2972" s="448">
        <v>65.22</v>
      </c>
      <c r="E2972" s="210"/>
    </row>
    <row r="2973" spans="1:5" ht="40.5">
      <c r="A2973" s="446">
        <v>101540</v>
      </c>
      <c r="B2973" s="447" t="s">
        <v>4917</v>
      </c>
      <c r="C2973" s="446" t="s">
        <v>34</v>
      </c>
      <c r="D2973" s="448">
        <v>111.59</v>
      </c>
      <c r="E2973" s="210"/>
    </row>
    <row r="2974" spans="1:5" ht="40.5">
      <c r="A2974" s="446">
        <v>101541</v>
      </c>
      <c r="B2974" s="447" t="s">
        <v>4918</v>
      </c>
      <c r="C2974" s="446" t="s">
        <v>34</v>
      </c>
      <c r="D2974" s="448">
        <v>145.16</v>
      </c>
      <c r="E2974" s="210"/>
    </row>
    <row r="2975" spans="1:5" ht="40.5">
      <c r="A2975" s="446">
        <v>101542</v>
      </c>
      <c r="B2975" s="447" t="s">
        <v>4919</v>
      </c>
      <c r="C2975" s="446" t="s">
        <v>34</v>
      </c>
      <c r="D2975" s="448">
        <v>30.06</v>
      </c>
      <c r="E2975" s="210"/>
    </row>
    <row r="2976" spans="1:5" ht="40.5">
      <c r="A2976" s="446">
        <v>101543</v>
      </c>
      <c r="B2976" s="447" t="s">
        <v>4920</v>
      </c>
      <c r="C2976" s="446" t="s">
        <v>34</v>
      </c>
      <c r="D2976" s="448">
        <v>52.63</v>
      </c>
      <c r="E2976" s="210"/>
    </row>
    <row r="2977" spans="1:5" ht="40.5">
      <c r="A2977" s="446">
        <v>101544</v>
      </c>
      <c r="B2977" s="447" t="s">
        <v>4921</v>
      </c>
      <c r="C2977" s="446" t="s">
        <v>34</v>
      </c>
      <c r="D2977" s="448">
        <v>84.92</v>
      </c>
      <c r="E2977" s="210"/>
    </row>
    <row r="2978" spans="1:5" ht="40.5">
      <c r="A2978" s="446">
        <v>101545</v>
      </c>
      <c r="B2978" s="447" t="s">
        <v>4922</v>
      </c>
      <c r="C2978" s="446" t="s">
        <v>34</v>
      </c>
      <c r="D2978" s="448">
        <v>124.49</v>
      </c>
      <c r="E2978" s="210"/>
    </row>
    <row r="2979" spans="1:5" ht="27">
      <c r="A2979" s="446">
        <v>101546</v>
      </c>
      <c r="B2979" s="447" t="s">
        <v>4923</v>
      </c>
      <c r="C2979" s="446" t="s">
        <v>34</v>
      </c>
      <c r="D2979" s="448">
        <v>27.22</v>
      </c>
      <c r="E2979" s="210"/>
    </row>
    <row r="2980" spans="1:5" ht="27">
      <c r="A2980" s="446">
        <v>101547</v>
      </c>
      <c r="B2980" s="447" t="s">
        <v>4924</v>
      </c>
      <c r="C2980" s="446" t="s">
        <v>34</v>
      </c>
      <c r="D2980" s="448">
        <v>86.16</v>
      </c>
      <c r="E2980" s="210"/>
    </row>
    <row r="2981" spans="1:5" ht="40.5">
      <c r="A2981" s="446">
        <v>101548</v>
      </c>
      <c r="B2981" s="447" t="s">
        <v>4925</v>
      </c>
      <c r="C2981" s="446" t="s">
        <v>34</v>
      </c>
      <c r="D2981" s="448">
        <v>6.43</v>
      </c>
      <c r="E2981" s="210"/>
    </row>
    <row r="2982" spans="1:5" ht="54">
      <c r="A2982" s="446">
        <v>101549</v>
      </c>
      <c r="B2982" s="447" t="s">
        <v>4926</v>
      </c>
      <c r="C2982" s="446" t="s">
        <v>34</v>
      </c>
      <c r="D2982" s="448">
        <v>12.38</v>
      </c>
      <c r="E2982" s="210"/>
    </row>
    <row r="2983" spans="1:5" ht="40.5">
      <c r="A2983" s="446">
        <v>101553</v>
      </c>
      <c r="B2983" s="447" t="s">
        <v>4927</v>
      </c>
      <c r="C2983" s="446" t="s">
        <v>34</v>
      </c>
      <c r="D2983" s="448">
        <v>14.17</v>
      </c>
      <c r="E2983" s="210"/>
    </row>
    <row r="2984" spans="1:5" ht="40.5">
      <c r="A2984" s="446">
        <v>101554</v>
      </c>
      <c r="B2984" s="447" t="s">
        <v>4928</v>
      </c>
      <c r="C2984" s="446" t="s">
        <v>34</v>
      </c>
      <c r="D2984" s="448">
        <v>9.7899999999999991</v>
      </c>
      <c r="E2984" s="210"/>
    </row>
    <row r="2985" spans="1:5" ht="40.5">
      <c r="A2985" s="446">
        <v>101555</v>
      </c>
      <c r="B2985" s="447" t="s">
        <v>4929</v>
      </c>
      <c r="C2985" s="446" t="s">
        <v>34</v>
      </c>
      <c r="D2985" s="448">
        <v>5.79</v>
      </c>
      <c r="E2985" s="210"/>
    </row>
    <row r="2986" spans="1:5" ht="40.5">
      <c r="A2986" s="446">
        <v>101556</v>
      </c>
      <c r="B2986" s="447" t="s">
        <v>4930</v>
      </c>
      <c r="C2986" s="446" t="s">
        <v>34</v>
      </c>
      <c r="D2986" s="448">
        <v>5.15</v>
      </c>
      <c r="E2986" s="210"/>
    </row>
    <row r="2987" spans="1:5" ht="67.5">
      <c r="A2987" s="446">
        <v>101560</v>
      </c>
      <c r="B2987" s="447" t="s">
        <v>4931</v>
      </c>
      <c r="C2987" s="446" t="s">
        <v>14</v>
      </c>
      <c r="D2987" s="448">
        <v>11.89</v>
      </c>
      <c r="E2987" s="210"/>
    </row>
    <row r="2988" spans="1:5" ht="67.5">
      <c r="A2988" s="446">
        <v>101561</v>
      </c>
      <c r="B2988" s="447" t="s">
        <v>4932</v>
      </c>
      <c r="C2988" s="446" t="s">
        <v>14</v>
      </c>
      <c r="D2988" s="448">
        <v>18.22</v>
      </c>
      <c r="E2988" s="210"/>
    </row>
    <row r="2989" spans="1:5" ht="67.5">
      <c r="A2989" s="446">
        <v>101562</v>
      </c>
      <c r="B2989" s="447" t="s">
        <v>4933</v>
      </c>
      <c r="C2989" s="446" t="s">
        <v>14</v>
      </c>
      <c r="D2989" s="448">
        <v>27.71</v>
      </c>
      <c r="E2989" s="210"/>
    </row>
    <row r="2990" spans="1:5" ht="67.5">
      <c r="A2990" s="446">
        <v>101563</v>
      </c>
      <c r="B2990" s="447" t="s">
        <v>4934</v>
      </c>
      <c r="C2990" s="446" t="s">
        <v>14</v>
      </c>
      <c r="D2990" s="448">
        <v>38.19</v>
      </c>
      <c r="E2990" s="210"/>
    </row>
    <row r="2991" spans="1:5" ht="67.5">
      <c r="A2991" s="446">
        <v>101564</v>
      </c>
      <c r="B2991" s="447" t="s">
        <v>4935</v>
      </c>
      <c r="C2991" s="446" t="s">
        <v>14</v>
      </c>
      <c r="D2991" s="448">
        <v>54.4</v>
      </c>
      <c r="E2991" s="210"/>
    </row>
    <row r="2992" spans="1:5" ht="67.5">
      <c r="A2992" s="446">
        <v>101565</v>
      </c>
      <c r="B2992" s="447" t="s">
        <v>4936</v>
      </c>
      <c r="C2992" s="446" t="s">
        <v>14</v>
      </c>
      <c r="D2992" s="448">
        <v>75.349999999999994</v>
      </c>
      <c r="E2992" s="210"/>
    </row>
    <row r="2993" spans="1:5" ht="67.5">
      <c r="A2993" s="446">
        <v>101567</v>
      </c>
      <c r="B2993" s="447" t="s">
        <v>4937</v>
      </c>
      <c r="C2993" s="446" t="s">
        <v>14</v>
      </c>
      <c r="D2993" s="448">
        <v>100.07</v>
      </c>
      <c r="E2993" s="210"/>
    </row>
    <row r="2994" spans="1:5" ht="67.5">
      <c r="A2994" s="446">
        <v>101568</v>
      </c>
      <c r="B2994" s="447" t="s">
        <v>4938</v>
      </c>
      <c r="C2994" s="446" t="s">
        <v>14</v>
      </c>
      <c r="D2994" s="448">
        <v>130.25</v>
      </c>
      <c r="E2994" s="210"/>
    </row>
    <row r="2995" spans="1:5" ht="40.5">
      <c r="A2995" s="446">
        <v>101626</v>
      </c>
      <c r="B2995" s="447" t="s">
        <v>4939</v>
      </c>
      <c r="C2995" s="446" t="s">
        <v>34</v>
      </c>
      <c r="D2995" s="448">
        <v>153.31</v>
      </c>
      <c r="E2995" s="210"/>
    </row>
    <row r="2996" spans="1:5" ht="40.5">
      <c r="A2996" s="446">
        <v>101627</v>
      </c>
      <c r="B2996" s="447" t="s">
        <v>4940</v>
      </c>
      <c r="C2996" s="446" t="s">
        <v>34</v>
      </c>
      <c r="D2996" s="448">
        <v>239.75</v>
      </c>
      <c r="E2996" s="210"/>
    </row>
    <row r="2997" spans="1:5" ht="40.5">
      <c r="A2997" s="446">
        <v>101628</v>
      </c>
      <c r="B2997" s="447" t="s">
        <v>4941</v>
      </c>
      <c r="C2997" s="446" t="s">
        <v>34</v>
      </c>
      <c r="D2997" s="448">
        <v>113.33</v>
      </c>
      <c r="E2997" s="210"/>
    </row>
    <row r="2998" spans="1:5" ht="40.5">
      <c r="A2998" s="446">
        <v>101629</v>
      </c>
      <c r="B2998" s="447" t="s">
        <v>4942</v>
      </c>
      <c r="C2998" s="446" t="s">
        <v>34</v>
      </c>
      <c r="D2998" s="448">
        <v>133.91999999999999</v>
      </c>
      <c r="E2998" s="210"/>
    </row>
    <row r="2999" spans="1:5" ht="40.5">
      <c r="A2999" s="446">
        <v>101630</v>
      </c>
      <c r="B2999" s="447" t="s">
        <v>4943</v>
      </c>
      <c r="C2999" s="446" t="s">
        <v>34</v>
      </c>
      <c r="D2999" s="448">
        <v>54.23</v>
      </c>
      <c r="E2999" s="210"/>
    </row>
    <row r="3000" spans="1:5" ht="40.5">
      <c r="A3000" s="446">
        <v>101631</v>
      </c>
      <c r="B3000" s="447" t="s">
        <v>4944</v>
      </c>
      <c r="C3000" s="446" t="s">
        <v>34</v>
      </c>
      <c r="D3000" s="448">
        <v>23.84</v>
      </c>
      <c r="E3000" s="210"/>
    </row>
    <row r="3001" spans="1:5" ht="40.5">
      <c r="A3001" s="446">
        <v>101632</v>
      </c>
      <c r="B3001" s="447" t="s">
        <v>4945</v>
      </c>
      <c r="C3001" s="446" t="s">
        <v>34</v>
      </c>
      <c r="D3001" s="448">
        <v>34.409999999999997</v>
      </c>
      <c r="E3001" s="210"/>
    </row>
    <row r="3002" spans="1:5" ht="40.5">
      <c r="A3002" s="446">
        <v>101633</v>
      </c>
      <c r="B3002" s="447" t="s">
        <v>4946</v>
      </c>
      <c r="C3002" s="446" t="s">
        <v>34</v>
      </c>
      <c r="D3002" s="448">
        <v>80.22</v>
      </c>
      <c r="E3002" s="210"/>
    </row>
    <row r="3003" spans="1:5" ht="54">
      <c r="A3003" s="446">
        <v>101636</v>
      </c>
      <c r="B3003" s="447" t="s">
        <v>4947</v>
      </c>
      <c r="C3003" s="446" t="s">
        <v>34</v>
      </c>
      <c r="D3003" s="448">
        <v>122.33</v>
      </c>
      <c r="E3003" s="210"/>
    </row>
    <row r="3004" spans="1:5" ht="54">
      <c r="A3004" s="446">
        <v>101637</v>
      </c>
      <c r="B3004" s="447" t="s">
        <v>4948</v>
      </c>
      <c r="C3004" s="446" t="s">
        <v>34</v>
      </c>
      <c r="D3004" s="448">
        <v>115.07</v>
      </c>
      <c r="E3004" s="210"/>
    </row>
    <row r="3005" spans="1:5" ht="27">
      <c r="A3005" s="446">
        <v>101640</v>
      </c>
      <c r="B3005" s="447" t="s">
        <v>4949</v>
      </c>
      <c r="C3005" s="446" t="s">
        <v>34</v>
      </c>
      <c r="D3005" s="448">
        <v>60.42</v>
      </c>
      <c r="E3005" s="210"/>
    </row>
    <row r="3006" spans="1:5" ht="27">
      <c r="A3006" s="446">
        <v>101641</v>
      </c>
      <c r="B3006" s="447" t="s">
        <v>4950</v>
      </c>
      <c r="C3006" s="446" t="s">
        <v>34</v>
      </c>
      <c r="D3006" s="448">
        <v>31.31</v>
      </c>
      <c r="E3006" s="210"/>
    </row>
    <row r="3007" spans="1:5" ht="27">
      <c r="A3007" s="446">
        <v>101642</v>
      </c>
      <c r="B3007" s="447" t="s">
        <v>4951</v>
      </c>
      <c r="C3007" s="446" t="s">
        <v>34</v>
      </c>
      <c r="D3007" s="448">
        <v>15.72</v>
      </c>
      <c r="E3007" s="210"/>
    </row>
    <row r="3008" spans="1:5" ht="27">
      <c r="A3008" s="446">
        <v>101643</v>
      </c>
      <c r="B3008" s="447" t="s">
        <v>4952</v>
      </c>
      <c r="C3008" s="446" t="s">
        <v>34</v>
      </c>
      <c r="D3008" s="448">
        <v>27.33</v>
      </c>
      <c r="E3008" s="210"/>
    </row>
    <row r="3009" spans="1:5" ht="27">
      <c r="A3009" s="446">
        <v>101644</v>
      </c>
      <c r="B3009" s="447" t="s">
        <v>4953</v>
      </c>
      <c r="C3009" s="446" t="s">
        <v>34</v>
      </c>
      <c r="D3009" s="448">
        <v>36.97</v>
      </c>
      <c r="E3009" s="210"/>
    </row>
    <row r="3010" spans="1:5" ht="27">
      <c r="A3010" s="446">
        <v>101645</v>
      </c>
      <c r="B3010" s="447" t="s">
        <v>4954</v>
      </c>
      <c r="C3010" s="446" t="s">
        <v>34</v>
      </c>
      <c r="D3010" s="448">
        <v>17.52</v>
      </c>
      <c r="E3010" s="210"/>
    </row>
    <row r="3011" spans="1:5" ht="27">
      <c r="A3011" s="446">
        <v>101646</v>
      </c>
      <c r="B3011" s="447" t="s">
        <v>4955</v>
      </c>
      <c r="C3011" s="446" t="s">
        <v>34</v>
      </c>
      <c r="D3011" s="448">
        <v>23.25</v>
      </c>
      <c r="E3011" s="210"/>
    </row>
    <row r="3012" spans="1:5" ht="27">
      <c r="A3012" s="446">
        <v>101647</v>
      </c>
      <c r="B3012" s="447" t="s">
        <v>4956</v>
      </c>
      <c r="C3012" s="446" t="s">
        <v>34</v>
      </c>
      <c r="D3012" s="448">
        <v>42.69</v>
      </c>
      <c r="E3012" s="210"/>
    </row>
    <row r="3013" spans="1:5" ht="27">
      <c r="A3013" s="446">
        <v>101648</v>
      </c>
      <c r="B3013" s="447" t="s">
        <v>4957</v>
      </c>
      <c r="C3013" s="446" t="s">
        <v>34</v>
      </c>
      <c r="D3013" s="448">
        <v>33.020000000000003</v>
      </c>
      <c r="E3013" s="210"/>
    </row>
    <row r="3014" spans="1:5" ht="27">
      <c r="A3014" s="446">
        <v>101649</v>
      </c>
      <c r="B3014" s="447" t="s">
        <v>4958</v>
      </c>
      <c r="C3014" s="446" t="s">
        <v>34</v>
      </c>
      <c r="D3014" s="448">
        <v>38.049999999999997</v>
      </c>
      <c r="E3014" s="210"/>
    </row>
    <row r="3015" spans="1:5" ht="27">
      <c r="A3015" s="446">
        <v>101650</v>
      </c>
      <c r="B3015" s="447" t="s">
        <v>4959</v>
      </c>
      <c r="C3015" s="446" t="s">
        <v>34</v>
      </c>
      <c r="D3015" s="448">
        <v>44.22</v>
      </c>
      <c r="E3015" s="210"/>
    </row>
    <row r="3016" spans="1:5" ht="40.5">
      <c r="A3016" s="446">
        <v>101651</v>
      </c>
      <c r="B3016" s="447" t="s">
        <v>4960</v>
      </c>
      <c r="C3016" s="446" t="s">
        <v>34</v>
      </c>
      <c r="D3016" s="448">
        <v>47.14</v>
      </c>
      <c r="E3016" s="210"/>
    </row>
    <row r="3017" spans="1:5" ht="54">
      <c r="A3017" s="446">
        <v>101652</v>
      </c>
      <c r="B3017" s="447" t="s">
        <v>4961</v>
      </c>
      <c r="C3017" s="446" t="s">
        <v>34</v>
      </c>
      <c r="D3017" s="448">
        <v>443.29</v>
      </c>
      <c r="E3017" s="210"/>
    </row>
    <row r="3018" spans="1:5" ht="94.5">
      <c r="A3018" s="446">
        <v>101653</v>
      </c>
      <c r="B3018" s="447" t="s">
        <v>4962</v>
      </c>
      <c r="C3018" s="446" t="s">
        <v>34</v>
      </c>
      <c r="D3018" s="448">
        <v>228.25</v>
      </c>
      <c r="E3018" s="210"/>
    </row>
    <row r="3019" spans="1:5" ht="40.5">
      <c r="A3019" s="446">
        <v>101654</v>
      </c>
      <c r="B3019" s="447" t="s">
        <v>4963</v>
      </c>
      <c r="C3019" s="446" t="s">
        <v>34</v>
      </c>
      <c r="D3019" s="448">
        <v>233.13</v>
      </c>
      <c r="E3019" s="210"/>
    </row>
    <row r="3020" spans="1:5" ht="40.5">
      <c r="A3020" s="446">
        <v>101655</v>
      </c>
      <c r="B3020" s="447" t="s">
        <v>4964</v>
      </c>
      <c r="C3020" s="446" t="s">
        <v>34</v>
      </c>
      <c r="D3020" s="448">
        <v>385.39</v>
      </c>
      <c r="E3020" s="210"/>
    </row>
    <row r="3021" spans="1:5" ht="40.5">
      <c r="A3021" s="446">
        <v>101656</v>
      </c>
      <c r="B3021" s="447" t="s">
        <v>4965</v>
      </c>
      <c r="C3021" s="446" t="s">
        <v>34</v>
      </c>
      <c r="D3021" s="448">
        <v>420.94</v>
      </c>
      <c r="E3021" s="210"/>
    </row>
    <row r="3022" spans="1:5" ht="40.5">
      <c r="A3022" s="446">
        <v>101657</v>
      </c>
      <c r="B3022" s="447" t="s">
        <v>4966</v>
      </c>
      <c r="C3022" s="446" t="s">
        <v>34</v>
      </c>
      <c r="D3022" s="448">
        <v>496.67</v>
      </c>
      <c r="E3022" s="210"/>
    </row>
    <row r="3023" spans="1:5" ht="40.5">
      <c r="A3023" s="446">
        <v>101658</v>
      </c>
      <c r="B3023" s="447" t="s">
        <v>4967</v>
      </c>
      <c r="C3023" s="446" t="s">
        <v>34</v>
      </c>
      <c r="D3023" s="448">
        <v>652.38</v>
      </c>
      <c r="E3023" s="210"/>
    </row>
    <row r="3024" spans="1:5" ht="40.5">
      <c r="A3024" s="446">
        <v>101659</v>
      </c>
      <c r="B3024" s="447" t="s">
        <v>4968</v>
      </c>
      <c r="C3024" s="446" t="s">
        <v>34</v>
      </c>
      <c r="D3024" s="448">
        <v>749.23</v>
      </c>
      <c r="E3024" s="210"/>
    </row>
    <row r="3025" spans="1:5" ht="40.5">
      <c r="A3025" s="446">
        <v>101660</v>
      </c>
      <c r="B3025" s="447" t="s">
        <v>4969</v>
      </c>
      <c r="C3025" s="446" t="s">
        <v>34</v>
      </c>
      <c r="D3025" s="448">
        <v>1206.4000000000001</v>
      </c>
      <c r="E3025" s="210"/>
    </row>
    <row r="3026" spans="1:5" ht="54">
      <c r="A3026" s="446">
        <v>101661</v>
      </c>
      <c r="B3026" s="447" t="s">
        <v>4970</v>
      </c>
      <c r="C3026" s="446" t="s">
        <v>34</v>
      </c>
      <c r="D3026" s="448">
        <v>79.14</v>
      </c>
      <c r="E3026" s="210"/>
    </row>
    <row r="3027" spans="1:5" ht="54">
      <c r="A3027" s="446">
        <v>101662</v>
      </c>
      <c r="B3027" s="447" t="s">
        <v>4971</v>
      </c>
      <c r="C3027" s="446" t="s">
        <v>34</v>
      </c>
      <c r="D3027" s="448">
        <v>604.55999999999995</v>
      </c>
      <c r="E3027" s="210"/>
    </row>
    <row r="3028" spans="1:5" ht="40.5">
      <c r="A3028" s="446">
        <v>101663</v>
      </c>
      <c r="B3028" s="447" t="s">
        <v>4972</v>
      </c>
      <c r="C3028" s="446" t="s">
        <v>34</v>
      </c>
      <c r="D3028" s="448">
        <v>16.98</v>
      </c>
      <c r="E3028" s="210"/>
    </row>
    <row r="3029" spans="1:5" ht="40.5">
      <c r="A3029" s="446">
        <v>101664</v>
      </c>
      <c r="B3029" s="447" t="s">
        <v>4973</v>
      </c>
      <c r="C3029" s="446" t="s">
        <v>34</v>
      </c>
      <c r="D3029" s="448">
        <v>17.72</v>
      </c>
      <c r="E3029" s="210"/>
    </row>
    <row r="3030" spans="1:5" ht="40.5">
      <c r="A3030" s="446">
        <v>101665</v>
      </c>
      <c r="B3030" s="447" t="s">
        <v>4974</v>
      </c>
      <c r="C3030" s="446" t="s">
        <v>34</v>
      </c>
      <c r="D3030" s="448">
        <v>20.93</v>
      </c>
      <c r="E3030" s="210"/>
    </row>
    <row r="3031" spans="1:5" ht="40.5">
      <c r="A3031" s="446">
        <v>101666</v>
      </c>
      <c r="B3031" s="447" t="s">
        <v>4975</v>
      </c>
      <c r="C3031" s="446" t="s">
        <v>34</v>
      </c>
      <c r="D3031" s="448">
        <v>328.6</v>
      </c>
      <c r="E3031" s="210"/>
    </row>
    <row r="3032" spans="1:5" ht="40.5">
      <c r="A3032" s="446">
        <v>102085</v>
      </c>
      <c r="B3032" s="447" t="s">
        <v>6260</v>
      </c>
      <c r="C3032" s="446" t="s">
        <v>34</v>
      </c>
      <c r="D3032" s="448">
        <v>173</v>
      </c>
      <c r="E3032" s="210"/>
    </row>
    <row r="3033" spans="1:5" ht="67.5">
      <c r="A3033" s="446">
        <v>100578</v>
      </c>
      <c r="B3033" s="447" t="s">
        <v>4976</v>
      </c>
      <c r="C3033" s="446" t="s">
        <v>34</v>
      </c>
      <c r="D3033" s="448">
        <v>352.87</v>
      </c>
      <c r="E3033" s="210"/>
    </row>
    <row r="3034" spans="1:5" ht="67.5">
      <c r="A3034" s="446">
        <v>100579</v>
      </c>
      <c r="B3034" s="447" t="s">
        <v>4977</v>
      </c>
      <c r="C3034" s="446" t="s">
        <v>34</v>
      </c>
      <c r="D3034" s="448">
        <v>387.45</v>
      </c>
      <c r="E3034" s="210"/>
    </row>
    <row r="3035" spans="1:5" ht="67.5">
      <c r="A3035" s="446">
        <v>100580</v>
      </c>
      <c r="B3035" s="447" t="s">
        <v>4978</v>
      </c>
      <c r="C3035" s="446" t="s">
        <v>34</v>
      </c>
      <c r="D3035" s="448">
        <v>419.18</v>
      </c>
      <c r="E3035" s="210"/>
    </row>
    <row r="3036" spans="1:5" ht="67.5">
      <c r="A3036" s="446">
        <v>100581</v>
      </c>
      <c r="B3036" s="447" t="s">
        <v>4979</v>
      </c>
      <c r="C3036" s="446" t="s">
        <v>34</v>
      </c>
      <c r="D3036" s="448">
        <v>404.61</v>
      </c>
      <c r="E3036" s="210"/>
    </row>
    <row r="3037" spans="1:5" ht="67.5">
      <c r="A3037" s="446">
        <v>100582</v>
      </c>
      <c r="B3037" s="447" t="s">
        <v>4980</v>
      </c>
      <c r="C3037" s="446" t="s">
        <v>34</v>
      </c>
      <c r="D3037" s="448">
        <v>461.72</v>
      </c>
      <c r="E3037" s="210"/>
    </row>
    <row r="3038" spans="1:5" ht="67.5">
      <c r="A3038" s="446">
        <v>100583</v>
      </c>
      <c r="B3038" s="447" t="s">
        <v>4981</v>
      </c>
      <c r="C3038" s="446" t="s">
        <v>34</v>
      </c>
      <c r="D3038" s="448">
        <v>422.81</v>
      </c>
      <c r="E3038" s="210"/>
    </row>
    <row r="3039" spans="1:5" ht="67.5">
      <c r="A3039" s="446">
        <v>100584</v>
      </c>
      <c r="B3039" s="447" t="s">
        <v>4982</v>
      </c>
      <c r="C3039" s="446" t="s">
        <v>34</v>
      </c>
      <c r="D3039" s="448">
        <v>457.2</v>
      </c>
      <c r="E3039" s="210"/>
    </row>
    <row r="3040" spans="1:5" ht="67.5">
      <c r="A3040" s="446">
        <v>100585</v>
      </c>
      <c r="B3040" s="447" t="s">
        <v>4983</v>
      </c>
      <c r="C3040" s="446" t="s">
        <v>34</v>
      </c>
      <c r="D3040" s="448">
        <v>458.31</v>
      </c>
      <c r="E3040" s="210"/>
    </row>
    <row r="3041" spans="1:5" ht="67.5">
      <c r="A3041" s="446">
        <v>100586</v>
      </c>
      <c r="B3041" s="447" t="s">
        <v>4984</v>
      </c>
      <c r="C3041" s="446" t="s">
        <v>34</v>
      </c>
      <c r="D3041" s="448">
        <v>513.15</v>
      </c>
      <c r="E3041" s="210"/>
    </row>
    <row r="3042" spans="1:5" ht="67.5">
      <c r="A3042" s="446">
        <v>100587</v>
      </c>
      <c r="B3042" s="447" t="s">
        <v>4985</v>
      </c>
      <c r="C3042" s="446" t="s">
        <v>34</v>
      </c>
      <c r="D3042" s="448">
        <v>494.9</v>
      </c>
      <c r="E3042" s="210"/>
    </row>
    <row r="3043" spans="1:5" ht="67.5">
      <c r="A3043" s="446">
        <v>100588</v>
      </c>
      <c r="B3043" s="447" t="s">
        <v>4986</v>
      </c>
      <c r="C3043" s="446" t="s">
        <v>34</v>
      </c>
      <c r="D3043" s="448">
        <v>537.53</v>
      </c>
      <c r="E3043" s="210"/>
    </row>
    <row r="3044" spans="1:5" ht="67.5">
      <c r="A3044" s="446">
        <v>100589</v>
      </c>
      <c r="B3044" s="447" t="s">
        <v>4987</v>
      </c>
      <c r="C3044" s="446" t="s">
        <v>34</v>
      </c>
      <c r="D3044" s="448">
        <v>542.61</v>
      </c>
      <c r="E3044" s="210"/>
    </row>
    <row r="3045" spans="1:5" ht="67.5">
      <c r="A3045" s="446">
        <v>100590</v>
      </c>
      <c r="B3045" s="447" t="s">
        <v>4988</v>
      </c>
      <c r="C3045" s="446" t="s">
        <v>34</v>
      </c>
      <c r="D3045" s="448">
        <v>584.64</v>
      </c>
      <c r="E3045" s="210"/>
    </row>
    <row r="3046" spans="1:5" ht="67.5">
      <c r="A3046" s="446">
        <v>100591</v>
      </c>
      <c r="B3046" s="447" t="s">
        <v>4989</v>
      </c>
      <c r="C3046" s="446" t="s">
        <v>34</v>
      </c>
      <c r="D3046" s="448">
        <v>542.71</v>
      </c>
      <c r="E3046" s="210"/>
    </row>
    <row r="3047" spans="1:5" ht="67.5">
      <c r="A3047" s="446">
        <v>100592</v>
      </c>
      <c r="B3047" s="447" t="s">
        <v>4990</v>
      </c>
      <c r="C3047" s="446" t="s">
        <v>34</v>
      </c>
      <c r="D3047" s="448">
        <v>577.55999999999995</v>
      </c>
      <c r="E3047" s="210"/>
    </row>
    <row r="3048" spans="1:5" ht="67.5">
      <c r="A3048" s="446">
        <v>100593</v>
      </c>
      <c r="B3048" s="447" t="s">
        <v>4991</v>
      </c>
      <c r="C3048" s="446" t="s">
        <v>34</v>
      </c>
      <c r="D3048" s="448">
        <v>581.21</v>
      </c>
      <c r="E3048" s="210"/>
    </row>
    <row r="3049" spans="1:5" ht="67.5">
      <c r="A3049" s="446">
        <v>100594</v>
      </c>
      <c r="B3049" s="447" t="s">
        <v>4992</v>
      </c>
      <c r="C3049" s="446" t="s">
        <v>34</v>
      </c>
      <c r="D3049" s="448">
        <v>640.37</v>
      </c>
      <c r="E3049" s="210"/>
    </row>
    <row r="3050" spans="1:5" ht="67.5">
      <c r="A3050" s="446">
        <v>100595</v>
      </c>
      <c r="B3050" s="447" t="s">
        <v>4993</v>
      </c>
      <c r="C3050" s="446" t="s">
        <v>34</v>
      </c>
      <c r="D3050" s="448">
        <v>696.65</v>
      </c>
      <c r="E3050" s="210"/>
    </row>
    <row r="3051" spans="1:5" ht="67.5">
      <c r="A3051" s="446">
        <v>100596</v>
      </c>
      <c r="B3051" s="447" t="s">
        <v>4994</v>
      </c>
      <c r="C3051" s="446" t="s">
        <v>34</v>
      </c>
      <c r="D3051" s="448">
        <v>776.56</v>
      </c>
      <c r="E3051" s="210"/>
    </row>
    <row r="3052" spans="1:5" ht="67.5">
      <c r="A3052" s="446">
        <v>100597</v>
      </c>
      <c r="B3052" s="447" t="s">
        <v>4995</v>
      </c>
      <c r="C3052" s="446" t="s">
        <v>34</v>
      </c>
      <c r="D3052" s="448">
        <v>800.76</v>
      </c>
      <c r="E3052" s="210"/>
    </row>
    <row r="3053" spans="1:5" ht="67.5">
      <c r="A3053" s="446">
        <v>100598</v>
      </c>
      <c r="B3053" s="447" t="s">
        <v>4996</v>
      </c>
      <c r="C3053" s="446" t="s">
        <v>34</v>
      </c>
      <c r="D3053" s="448">
        <v>866.65</v>
      </c>
      <c r="E3053" s="210"/>
    </row>
    <row r="3054" spans="1:5" ht="81">
      <c r="A3054" s="446">
        <v>100599</v>
      </c>
      <c r="B3054" s="447" t="s">
        <v>4997</v>
      </c>
      <c r="C3054" s="446" t="s">
        <v>34</v>
      </c>
      <c r="D3054" s="448">
        <v>372.68</v>
      </c>
      <c r="E3054" s="210"/>
    </row>
    <row r="3055" spans="1:5" ht="81">
      <c r="A3055" s="446">
        <v>100600</v>
      </c>
      <c r="B3055" s="447" t="s">
        <v>4998</v>
      </c>
      <c r="C3055" s="446" t="s">
        <v>34</v>
      </c>
      <c r="D3055" s="448">
        <v>438.98</v>
      </c>
      <c r="E3055" s="210"/>
    </row>
    <row r="3056" spans="1:5" ht="81">
      <c r="A3056" s="446">
        <v>100601</v>
      </c>
      <c r="B3056" s="447" t="s">
        <v>4999</v>
      </c>
      <c r="C3056" s="446" t="s">
        <v>34</v>
      </c>
      <c r="D3056" s="448">
        <v>553.6</v>
      </c>
      <c r="E3056" s="210"/>
    </row>
    <row r="3057" spans="1:5" ht="81">
      <c r="A3057" s="446">
        <v>100602</v>
      </c>
      <c r="B3057" s="447" t="s">
        <v>5000</v>
      </c>
      <c r="C3057" s="446" t="s">
        <v>34</v>
      </c>
      <c r="D3057" s="448">
        <v>696.56</v>
      </c>
      <c r="E3057" s="210"/>
    </row>
    <row r="3058" spans="1:5" ht="81">
      <c r="A3058" s="446">
        <v>100603</v>
      </c>
      <c r="B3058" s="447" t="s">
        <v>5001</v>
      </c>
      <c r="C3058" s="446" t="s">
        <v>34</v>
      </c>
      <c r="D3058" s="448">
        <v>1063.3599999999999</v>
      </c>
      <c r="E3058" s="210"/>
    </row>
    <row r="3059" spans="1:5" ht="81">
      <c r="A3059" s="446">
        <v>100604</v>
      </c>
      <c r="B3059" s="447" t="s">
        <v>5002</v>
      </c>
      <c r="C3059" s="446" t="s">
        <v>34</v>
      </c>
      <c r="D3059" s="448">
        <v>466.69</v>
      </c>
      <c r="E3059" s="210"/>
    </row>
    <row r="3060" spans="1:5" ht="81">
      <c r="A3060" s="446">
        <v>100605</v>
      </c>
      <c r="B3060" s="447" t="s">
        <v>5003</v>
      </c>
      <c r="C3060" s="446" t="s">
        <v>34</v>
      </c>
      <c r="D3060" s="448">
        <v>729.94</v>
      </c>
      <c r="E3060" s="210"/>
    </row>
    <row r="3061" spans="1:5" ht="81">
      <c r="A3061" s="446">
        <v>100606</v>
      </c>
      <c r="B3061" s="447" t="s">
        <v>5004</v>
      </c>
      <c r="C3061" s="446" t="s">
        <v>34</v>
      </c>
      <c r="D3061" s="448">
        <v>1104</v>
      </c>
      <c r="E3061" s="210"/>
    </row>
    <row r="3062" spans="1:5" ht="81">
      <c r="A3062" s="446">
        <v>100607</v>
      </c>
      <c r="B3062" s="447" t="s">
        <v>5005</v>
      </c>
      <c r="C3062" s="446" t="s">
        <v>34</v>
      </c>
      <c r="D3062" s="448">
        <v>479.87</v>
      </c>
      <c r="E3062" s="210"/>
    </row>
    <row r="3063" spans="1:5" ht="81">
      <c r="A3063" s="446">
        <v>100608</v>
      </c>
      <c r="B3063" s="447" t="s">
        <v>5006</v>
      </c>
      <c r="C3063" s="446" t="s">
        <v>34</v>
      </c>
      <c r="D3063" s="448">
        <v>746.41</v>
      </c>
      <c r="E3063" s="210"/>
    </row>
    <row r="3064" spans="1:5" ht="81">
      <c r="A3064" s="446">
        <v>100609</v>
      </c>
      <c r="B3064" s="447" t="s">
        <v>5007</v>
      </c>
      <c r="C3064" s="446" t="s">
        <v>34</v>
      </c>
      <c r="D3064" s="448">
        <v>1125.6199999999999</v>
      </c>
      <c r="E3064" s="210"/>
    </row>
    <row r="3065" spans="1:5" ht="81">
      <c r="A3065" s="446">
        <v>100610</v>
      </c>
      <c r="B3065" s="447" t="s">
        <v>5008</v>
      </c>
      <c r="C3065" s="446" t="s">
        <v>34</v>
      </c>
      <c r="D3065" s="448">
        <v>493.05</v>
      </c>
      <c r="E3065" s="210"/>
    </row>
    <row r="3066" spans="1:5" ht="81">
      <c r="A3066" s="446">
        <v>100611</v>
      </c>
      <c r="B3066" s="447" t="s">
        <v>5009</v>
      </c>
      <c r="C3066" s="446" t="s">
        <v>34</v>
      </c>
      <c r="D3066" s="448">
        <v>612.66999999999996</v>
      </c>
      <c r="E3066" s="210"/>
    </row>
    <row r="3067" spans="1:5" ht="81">
      <c r="A3067" s="446">
        <v>100612</v>
      </c>
      <c r="B3067" s="447" t="s">
        <v>5010</v>
      </c>
      <c r="C3067" s="446" t="s">
        <v>34</v>
      </c>
      <c r="D3067" s="448">
        <v>762.58</v>
      </c>
      <c r="E3067" s="210"/>
    </row>
    <row r="3068" spans="1:5" ht="81">
      <c r="A3068" s="446">
        <v>100613</v>
      </c>
      <c r="B3068" s="447" t="s">
        <v>5011</v>
      </c>
      <c r="C3068" s="446" t="s">
        <v>34</v>
      </c>
      <c r="D3068" s="448">
        <v>1146.7</v>
      </c>
      <c r="E3068" s="210"/>
    </row>
    <row r="3069" spans="1:5" ht="81">
      <c r="A3069" s="446">
        <v>100614</v>
      </c>
      <c r="B3069" s="447" t="s">
        <v>5012</v>
      </c>
      <c r="C3069" s="446" t="s">
        <v>34</v>
      </c>
      <c r="D3069" s="448">
        <v>641.72</v>
      </c>
      <c r="E3069" s="210"/>
    </row>
    <row r="3070" spans="1:5" ht="81">
      <c r="A3070" s="446">
        <v>100615</v>
      </c>
      <c r="B3070" s="447" t="s">
        <v>5013</v>
      </c>
      <c r="C3070" s="446" t="s">
        <v>34</v>
      </c>
      <c r="D3070" s="448">
        <v>794.66</v>
      </c>
      <c r="E3070" s="210"/>
    </row>
    <row r="3071" spans="1:5" ht="81">
      <c r="A3071" s="446">
        <v>100616</v>
      </c>
      <c r="B3071" s="447" t="s">
        <v>5014</v>
      </c>
      <c r="C3071" s="446" t="s">
        <v>34</v>
      </c>
      <c r="D3071" s="448">
        <v>1190.82</v>
      </c>
      <c r="E3071" s="210"/>
    </row>
    <row r="3072" spans="1:5" ht="81">
      <c r="A3072" s="446">
        <v>100617</v>
      </c>
      <c r="B3072" s="447" t="s">
        <v>5015</v>
      </c>
      <c r="C3072" s="446" t="s">
        <v>34</v>
      </c>
      <c r="D3072" s="448">
        <v>826.55</v>
      </c>
      <c r="E3072" s="210"/>
    </row>
    <row r="3073" spans="1:5" ht="81">
      <c r="A3073" s="446">
        <v>100618</v>
      </c>
      <c r="B3073" s="447" t="s">
        <v>5016</v>
      </c>
      <c r="C3073" s="446" t="s">
        <v>34</v>
      </c>
      <c r="D3073" s="448">
        <v>1239.78</v>
      </c>
      <c r="E3073" s="210"/>
    </row>
    <row r="3074" spans="1:5" ht="40.5">
      <c r="A3074" s="446">
        <v>100619</v>
      </c>
      <c r="B3074" s="447" t="s">
        <v>5017</v>
      </c>
      <c r="C3074" s="446" t="s">
        <v>34</v>
      </c>
      <c r="D3074" s="448">
        <v>528.28</v>
      </c>
      <c r="E3074" s="210"/>
    </row>
    <row r="3075" spans="1:5" ht="54">
      <c r="A3075" s="446">
        <v>100620</v>
      </c>
      <c r="B3075" s="447" t="s">
        <v>5018</v>
      </c>
      <c r="C3075" s="446" t="s">
        <v>34</v>
      </c>
      <c r="D3075" s="448">
        <v>3286.14</v>
      </c>
      <c r="E3075" s="210"/>
    </row>
    <row r="3076" spans="1:5" ht="54">
      <c r="A3076" s="446">
        <v>100621</v>
      </c>
      <c r="B3076" s="447" t="s">
        <v>5019</v>
      </c>
      <c r="C3076" s="446" t="s">
        <v>34</v>
      </c>
      <c r="D3076" s="448">
        <v>3775.18</v>
      </c>
      <c r="E3076" s="210"/>
    </row>
    <row r="3077" spans="1:5" ht="54">
      <c r="A3077" s="446">
        <v>100622</v>
      </c>
      <c r="B3077" s="447" t="s">
        <v>5020</v>
      </c>
      <c r="C3077" s="446" t="s">
        <v>34</v>
      </c>
      <c r="D3077" s="448">
        <v>2620.4699999999998</v>
      </c>
      <c r="E3077" s="210"/>
    </row>
    <row r="3078" spans="1:5" ht="54">
      <c r="A3078" s="446">
        <v>100623</v>
      </c>
      <c r="B3078" s="447" t="s">
        <v>5021</v>
      </c>
      <c r="C3078" s="446" t="s">
        <v>34</v>
      </c>
      <c r="D3078" s="448">
        <v>2796.98</v>
      </c>
      <c r="E3078" s="210"/>
    </row>
    <row r="3079" spans="1:5" ht="67.5">
      <c r="A3079" s="446">
        <v>97600</v>
      </c>
      <c r="B3079" s="447" t="s">
        <v>5022</v>
      </c>
      <c r="C3079" s="446" t="s">
        <v>34</v>
      </c>
      <c r="D3079" s="448">
        <v>300.97000000000003</v>
      </c>
      <c r="E3079" s="210"/>
    </row>
    <row r="3080" spans="1:5" ht="67.5">
      <c r="A3080" s="446">
        <v>97601</v>
      </c>
      <c r="B3080" s="447" t="s">
        <v>5023</v>
      </c>
      <c r="C3080" s="446" t="s">
        <v>34</v>
      </c>
      <c r="D3080" s="448">
        <v>312.58</v>
      </c>
      <c r="E3080" s="210"/>
    </row>
    <row r="3081" spans="1:5" ht="54">
      <c r="A3081" s="446">
        <v>97605</v>
      </c>
      <c r="B3081" s="447" t="s">
        <v>5024</v>
      </c>
      <c r="C3081" s="446" t="s">
        <v>34</v>
      </c>
      <c r="D3081" s="448">
        <v>79.7</v>
      </c>
      <c r="E3081" s="210"/>
    </row>
    <row r="3082" spans="1:5" ht="54">
      <c r="A3082" s="446">
        <v>97606</v>
      </c>
      <c r="B3082" s="447" t="s">
        <v>5025</v>
      </c>
      <c r="C3082" s="446" t="s">
        <v>34</v>
      </c>
      <c r="D3082" s="448">
        <v>82.85</v>
      </c>
      <c r="E3082" s="210"/>
    </row>
    <row r="3083" spans="1:5" ht="54">
      <c r="A3083" s="446">
        <v>97607</v>
      </c>
      <c r="B3083" s="447" t="s">
        <v>5026</v>
      </c>
      <c r="C3083" s="446" t="s">
        <v>34</v>
      </c>
      <c r="D3083" s="448">
        <v>96.39</v>
      </c>
      <c r="E3083" s="210"/>
    </row>
    <row r="3084" spans="1:5" ht="54">
      <c r="A3084" s="446">
        <v>97608</v>
      </c>
      <c r="B3084" s="447" t="s">
        <v>5027</v>
      </c>
      <c r="C3084" s="446" t="s">
        <v>34</v>
      </c>
      <c r="D3084" s="448">
        <v>99.54</v>
      </c>
      <c r="E3084" s="210"/>
    </row>
    <row r="3085" spans="1:5" ht="67.5">
      <c r="A3085" s="446">
        <v>102102</v>
      </c>
      <c r="B3085" s="447" t="s">
        <v>6587</v>
      </c>
      <c r="C3085" s="446" t="s">
        <v>34</v>
      </c>
      <c r="D3085" s="448">
        <v>7718.49</v>
      </c>
      <c r="E3085" s="210"/>
    </row>
    <row r="3086" spans="1:5" ht="67.5">
      <c r="A3086" s="446">
        <v>102103</v>
      </c>
      <c r="B3086" s="447" t="s">
        <v>6588</v>
      </c>
      <c r="C3086" s="446" t="s">
        <v>34</v>
      </c>
      <c r="D3086" s="448">
        <v>8593.61</v>
      </c>
      <c r="E3086" s="210"/>
    </row>
    <row r="3087" spans="1:5" ht="67.5">
      <c r="A3087" s="446">
        <v>102104</v>
      </c>
      <c r="B3087" s="447" t="s">
        <v>6589</v>
      </c>
      <c r="C3087" s="446" t="s">
        <v>34</v>
      </c>
      <c r="D3087" s="448">
        <v>11034.5</v>
      </c>
      <c r="E3087" s="210"/>
    </row>
    <row r="3088" spans="1:5" ht="67.5">
      <c r="A3088" s="446">
        <v>102105</v>
      </c>
      <c r="B3088" s="447" t="s">
        <v>6590</v>
      </c>
      <c r="C3088" s="446" t="s">
        <v>34</v>
      </c>
      <c r="D3088" s="448">
        <v>13570.7</v>
      </c>
      <c r="E3088" s="210"/>
    </row>
    <row r="3089" spans="1:5" ht="67.5">
      <c r="A3089" s="446">
        <v>102106</v>
      </c>
      <c r="B3089" s="447" t="s">
        <v>6591</v>
      </c>
      <c r="C3089" s="446" t="s">
        <v>34</v>
      </c>
      <c r="D3089" s="448">
        <v>17033.330000000002</v>
      </c>
      <c r="E3089" s="210"/>
    </row>
    <row r="3090" spans="1:5" ht="67.5">
      <c r="A3090" s="446">
        <v>102107</v>
      </c>
      <c r="B3090" s="447" t="s">
        <v>6592</v>
      </c>
      <c r="C3090" s="446" t="s">
        <v>34</v>
      </c>
      <c r="D3090" s="448">
        <v>23783.39</v>
      </c>
      <c r="E3090" s="210"/>
    </row>
    <row r="3091" spans="1:5" ht="67.5">
      <c r="A3091" s="446">
        <v>102108</v>
      </c>
      <c r="B3091" s="447" t="s">
        <v>6593</v>
      </c>
      <c r="C3091" s="446" t="s">
        <v>34</v>
      </c>
      <c r="D3091" s="448">
        <v>27702.14</v>
      </c>
      <c r="E3091" s="210"/>
    </row>
    <row r="3092" spans="1:5" ht="40.5">
      <c r="A3092" s="446">
        <v>102109</v>
      </c>
      <c r="B3092" s="447" t="s">
        <v>6594</v>
      </c>
      <c r="C3092" s="446" t="s">
        <v>34</v>
      </c>
      <c r="D3092" s="448">
        <v>51.75</v>
      </c>
      <c r="E3092" s="210"/>
    </row>
    <row r="3093" spans="1:5" ht="40.5">
      <c r="A3093" s="446">
        <v>102110</v>
      </c>
      <c r="B3093" s="447" t="s">
        <v>6595</v>
      </c>
      <c r="C3093" s="446" t="s">
        <v>34</v>
      </c>
      <c r="D3093" s="448">
        <v>177.52</v>
      </c>
      <c r="E3093" s="210"/>
    </row>
    <row r="3094" spans="1:5" ht="67.5">
      <c r="A3094" s="446">
        <v>93128</v>
      </c>
      <c r="B3094" s="447" t="s">
        <v>2339</v>
      </c>
      <c r="C3094" s="446" t="s">
        <v>34</v>
      </c>
      <c r="D3094" s="448">
        <v>107.58</v>
      </c>
      <c r="E3094" s="210"/>
    </row>
    <row r="3095" spans="1:5" ht="81">
      <c r="A3095" s="446">
        <v>93137</v>
      </c>
      <c r="B3095" s="447" t="s">
        <v>2340</v>
      </c>
      <c r="C3095" s="446" t="s">
        <v>34</v>
      </c>
      <c r="D3095" s="448">
        <v>129.44999999999999</v>
      </c>
      <c r="E3095" s="210"/>
    </row>
    <row r="3096" spans="1:5" ht="67.5">
      <c r="A3096" s="446">
        <v>93138</v>
      </c>
      <c r="B3096" s="447" t="s">
        <v>2341</v>
      </c>
      <c r="C3096" s="446" t="s">
        <v>34</v>
      </c>
      <c r="D3096" s="448">
        <v>122.9</v>
      </c>
      <c r="E3096" s="210"/>
    </row>
    <row r="3097" spans="1:5" ht="81">
      <c r="A3097" s="446">
        <v>93139</v>
      </c>
      <c r="B3097" s="447" t="s">
        <v>2342</v>
      </c>
      <c r="C3097" s="446" t="s">
        <v>34</v>
      </c>
      <c r="D3097" s="448">
        <v>160.07</v>
      </c>
      <c r="E3097" s="210"/>
    </row>
    <row r="3098" spans="1:5" ht="81">
      <c r="A3098" s="446">
        <v>93140</v>
      </c>
      <c r="B3098" s="447" t="s">
        <v>2343</v>
      </c>
      <c r="C3098" s="446" t="s">
        <v>34</v>
      </c>
      <c r="D3098" s="448">
        <v>150.21</v>
      </c>
      <c r="E3098" s="210"/>
    </row>
    <row r="3099" spans="1:5" ht="54">
      <c r="A3099" s="446">
        <v>93141</v>
      </c>
      <c r="B3099" s="447" t="s">
        <v>491</v>
      </c>
      <c r="C3099" s="446" t="s">
        <v>34</v>
      </c>
      <c r="D3099" s="448">
        <v>138.12</v>
      </c>
      <c r="E3099" s="210"/>
    </row>
    <row r="3100" spans="1:5" ht="54">
      <c r="A3100" s="446">
        <v>93142</v>
      </c>
      <c r="B3100" s="447" t="s">
        <v>2344</v>
      </c>
      <c r="C3100" s="446" t="s">
        <v>34</v>
      </c>
      <c r="D3100" s="448">
        <v>152.44999999999999</v>
      </c>
      <c r="E3100" s="210"/>
    </row>
    <row r="3101" spans="1:5" ht="54">
      <c r="A3101" s="446">
        <v>93143</v>
      </c>
      <c r="B3101" s="447" t="s">
        <v>492</v>
      </c>
      <c r="C3101" s="446" t="s">
        <v>34</v>
      </c>
      <c r="D3101" s="448">
        <v>139.88999999999999</v>
      </c>
      <c r="E3101" s="210"/>
    </row>
    <row r="3102" spans="1:5" ht="67.5">
      <c r="A3102" s="446">
        <v>93144</v>
      </c>
      <c r="B3102" s="447" t="s">
        <v>2345</v>
      </c>
      <c r="C3102" s="446" t="s">
        <v>34</v>
      </c>
      <c r="D3102" s="448">
        <v>199.59</v>
      </c>
      <c r="E3102" s="210"/>
    </row>
    <row r="3103" spans="1:5" ht="81">
      <c r="A3103" s="446">
        <v>93145</v>
      </c>
      <c r="B3103" s="447" t="s">
        <v>2346</v>
      </c>
      <c r="C3103" s="446" t="s">
        <v>34</v>
      </c>
      <c r="D3103" s="448">
        <v>170.91</v>
      </c>
      <c r="E3103" s="210"/>
    </row>
    <row r="3104" spans="1:5" ht="81">
      <c r="A3104" s="446">
        <v>93146</v>
      </c>
      <c r="B3104" s="447" t="s">
        <v>2347</v>
      </c>
      <c r="C3104" s="446" t="s">
        <v>34</v>
      </c>
      <c r="D3104" s="448">
        <v>186.24</v>
      </c>
      <c r="E3104" s="210"/>
    </row>
    <row r="3105" spans="1:5" ht="94.5">
      <c r="A3105" s="446">
        <v>93147</v>
      </c>
      <c r="B3105" s="447" t="s">
        <v>2348</v>
      </c>
      <c r="C3105" s="446" t="s">
        <v>34</v>
      </c>
      <c r="D3105" s="448">
        <v>213.59</v>
      </c>
      <c r="E3105" s="210"/>
    </row>
    <row r="3106" spans="1:5" ht="40.5">
      <c r="A3106" s="446">
        <v>96971</v>
      </c>
      <c r="B3106" s="447" t="s">
        <v>3441</v>
      </c>
      <c r="C3106" s="446" t="s">
        <v>14</v>
      </c>
      <c r="D3106" s="448">
        <v>27.07</v>
      </c>
      <c r="E3106" s="210"/>
    </row>
    <row r="3107" spans="1:5" ht="40.5">
      <c r="A3107" s="446">
        <v>96972</v>
      </c>
      <c r="B3107" s="447" t="s">
        <v>3442</v>
      </c>
      <c r="C3107" s="446" t="s">
        <v>14</v>
      </c>
      <c r="D3107" s="448">
        <v>37.340000000000003</v>
      </c>
      <c r="E3107" s="210"/>
    </row>
    <row r="3108" spans="1:5" ht="40.5">
      <c r="A3108" s="446">
        <v>96973</v>
      </c>
      <c r="B3108" s="447" t="s">
        <v>3443</v>
      </c>
      <c r="C3108" s="446" t="s">
        <v>14</v>
      </c>
      <c r="D3108" s="448">
        <v>47.51</v>
      </c>
      <c r="E3108" s="210"/>
    </row>
    <row r="3109" spans="1:5" ht="40.5">
      <c r="A3109" s="446">
        <v>96974</v>
      </c>
      <c r="B3109" s="447" t="s">
        <v>3444</v>
      </c>
      <c r="C3109" s="446" t="s">
        <v>14</v>
      </c>
      <c r="D3109" s="448">
        <v>61.18</v>
      </c>
      <c r="E3109" s="210"/>
    </row>
    <row r="3110" spans="1:5" ht="40.5">
      <c r="A3110" s="446">
        <v>96975</v>
      </c>
      <c r="B3110" s="447" t="s">
        <v>3445</v>
      </c>
      <c r="C3110" s="446" t="s">
        <v>14</v>
      </c>
      <c r="D3110" s="448">
        <v>79.819999999999993</v>
      </c>
      <c r="E3110" s="210"/>
    </row>
    <row r="3111" spans="1:5" ht="40.5">
      <c r="A3111" s="446">
        <v>96976</v>
      </c>
      <c r="B3111" s="447" t="s">
        <v>3446</v>
      </c>
      <c r="C3111" s="446" t="s">
        <v>14</v>
      </c>
      <c r="D3111" s="448">
        <v>104.99</v>
      </c>
      <c r="E3111" s="210"/>
    </row>
    <row r="3112" spans="1:5" ht="40.5">
      <c r="A3112" s="446">
        <v>96977</v>
      </c>
      <c r="B3112" s="447" t="s">
        <v>3447</v>
      </c>
      <c r="C3112" s="446" t="s">
        <v>14</v>
      </c>
      <c r="D3112" s="448">
        <v>43.24</v>
      </c>
      <c r="E3112" s="210"/>
    </row>
    <row r="3113" spans="1:5" ht="40.5">
      <c r="A3113" s="446">
        <v>96978</v>
      </c>
      <c r="B3113" s="447" t="s">
        <v>3448</v>
      </c>
      <c r="C3113" s="446" t="s">
        <v>14</v>
      </c>
      <c r="D3113" s="448">
        <v>60.7</v>
      </c>
      <c r="E3113" s="210"/>
    </row>
    <row r="3114" spans="1:5" ht="40.5">
      <c r="A3114" s="446">
        <v>96979</v>
      </c>
      <c r="B3114" s="447" t="s">
        <v>3449</v>
      </c>
      <c r="C3114" s="446" t="s">
        <v>14</v>
      </c>
      <c r="D3114" s="448">
        <v>85.18</v>
      </c>
      <c r="E3114" s="210"/>
    </row>
    <row r="3115" spans="1:5" ht="27">
      <c r="A3115" s="446">
        <v>96984</v>
      </c>
      <c r="B3115" s="447" t="s">
        <v>3451</v>
      </c>
      <c r="C3115" s="446" t="s">
        <v>34</v>
      </c>
      <c r="D3115" s="448">
        <v>41.38</v>
      </c>
      <c r="E3115" s="210"/>
    </row>
    <row r="3116" spans="1:5" ht="27">
      <c r="A3116" s="446">
        <v>96985</v>
      </c>
      <c r="B3116" s="447" t="s">
        <v>3452</v>
      </c>
      <c r="C3116" s="446" t="s">
        <v>34</v>
      </c>
      <c r="D3116" s="448">
        <v>51.37</v>
      </c>
      <c r="E3116" s="210"/>
    </row>
    <row r="3117" spans="1:5" ht="27">
      <c r="A3117" s="446">
        <v>96986</v>
      </c>
      <c r="B3117" s="447" t="s">
        <v>3453</v>
      </c>
      <c r="C3117" s="446" t="s">
        <v>34</v>
      </c>
      <c r="D3117" s="448">
        <v>76.680000000000007</v>
      </c>
      <c r="E3117" s="210"/>
    </row>
    <row r="3118" spans="1:5" ht="40.5">
      <c r="A3118" s="446">
        <v>96987</v>
      </c>
      <c r="B3118" s="447" t="s">
        <v>3454</v>
      </c>
      <c r="C3118" s="446" t="s">
        <v>34</v>
      </c>
      <c r="D3118" s="448">
        <v>116.79</v>
      </c>
      <c r="E3118" s="210"/>
    </row>
    <row r="3119" spans="1:5" ht="27">
      <c r="A3119" s="446">
        <v>96988</v>
      </c>
      <c r="B3119" s="447" t="s">
        <v>3455</v>
      </c>
      <c r="C3119" s="446" t="s">
        <v>34</v>
      </c>
      <c r="D3119" s="448">
        <v>188.92</v>
      </c>
      <c r="E3119" s="210"/>
    </row>
    <row r="3120" spans="1:5" ht="27">
      <c r="A3120" s="446">
        <v>96989</v>
      </c>
      <c r="B3120" s="447" t="s">
        <v>3456</v>
      </c>
      <c r="C3120" s="446" t="s">
        <v>34</v>
      </c>
      <c r="D3120" s="448">
        <v>124.06</v>
      </c>
      <c r="E3120" s="210"/>
    </row>
    <row r="3121" spans="1:5" ht="40.5">
      <c r="A3121" s="446">
        <v>98463</v>
      </c>
      <c r="B3121" s="447" t="s">
        <v>3450</v>
      </c>
      <c r="C3121" s="446" t="s">
        <v>34</v>
      </c>
      <c r="D3121" s="448">
        <v>20.91</v>
      </c>
      <c r="E3121" s="210"/>
    </row>
    <row r="3122" spans="1:5" ht="81">
      <c r="A3122" s="446">
        <v>96765</v>
      </c>
      <c r="B3122" s="447" t="s">
        <v>5823</v>
      </c>
      <c r="C3122" s="446" t="s">
        <v>34</v>
      </c>
      <c r="D3122" s="448">
        <v>1244.3699999999999</v>
      </c>
      <c r="E3122" s="210"/>
    </row>
    <row r="3123" spans="1:5" ht="40.5">
      <c r="A3123" s="446">
        <v>101905</v>
      </c>
      <c r="B3123" s="447" t="s">
        <v>5824</v>
      </c>
      <c r="C3123" s="446" t="s">
        <v>34</v>
      </c>
      <c r="D3123" s="448">
        <v>179.57</v>
      </c>
      <c r="E3123" s="210"/>
    </row>
    <row r="3124" spans="1:5" ht="40.5">
      <c r="A3124" s="446">
        <v>101906</v>
      </c>
      <c r="B3124" s="447" t="s">
        <v>5825</v>
      </c>
      <c r="C3124" s="446" t="s">
        <v>34</v>
      </c>
      <c r="D3124" s="448">
        <v>535.67999999999995</v>
      </c>
      <c r="E3124" s="210"/>
    </row>
    <row r="3125" spans="1:5" ht="40.5">
      <c r="A3125" s="446">
        <v>101907</v>
      </c>
      <c r="B3125" s="447" t="s">
        <v>5826</v>
      </c>
      <c r="C3125" s="446" t="s">
        <v>34</v>
      </c>
      <c r="D3125" s="448">
        <v>579.07000000000005</v>
      </c>
      <c r="E3125" s="210"/>
    </row>
    <row r="3126" spans="1:5" ht="40.5">
      <c r="A3126" s="446">
        <v>101908</v>
      </c>
      <c r="B3126" s="447" t="s">
        <v>5827</v>
      </c>
      <c r="C3126" s="446" t="s">
        <v>34</v>
      </c>
      <c r="D3126" s="448">
        <v>174.14</v>
      </c>
      <c r="E3126" s="210"/>
    </row>
    <row r="3127" spans="1:5" ht="40.5">
      <c r="A3127" s="446">
        <v>101909</v>
      </c>
      <c r="B3127" s="447" t="s">
        <v>5828</v>
      </c>
      <c r="C3127" s="446" t="s">
        <v>34</v>
      </c>
      <c r="D3127" s="448">
        <v>203.07</v>
      </c>
      <c r="E3127" s="210"/>
    </row>
    <row r="3128" spans="1:5" ht="40.5">
      <c r="A3128" s="446">
        <v>101910</v>
      </c>
      <c r="B3128" s="447" t="s">
        <v>5829</v>
      </c>
      <c r="C3128" s="446" t="s">
        <v>34</v>
      </c>
      <c r="D3128" s="448">
        <v>239.22</v>
      </c>
      <c r="E3128" s="210"/>
    </row>
    <row r="3129" spans="1:5" ht="40.5">
      <c r="A3129" s="446">
        <v>101911</v>
      </c>
      <c r="B3129" s="447" t="s">
        <v>5830</v>
      </c>
      <c r="C3129" s="446" t="s">
        <v>34</v>
      </c>
      <c r="D3129" s="448">
        <v>275.37</v>
      </c>
      <c r="E3129" s="210"/>
    </row>
    <row r="3130" spans="1:5" ht="81">
      <c r="A3130" s="446">
        <v>101912</v>
      </c>
      <c r="B3130" s="447" t="s">
        <v>5831</v>
      </c>
      <c r="C3130" s="446" t="s">
        <v>34</v>
      </c>
      <c r="D3130" s="448">
        <v>1215.6600000000001</v>
      </c>
      <c r="E3130" s="210"/>
    </row>
    <row r="3131" spans="1:5" ht="27">
      <c r="A3131" s="446">
        <v>101913</v>
      </c>
      <c r="B3131" s="447" t="s">
        <v>5832</v>
      </c>
      <c r="C3131" s="446" t="s">
        <v>34</v>
      </c>
      <c r="D3131" s="448">
        <v>405.71</v>
      </c>
      <c r="E3131" s="210"/>
    </row>
    <row r="3132" spans="1:5" ht="27">
      <c r="A3132" s="446">
        <v>101914</v>
      </c>
      <c r="B3132" s="447" t="s">
        <v>5833</v>
      </c>
      <c r="C3132" s="446" t="s">
        <v>34</v>
      </c>
      <c r="D3132" s="448">
        <v>346.59</v>
      </c>
      <c r="E3132" s="210"/>
    </row>
    <row r="3133" spans="1:5" ht="67.5">
      <c r="A3133" s="446">
        <v>101915</v>
      </c>
      <c r="B3133" s="447" t="s">
        <v>5834</v>
      </c>
      <c r="C3133" s="446" t="s">
        <v>34</v>
      </c>
      <c r="D3133" s="448">
        <v>332.9</v>
      </c>
      <c r="E3133" s="210"/>
    </row>
    <row r="3134" spans="1:5" ht="40.5">
      <c r="A3134" s="446">
        <v>101916</v>
      </c>
      <c r="B3134" s="447" t="s">
        <v>5835</v>
      </c>
      <c r="C3134" s="446" t="s">
        <v>34</v>
      </c>
      <c r="D3134" s="448">
        <v>2746.96</v>
      </c>
      <c r="E3134" s="210"/>
    </row>
    <row r="3135" spans="1:5" ht="40.5">
      <c r="A3135" s="446">
        <v>101917</v>
      </c>
      <c r="B3135" s="447" t="s">
        <v>5836</v>
      </c>
      <c r="C3135" s="446" t="s">
        <v>34</v>
      </c>
      <c r="D3135" s="448">
        <v>116.45</v>
      </c>
      <c r="E3135" s="210"/>
    </row>
    <row r="3136" spans="1:5" ht="40.5">
      <c r="A3136" s="446">
        <v>98261</v>
      </c>
      <c r="B3136" s="447" t="s">
        <v>5028</v>
      </c>
      <c r="C3136" s="446" t="s">
        <v>14</v>
      </c>
      <c r="D3136" s="448">
        <v>2.96</v>
      </c>
      <c r="E3136" s="210"/>
    </row>
    <row r="3137" spans="1:5" ht="54">
      <c r="A3137" s="446">
        <v>98262</v>
      </c>
      <c r="B3137" s="447" t="s">
        <v>5029</v>
      </c>
      <c r="C3137" s="446" t="s">
        <v>14</v>
      </c>
      <c r="D3137" s="448">
        <v>3.79</v>
      </c>
      <c r="E3137" s="210"/>
    </row>
    <row r="3138" spans="1:5" ht="54">
      <c r="A3138" s="446">
        <v>98263</v>
      </c>
      <c r="B3138" s="447" t="s">
        <v>5030</v>
      </c>
      <c r="C3138" s="446" t="s">
        <v>14</v>
      </c>
      <c r="D3138" s="448">
        <v>4.82</v>
      </c>
      <c r="E3138" s="210"/>
    </row>
    <row r="3139" spans="1:5" ht="54">
      <c r="A3139" s="446">
        <v>98264</v>
      </c>
      <c r="B3139" s="447" t="s">
        <v>5031</v>
      </c>
      <c r="C3139" s="446" t="s">
        <v>14</v>
      </c>
      <c r="D3139" s="448">
        <v>5.63</v>
      </c>
      <c r="E3139" s="210"/>
    </row>
    <row r="3140" spans="1:5" ht="54">
      <c r="A3140" s="446">
        <v>98265</v>
      </c>
      <c r="B3140" s="447" t="s">
        <v>5032</v>
      </c>
      <c r="C3140" s="446" t="s">
        <v>14</v>
      </c>
      <c r="D3140" s="448">
        <v>6.85</v>
      </c>
      <c r="E3140" s="210"/>
    </row>
    <row r="3141" spans="1:5" ht="54">
      <c r="A3141" s="446">
        <v>98266</v>
      </c>
      <c r="B3141" s="447" t="s">
        <v>5033</v>
      </c>
      <c r="C3141" s="446" t="s">
        <v>14</v>
      </c>
      <c r="D3141" s="448">
        <v>7.58</v>
      </c>
      <c r="E3141" s="210"/>
    </row>
    <row r="3142" spans="1:5" ht="40.5">
      <c r="A3142" s="446">
        <v>98267</v>
      </c>
      <c r="B3142" s="447" t="s">
        <v>5034</v>
      </c>
      <c r="C3142" s="446" t="s">
        <v>14</v>
      </c>
      <c r="D3142" s="448">
        <v>13.34</v>
      </c>
      <c r="E3142" s="210"/>
    </row>
    <row r="3143" spans="1:5" ht="40.5">
      <c r="A3143" s="446">
        <v>98268</v>
      </c>
      <c r="B3143" s="447" t="s">
        <v>5035</v>
      </c>
      <c r="C3143" s="446" t="s">
        <v>14</v>
      </c>
      <c r="D3143" s="448">
        <v>23.47</v>
      </c>
      <c r="E3143" s="210"/>
    </row>
    <row r="3144" spans="1:5" ht="40.5">
      <c r="A3144" s="446">
        <v>98269</v>
      </c>
      <c r="B3144" s="447" t="s">
        <v>5036</v>
      </c>
      <c r="C3144" s="446" t="s">
        <v>14</v>
      </c>
      <c r="D3144" s="448">
        <v>31.09</v>
      </c>
      <c r="E3144" s="210"/>
    </row>
    <row r="3145" spans="1:5" ht="40.5">
      <c r="A3145" s="446">
        <v>98270</v>
      </c>
      <c r="B3145" s="447" t="s">
        <v>5037</v>
      </c>
      <c r="C3145" s="446" t="s">
        <v>14</v>
      </c>
      <c r="D3145" s="448">
        <v>52.73</v>
      </c>
      <c r="E3145" s="210"/>
    </row>
    <row r="3146" spans="1:5" ht="40.5">
      <c r="A3146" s="446">
        <v>98271</v>
      </c>
      <c r="B3146" s="447" t="s">
        <v>5038</v>
      </c>
      <c r="C3146" s="446" t="s">
        <v>14</v>
      </c>
      <c r="D3146" s="448">
        <v>83.94</v>
      </c>
      <c r="E3146" s="210"/>
    </row>
    <row r="3147" spans="1:5" ht="40.5">
      <c r="A3147" s="446">
        <v>98272</v>
      </c>
      <c r="B3147" s="447" t="s">
        <v>5039</v>
      </c>
      <c r="C3147" s="446" t="s">
        <v>14</v>
      </c>
      <c r="D3147" s="448">
        <v>201.87</v>
      </c>
      <c r="E3147" s="210"/>
    </row>
    <row r="3148" spans="1:5" ht="40.5">
      <c r="A3148" s="446">
        <v>98273</v>
      </c>
      <c r="B3148" s="447" t="s">
        <v>5040</v>
      </c>
      <c r="C3148" s="446" t="s">
        <v>14</v>
      </c>
      <c r="D3148" s="448">
        <v>3.68</v>
      </c>
      <c r="E3148" s="210"/>
    </row>
    <row r="3149" spans="1:5" ht="40.5">
      <c r="A3149" s="446">
        <v>98274</v>
      </c>
      <c r="B3149" s="447" t="s">
        <v>5041</v>
      </c>
      <c r="C3149" s="446" t="s">
        <v>14</v>
      </c>
      <c r="D3149" s="448">
        <v>4.91</v>
      </c>
      <c r="E3149" s="210"/>
    </row>
    <row r="3150" spans="1:5" ht="40.5">
      <c r="A3150" s="446">
        <v>98275</v>
      </c>
      <c r="B3150" s="447" t="s">
        <v>5042</v>
      </c>
      <c r="C3150" s="446" t="s">
        <v>14</v>
      </c>
      <c r="D3150" s="448">
        <v>5.63</v>
      </c>
      <c r="E3150" s="210"/>
    </row>
    <row r="3151" spans="1:5" ht="40.5">
      <c r="A3151" s="446">
        <v>98276</v>
      </c>
      <c r="B3151" s="447" t="s">
        <v>5043</v>
      </c>
      <c r="C3151" s="446" t="s">
        <v>14</v>
      </c>
      <c r="D3151" s="448">
        <v>11.39</v>
      </c>
      <c r="E3151" s="210"/>
    </row>
    <row r="3152" spans="1:5" ht="40.5">
      <c r="A3152" s="446">
        <v>98277</v>
      </c>
      <c r="B3152" s="447" t="s">
        <v>5044</v>
      </c>
      <c r="C3152" s="446" t="s">
        <v>14</v>
      </c>
      <c r="D3152" s="448">
        <v>21.53</v>
      </c>
      <c r="E3152" s="210"/>
    </row>
    <row r="3153" spans="1:5" ht="40.5">
      <c r="A3153" s="446">
        <v>98278</v>
      </c>
      <c r="B3153" s="447" t="s">
        <v>5045</v>
      </c>
      <c r="C3153" s="446" t="s">
        <v>14</v>
      </c>
      <c r="D3153" s="448">
        <v>29.14</v>
      </c>
      <c r="E3153" s="210"/>
    </row>
    <row r="3154" spans="1:5" ht="40.5">
      <c r="A3154" s="446">
        <v>98279</v>
      </c>
      <c r="B3154" s="447" t="s">
        <v>5046</v>
      </c>
      <c r="C3154" s="446" t="s">
        <v>14</v>
      </c>
      <c r="D3154" s="448">
        <v>50.78</v>
      </c>
      <c r="E3154" s="210"/>
    </row>
    <row r="3155" spans="1:5" ht="54">
      <c r="A3155" s="446">
        <v>98280</v>
      </c>
      <c r="B3155" s="447" t="s">
        <v>5047</v>
      </c>
      <c r="C3155" s="446" t="s">
        <v>14</v>
      </c>
      <c r="D3155" s="448">
        <v>5.47</v>
      </c>
      <c r="E3155" s="210"/>
    </row>
    <row r="3156" spans="1:5" ht="54">
      <c r="A3156" s="446">
        <v>98281</v>
      </c>
      <c r="B3156" s="447" t="s">
        <v>5048</v>
      </c>
      <c r="C3156" s="446" t="s">
        <v>14</v>
      </c>
      <c r="D3156" s="448">
        <v>6.3</v>
      </c>
      <c r="E3156" s="210"/>
    </row>
    <row r="3157" spans="1:5" ht="54">
      <c r="A3157" s="446">
        <v>98282</v>
      </c>
      <c r="B3157" s="447" t="s">
        <v>5049</v>
      </c>
      <c r="C3157" s="446" t="s">
        <v>14</v>
      </c>
      <c r="D3157" s="448">
        <v>7.32</v>
      </c>
      <c r="E3157" s="210"/>
    </row>
    <row r="3158" spans="1:5" ht="54">
      <c r="A3158" s="446">
        <v>98283</v>
      </c>
      <c r="B3158" s="447" t="s">
        <v>5050</v>
      </c>
      <c r="C3158" s="446" t="s">
        <v>14</v>
      </c>
      <c r="D3158" s="448">
        <v>8.1300000000000008</v>
      </c>
      <c r="E3158" s="210"/>
    </row>
    <row r="3159" spans="1:5" ht="54">
      <c r="A3159" s="446">
        <v>98284</v>
      </c>
      <c r="B3159" s="447" t="s">
        <v>5051</v>
      </c>
      <c r="C3159" s="446" t="s">
        <v>14</v>
      </c>
      <c r="D3159" s="448">
        <v>9.35</v>
      </c>
      <c r="E3159" s="210"/>
    </row>
    <row r="3160" spans="1:5" ht="54">
      <c r="A3160" s="446">
        <v>98285</v>
      </c>
      <c r="B3160" s="447" t="s">
        <v>5052</v>
      </c>
      <c r="C3160" s="446" t="s">
        <v>14</v>
      </c>
      <c r="D3160" s="448">
        <v>10.08</v>
      </c>
      <c r="E3160" s="210"/>
    </row>
    <row r="3161" spans="1:5" ht="54">
      <c r="A3161" s="446">
        <v>98286</v>
      </c>
      <c r="B3161" s="447" t="s">
        <v>5053</v>
      </c>
      <c r="C3161" s="446" t="s">
        <v>14</v>
      </c>
      <c r="D3161" s="448">
        <v>15.85</v>
      </c>
      <c r="E3161" s="210"/>
    </row>
    <row r="3162" spans="1:5" ht="54">
      <c r="A3162" s="446">
        <v>98287</v>
      </c>
      <c r="B3162" s="447" t="s">
        <v>5054</v>
      </c>
      <c r="C3162" s="446" t="s">
        <v>14</v>
      </c>
      <c r="D3162" s="448">
        <v>1.46</v>
      </c>
      <c r="E3162" s="210"/>
    </row>
    <row r="3163" spans="1:5" ht="54">
      <c r="A3163" s="446">
        <v>98288</v>
      </c>
      <c r="B3163" s="447" t="s">
        <v>5055</v>
      </c>
      <c r="C3163" s="446" t="s">
        <v>14</v>
      </c>
      <c r="D3163" s="448">
        <v>2.29</v>
      </c>
      <c r="E3163" s="210"/>
    </row>
    <row r="3164" spans="1:5" ht="54">
      <c r="A3164" s="446">
        <v>98289</v>
      </c>
      <c r="B3164" s="447" t="s">
        <v>5056</v>
      </c>
      <c r="C3164" s="446" t="s">
        <v>14</v>
      </c>
      <c r="D3164" s="448">
        <v>3.32</v>
      </c>
      <c r="E3164" s="210"/>
    </row>
    <row r="3165" spans="1:5" ht="54">
      <c r="A3165" s="446">
        <v>98290</v>
      </c>
      <c r="B3165" s="447" t="s">
        <v>5057</v>
      </c>
      <c r="C3165" s="446" t="s">
        <v>14</v>
      </c>
      <c r="D3165" s="448">
        <v>4.12</v>
      </c>
      <c r="E3165" s="210"/>
    </row>
    <row r="3166" spans="1:5" ht="54">
      <c r="A3166" s="446">
        <v>98291</v>
      </c>
      <c r="B3166" s="447" t="s">
        <v>5058</v>
      </c>
      <c r="C3166" s="446" t="s">
        <v>14</v>
      </c>
      <c r="D3166" s="448">
        <v>5.35</v>
      </c>
      <c r="E3166" s="210"/>
    </row>
    <row r="3167" spans="1:5" ht="54">
      <c r="A3167" s="446">
        <v>98292</v>
      </c>
      <c r="B3167" s="447" t="s">
        <v>5059</v>
      </c>
      <c r="C3167" s="446" t="s">
        <v>14</v>
      </c>
      <c r="D3167" s="448">
        <v>6.08</v>
      </c>
      <c r="E3167" s="210"/>
    </row>
    <row r="3168" spans="1:5" ht="54">
      <c r="A3168" s="446">
        <v>98293</v>
      </c>
      <c r="B3168" s="447" t="s">
        <v>5060</v>
      </c>
      <c r="C3168" s="446" t="s">
        <v>14</v>
      </c>
      <c r="D3168" s="448">
        <v>11.84</v>
      </c>
      <c r="E3168" s="210"/>
    </row>
    <row r="3169" spans="1:5" ht="40.5">
      <c r="A3169" s="446">
        <v>98400</v>
      </c>
      <c r="B3169" s="447" t="s">
        <v>5061</v>
      </c>
      <c r="C3169" s="446" t="s">
        <v>14</v>
      </c>
      <c r="D3169" s="448">
        <v>16.440000000000001</v>
      </c>
      <c r="E3169" s="210"/>
    </row>
    <row r="3170" spans="1:5" ht="40.5">
      <c r="A3170" s="446">
        <v>98401</v>
      </c>
      <c r="B3170" s="447" t="s">
        <v>5062</v>
      </c>
      <c r="C3170" s="446" t="s">
        <v>14</v>
      </c>
      <c r="D3170" s="448">
        <v>26.81</v>
      </c>
      <c r="E3170" s="210"/>
    </row>
    <row r="3171" spans="1:5" ht="40.5">
      <c r="A3171" s="446">
        <v>98402</v>
      </c>
      <c r="B3171" s="447" t="s">
        <v>5063</v>
      </c>
      <c r="C3171" s="446" t="s">
        <v>14</v>
      </c>
      <c r="D3171" s="448">
        <v>35.520000000000003</v>
      </c>
      <c r="E3171" s="210"/>
    </row>
    <row r="3172" spans="1:5" ht="40.5">
      <c r="A3172" s="446">
        <v>100556</v>
      </c>
      <c r="B3172" s="447" t="s">
        <v>5064</v>
      </c>
      <c r="C3172" s="446" t="s">
        <v>34</v>
      </c>
      <c r="D3172" s="448">
        <v>35.25</v>
      </c>
      <c r="E3172" s="210"/>
    </row>
    <row r="3173" spans="1:5" ht="40.5">
      <c r="A3173" s="446">
        <v>100557</v>
      </c>
      <c r="B3173" s="447" t="s">
        <v>5065</v>
      </c>
      <c r="C3173" s="446" t="s">
        <v>34</v>
      </c>
      <c r="D3173" s="448">
        <v>483.28</v>
      </c>
      <c r="E3173" s="210"/>
    </row>
    <row r="3174" spans="1:5" ht="67.5">
      <c r="A3174" s="446">
        <v>100560</v>
      </c>
      <c r="B3174" s="447" t="s">
        <v>5066</v>
      </c>
      <c r="C3174" s="446" t="s">
        <v>34</v>
      </c>
      <c r="D3174" s="448">
        <v>96.04</v>
      </c>
      <c r="E3174" s="210"/>
    </row>
    <row r="3175" spans="1:5" ht="67.5">
      <c r="A3175" s="446">
        <v>100561</v>
      </c>
      <c r="B3175" s="447" t="s">
        <v>5067</v>
      </c>
      <c r="C3175" s="446" t="s">
        <v>34</v>
      </c>
      <c r="D3175" s="448">
        <v>183.2</v>
      </c>
      <c r="E3175" s="210"/>
    </row>
    <row r="3176" spans="1:5" ht="67.5">
      <c r="A3176" s="446">
        <v>100562</v>
      </c>
      <c r="B3176" s="447" t="s">
        <v>5068</v>
      </c>
      <c r="C3176" s="446" t="s">
        <v>34</v>
      </c>
      <c r="D3176" s="448">
        <v>288.61</v>
      </c>
      <c r="E3176" s="210"/>
    </row>
    <row r="3177" spans="1:5" ht="54">
      <c r="A3177" s="446">
        <v>100563</v>
      </c>
      <c r="B3177" s="447" t="s">
        <v>5069</v>
      </c>
      <c r="C3177" s="446" t="s">
        <v>34</v>
      </c>
      <c r="D3177" s="448">
        <v>420.19</v>
      </c>
      <c r="E3177" s="210"/>
    </row>
    <row r="3178" spans="1:5" ht="67.5">
      <c r="A3178" s="446">
        <v>101795</v>
      </c>
      <c r="B3178" s="447" t="s">
        <v>6596</v>
      </c>
      <c r="C3178" s="446" t="s">
        <v>34</v>
      </c>
      <c r="D3178" s="448">
        <v>424.68</v>
      </c>
      <c r="E3178" s="210"/>
    </row>
    <row r="3179" spans="1:5" ht="54">
      <c r="A3179" s="446">
        <v>101798</v>
      </c>
      <c r="B3179" s="447" t="s">
        <v>6597</v>
      </c>
      <c r="C3179" s="446" t="s">
        <v>34</v>
      </c>
      <c r="D3179" s="448">
        <v>368.51</v>
      </c>
      <c r="E3179" s="210"/>
    </row>
    <row r="3180" spans="1:5" ht="54">
      <c r="A3180" s="446">
        <v>101799</v>
      </c>
      <c r="B3180" s="447" t="s">
        <v>6598</v>
      </c>
      <c r="C3180" s="446" t="s">
        <v>34</v>
      </c>
      <c r="D3180" s="448">
        <v>907.61</v>
      </c>
      <c r="E3180" s="210"/>
    </row>
    <row r="3181" spans="1:5" ht="27">
      <c r="A3181" s="446">
        <v>98397</v>
      </c>
      <c r="B3181" s="447" t="s">
        <v>3509</v>
      </c>
      <c r="C3181" s="446" t="s">
        <v>42</v>
      </c>
      <c r="D3181" s="448">
        <v>8.33</v>
      </c>
      <c r="E3181" s="210"/>
    </row>
    <row r="3182" spans="1:5" ht="81">
      <c r="A3182" s="446">
        <v>101936</v>
      </c>
      <c r="B3182" s="447" t="s">
        <v>5837</v>
      </c>
      <c r="C3182" s="446" t="s">
        <v>34</v>
      </c>
      <c r="D3182" s="448">
        <v>5384.42</v>
      </c>
      <c r="E3182" s="210"/>
    </row>
    <row r="3183" spans="1:5" ht="81">
      <c r="A3183" s="446">
        <v>101937</v>
      </c>
      <c r="B3183" s="447" t="s">
        <v>5838</v>
      </c>
      <c r="C3183" s="446" t="s">
        <v>34</v>
      </c>
      <c r="D3183" s="448">
        <v>9647.2900000000009</v>
      </c>
      <c r="E3183" s="210"/>
    </row>
    <row r="3184" spans="1:5" ht="40.5">
      <c r="A3184" s="446">
        <v>98294</v>
      </c>
      <c r="B3184" s="447" t="s">
        <v>5070</v>
      </c>
      <c r="C3184" s="446" t="s">
        <v>14</v>
      </c>
      <c r="D3184" s="448">
        <v>1.83</v>
      </c>
      <c r="E3184" s="210"/>
    </row>
    <row r="3185" spans="1:5" ht="40.5">
      <c r="A3185" s="446">
        <v>98295</v>
      </c>
      <c r="B3185" s="447" t="s">
        <v>5071</v>
      </c>
      <c r="C3185" s="446" t="s">
        <v>14</v>
      </c>
      <c r="D3185" s="448">
        <v>1.38</v>
      </c>
      <c r="E3185" s="210"/>
    </row>
    <row r="3186" spans="1:5" ht="40.5">
      <c r="A3186" s="446">
        <v>98296</v>
      </c>
      <c r="B3186" s="447" t="s">
        <v>5072</v>
      </c>
      <c r="C3186" s="446" t="s">
        <v>14</v>
      </c>
      <c r="D3186" s="448">
        <v>2.82</v>
      </c>
      <c r="E3186" s="210"/>
    </row>
    <row r="3187" spans="1:5" ht="40.5">
      <c r="A3187" s="446">
        <v>98297</v>
      </c>
      <c r="B3187" s="447" t="s">
        <v>5073</v>
      </c>
      <c r="C3187" s="446" t="s">
        <v>14</v>
      </c>
      <c r="D3187" s="448">
        <v>2.1</v>
      </c>
      <c r="E3187" s="210"/>
    </row>
    <row r="3188" spans="1:5" ht="27">
      <c r="A3188" s="446">
        <v>98301</v>
      </c>
      <c r="B3188" s="447" t="s">
        <v>5074</v>
      </c>
      <c r="C3188" s="446" t="s">
        <v>34</v>
      </c>
      <c r="D3188" s="448">
        <v>400.02</v>
      </c>
      <c r="E3188" s="210"/>
    </row>
    <row r="3189" spans="1:5" ht="27">
      <c r="A3189" s="446">
        <v>98302</v>
      </c>
      <c r="B3189" s="447" t="s">
        <v>5075</v>
      </c>
      <c r="C3189" s="446" t="s">
        <v>34</v>
      </c>
      <c r="D3189" s="448">
        <v>548.41999999999996</v>
      </c>
      <c r="E3189" s="210"/>
    </row>
    <row r="3190" spans="1:5" ht="27">
      <c r="A3190" s="446">
        <v>98304</v>
      </c>
      <c r="B3190" s="447" t="s">
        <v>5076</v>
      </c>
      <c r="C3190" s="446" t="s">
        <v>34</v>
      </c>
      <c r="D3190" s="448">
        <v>867.55</v>
      </c>
      <c r="E3190" s="210"/>
    </row>
    <row r="3191" spans="1:5" ht="27">
      <c r="A3191" s="446">
        <v>98307</v>
      </c>
      <c r="B3191" s="447" t="s">
        <v>5077</v>
      </c>
      <c r="C3191" s="446" t="s">
        <v>34</v>
      </c>
      <c r="D3191" s="448">
        <v>35.67</v>
      </c>
      <c r="E3191" s="210"/>
    </row>
    <row r="3192" spans="1:5" ht="27">
      <c r="A3192" s="446">
        <v>98308</v>
      </c>
      <c r="B3192" s="447" t="s">
        <v>5078</v>
      </c>
      <c r="C3192" s="446" t="s">
        <v>34</v>
      </c>
      <c r="D3192" s="448">
        <v>23.09</v>
      </c>
      <c r="E3192" s="210"/>
    </row>
    <row r="3193" spans="1:5" ht="27">
      <c r="A3193" s="446">
        <v>98593</v>
      </c>
      <c r="B3193" s="447" t="s">
        <v>5079</v>
      </c>
      <c r="C3193" s="446" t="s">
        <v>34</v>
      </c>
      <c r="D3193" s="448">
        <v>690.3</v>
      </c>
      <c r="E3193" s="210"/>
    </row>
    <row r="3194" spans="1:5" ht="40.5">
      <c r="A3194" s="446">
        <v>89355</v>
      </c>
      <c r="B3194" s="447" t="s">
        <v>226</v>
      </c>
      <c r="C3194" s="446" t="s">
        <v>14</v>
      </c>
      <c r="D3194" s="448">
        <v>13.17</v>
      </c>
      <c r="E3194" s="210"/>
    </row>
    <row r="3195" spans="1:5" ht="40.5">
      <c r="A3195" s="446">
        <v>89356</v>
      </c>
      <c r="B3195" s="447" t="s">
        <v>227</v>
      </c>
      <c r="C3195" s="446" t="s">
        <v>14</v>
      </c>
      <c r="D3195" s="448">
        <v>15.62</v>
      </c>
      <c r="E3195" s="210"/>
    </row>
    <row r="3196" spans="1:5" ht="40.5">
      <c r="A3196" s="446">
        <v>89357</v>
      </c>
      <c r="B3196" s="447" t="s">
        <v>228</v>
      </c>
      <c r="C3196" s="446" t="s">
        <v>14</v>
      </c>
      <c r="D3196" s="448">
        <v>22.7</v>
      </c>
      <c r="E3196" s="210"/>
    </row>
    <row r="3197" spans="1:5" ht="40.5">
      <c r="A3197" s="446">
        <v>89401</v>
      </c>
      <c r="B3197" s="447" t="s">
        <v>1318</v>
      </c>
      <c r="C3197" s="446" t="s">
        <v>14</v>
      </c>
      <c r="D3197" s="448">
        <v>6.09</v>
      </c>
      <c r="E3197" s="210"/>
    </row>
    <row r="3198" spans="1:5" ht="40.5">
      <c r="A3198" s="446">
        <v>89402</v>
      </c>
      <c r="B3198" s="447" t="s">
        <v>1319</v>
      </c>
      <c r="C3198" s="446" t="s">
        <v>14</v>
      </c>
      <c r="D3198" s="448">
        <v>7.46</v>
      </c>
      <c r="E3198" s="210"/>
    </row>
    <row r="3199" spans="1:5" ht="40.5">
      <c r="A3199" s="446">
        <v>89403</v>
      </c>
      <c r="B3199" s="447" t="s">
        <v>1320</v>
      </c>
      <c r="C3199" s="446" t="s">
        <v>14</v>
      </c>
      <c r="D3199" s="448">
        <v>12.93</v>
      </c>
      <c r="E3199" s="210"/>
    </row>
    <row r="3200" spans="1:5" ht="40.5">
      <c r="A3200" s="446">
        <v>89446</v>
      </c>
      <c r="B3200" s="447" t="s">
        <v>1357</v>
      </c>
      <c r="C3200" s="446" t="s">
        <v>14</v>
      </c>
      <c r="D3200" s="448">
        <v>4.3600000000000003</v>
      </c>
      <c r="E3200" s="210"/>
    </row>
    <row r="3201" spans="1:5" ht="40.5">
      <c r="A3201" s="446">
        <v>89447</v>
      </c>
      <c r="B3201" s="447" t="s">
        <v>1358</v>
      </c>
      <c r="C3201" s="446" t="s">
        <v>14</v>
      </c>
      <c r="D3201" s="448">
        <v>9.2899999999999991</v>
      </c>
      <c r="E3201" s="210"/>
    </row>
    <row r="3202" spans="1:5" ht="40.5">
      <c r="A3202" s="446">
        <v>89448</v>
      </c>
      <c r="B3202" s="447" t="s">
        <v>1359</v>
      </c>
      <c r="C3202" s="446" t="s">
        <v>14</v>
      </c>
      <c r="D3202" s="448">
        <v>13.4</v>
      </c>
      <c r="E3202" s="210"/>
    </row>
    <row r="3203" spans="1:5" ht="40.5">
      <c r="A3203" s="446">
        <v>89449</v>
      </c>
      <c r="B3203" s="447" t="s">
        <v>1360</v>
      </c>
      <c r="C3203" s="446" t="s">
        <v>14</v>
      </c>
      <c r="D3203" s="448">
        <v>15.42</v>
      </c>
      <c r="E3203" s="210"/>
    </row>
    <row r="3204" spans="1:5" ht="40.5">
      <c r="A3204" s="446">
        <v>89450</v>
      </c>
      <c r="B3204" s="447" t="s">
        <v>1361</v>
      </c>
      <c r="C3204" s="446" t="s">
        <v>14</v>
      </c>
      <c r="D3204" s="448">
        <v>25.53</v>
      </c>
      <c r="E3204" s="210"/>
    </row>
    <row r="3205" spans="1:5" ht="40.5">
      <c r="A3205" s="446">
        <v>89451</v>
      </c>
      <c r="B3205" s="447" t="s">
        <v>1362</v>
      </c>
      <c r="C3205" s="446" t="s">
        <v>14</v>
      </c>
      <c r="D3205" s="448">
        <v>42.31</v>
      </c>
      <c r="E3205" s="210"/>
    </row>
    <row r="3206" spans="1:5" ht="40.5">
      <c r="A3206" s="446">
        <v>89452</v>
      </c>
      <c r="B3206" s="447" t="s">
        <v>1363</v>
      </c>
      <c r="C3206" s="446" t="s">
        <v>14</v>
      </c>
      <c r="D3206" s="448">
        <v>52.7</v>
      </c>
      <c r="E3206" s="210"/>
    </row>
    <row r="3207" spans="1:5" ht="40.5">
      <c r="A3207" s="446">
        <v>89508</v>
      </c>
      <c r="B3207" s="447" t="s">
        <v>1399</v>
      </c>
      <c r="C3207" s="446" t="s">
        <v>14</v>
      </c>
      <c r="D3207" s="448">
        <v>17.14</v>
      </c>
      <c r="E3207" s="210"/>
    </row>
    <row r="3208" spans="1:5" ht="40.5">
      <c r="A3208" s="446">
        <v>89509</v>
      </c>
      <c r="B3208" s="447" t="s">
        <v>1400</v>
      </c>
      <c r="C3208" s="446" t="s">
        <v>14</v>
      </c>
      <c r="D3208" s="448">
        <v>23.95</v>
      </c>
      <c r="E3208" s="210"/>
    </row>
    <row r="3209" spans="1:5" ht="40.5">
      <c r="A3209" s="446">
        <v>89511</v>
      </c>
      <c r="B3209" s="447" t="s">
        <v>1401</v>
      </c>
      <c r="C3209" s="446" t="s">
        <v>14</v>
      </c>
      <c r="D3209" s="448">
        <v>35.56</v>
      </c>
      <c r="E3209" s="210"/>
    </row>
    <row r="3210" spans="1:5" ht="40.5">
      <c r="A3210" s="446">
        <v>89512</v>
      </c>
      <c r="B3210" s="447" t="s">
        <v>1402</v>
      </c>
      <c r="C3210" s="446" t="s">
        <v>14</v>
      </c>
      <c r="D3210" s="448">
        <v>56.95</v>
      </c>
      <c r="E3210" s="210"/>
    </row>
    <row r="3211" spans="1:5" ht="40.5">
      <c r="A3211" s="446">
        <v>89576</v>
      </c>
      <c r="B3211" s="447" t="s">
        <v>1435</v>
      </c>
      <c r="C3211" s="446" t="s">
        <v>14</v>
      </c>
      <c r="D3211" s="448">
        <v>22.36</v>
      </c>
      <c r="E3211" s="210"/>
    </row>
    <row r="3212" spans="1:5" ht="40.5">
      <c r="A3212" s="446">
        <v>89578</v>
      </c>
      <c r="B3212" s="447" t="s">
        <v>1436</v>
      </c>
      <c r="C3212" s="446" t="s">
        <v>14</v>
      </c>
      <c r="D3212" s="448">
        <v>38.65</v>
      </c>
      <c r="E3212" s="210"/>
    </row>
    <row r="3213" spans="1:5" ht="40.5">
      <c r="A3213" s="446">
        <v>89580</v>
      </c>
      <c r="B3213" s="447" t="s">
        <v>1438</v>
      </c>
      <c r="C3213" s="446" t="s">
        <v>14</v>
      </c>
      <c r="D3213" s="448">
        <v>76.39</v>
      </c>
      <c r="E3213" s="210"/>
    </row>
    <row r="3214" spans="1:5" ht="40.5">
      <c r="A3214" s="446">
        <v>89633</v>
      </c>
      <c r="B3214" s="447" t="s">
        <v>302</v>
      </c>
      <c r="C3214" s="446" t="s">
        <v>14</v>
      </c>
      <c r="D3214" s="448">
        <v>18.95</v>
      </c>
      <c r="E3214" s="210"/>
    </row>
    <row r="3215" spans="1:5" ht="40.5">
      <c r="A3215" s="446">
        <v>89634</v>
      </c>
      <c r="B3215" s="447" t="s">
        <v>303</v>
      </c>
      <c r="C3215" s="446" t="s">
        <v>14</v>
      </c>
      <c r="D3215" s="448">
        <v>29.35</v>
      </c>
      <c r="E3215" s="210"/>
    </row>
    <row r="3216" spans="1:5" ht="40.5">
      <c r="A3216" s="446">
        <v>89635</v>
      </c>
      <c r="B3216" s="447" t="s">
        <v>304</v>
      </c>
      <c r="C3216" s="446" t="s">
        <v>14</v>
      </c>
      <c r="D3216" s="448">
        <v>42.64</v>
      </c>
      <c r="E3216" s="210"/>
    </row>
    <row r="3217" spans="1:5" ht="40.5">
      <c r="A3217" s="446">
        <v>89636</v>
      </c>
      <c r="B3217" s="447" t="s">
        <v>1475</v>
      </c>
      <c r="C3217" s="446" t="s">
        <v>14</v>
      </c>
      <c r="D3217" s="448">
        <v>52.03</v>
      </c>
      <c r="E3217" s="210"/>
    </row>
    <row r="3218" spans="1:5" ht="54">
      <c r="A3218" s="446">
        <v>89711</v>
      </c>
      <c r="B3218" s="447" t="s">
        <v>1541</v>
      </c>
      <c r="C3218" s="446" t="s">
        <v>14</v>
      </c>
      <c r="D3218" s="448">
        <v>14.59</v>
      </c>
      <c r="E3218" s="210"/>
    </row>
    <row r="3219" spans="1:5" ht="54">
      <c r="A3219" s="446">
        <v>89712</v>
      </c>
      <c r="B3219" s="447" t="s">
        <v>1542</v>
      </c>
      <c r="C3219" s="446" t="s">
        <v>14</v>
      </c>
      <c r="D3219" s="448">
        <v>22.74</v>
      </c>
      <c r="E3219" s="210"/>
    </row>
    <row r="3220" spans="1:5" ht="54">
      <c r="A3220" s="446">
        <v>89713</v>
      </c>
      <c r="B3220" s="447" t="s">
        <v>1543</v>
      </c>
      <c r="C3220" s="446" t="s">
        <v>14</v>
      </c>
      <c r="D3220" s="448">
        <v>35.04</v>
      </c>
      <c r="E3220" s="210"/>
    </row>
    <row r="3221" spans="1:5" ht="54">
      <c r="A3221" s="446">
        <v>89714</v>
      </c>
      <c r="B3221" s="447" t="s">
        <v>1544</v>
      </c>
      <c r="C3221" s="446" t="s">
        <v>14</v>
      </c>
      <c r="D3221" s="448">
        <v>44.83</v>
      </c>
      <c r="E3221" s="210"/>
    </row>
    <row r="3222" spans="1:5" ht="54">
      <c r="A3222" s="446">
        <v>89716</v>
      </c>
      <c r="B3222" s="447" t="s">
        <v>1545</v>
      </c>
      <c r="C3222" s="446" t="s">
        <v>14</v>
      </c>
      <c r="D3222" s="448">
        <v>22</v>
      </c>
      <c r="E3222" s="210"/>
    </row>
    <row r="3223" spans="1:5" ht="54">
      <c r="A3223" s="446">
        <v>89717</v>
      </c>
      <c r="B3223" s="447" t="s">
        <v>1546</v>
      </c>
      <c r="C3223" s="446" t="s">
        <v>14</v>
      </c>
      <c r="D3223" s="448">
        <v>33.979999999999997</v>
      </c>
      <c r="E3223" s="210"/>
    </row>
    <row r="3224" spans="1:5" ht="40.5">
      <c r="A3224" s="446">
        <v>89770</v>
      </c>
      <c r="B3224" s="447" t="s">
        <v>1590</v>
      </c>
      <c r="C3224" s="446" t="s">
        <v>14</v>
      </c>
      <c r="D3224" s="448">
        <v>38.03</v>
      </c>
      <c r="E3224" s="210"/>
    </row>
    <row r="3225" spans="1:5" ht="40.5">
      <c r="A3225" s="446">
        <v>89771</v>
      </c>
      <c r="B3225" s="447" t="s">
        <v>1591</v>
      </c>
      <c r="C3225" s="446" t="s">
        <v>14</v>
      </c>
      <c r="D3225" s="448">
        <v>52</v>
      </c>
      <c r="E3225" s="210"/>
    </row>
    <row r="3226" spans="1:5" ht="40.5">
      <c r="A3226" s="446">
        <v>89773</v>
      </c>
      <c r="B3226" s="447" t="s">
        <v>1593</v>
      </c>
      <c r="C3226" s="446" t="s">
        <v>14</v>
      </c>
      <c r="D3226" s="448">
        <v>121.23</v>
      </c>
      <c r="E3226" s="210"/>
    </row>
    <row r="3227" spans="1:5" ht="40.5">
      <c r="A3227" s="446">
        <v>89775</v>
      </c>
      <c r="B3227" s="447" t="s">
        <v>1595</v>
      </c>
      <c r="C3227" s="446" t="s">
        <v>14</v>
      </c>
      <c r="D3227" s="448">
        <v>191.62</v>
      </c>
      <c r="E3227" s="210"/>
    </row>
    <row r="3228" spans="1:5" ht="54">
      <c r="A3228" s="446">
        <v>89798</v>
      </c>
      <c r="B3228" s="447" t="s">
        <v>1617</v>
      </c>
      <c r="C3228" s="446" t="s">
        <v>14</v>
      </c>
      <c r="D3228" s="448">
        <v>10.79</v>
      </c>
      <c r="E3228" s="210"/>
    </row>
    <row r="3229" spans="1:5" ht="54">
      <c r="A3229" s="446">
        <v>89799</v>
      </c>
      <c r="B3229" s="447" t="s">
        <v>1618</v>
      </c>
      <c r="C3229" s="446" t="s">
        <v>14</v>
      </c>
      <c r="D3229" s="448">
        <v>17.440000000000001</v>
      </c>
      <c r="E3229" s="210"/>
    </row>
    <row r="3230" spans="1:5" ht="54">
      <c r="A3230" s="446">
        <v>89800</v>
      </c>
      <c r="B3230" s="447" t="s">
        <v>1619</v>
      </c>
      <c r="C3230" s="446" t="s">
        <v>14</v>
      </c>
      <c r="D3230" s="448">
        <v>21.4</v>
      </c>
      <c r="E3230" s="210"/>
    </row>
    <row r="3231" spans="1:5" ht="54">
      <c r="A3231" s="446">
        <v>89848</v>
      </c>
      <c r="B3231" s="447" t="s">
        <v>1666</v>
      </c>
      <c r="C3231" s="446" t="s">
        <v>14</v>
      </c>
      <c r="D3231" s="448">
        <v>25.32</v>
      </c>
      <c r="E3231" s="210"/>
    </row>
    <row r="3232" spans="1:5" ht="54">
      <c r="A3232" s="446">
        <v>89849</v>
      </c>
      <c r="B3232" s="447" t="s">
        <v>1667</v>
      </c>
      <c r="C3232" s="446" t="s">
        <v>14</v>
      </c>
      <c r="D3232" s="448">
        <v>51</v>
      </c>
      <c r="E3232" s="210"/>
    </row>
    <row r="3233" spans="1:5" ht="40.5">
      <c r="A3233" s="446">
        <v>89865</v>
      </c>
      <c r="B3233" s="447" t="s">
        <v>320</v>
      </c>
      <c r="C3233" s="446" t="s">
        <v>14</v>
      </c>
      <c r="D3233" s="448">
        <v>9.8699999999999992</v>
      </c>
      <c r="E3233" s="210"/>
    </row>
    <row r="3234" spans="1:5" ht="94.5">
      <c r="A3234" s="446">
        <v>91784</v>
      </c>
      <c r="B3234" s="447" t="s">
        <v>423</v>
      </c>
      <c r="C3234" s="446" t="s">
        <v>14</v>
      </c>
      <c r="D3234" s="448">
        <v>32.25</v>
      </c>
      <c r="E3234" s="210"/>
    </row>
    <row r="3235" spans="1:5" ht="94.5">
      <c r="A3235" s="446">
        <v>91785</v>
      </c>
      <c r="B3235" s="447" t="s">
        <v>424</v>
      </c>
      <c r="C3235" s="446" t="s">
        <v>14</v>
      </c>
      <c r="D3235" s="448">
        <v>32.090000000000003</v>
      </c>
      <c r="E3235" s="210"/>
    </row>
    <row r="3236" spans="1:5" ht="81">
      <c r="A3236" s="446">
        <v>91786</v>
      </c>
      <c r="B3236" s="447" t="s">
        <v>1934</v>
      </c>
      <c r="C3236" s="446" t="s">
        <v>14</v>
      </c>
      <c r="D3236" s="448">
        <v>24.02</v>
      </c>
      <c r="E3236" s="210"/>
    </row>
    <row r="3237" spans="1:5" ht="81">
      <c r="A3237" s="446">
        <v>91787</v>
      </c>
      <c r="B3237" s="447" t="s">
        <v>1935</v>
      </c>
      <c r="C3237" s="446" t="s">
        <v>14</v>
      </c>
      <c r="D3237" s="448">
        <v>28.41</v>
      </c>
      <c r="E3237" s="210"/>
    </row>
    <row r="3238" spans="1:5" ht="81">
      <c r="A3238" s="446">
        <v>91788</v>
      </c>
      <c r="B3238" s="447" t="s">
        <v>1936</v>
      </c>
      <c r="C3238" s="446" t="s">
        <v>14</v>
      </c>
      <c r="D3238" s="448">
        <v>35.83</v>
      </c>
      <c r="E3238" s="210"/>
    </row>
    <row r="3239" spans="1:5" ht="81">
      <c r="A3239" s="446">
        <v>91789</v>
      </c>
      <c r="B3239" s="447" t="s">
        <v>425</v>
      </c>
      <c r="C3239" s="446" t="s">
        <v>14</v>
      </c>
      <c r="D3239" s="448">
        <v>41.13</v>
      </c>
      <c r="E3239" s="210"/>
    </row>
    <row r="3240" spans="1:5" ht="81">
      <c r="A3240" s="446">
        <v>91790</v>
      </c>
      <c r="B3240" s="447" t="s">
        <v>1937</v>
      </c>
      <c r="C3240" s="446" t="s">
        <v>14</v>
      </c>
      <c r="D3240" s="448">
        <v>60.6</v>
      </c>
      <c r="E3240" s="210"/>
    </row>
    <row r="3241" spans="1:5" ht="81">
      <c r="A3241" s="446">
        <v>91791</v>
      </c>
      <c r="B3241" s="447" t="s">
        <v>426</v>
      </c>
      <c r="C3241" s="446" t="s">
        <v>14</v>
      </c>
      <c r="D3241" s="448">
        <v>81.92</v>
      </c>
      <c r="E3241" s="210"/>
    </row>
    <row r="3242" spans="1:5" ht="94.5">
      <c r="A3242" s="446">
        <v>91792</v>
      </c>
      <c r="B3242" s="447" t="s">
        <v>1938</v>
      </c>
      <c r="C3242" s="446" t="s">
        <v>14</v>
      </c>
      <c r="D3242" s="448">
        <v>43.57</v>
      </c>
      <c r="E3242" s="210"/>
    </row>
    <row r="3243" spans="1:5" ht="94.5">
      <c r="A3243" s="446">
        <v>91793</v>
      </c>
      <c r="B3243" s="447" t="s">
        <v>1939</v>
      </c>
      <c r="C3243" s="446" t="s">
        <v>14</v>
      </c>
      <c r="D3243" s="448">
        <v>73.27</v>
      </c>
      <c r="E3243" s="210"/>
    </row>
    <row r="3244" spans="1:5" ht="94.5">
      <c r="A3244" s="446">
        <v>91794</v>
      </c>
      <c r="B3244" s="447" t="s">
        <v>1940</v>
      </c>
      <c r="C3244" s="446" t="s">
        <v>14</v>
      </c>
      <c r="D3244" s="448">
        <v>35.4</v>
      </c>
      <c r="E3244" s="210"/>
    </row>
    <row r="3245" spans="1:5" ht="94.5">
      <c r="A3245" s="446">
        <v>91795</v>
      </c>
      <c r="B3245" s="447" t="s">
        <v>1941</v>
      </c>
      <c r="C3245" s="446" t="s">
        <v>14</v>
      </c>
      <c r="D3245" s="448">
        <v>58.89</v>
      </c>
      <c r="E3245" s="210"/>
    </row>
    <row r="3246" spans="1:5" ht="81">
      <c r="A3246" s="446">
        <v>91796</v>
      </c>
      <c r="B3246" s="447" t="s">
        <v>1942</v>
      </c>
      <c r="C3246" s="446" t="s">
        <v>14</v>
      </c>
      <c r="D3246" s="448">
        <v>61.93</v>
      </c>
      <c r="E3246" s="210"/>
    </row>
    <row r="3247" spans="1:5" ht="40.5">
      <c r="A3247" s="446">
        <v>92275</v>
      </c>
      <c r="B3247" s="447" t="s">
        <v>3849</v>
      </c>
      <c r="C3247" s="446" t="s">
        <v>14</v>
      </c>
      <c r="D3247" s="448">
        <v>57.6</v>
      </c>
      <c r="E3247" s="210"/>
    </row>
    <row r="3248" spans="1:5" ht="40.5">
      <c r="A3248" s="446">
        <v>92276</v>
      </c>
      <c r="B3248" s="447" t="s">
        <v>3850</v>
      </c>
      <c r="C3248" s="446" t="s">
        <v>14</v>
      </c>
      <c r="D3248" s="448">
        <v>72.97</v>
      </c>
      <c r="E3248" s="210"/>
    </row>
    <row r="3249" spans="1:5" ht="40.5">
      <c r="A3249" s="446">
        <v>92277</v>
      </c>
      <c r="B3249" s="447" t="s">
        <v>3851</v>
      </c>
      <c r="C3249" s="446" t="s">
        <v>14</v>
      </c>
      <c r="D3249" s="448">
        <v>105.5</v>
      </c>
      <c r="E3249" s="210"/>
    </row>
    <row r="3250" spans="1:5" ht="40.5">
      <c r="A3250" s="446">
        <v>92278</v>
      </c>
      <c r="B3250" s="447" t="s">
        <v>3852</v>
      </c>
      <c r="C3250" s="446" t="s">
        <v>14</v>
      </c>
      <c r="D3250" s="448">
        <v>142.07</v>
      </c>
      <c r="E3250" s="210"/>
    </row>
    <row r="3251" spans="1:5" ht="40.5">
      <c r="A3251" s="446">
        <v>92279</v>
      </c>
      <c r="B3251" s="447" t="s">
        <v>3853</v>
      </c>
      <c r="C3251" s="446" t="s">
        <v>14</v>
      </c>
      <c r="D3251" s="448">
        <v>205.53</v>
      </c>
      <c r="E3251" s="210"/>
    </row>
    <row r="3252" spans="1:5" ht="40.5">
      <c r="A3252" s="446">
        <v>92280</v>
      </c>
      <c r="B3252" s="447" t="s">
        <v>3854</v>
      </c>
      <c r="C3252" s="446" t="s">
        <v>14</v>
      </c>
      <c r="D3252" s="448">
        <v>288.89999999999998</v>
      </c>
      <c r="E3252" s="210"/>
    </row>
    <row r="3253" spans="1:5" ht="40.5">
      <c r="A3253" s="446">
        <v>92281</v>
      </c>
      <c r="B3253" s="447" t="s">
        <v>3855</v>
      </c>
      <c r="C3253" s="446" t="s">
        <v>14</v>
      </c>
      <c r="D3253" s="448">
        <v>160.06</v>
      </c>
      <c r="E3253" s="210"/>
    </row>
    <row r="3254" spans="1:5" ht="40.5">
      <c r="A3254" s="446">
        <v>92282</v>
      </c>
      <c r="B3254" s="447" t="s">
        <v>3856</v>
      </c>
      <c r="C3254" s="446" t="s">
        <v>14</v>
      </c>
      <c r="D3254" s="448">
        <v>179.62</v>
      </c>
      <c r="E3254" s="210"/>
    </row>
    <row r="3255" spans="1:5" ht="40.5">
      <c r="A3255" s="446">
        <v>92283</v>
      </c>
      <c r="B3255" s="447" t="s">
        <v>3857</v>
      </c>
      <c r="C3255" s="446" t="s">
        <v>14</v>
      </c>
      <c r="D3255" s="448">
        <v>240.46</v>
      </c>
      <c r="E3255" s="210"/>
    </row>
    <row r="3256" spans="1:5" ht="40.5">
      <c r="A3256" s="446">
        <v>92284</v>
      </c>
      <c r="B3256" s="447" t="s">
        <v>3858</v>
      </c>
      <c r="C3256" s="446" t="s">
        <v>14</v>
      </c>
      <c r="D3256" s="448">
        <v>296.02999999999997</v>
      </c>
      <c r="E3256" s="210"/>
    </row>
    <row r="3257" spans="1:5" ht="40.5">
      <c r="A3257" s="446">
        <v>92285</v>
      </c>
      <c r="B3257" s="447" t="s">
        <v>3859</v>
      </c>
      <c r="C3257" s="446" t="s">
        <v>14</v>
      </c>
      <c r="D3257" s="448">
        <v>389.62</v>
      </c>
      <c r="E3257" s="210"/>
    </row>
    <row r="3258" spans="1:5" ht="40.5">
      <c r="A3258" s="446">
        <v>92286</v>
      </c>
      <c r="B3258" s="447" t="s">
        <v>3860</v>
      </c>
      <c r="C3258" s="446" t="s">
        <v>14</v>
      </c>
      <c r="D3258" s="448">
        <v>475.57</v>
      </c>
      <c r="E3258" s="210"/>
    </row>
    <row r="3259" spans="1:5" ht="54">
      <c r="A3259" s="446">
        <v>92305</v>
      </c>
      <c r="B3259" s="447" t="s">
        <v>3861</v>
      </c>
      <c r="C3259" s="446" t="s">
        <v>14</v>
      </c>
      <c r="D3259" s="448">
        <v>36.51</v>
      </c>
      <c r="E3259" s="210"/>
    </row>
    <row r="3260" spans="1:5" ht="54">
      <c r="A3260" s="446">
        <v>92306</v>
      </c>
      <c r="B3260" s="447" t="s">
        <v>3862</v>
      </c>
      <c r="C3260" s="446" t="s">
        <v>14</v>
      </c>
      <c r="D3260" s="448">
        <v>60.62</v>
      </c>
      <c r="E3260" s="210"/>
    </row>
    <row r="3261" spans="1:5" ht="54">
      <c r="A3261" s="446">
        <v>92307</v>
      </c>
      <c r="B3261" s="447" t="s">
        <v>3863</v>
      </c>
      <c r="C3261" s="446" t="s">
        <v>14</v>
      </c>
      <c r="D3261" s="448">
        <v>76.209999999999994</v>
      </c>
      <c r="E3261" s="210"/>
    </row>
    <row r="3262" spans="1:5" ht="54">
      <c r="A3262" s="446">
        <v>92308</v>
      </c>
      <c r="B3262" s="447" t="s">
        <v>3864</v>
      </c>
      <c r="C3262" s="446" t="s">
        <v>14</v>
      </c>
      <c r="D3262" s="448">
        <v>59.3</v>
      </c>
      <c r="E3262" s="210"/>
    </row>
    <row r="3263" spans="1:5" ht="54">
      <c r="A3263" s="446">
        <v>92309</v>
      </c>
      <c r="B3263" s="447" t="s">
        <v>3865</v>
      </c>
      <c r="C3263" s="446" t="s">
        <v>14</v>
      </c>
      <c r="D3263" s="448">
        <v>164.6</v>
      </c>
      <c r="E3263" s="210"/>
    </row>
    <row r="3264" spans="1:5" ht="54">
      <c r="A3264" s="446">
        <v>92310</v>
      </c>
      <c r="B3264" s="447" t="s">
        <v>3866</v>
      </c>
      <c r="C3264" s="446" t="s">
        <v>14</v>
      </c>
      <c r="D3264" s="448">
        <v>184.42</v>
      </c>
      <c r="E3264" s="210"/>
    </row>
    <row r="3265" spans="1:5" ht="54">
      <c r="A3265" s="446">
        <v>92320</v>
      </c>
      <c r="B3265" s="447" t="s">
        <v>3867</v>
      </c>
      <c r="C3265" s="446" t="s">
        <v>14</v>
      </c>
      <c r="D3265" s="448">
        <v>43.14</v>
      </c>
      <c r="E3265" s="210"/>
    </row>
    <row r="3266" spans="1:5" ht="54">
      <c r="A3266" s="446">
        <v>92321</v>
      </c>
      <c r="B3266" s="447" t="s">
        <v>3868</v>
      </c>
      <c r="C3266" s="446" t="s">
        <v>14</v>
      </c>
      <c r="D3266" s="448">
        <v>72.010000000000005</v>
      </c>
      <c r="E3266" s="210"/>
    </row>
    <row r="3267" spans="1:5" ht="54">
      <c r="A3267" s="446">
        <v>92322</v>
      </c>
      <c r="B3267" s="447" t="s">
        <v>3869</v>
      </c>
      <c r="C3267" s="446" t="s">
        <v>14</v>
      </c>
      <c r="D3267" s="448">
        <v>91.75</v>
      </c>
      <c r="E3267" s="210"/>
    </row>
    <row r="3268" spans="1:5" ht="54">
      <c r="A3268" s="446">
        <v>92323</v>
      </c>
      <c r="B3268" s="447" t="s">
        <v>3870</v>
      </c>
      <c r="C3268" s="446" t="s">
        <v>14</v>
      </c>
      <c r="D3268" s="448">
        <v>64.349999999999994</v>
      </c>
      <c r="E3268" s="210"/>
    </row>
    <row r="3269" spans="1:5" ht="54">
      <c r="A3269" s="446">
        <v>92324</v>
      </c>
      <c r="B3269" s="447" t="s">
        <v>3871</v>
      </c>
      <c r="C3269" s="446" t="s">
        <v>14</v>
      </c>
      <c r="D3269" s="448">
        <v>174.41</v>
      </c>
      <c r="E3269" s="210"/>
    </row>
    <row r="3270" spans="1:5" ht="54">
      <c r="A3270" s="446">
        <v>92325</v>
      </c>
      <c r="B3270" s="447" t="s">
        <v>3872</v>
      </c>
      <c r="C3270" s="446" t="s">
        <v>14</v>
      </c>
      <c r="D3270" s="448">
        <v>198.34</v>
      </c>
      <c r="E3270" s="210"/>
    </row>
    <row r="3271" spans="1:5" ht="54">
      <c r="A3271" s="446">
        <v>92335</v>
      </c>
      <c r="B3271" s="447" t="s">
        <v>5839</v>
      </c>
      <c r="C3271" s="446" t="s">
        <v>14</v>
      </c>
      <c r="D3271" s="448">
        <v>121.42</v>
      </c>
      <c r="E3271" s="210"/>
    </row>
    <row r="3272" spans="1:5" ht="54">
      <c r="A3272" s="446">
        <v>92336</v>
      </c>
      <c r="B3272" s="447" t="s">
        <v>5840</v>
      </c>
      <c r="C3272" s="446" t="s">
        <v>14</v>
      </c>
      <c r="D3272" s="448">
        <v>149.96</v>
      </c>
      <c r="E3272" s="210"/>
    </row>
    <row r="3273" spans="1:5" ht="54">
      <c r="A3273" s="446">
        <v>92337</v>
      </c>
      <c r="B3273" s="447" t="s">
        <v>5841</v>
      </c>
      <c r="C3273" s="446" t="s">
        <v>14</v>
      </c>
      <c r="D3273" s="448">
        <v>199.76</v>
      </c>
      <c r="E3273" s="210"/>
    </row>
    <row r="3274" spans="1:5" ht="54">
      <c r="A3274" s="446">
        <v>92338</v>
      </c>
      <c r="B3274" s="447" t="s">
        <v>5842</v>
      </c>
      <c r="C3274" s="446" t="s">
        <v>14</v>
      </c>
      <c r="D3274" s="448">
        <v>126.18</v>
      </c>
      <c r="E3274" s="210"/>
    </row>
    <row r="3275" spans="1:5" ht="54">
      <c r="A3275" s="446">
        <v>92339</v>
      </c>
      <c r="B3275" s="447" t="s">
        <v>5843</v>
      </c>
      <c r="C3275" s="446" t="s">
        <v>14</v>
      </c>
      <c r="D3275" s="448">
        <v>194.89</v>
      </c>
      <c r="E3275" s="210"/>
    </row>
    <row r="3276" spans="1:5" ht="54">
      <c r="A3276" s="446">
        <v>92341</v>
      </c>
      <c r="B3276" s="447" t="s">
        <v>5844</v>
      </c>
      <c r="C3276" s="446" t="s">
        <v>14</v>
      </c>
      <c r="D3276" s="448">
        <v>128.04</v>
      </c>
      <c r="E3276" s="210"/>
    </row>
    <row r="3277" spans="1:5" ht="54">
      <c r="A3277" s="446">
        <v>92342</v>
      </c>
      <c r="B3277" s="447" t="s">
        <v>5845</v>
      </c>
      <c r="C3277" s="446" t="s">
        <v>14</v>
      </c>
      <c r="D3277" s="448">
        <v>156.62</v>
      </c>
      <c r="E3277" s="210"/>
    </row>
    <row r="3278" spans="1:5" ht="54">
      <c r="A3278" s="446">
        <v>92343</v>
      </c>
      <c r="B3278" s="447" t="s">
        <v>5846</v>
      </c>
      <c r="C3278" s="446" t="s">
        <v>14</v>
      </c>
      <c r="D3278" s="448">
        <v>206.48</v>
      </c>
      <c r="E3278" s="210"/>
    </row>
    <row r="3279" spans="1:5" ht="54">
      <c r="A3279" s="446">
        <v>92359</v>
      </c>
      <c r="B3279" s="447" t="s">
        <v>5847</v>
      </c>
      <c r="C3279" s="446" t="s">
        <v>14</v>
      </c>
      <c r="D3279" s="448">
        <v>62.47</v>
      </c>
      <c r="E3279" s="210"/>
    </row>
    <row r="3280" spans="1:5" ht="54">
      <c r="A3280" s="446">
        <v>92360</v>
      </c>
      <c r="B3280" s="447" t="s">
        <v>5848</v>
      </c>
      <c r="C3280" s="446" t="s">
        <v>14</v>
      </c>
      <c r="D3280" s="448">
        <v>83.56</v>
      </c>
      <c r="E3280" s="210"/>
    </row>
    <row r="3281" spans="1:5" ht="54">
      <c r="A3281" s="446">
        <v>92361</v>
      </c>
      <c r="B3281" s="447" t="s">
        <v>5849</v>
      </c>
      <c r="C3281" s="446" t="s">
        <v>14</v>
      </c>
      <c r="D3281" s="448">
        <v>112.45</v>
      </c>
      <c r="E3281" s="210"/>
    </row>
    <row r="3282" spans="1:5" ht="54">
      <c r="A3282" s="446">
        <v>92362</v>
      </c>
      <c r="B3282" s="447" t="s">
        <v>5850</v>
      </c>
      <c r="C3282" s="446" t="s">
        <v>14</v>
      </c>
      <c r="D3282" s="448">
        <v>180.63</v>
      </c>
      <c r="E3282" s="210"/>
    </row>
    <row r="3283" spans="1:5" ht="67.5">
      <c r="A3283" s="446">
        <v>92364</v>
      </c>
      <c r="B3283" s="447" t="s">
        <v>5851</v>
      </c>
      <c r="C3283" s="446" t="s">
        <v>14</v>
      </c>
      <c r="D3283" s="448">
        <v>73.08</v>
      </c>
      <c r="E3283" s="210"/>
    </row>
    <row r="3284" spans="1:5" ht="67.5">
      <c r="A3284" s="446">
        <v>92365</v>
      </c>
      <c r="B3284" s="447" t="s">
        <v>5852</v>
      </c>
      <c r="C3284" s="446" t="s">
        <v>14</v>
      </c>
      <c r="D3284" s="448">
        <v>84.5</v>
      </c>
      <c r="E3284" s="210"/>
    </row>
    <row r="3285" spans="1:5" ht="67.5">
      <c r="A3285" s="446">
        <v>92366</v>
      </c>
      <c r="B3285" s="447" t="s">
        <v>5853</v>
      </c>
      <c r="C3285" s="446" t="s">
        <v>14</v>
      </c>
      <c r="D3285" s="448">
        <v>119.84</v>
      </c>
      <c r="E3285" s="210"/>
    </row>
    <row r="3286" spans="1:5" ht="67.5">
      <c r="A3286" s="446">
        <v>92367</v>
      </c>
      <c r="B3286" s="447" t="s">
        <v>5854</v>
      </c>
      <c r="C3286" s="446" t="s">
        <v>14</v>
      </c>
      <c r="D3286" s="448">
        <v>148.06</v>
      </c>
      <c r="E3286" s="210"/>
    </row>
    <row r="3287" spans="1:5" ht="67.5">
      <c r="A3287" s="446">
        <v>92368</v>
      </c>
      <c r="B3287" s="447" t="s">
        <v>5855</v>
      </c>
      <c r="C3287" s="446" t="s">
        <v>14</v>
      </c>
      <c r="D3287" s="448">
        <v>197.58</v>
      </c>
      <c r="E3287" s="210"/>
    </row>
    <row r="3288" spans="1:5" ht="54">
      <c r="A3288" s="446">
        <v>92645</v>
      </c>
      <c r="B3288" s="447" t="s">
        <v>5856</v>
      </c>
      <c r="C3288" s="446" t="s">
        <v>14</v>
      </c>
      <c r="D3288" s="448">
        <v>64.930000000000007</v>
      </c>
      <c r="E3288" s="210"/>
    </row>
    <row r="3289" spans="1:5" ht="54">
      <c r="A3289" s="446">
        <v>92646</v>
      </c>
      <c r="B3289" s="447" t="s">
        <v>5857</v>
      </c>
      <c r="C3289" s="446" t="s">
        <v>14</v>
      </c>
      <c r="D3289" s="448">
        <v>86.02</v>
      </c>
      <c r="E3289" s="210"/>
    </row>
    <row r="3290" spans="1:5" ht="54">
      <c r="A3290" s="446">
        <v>92648</v>
      </c>
      <c r="B3290" s="447" t="s">
        <v>5858</v>
      </c>
      <c r="C3290" s="446" t="s">
        <v>14</v>
      </c>
      <c r="D3290" s="448">
        <v>94.03</v>
      </c>
      <c r="E3290" s="210"/>
    </row>
    <row r="3291" spans="1:5" ht="54">
      <c r="A3291" s="446">
        <v>92649</v>
      </c>
      <c r="B3291" s="447" t="s">
        <v>5859</v>
      </c>
      <c r="C3291" s="446" t="s">
        <v>14</v>
      </c>
      <c r="D3291" s="448">
        <v>114.92</v>
      </c>
      <c r="E3291" s="210"/>
    </row>
    <row r="3292" spans="1:5" ht="54">
      <c r="A3292" s="446">
        <v>92650</v>
      </c>
      <c r="B3292" s="447" t="s">
        <v>5860</v>
      </c>
      <c r="C3292" s="446" t="s">
        <v>14</v>
      </c>
      <c r="D3292" s="448">
        <v>183.09</v>
      </c>
      <c r="E3292" s="210"/>
    </row>
    <row r="3293" spans="1:5" ht="67.5">
      <c r="A3293" s="446">
        <v>92652</v>
      </c>
      <c r="B3293" s="447" t="s">
        <v>5861</v>
      </c>
      <c r="C3293" s="446" t="s">
        <v>14</v>
      </c>
      <c r="D3293" s="448">
        <v>76.099999999999994</v>
      </c>
      <c r="E3293" s="210"/>
    </row>
    <row r="3294" spans="1:5" ht="67.5">
      <c r="A3294" s="446">
        <v>92653</v>
      </c>
      <c r="B3294" s="447" t="s">
        <v>5862</v>
      </c>
      <c r="C3294" s="446" t="s">
        <v>14</v>
      </c>
      <c r="D3294" s="448">
        <v>87.55</v>
      </c>
      <c r="E3294" s="210"/>
    </row>
    <row r="3295" spans="1:5" ht="67.5">
      <c r="A3295" s="446">
        <v>92654</v>
      </c>
      <c r="B3295" s="447" t="s">
        <v>5863</v>
      </c>
      <c r="C3295" s="446" t="s">
        <v>14</v>
      </c>
      <c r="D3295" s="448">
        <v>122.89</v>
      </c>
      <c r="E3295" s="210"/>
    </row>
    <row r="3296" spans="1:5" ht="67.5">
      <c r="A3296" s="446">
        <v>92655</v>
      </c>
      <c r="B3296" s="447" t="s">
        <v>5864</v>
      </c>
      <c r="C3296" s="446" t="s">
        <v>14</v>
      </c>
      <c r="D3296" s="448">
        <v>151.18</v>
      </c>
      <c r="E3296" s="210"/>
    </row>
    <row r="3297" spans="1:5" ht="67.5">
      <c r="A3297" s="446">
        <v>92656</v>
      </c>
      <c r="B3297" s="447" t="s">
        <v>5865</v>
      </c>
      <c r="C3297" s="446" t="s">
        <v>14</v>
      </c>
      <c r="D3297" s="448">
        <v>200.69</v>
      </c>
      <c r="E3297" s="210"/>
    </row>
    <row r="3298" spans="1:5" ht="67.5">
      <c r="A3298" s="446">
        <v>92687</v>
      </c>
      <c r="B3298" s="447" t="s">
        <v>5866</v>
      </c>
      <c r="C3298" s="446" t="s">
        <v>14</v>
      </c>
      <c r="D3298" s="448">
        <v>33.92</v>
      </c>
      <c r="E3298" s="210"/>
    </row>
    <row r="3299" spans="1:5" ht="67.5">
      <c r="A3299" s="446">
        <v>92688</v>
      </c>
      <c r="B3299" s="447" t="s">
        <v>5867</v>
      </c>
      <c r="C3299" s="446" t="s">
        <v>14</v>
      </c>
      <c r="D3299" s="448">
        <v>45.34</v>
      </c>
      <c r="E3299" s="210"/>
    </row>
    <row r="3300" spans="1:5" ht="54">
      <c r="A3300" s="446">
        <v>92689</v>
      </c>
      <c r="B3300" s="447" t="s">
        <v>5868</v>
      </c>
      <c r="C3300" s="446" t="s">
        <v>14</v>
      </c>
      <c r="D3300" s="448">
        <v>44.69</v>
      </c>
      <c r="E3300" s="210"/>
    </row>
    <row r="3301" spans="1:5" ht="54">
      <c r="A3301" s="446">
        <v>92690</v>
      </c>
      <c r="B3301" s="447" t="s">
        <v>5869</v>
      </c>
      <c r="C3301" s="446" t="s">
        <v>14</v>
      </c>
      <c r="D3301" s="448">
        <v>62.99</v>
      </c>
      <c r="E3301" s="210"/>
    </row>
    <row r="3302" spans="1:5" ht="67.5">
      <c r="A3302" s="446">
        <v>92691</v>
      </c>
      <c r="B3302" s="447" t="s">
        <v>6261</v>
      </c>
      <c r="C3302" s="446" t="s">
        <v>14</v>
      </c>
      <c r="D3302" s="448">
        <v>78.849999999999994</v>
      </c>
      <c r="E3302" s="210"/>
    </row>
    <row r="3303" spans="1:5" ht="81">
      <c r="A3303" s="446">
        <v>94462</v>
      </c>
      <c r="B3303" s="447" t="s">
        <v>2512</v>
      </c>
      <c r="C3303" s="446" t="s">
        <v>14</v>
      </c>
      <c r="D3303" s="448">
        <v>122.39</v>
      </c>
      <c r="E3303" s="210"/>
    </row>
    <row r="3304" spans="1:5" ht="81">
      <c r="A3304" s="446">
        <v>94463</v>
      </c>
      <c r="B3304" s="447" t="s">
        <v>2513</v>
      </c>
      <c r="C3304" s="446" t="s">
        <v>14</v>
      </c>
      <c r="D3304" s="448">
        <v>147.54</v>
      </c>
      <c r="E3304" s="210"/>
    </row>
    <row r="3305" spans="1:5" ht="81">
      <c r="A3305" s="446">
        <v>94464</v>
      </c>
      <c r="B3305" s="447" t="s">
        <v>2514</v>
      </c>
      <c r="C3305" s="446" t="s">
        <v>14</v>
      </c>
      <c r="D3305" s="448">
        <v>211.56</v>
      </c>
      <c r="E3305" s="210"/>
    </row>
    <row r="3306" spans="1:5" ht="81">
      <c r="A3306" s="446">
        <v>94602</v>
      </c>
      <c r="B3306" s="447" t="s">
        <v>3873</v>
      </c>
      <c r="C3306" s="446" t="s">
        <v>14</v>
      </c>
      <c r="D3306" s="448">
        <v>210.13</v>
      </c>
      <c r="E3306" s="210"/>
    </row>
    <row r="3307" spans="1:5" ht="81">
      <c r="A3307" s="446">
        <v>94603</v>
      </c>
      <c r="B3307" s="447" t="s">
        <v>3874</v>
      </c>
      <c r="C3307" s="446" t="s">
        <v>14</v>
      </c>
      <c r="D3307" s="448">
        <v>287.37</v>
      </c>
      <c r="E3307" s="210"/>
    </row>
    <row r="3308" spans="1:5" ht="81">
      <c r="A3308" s="446">
        <v>94604</v>
      </c>
      <c r="B3308" s="447" t="s">
        <v>3875</v>
      </c>
      <c r="C3308" s="446" t="s">
        <v>14</v>
      </c>
      <c r="D3308" s="448">
        <v>396.65</v>
      </c>
      <c r="E3308" s="210"/>
    </row>
    <row r="3309" spans="1:5" ht="81">
      <c r="A3309" s="446">
        <v>94605</v>
      </c>
      <c r="B3309" s="447" t="s">
        <v>3876</v>
      </c>
      <c r="C3309" s="446" t="s">
        <v>14</v>
      </c>
      <c r="D3309" s="448">
        <v>573.91</v>
      </c>
      <c r="E3309" s="210"/>
    </row>
    <row r="3310" spans="1:5" ht="67.5">
      <c r="A3310" s="446">
        <v>94648</v>
      </c>
      <c r="B3310" s="447" t="s">
        <v>2547</v>
      </c>
      <c r="C3310" s="446" t="s">
        <v>14</v>
      </c>
      <c r="D3310" s="448">
        <v>7.93</v>
      </c>
      <c r="E3310" s="210"/>
    </row>
    <row r="3311" spans="1:5" ht="67.5">
      <c r="A3311" s="446">
        <v>94649</v>
      </c>
      <c r="B3311" s="447" t="s">
        <v>2548</v>
      </c>
      <c r="C3311" s="446" t="s">
        <v>14</v>
      </c>
      <c r="D3311" s="448">
        <v>12.67</v>
      </c>
      <c r="E3311" s="210"/>
    </row>
    <row r="3312" spans="1:5" ht="67.5">
      <c r="A3312" s="446">
        <v>94650</v>
      </c>
      <c r="B3312" s="447" t="s">
        <v>2549</v>
      </c>
      <c r="C3312" s="446" t="s">
        <v>14</v>
      </c>
      <c r="D3312" s="448">
        <v>18.14</v>
      </c>
      <c r="E3312" s="210"/>
    </row>
    <row r="3313" spans="1:5" ht="67.5">
      <c r="A3313" s="446">
        <v>94651</v>
      </c>
      <c r="B3313" s="447" t="s">
        <v>2550</v>
      </c>
      <c r="C3313" s="446" t="s">
        <v>14</v>
      </c>
      <c r="D3313" s="448">
        <v>19.920000000000002</v>
      </c>
      <c r="E3313" s="210"/>
    </row>
    <row r="3314" spans="1:5" ht="67.5">
      <c r="A3314" s="446">
        <v>94652</v>
      </c>
      <c r="B3314" s="447" t="s">
        <v>2551</v>
      </c>
      <c r="C3314" s="446" t="s">
        <v>14</v>
      </c>
      <c r="D3314" s="448">
        <v>32.43</v>
      </c>
      <c r="E3314" s="210"/>
    </row>
    <row r="3315" spans="1:5" ht="67.5">
      <c r="A3315" s="446">
        <v>94653</v>
      </c>
      <c r="B3315" s="447" t="s">
        <v>2552</v>
      </c>
      <c r="C3315" s="446" t="s">
        <v>14</v>
      </c>
      <c r="D3315" s="448">
        <v>47.86</v>
      </c>
      <c r="E3315" s="210"/>
    </row>
    <row r="3316" spans="1:5" ht="67.5">
      <c r="A3316" s="446">
        <v>94654</v>
      </c>
      <c r="B3316" s="447" t="s">
        <v>2553</v>
      </c>
      <c r="C3316" s="446" t="s">
        <v>14</v>
      </c>
      <c r="D3316" s="448">
        <v>62.28</v>
      </c>
      <c r="E3316" s="210"/>
    </row>
    <row r="3317" spans="1:5" ht="67.5">
      <c r="A3317" s="446">
        <v>94655</v>
      </c>
      <c r="B3317" s="447" t="s">
        <v>2554</v>
      </c>
      <c r="C3317" s="446" t="s">
        <v>14</v>
      </c>
      <c r="D3317" s="448">
        <v>89.74</v>
      </c>
      <c r="E3317" s="210"/>
    </row>
    <row r="3318" spans="1:5" ht="67.5">
      <c r="A3318" s="446">
        <v>94716</v>
      </c>
      <c r="B3318" s="447" t="s">
        <v>2613</v>
      </c>
      <c r="C3318" s="446" t="s">
        <v>14</v>
      </c>
      <c r="D3318" s="448">
        <v>22.05</v>
      </c>
      <c r="E3318" s="210"/>
    </row>
    <row r="3319" spans="1:5" ht="67.5">
      <c r="A3319" s="446">
        <v>94717</v>
      </c>
      <c r="B3319" s="447" t="s">
        <v>2614</v>
      </c>
      <c r="C3319" s="446" t="s">
        <v>14</v>
      </c>
      <c r="D3319" s="448">
        <v>33.07</v>
      </c>
      <c r="E3319" s="210"/>
    </row>
    <row r="3320" spans="1:5" ht="67.5">
      <c r="A3320" s="446">
        <v>94718</v>
      </c>
      <c r="B3320" s="447" t="s">
        <v>2615</v>
      </c>
      <c r="C3320" s="446" t="s">
        <v>14</v>
      </c>
      <c r="D3320" s="448">
        <v>40.79</v>
      </c>
      <c r="E3320" s="210"/>
    </row>
    <row r="3321" spans="1:5" ht="67.5">
      <c r="A3321" s="446">
        <v>94719</v>
      </c>
      <c r="B3321" s="447" t="s">
        <v>2616</v>
      </c>
      <c r="C3321" s="446" t="s">
        <v>14</v>
      </c>
      <c r="D3321" s="448">
        <v>54.01</v>
      </c>
      <c r="E3321" s="210"/>
    </row>
    <row r="3322" spans="1:5" ht="67.5">
      <c r="A3322" s="446">
        <v>94720</v>
      </c>
      <c r="B3322" s="447" t="s">
        <v>2617</v>
      </c>
      <c r="C3322" s="446" t="s">
        <v>14</v>
      </c>
      <c r="D3322" s="448">
        <v>81.11</v>
      </c>
      <c r="E3322" s="210"/>
    </row>
    <row r="3323" spans="1:5" ht="67.5">
      <c r="A3323" s="446">
        <v>94721</v>
      </c>
      <c r="B3323" s="447" t="s">
        <v>2618</v>
      </c>
      <c r="C3323" s="446" t="s">
        <v>14</v>
      </c>
      <c r="D3323" s="448">
        <v>119.86</v>
      </c>
      <c r="E3323" s="210"/>
    </row>
    <row r="3324" spans="1:5" ht="67.5">
      <c r="A3324" s="446">
        <v>94722</v>
      </c>
      <c r="B3324" s="447" t="s">
        <v>2619</v>
      </c>
      <c r="C3324" s="446" t="s">
        <v>14</v>
      </c>
      <c r="D3324" s="448">
        <v>208</v>
      </c>
      <c r="E3324" s="210"/>
    </row>
    <row r="3325" spans="1:5" ht="54">
      <c r="A3325" s="446">
        <v>95697</v>
      </c>
      <c r="B3325" s="447" t="s">
        <v>5870</v>
      </c>
      <c r="C3325" s="446" t="s">
        <v>14</v>
      </c>
      <c r="D3325" s="448">
        <v>91.55</v>
      </c>
      <c r="E3325" s="210"/>
    </row>
    <row r="3326" spans="1:5" ht="40.5">
      <c r="A3326" s="446">
        <v>96635</v>
      </c>
      <c r="B3326" s="447" t="s">
        <v>3088</v>
      </c>
      <c r="C3326" s="446" t="s">
        <v>14</v>
      </c>
      <c r="D3326" s="448">
        <v>25.98</v>
      </c>
      <c r="E3326" s="210"/>
    </row>
    <row r="3327" spans="1:5" ht="40.5">
      <c r="A3327" s="446">
        <v>96636</v>
      </c>
      <c r="B3327" s="447" t="s">
        <v>3089</v>
      </c>
      <c r="C3327" s="446" t="s">
        <v>14</v>
      </c>
      <c r="D3327" s="448">
        <v>27.1</v>
      </c>
      <c r="E3327" s="210"/>
    </row>
    <row r="3328" spans="1:5" ht="54">
      <c r="A3328" s="446">
        <v>96644</v>
      </c>
      <c r="B3328" s="447" t="s">
        <v>3097</v>
      </c>
      <c r="C3328" s="446" t="s">
        <v>14</v>
      </c>
      <c r="D3328" s="448">
        <v>19.100000000000001</v>
      </c>
      <c r="E3328" s="210"/>
    </row>
    <row r="3329" spans="1:5" ht="54">
      <c r="A3329" s="446">
        <v>96645</v>
      </c>
      <c r="B3329" s="447" t="s">
        <v>3098</v>
      </c>
      <c r="C3329" s="446" t="s">
        <v>14</v>
      </c>
      <c r="D3329" s="448">
        <v>24.47</v>
      </c>
      <c r="E3329" s="210"/>
    </row>
    <row r="3330" spans="1:5" ht="54">
      <c r="A3330" s="446">
        <v>96646</v>
      </c>
      <c r="B3330" s="447" t="s">
        <v>3099</v>
      </c>
      <c r="C3330" s="446" t="s">
        <v>14</v>
      </c>
      <c r="D3330" s="448">
        <v>37.74</v>
      </c>
      <c r="E3330" s="210"/>
    </row>
    <row r="3331" spans="1:5" ht="54">
      <c r="A3331" s="446">
        <v>96647</v>
      </c>
      <c r="B3331" s="447" t="s">
        <v>3100</v>
      </c>
      <c r="C3331" s="446" t="s">
        <v>14</v>
      </c>
      <c r="D3331" s="448">
        <v>17.86</v>
      </c>
      <c r="E3331" s="210"/>
    </row>
    <row r="3332" spans="1:5" ht="54">
      <c r="A3332" s="446">
        <v>96648</v>
      </c>
      <c r="B3332" s="447" t="s">
        <v>3101</v>
      </c>
      <c r="C3332" s="446" t="s">
        <v>14</v>
      </c>
      <c r="D3332" s="448">
        <v>31.58</v>
      </c>
      <c r="E3332" s="210"/>
    </row>
    <row r="3333" spans="1:5" ht="54">
      <c r="A3333" s="446">
        <v>96649</v>
      </c>
      <c r="B3333" s="447" t="s">
        <v>3102</v>
      </c>
      <c r="C3333" s="446" t="s">
        <v>14</v>
      </c>
      <c r="D3333" s="448">
        <v>45.61</v>
      </c>
      <c r="E3333" s="210"/>
    </row>
    <row r="3334" spans="1:5" ht="40.5">
      <c r="A3334" s="446">
        <v>96668</v>
      </c>
      <c r="B3334" s="447" t="s">
        <v>3121</v>
      </c>
      <c r="C3334" s="446" t="s">
        <v>14</v>
      </c>
      <c r="D3334" s="448">
        <v>14.3</v>
      </c>
      <c r="E3334" s="210"/>
    </row>
    <row r="3335" spans="1:5" ht="40.5">
      <c r="A3335" s="446">
        <v>96669</v>
      </c>
      <c r="B3335" s="447" t="s">
        <v>3122</v>
      </c>
      <c r="C3335" s="446" t="s">
        <v>14</v>
      </c>
      <c r="D3335" s="448">
        <v>17.84</v>
      </c>
      <c r="E3335" s="210"/>
    </row>
    <row r="3336" spans="1:5" ht="40.5">
      <c r="A3336" s="446">
        <v>96670</v>
      </c>
      <c r="B3336" s="447" t="s">
        <v>3123</v>
      </c>
      <c r="C3336" s="446" t="s">
        <v>14</v>
      </c>
      <c r="D3336" s="448">
        <v>27.12</v>
      </c>
      <c r="E3336" s="210"/>
    </row>
    <row r="3337" spans="1:5" ht="40.5">
      <c r="A3337" s="446">
        <v>96671</v>
      </c>
      <c r="B3337" s="447" t="s">
        <v>3124</v>
      </c>
      <c r="C3337" s="446" t="s">
        <v>14</v>
      </c>
      <c r="D3337" s="448">
        <v>36.130000000000003</v>
      </c>
      <c r="E3337" s="210"/>
    </row>
    <row r="3338" spans="1:5" ht="40.5">
      <c r="A3338" s="446">
        <v>96672</v>
      </c>
      <c r="B3338" s="447" t="s">
        <v>3125</v>
      </c>
      <c r="C3338" s="446" t="s">
        <v>14</v>
      </c>
      <c r="D3338" s="448">
        <v>52.89</v>
      </c>
      <c r="E3338" s="210"/>
    </row>
    <row r="3339" spans="1:5" ht="40.5">
      <c r="A3339" s="446">
        <v>96673</v>
      </c>
      <c r="B3339" s="447" t="s">
        <v>3126</v>
      </c>
      <c r="C3339" s="446" t="s">
        <v>14</v>
      </c>
      <c r="D3339" s="448">
        <v>87.13</v>
      </c>
      <c r="E3339" s="210"/>
    </row>
    <row r="3340" spans="1:5" ht="40.5">
      <c r="A3340" s="446">
        <v>96674</v>
      </c>
      <c r="B3340" s="447" t="s">
        <v>3127</v>
      </c>
      <c r="C3340" s="446" t="s">
        <v>14</v>
      </c>
      <c r="D3340" s="448">
        <v>122.32</v>
      </c>
      <c r="E3340" s="210"/>
    </row>
    <row r="3341" spans="1:5" ht="40.5">
      <c r="A3341" s="446">
        <v>96675</v>
      </c>
      <c r="B3341" s="447" t="s">
        <v>3128</v>
      </c>
      <c r="C3341" s="446" t="s">
        <v>14</v>
      </c>
      <c r="D3341" s="448">
        <v>214.08</v>
      </c>
      <c r="E3341" s="210"/>
    </row>
    <row r="3342" spans="1:5" ht="40.5">
      <c r="A3342" s="446">
        <v>96676</v>
      </c>
      <c r="B3342" s="447" t="s">
        <v>3129</v>
      </c>
      <c r="C3342" s="446" t="s">
        <v>14</v>
      </c>
      <c r="D3342" s="448">
        <v>14.27</v>
      </c>
      <c r="E3342" s="210"/>
    </row>
    <row r="3343" spans="1:5" ht="40.5">
      <c r="A3343" s="446">
        <v>96677</v>
      </c>
      <c r="B3343" s="447" t="s">
        <v>3130</v>
      </c>
      <c r="C3343" s="446" t="s">
        <v>14</v>
      </c>
      <c r="D3343" s="448">
        <v>23.67</v>
      </c>
      <c r="E3343" s="210"/>
    </row>
    <row r="3344" spans="1:5" ht="40.5">
      <c r="A3344" s="446">
        <v>96678</v>
      </c>
      <c r="B3344" s="447" t="s">
        <v>3131</v>
      </c>
      <c r="C3344" s="446" t="s">
        <v>14</v>
      </c>
      <c r="D3344" s="448">
        <v>32.840000000000003</v>
      </c>
      <c r="E3344" s="210"/>
    </row>
    <row r="3345" spans="1:5" ht="40.5">
      <c r="A3345" s="446">
        <v>96679</v>
      </c>
      <c r="B3345" s="447" t="s">
        <v>3132</v>
      </c>
      <c r="C3345" s="446" t="s">
        <v>14</v>
      </c>
      <c r="D3345" s="448">
        <v>47.88</v>
      </c>
      <c r="E3345" s="210"/>
    </row>
    <row r="3346" spans="1:5" ht="40.5">
      <c r="A3346" s="446">
        <v>96680</v>
      </c>
      <c r="B3346" s="447" t="s">
        <v>3133</v>
      </c>
      <c r="C3346" s="446" t="s">
        <v>14</v>
      </c>
      <c r="D3346" s="448">
        <v>64.09</v>
      </c>
      <c r="E3346" s="210"/>
    </row>
    <row r="3347" spans="1:5" ht="40.5">
      <c r="A3347" s="446">
        <v>96681</v>
      </c>
      <c r="B3347" s="447" t="s">
        <v>3134</v>
      </c>
      <c r="C3347" s="446" t="s">
        <v>14</v>
      </c>
      <c r="D3347" s="448">
        <v>121.22</v>
      </c>
      <c r="E3347" s="210"/>
    </row>
    <row r="3348" spans="1:5" ht="40.5">
      <c r="A3348" s="446">
        <v>96682</v>
      </c>
      <c r="B3348" s="447" t="s">
        <v>3135</v>
      </c>
      <c r="C3348" s="446" t="s">
        <v>14</v>
      </c>
      <c r="D3348" s="448">
        <v>179.09</v>
      </c>
      <c r="E3348" s="210"/>
    </row>
    <row r="3349" spans="1:5" ht="40.5">
      <c r="A3349" s="446">
        <v>96683</v>
      </c>
      <c r="B3349" s="447" t="s">
        <v>3136</v>
      </c>
      <c r="C3349" s="446" t="s">
        <v>14</v>
      </c>
      <c r="D3349" s="448">
        <v>244.39</v>
      </c>
      <c r="E3349" s="210"/>
    </row>
    <row r="3350" spans="1:5" ht="67.5">
      <c r="A3350" s="446">
        <v>96718</v>
      </c>
      <c r="B3350" s="447" t="s">
        <v>3171</v>
      </c>
      <c r="C3350" s="446" t="s">
        <v>14</v>
      </c>
      <c r="D3350" s="448">
        <v>9.6999999999999993</v>
      </c>
      <c r="E3350" s="210"/>
    </row>
    <row r="3351" spans="1:5" ht="67.5">
      <c r="A3351" s="446">
        <v>96719</v>
      </c>
      <c r="B3351" s="447" t="s">
        <v>3172</v>
      </c>
      <c r="C3351" s="446" t="s">
        <v>14</v>
      </c>
      <c r="D3351" s="448">
        <v>16.96</v>
      </c>
      <c r="E3351" s="210"/>
    </row>
    <row r="3352" spans="1:5" ht="67.5">
      <c r="A3352" s="446">
        <v>96720</v>
      </c>
      <c r="B3352" s="447" t="s">
        <v>3173</v>
      </c>
      <c r="C3352" s="446" t="s">
        <v>14</v>
      </c>
      <c r="D3352" s="448">
        <v>20.75</v>
      </c>
      <c r="E3352" s="210"/>
    </row>
    <row r="3353" spans="1:5" ht="67.5">
      <c r="A3353" s="446">
        <v>96721</v>
      </c>
      <c r="B3353" s="447" t="s">
        <v>3174</v>
      </c>
      <c r="C3353" s="446" t="s">
        <v>14</v>
      </c>
      <c r="D3353" s="448">
        <v>29.12</v>
      </c>
      <c r="E3353" s="210"/>
    </row>
    <row r="3354" spans="1:5" ht="67.5">
      <c r="A3354" s="446">
        <v>96722</v>
      </c>
      <c r="B3354" s="447" t="s">
        <v>3175</v>
      </c>
      <c r="C3354" s="446" t="s">
        <v>14</v>
      </c>
      <c r="D3354" s="448">
        <v>39.19</v>
      </c>
      <c r="E3354" s="210"/>
    </row>
    <row r="3355" spans="1:5" ht="67.5">
      <c r="A3355" s="446">
        <v>96723</v>
      </c>
      <c r="B3355" s="447" t="s">
        <v>3176</v>
      </c>
      <c r="C3355" s="446" t="s">
        <v>14</v>
      </c>
      <c r="D3355" s="448">
        <v>53.83</v>
      </c>
      <c r="E3355" s="210"/>
    </row>
    <row r="3356" spans="1:5" ht="67.5">
      <c r="A3356" s="446">
        <v>96724</v>
      </c>
      <c r="B3356" s="447" t="s">
        <v>3177</v>
      </c>
      <c r="C3356" s="446" t="s">
        <v>14</v>
      </c>
      <c r="D3356" s="448">
        <v>87.81</v>
      </c>
      <c r="E3356" s="210"/>
    </row>
    <row r="3357" spans="1:5" ht="67.5">
      <c r="A3357" s="446">
        <v>96725</v>
      </c>
      <c r="B3357" s="447" t="s">
        <v>3178</v>
      </c>
      <c r="C3357" s="446" t="s">
        <v>14</v>
      </c>
      <c r="D3357" s="448">
        <v>118.34</v>
      </c>
      <c r="E3357" s="210"/>
    </row>
    <row r="3358" spans="1:5" ht="67.5">
      <c r="A3358" s="446">
        <v>96726</v>
      </c>
      <c r="B3358" s="447" t="s">
        <v>3179</v>
      </c>
      <c r="C3358" s="446" t="s">
        <v>14</v>
      </c>
      <c r="D3358" s="448">
        <v>193.47</v>
      </c>
      <c r="E3358" s="210"/>
    </row>
    <row r="3359" spans="1:5" ht="67.5">
      <c r="A3359" s="446">
        <v>96727</v>
      </c>
      <c r="B3359" s="447" t="s">
        <v>3180</v>
      </c>
      <c r="C3359" s="446" t="s">
        <v>14</v>
      </c>
      <c r="D3359" s="448">
        <v>13.93</v>
      </c>
      <c r="E3359" s="210"/>
    </row>
    <row r="3360" spans="1:5" ht="67.5">
      <c r="A3360" s="446">
        <v>96728</v>
      </c>
      <c r="B3360" s="447" t="s">
        <v>3181</v>
      </c>
      <c r="C3360" s="446" t="s">
        <v>14</v>
      </c>
      <c r="D3360" s="448">
        <v>17.329999999999998</v>
      </c>
      <c r="E3360" s="210"/>
    </row>
    <row r="3361" spans="1:5" ht="67.5">
      <c r="A3361" s="446">
        <v>96729</v>
      </c>
      <c r="B3361" s="447" t="s">
        <v>3182</v>
      </c>
      <c r="C3361" s="446" t="s">
        <v>14</v>
      </c>
      <c r="D3361" s="448">
        <v>27.01</v>
      </c>
      <c r="E3361" s="210"/>
    </row>
    <row r="3362" spans="1:5" ht="67.5">
      <c r="A3362" s="446">
        <v>96730</v>
      </c>
      <c r="B3362" s="447" t="s">
        <v>3183</v>
      </c>
      <c r="C3362" s="446" t="s">
        <v>14</v>
      </c>
      <c r="D3362" s="448">
        <v>35.22</v>
      </c>
      <c r="E3362" s="210"/>
    </row>
    <row r="3363" spans="1:5" ht="67.5">
      <c r="A3363" s="446">
        <v>96731</v>
      </c>
      <c r="B3363" s="447" t="s">
        <v>3184</v>
      </c>
      <c r="C3363" s="446" t="s">
        <v>14</v>
      </c>
      <c r="D3363" s="448">
        <v>51.27</v>
      </c>
      <c r="E3363" s="210"/>
    </row>
    <row r="3364" spans="1:5" ht="67.5">
      <c r="A3364" s="446">
        <v>96732</v>
      </c>
      <c r="B3364" s="447" t="s">
        <v>3185</v>
      </c>
      <c r="C3364" s="446" t="s">
        <v>14</v>
      </c>
      <c r="D3364" s="448">
        <v>65.16</v>
      </c>
      <c r="E3364" s="210"/>
    </row>
    <row r="3365" spans="1:5" ht="67.5">
      <c r="A3365" s="446">
        <v>96733</v>
      </c>
      <c r="B3365" s="447" t="s">
        <v>3186</v>
      </c>
      <c r="C3365" s="446" t="s">
        <v>14</v>
      </c>
      <c r="D3365" s="448">
        <v>120.8</v>
      </c>
      <c r="E3365" s="210"/>
    </row>
    <row r="3366" spans="1:5" ht="67.5">
      <c r="A3366" s="446">
        <v>96734</v>
      </c>
      <c r="B3366" s="447" t="s">
        <v>3187</v>
      </c>
      <c r="C3366" s="446" t="s">
        <v>14</v>
      </c>
      <c r="D3366" s="448">
        <v>171.95</v>
      </c>
      <c r="E3366" s="210"/>
    </row>
    <row r="3367" spans="1:5" ht="67.5">
      <c r="A3367" s="446">
        <v>96735</v>
      </c>
      <c r="B3367" s="447" t="s">
        <v>3188</v>
      </c>
      <c r="C3367" s="446" t="s">
        <v>14</v>
      </c>
      <c r="D3367" s="448">
        <v>221.4</v>
      </c>
      <c r="E3367" s="210"/>
    </row>
    <row r="3368" spans="1:5" ht="40.5">
      <c r="A3368" s="446">
        <v>96794</v>
      </c>
      <c r="B3368" s="447" t="s">
        <v>3218</v>
      </c>
      <c r="C3368" s="446" t="s">
        <v>14</v>
      </c>
      <c r="D3368" s="448">
        <v>8.57</v>
      </c>
      <c r="E3368" s="210"/>
    </row>
    <row r="3369" spans="1:5" ht="40.5">
      <c r="A3369" s="446">
        <v>96795</v>
      </c>
      <c r="B3369" s="447" t="s">
        <v>3219</v>
      </c>
      <c r="C3369" s="446" t="s">
        <v>14</v>
      </c>
      <c r="D3369" s="448">
        <v>10.99</v>
      </c>
      <c r="E3369" s="210"/>
    </row>
    <row r="3370" spans="1:5" ht="40.5">
      <c r="A3370" s="446">
        <v>96796</v>
      </c>
      <c r="B3370" s="447" t="s">
        <v>3220</v>
      </c>
      <c r="C3370" s="446" t="s">
        <v>14</v>
      </c>
      <c r="D3370" s="448">
        <v>15.64</v>
      </c>
      <c r="E3370" s="210"/>
    </row>
    <row r="3371" spans="1:5" ht="40.5">
      <c r="A3371" s="446">
        <v>96797</v>
      </c>
      <c r="B3371" s="447" t="s">
        <v>3221</v>
      </c>
      <c r="C3371" s="446" t="s">
        <v>14</v>
      </c>
      <c r="D3371" s="448">
        <v>24.07</v>
      </c>
      <c r="E3371" s="210"/>
    </row>
    <row r="3372" spans="1:5" ht="40.5">
      <c r="A3372" s="446">
        <v>96798</v>
      </c>
      <c r="B3372" s="447" t="s">
        <v>3222</v>
      </c>
      <c r="C3372" s="446" t="s">
        <v>14</v>
      </c>
      <c r="D3372" s="448">
        <v>8.66</v>
      </c>
      <c r="E3372" s="210"/>
    </row>
    <row r="3373" spans="1:5" ht="40.5">
      <c r="A3373" s="446">
        <v>96799</v>
      </c>
      <c r="B3373" s="447" t="s">
        <v>3223</v>
      </c>
      <c r="C3373" s="446" t="s">
        <v>14</v>
      </c>
      <c r="D3373" s="448">
        <v>11.53</v>
      </c>
      <c r="E3373" s="210"/>
    </row>
    <row r="3374" spans="1:5" ht="40.5">
      <c r="A3374" s="446">
        <v>96800</v>
      </c>
      <c r="B3374" s="447" t="s">
        <v>3224</v>
      </c>
      <c r="C3374" s="446" t="s">
        <v>14</v>
      </c>
      <c r="D3374" s="448">
        <v>16.77</v>
      </c>
      <c r="E3374" s="210"/>
    </row>
    <row r="3375" spans="1:5" ht="40.5">
      <c r="A3375" s="446">
        <v>96801</v>
      </c>
      <c r="B3375" s="447" t="s">
        <v>3225</v>
      </c>
      <c r="C3375" s="446" t="s">
        <v>14</v>
      </c>
      <c r="D3375" s="448">
        <v>26.01</v>
      </c>
      <c r="E3375" s="210"/>
    </row>
    <row r="3376" spans="1:5" ht="67.5">
      <c r="A3376" s="446">
        <v>97327</v>
      </c>
      <c r="B3376" s="447" t="s">
        <v>3877</v>
      </c>
      <c r="C3376" s="446" t="s">
        <v>14</v>
      </c>
      <c r="D3376" s="448">
        <v>29.66</v>
      </c>
      <c r="E3376" s="210"/>
    </row>
    <row r="3377" spans="1:5" ht="67.5">
      <c r="A3377" s="446">
        <v>97328</v>
      </c>
      <c r="B3377" s="447" t="s">
        <v>3878</v>
      </c>
      <c r="C3377" s="446" t="s">
        <v>14</v>
      </c>
      <c r="D3377" s="448">
        <v>52.2</v>
      </c>
      <c r="E3377" s="210"/>
    </row>
    <row r="3378" spans="1:5" ht="67.5">
      <c r="A3378" s="446">
        <v>97329</v>
      </c>
      <c r="B3378" s="447" t="s">
        <v>3879</v>
      </c>
      <c r="C3378" s="446" t="s">
        <v>14</v>
      </c>
      <c r="D3378" s="448">
        <v>65.489999999999995</v>
      </c>
      <c r="E3378" s="210"/>
    </row>
    <row r="3379" spans="1:5" ht="67.5">
      <c r="A3379" s="446">
        <v>97330</v>
      </c>
      <c r="B3379" s="447" t="s">
        <v>3880</v>
      </c>
      <c r="C3379" s="446" t="s">
        <v>14</v>
      </c>
      <c r="D3379" s="448">
        <v>80.09</v>
      </c>
      <c r="E3379" s="210"/>
    </row>
    <row r="3380" spans="1:5" ht="67.5">
      <c r="A3380" s="446">
        <v>97331</v>
      </c>
      <c r="B3380" s="447" t="s">
        <v>3881</v>
      </c>
      <c r="C3380" s="446" t="s">
        <v>14</v>
      </c>
      <c r="D3380" s="448">
        <v>29.88</v>
      </c>
      <c r="E3380" s="210"/>
    </row>
    <row r="3381" spans="1:5" ht="67.5">
      <c r="A3381" s="446">
        <v>97332</v>
      </c>
      <c r="B3381" s="447" t="s">
        <v>3882</v>
      </c>
      <c r="C3381" s="446" t="s">
        <v>14</v>
      </c>
      <c r="D3381" s="448">
        <v>52.45</v>
      </c>
      <c r="E3381" s="210"/>
    </row>
    <row r="3382" spans="1:5" ht="67.5">
      <c r="A3382" s="446">
        <v>97333</v>
      </c>
      <c r="B3382" s="447" t="s">
        <v>3883</v>
      </c>
      <c r="C3382" s="446" t="s">
        <v>14</v>
      </c>
      <c r="D3382" s="448">
        <v>65.8</v>
      </c>
      <c r="E3382" s="210"/>
    </row>
    <row r="3383" spans="1:5" ht="67.5">
      <c r="A3383" s="446">
        <v>97334</v>
      </c>
      <c r="B3383" s="447" t="s">
        <v>3884</v>
      </c>
      <c r="C3383" s="446" t="s">
        <v>14</v>
      </c>
      <c r="D3383" s="448">
        <v>80.430000000000007</v>
      </c>
      <c r="E3383" s="210"/>
    </row>
    <row r="3384" spans="1:5" ht="40.5">
      <c r="A3384" s="446">
        <v>97335</v>
      </c>
      <c r="B3384" s="447" t="s">
        <v>3885</v>
      </c>
      <c r="C3384" s="446" t="s">
        <v>14</v>
      </c>
      <c r="D3384" s="448">
        <v>83.2</v>
      </c>
      <c r="E3384" s="210"/>
    </row>
    <row r="3385" spans="1:5" ht="40.5">
      <c r="A3385" s="446">
        <v>97336</v>
      </c>
      <c r="B3385" s="447" t="s">
        <v>3886</v>
      </c>
      <c r="C3385" s="446" t="s">
        <v>14</v>
      </c>
      <c r="D3385" s="448">
        <v>105.72</v>
      </c>
      <c r="E3385" s="210"/>
    </row>
    <row r="3386" spans="1:5" ht="40.5">
      <c r="A3386" s="446">
        <v>97337</v>
      </c>
      <c r="B3386" s="447" t="s">
        <v>3887</v>
      </c>
      <c r="C3386" s="446" t="s">
        <v>14</v>
      </c>
      <c r="D3386" s="448">
        <v>159.11000000000001</v>
      </c>
      <c r="E3386" s="210"/>
    </row>
    <row r="3387" spans="1:5" ht="40.5">
      <c r="A3387" s="446">
        <v>97338</v>
      </c>
      <c r="B3387" s="447" t="s">
        <v>3888</v>
      </c>
      <c r="C3387" s="446" t="s">
        <v>14</v>
      </c>
      <c r="D3387" s="448">
        <v>191.34</v>
      </c>
      <c r="E3387" s="210"/>
    </row>
    <row r="3388" spans="1:5" ht="40.5">
      <c r="A3388" s="446">
        <v>97339</v>
      </c>
      <c r="B3388" s="447" t="s">
        <v>3889</v>
      </c>
      <c r="C3388" s="446" t="s">
        <v>14</v>
      </c>
      <c r="D3388" s="448">
        <v>205.53</v>
      </c>
      <c r="E3388" s="210"/>
    </row>
    <row r="3389" spans="1:5" ht="40.5">
      <c r="A3389" s="446">
        <v>97340</v>
      </c>
      <c r="B3389" s="447" t="s">
        <v>3890</v>
      </c>
      <c r="C3389" s="446" t="s">
        <v>14</v>
      </c>
      <c r="D3389" s="448">
        <v>206.06</v>
      </c>
      <c r="E3389" s="210"/>
    </row>
    <row r="3390" spans="1:5" ht="54">
      <c r="A3390" s="446">
        <v>97341</v>
      </c>
      <c r="B3390" s="447" t="s">
        <v>3891</v>
      </c>
      <c r="C3390" s="446" t="s">
        <v>14</v>
      </c>
      <c r="D3390" s="448">
        <v>54.4</v>
      </c>
      <c r="E3390" s="210"/>
    </row>
    <row r="3391" spans="1:5" ht="54">
      <c r="A3391" s="446">
        <v>97342</v>
      </c>
      <c r="B3391" s="447" t="s">
        <v>3892</v>
      </c>
      <c r="C3391" s="446" t="s">
        <v>14</v>
      </c>
      <c r="D3391" s="448">
        <v>86.22</v>
      </c>
      <c r="E3391" s="210"/>
    </row>
    <row r="3392" spans="1:5" ht="54">
      <c r="A3392" s="446">
        <v>97343</v>
      </c>
      <c r="B3392" s="447" t="s">
        <v>3893</v>
      </c>
      <c r="C3392" s="446" t="s">
        <v>14</v>
      </c>
      <c r="D3392" s="448">
        <v>108.96</v>
      </c>
      <c r="E3392" s="210"/>
    </row>
    <row r="3393" spans="1:5" ht="54">
      <c r="A3393" s="446">
        <v>97344</v>
      </c>
      <c r="B3393" s="447" t="s">
        <v>3894</v>
      </c>
      <c r="C3393" s="446" t="s">
        <v>14</v>
      </c>
      <c r="D3393" s="448">
        <v>61.03</v>
      </c>
      <c r="E3393" s="210"/>
    </row>
    <row r="3394" spans="1:5" ht="54">
      <c r="A3394" s="446">
        <v>97345</v>
      </c>
      <c r="B3394" s="447" t="s">
        <v>3895</v>
      </c>
      <c r="C3394" s="446" t="s">
        <v>14</v>
      </c>
      <c r="D3394" s="448">
        <v>97.61</v>
      </c>
      <c r="E3394" s="210"/>
    </row>
    <row r="3395" spans="1:5" ht="54">
      <c r="A3395" s="446">
        <v>97346</v>
      </c>
      <c r="B3395" s="447" t="s">
        <v>3896</v>
      </c>
      <c r="C3395" s="446" t="s">
        <v>14</v>
      </c>
      <c r="D3395" s="448">
        <v>124.5</v>
      </c>
      <c r="E3395" s="210"/>
    </row>
    <row r="3396" spans="1:5" ht="40.5">
      <c r="A3396" s="446">
        <v>97347</v>
      </c>
      <c r="B3396" s="447" t="s">
        <v>3897</v>
      </c>
      <c r="C3396" s="446" t="s">
        <v>14</v>
      </c>
      <c r="D3396" s="448">
        <v>100.38</v>
      </c>
      <c r="E3396" s="210"/>
    </row>
    <row r="3397" spans="1:5" ht="40.5">
      <c r="A3397" s="446">
        <v>97348</v>
      </c>
      <c r="B3397" s="447" t="s">
        <v>3898</v>
      </c>
      <c r="C3397" s="446" t="s">
        <v>14</v>
      </c>
      <c r="D3397" s="448">
        <v>138.79</v>
      </c>
      <c r="E3397" s="210"/>
    </row>
    <row r="3398" spans="1:5" ht="40.5">
      <c r="A3398" s="446">
        <v>97349</v>
      </c>
      <c r="B3398" s="447" t="s">
        <v>3899</v>
      </c>
      <c r="C3398" s="446" t="s">
        <v>14</v>
      </c>
      <c r="D3398" s="448">
        <v>200.27</v>
      </c>
      <c r="E3398" s="210"/>
    </row>
    <row r="3399" spans="1:5" ht="40.5">
      <c r="A3399" s="446">
        <v>97350</v>
      </c>
      <c r="B3399" s="447" t="s">
        <v>3900</v>
      </c>
      <c r="C3399" s="446" t="s">
        <v>14</v>
      </c>
      <c r="D3399" s="448">
        <v>243.24</v>
      </c>
      <c r="E3399" s="210"/>
    </row>
    <row r="3400" spans="1:5" ht="40.5">
      <c r="A3400" s="446">
        <v>97351</v>
      </c>
      <c r="B3400" s="447" t="s">
        <v>3901</v>
      </c>
      <c r="C3400" s="446" t="s">
        <v>14</v>
      </c>
      <c r="D3400" s="448">
        <v>336.51</v>
      </c>
      <c r="E3400" s="210"/>
    </row>
    <row r="3401" spans="1:5" ht="40.5">
      <c r="A3401" s="446">
        <v>97352</v>
      </c>
      <c r="B3401" s="447" t="s">
        <v>3902</v>
      </c>
      <c r="C3401" s="446" t="s">
        <v>14</v>
      </c>
      <c r="D3401" s="448">
        <v>436.27</v>
      </c>
      <c r="E3401" s="210"/>
    </row>
    <row r="3402" spans="1:5" ht="54">
      <c r="A3402" s="446">
        <v>97353</v>
      </c>
      <c r="B3402" s="447" t="s">
        <v>3903</v>
      </c>
      <c r="C3402" s="446" t="s">
        <v>14</v>
      </c>
      <c r="D3402" s="448">
        <v>64.569999999999993</v>
      </c>
      <c r="E3402" s="210"/>
    </row>
    <row r="3403" spans="1:5" ht="54">
      <c r="A3403" s="446">
        <v>97354</v>
      </c>
      <c r="B3403" s="447" t="s">
        <v>3904</v>
      </c>
      <c r="C3403" s="446" t="s">
        <v>14</v>
      </c>
      <c r="D3403" s="448">
        <v>103.4</v>
      </c>
      <c r="E3403" s="210"/>
    </row>
    <row r="3404" spans="1:5" ht="54">
      <c r="A3404" s="446">
        <v>97355</v>
      </c>
      <c r="B3404" s="447" t="s">
        <v>3905</v>
      </c>
      <c r="C3404" s="446" t="s">
        <v>14</v>
      </c>
      <c r="D3404" s="448">
        <v>142.03</v>
      </c>
      <c r="E3404" s="210"/>
    </row>
    <row r="3405" spans="1:5" ht="54">
      <c r="A3405" s="446">
        <v>97356</v>
      </c>
      <c r="B3405" s="447" t="s">
        <v>3906</v>
      </c>
      <c r="C3405" s="446" t="s">
        <v>14</v>
      </c>
      <c r="D3405" s="448">
        <v>71.2</v>
      </c>
      <c r="E3405" s="210"/>
    </row>
    <row r="3406" spans="1:5" ht="54">
      <c r="A3406" s="446">
        <v>97357</v>
      </c>
      <c r="B3406" s="447" t="s">
        <v>3907</v>
      </c>
      <c r="C3406" s="446" t="s">
        <v>14</v>
      </c>
      <c r="D3406" s="448">
        <v>114.79</v>
      </c>
      <c r="E3406" s="210"/>
    </row>
    <row r="3407" spans="1:5" ht="54">
      <c r="A3407" s="446">
        <v>97358</v>
      </c>
      <c r="B3407" s="447" t="s">
        <v>3908</v>
      </c>
      <c r="C3407" s="446" t="s">
        <v>14</v>
      </c>
      <c r="D3407" s="448">
        <v>157.57</v>
      </c>
      <c r="E3407" s="210"/>
    </row>
    <row r="3408" spans="1:5" ht="67.5">
      <c r="A3408" s="446">
        <v>97498</v>
      </c>
      <c r="B3408" s="447" t="s">
        <v>5871</v>
      </c>
      <c r="C3408" s="446" t="s">
        <v>14</v>
      </c>
      <c r="D3408" s="448">
        <v>58.63</v>
      </c>
      <c r="E3408" s="210"/>
    </row>
    <row r="3409" spans="1:5" ht="67.5">
      <c r="A3409" s="446">
        <v>97535</v>
      </c>
      <c r="B3409" s="447" t="s">
        <v>5872</v>
      </c>
      <c r="C3409" s="446" t="s">
        <v>14</v>
      </c>
      <c r="D3409" s="448">
        <v>61.66</v>
      </c>
      <c r="E3409" s="210"/>
    </row>
    <row r="3410" spans="1:5" ht="67.5">
      <c r="A3410" s="446">
        <v>97536</v>
      </c>
      <c r="B3410" s="447" t="s">
        <v>5873</v>
      </c>
      <c r="C3410" s="446" t="s">
        <v>14</v>
      </c>
      <c r="D3410" s="448">
        <v>68.599999999999994</v>
      </c>
      <c r="E3410" s="210"/>
    </row>
    <row r="3411" spans="1:5" ht="67.5">
      <c r="A3411" s="446">
        <v>100788</v>
      </c>
      <c r="B3411" s="447" t="s">
        <v>5080</v>
      </c>
      <c r="C3411" s="446" t="s">
        <v>34</v>
      </c>
      <c r="D3411" s="448">
        <v>431.87</v>
      </c>
      <c r="E3411" s="210"/>
    </row>
    <row r="3412" spans="1:5" ht="54">
      <c r="A3412" s="446">
        <v>100791</v>
      </c>
      <c r="B3412" s="447" t="s">
        <v>5081</v>
      </c>
      <c r="C3412" s="446" t="s">
        <v>14</v>
      </c>
      <c r="D3412" s="448">
        <v>17.37</v>
      </c>
      <c r="E3412" s="210"/>
    </row>
    <row r="3413" spans="1:5" ht="54">
      <c r="A3413" s="446">
        <v>100792</v>
      </c>
      <c r="B3413" s="447" t="s">
        <v>5082</v>
      </c>
      <c r="C3413" s="446" t="s">
        <v>14</v>
      </c>
      <c r="D3413" s="448">
        <v>26.23</v>
      </c>
      <c r="E3413" s="210"/>
    </row>
    <row r="3414" spans="1:5" ht="54">
      <c r="A3414" s="446">
        <v>100793</v>
      </c>
      <c r="B3414" s="447" t="s">
        <v>5083</v>
      </c>
      <c r="C3414" s="446" t="s">
        <v>14</v>
      </c>
      <c r="D3414" s="448">
        <v>35.200000000000003</v>
      </c>
      <c r="E3414" s="210"/>
    </row>
    <row r="3415" spans="1:5" ht="54">
      <c r="A3415" s="446">
        <v>100794</v>
      </c>
      <c r="B3415" s="447" t="s">
        <v>5084</v>
      </c>
      <c r="C3415" s="446" t="s">
        <v>14</v>
      </c>
      <c r="D3415" s="448">
        <v>47.96</v>
      </c>
      <c r="E3415" s="210"/>
    </row>
    <row r="3416" spans="1:5" ht="54">
      <c r="A3416" s="446">
        <v>100799</v>
      </c>
      <c r="B3416" s="447" t="s">
        <v>6766</v>
      </c>
      <c r="C3416" s="446" t="s">
        <v>14</v>
      </c>
      <c r="D3416" s="448">
        <v>17.68</v>
      </c>
      <c r="E3416" s="210"/>
    </row>
    <row r="3417" spans="1:5" ht="54">
      <c r="A3417" s="446">
        <v>100800</v>
      </c>
      <c r="B3417" s="447" t="s">
        <v>6767</v>
      </c>
      <c r="C3417" s="446" t="s">
        <v>14</v>
      </c>
      <c r="D3417" s="448">
        <v>26.55</v>
      </c>
      <c r="E3417" s="210"/>
    </row>
    <row r="3418" spans="1:5" ht="54">
      <c r="A3418" s="446">
        <v>100801</v>
      </c>
      <c r="B3418" s="447" t="s">
        <v>6768</v>
      </c>
      <c r="C3418" s="446" t="s">
        <v>14</v>
      </c>
      <c r="D3418" s="448">
        <v>35.51</v>
      </c>
      <c r="E3418" s="210"/>
    </row>
    <row r="3419" spans="1:5" ht="54">
      <c r="A3419" s="446">
        <v>100802</v>
      </c>
      <c r="B3419" s="447" t="s">
        <v>6769</v>
      </c>
      <c r="C3419" s="446" t="s">
        <v>14</v>
      </c>
      <c r="D3419" s="448">
        <v>48.27</v>
      </c>
      <c r="E3419" s="210"/>
    </row>
    <row r="3420" spans="1:5" ht="54">
      <c r="A3420" s="446">
        <v>100803</v>
      </c>
      <c r="B3420" s="447" t="s">
        <v>5085</v>
      </c>
      <c r="C3420" s="446" t="s">
        <v>14</v>
      </c>
      <c r="D3420" s="448">
        <v>16.72</v>
      </c>
      <c r="E3420" s="210"/>
    </row>
    <row r="3421" spans="1:5" ht="54">
      <c r="A3421" s="446">
        <v>100804</v>
      </c>
      <c r="B3421" s="447" t="s">
        <v>5086</v>
      </c>
      <c r="C3421" s="446" t="s">
        <v>14</v>
      </c>
      <c r="D3421" s="448">
        <v>25.46</v>
      </c>
      <c r="E3421" s="210"/>
    </row>
    <row r="3422" spans="1:5" ht="54">
      <c r="A3422" s="446">
        <v>100805</v>
      </c>
      <c r="B3422" s="447" t="s">
        <v>5087</v>
      </c>
      <c r="C3422" s="446" t="s">
        <v>14</v>
      </c>
      <c r="D3422" s="448">
        <v>34.29</v>
      </c>
      <c r="E3422" s="210"/>
    </row>
    <row r="3423" spans="1:5" ht="54">
      <c r="A3423" s="446">
        <v>100806</v>
      </c>
      <c r="B3423" s="447" t="s">
        <v>5088</v>
      </c>
      <c r="C3423" s="446" t="s">
        <v>14</v>
      </c>
      <c r="D3423" s="448">
        <v>46.84</v>
      </c>
      <c r="E3423" s="210"/>
    </row>
    <row r="3424" spans="1:5" ht="54">
      <c r="A3424" s="446">
        <v>100807</v>
      </c>
      <c r="B3424" s="447" t="s">
        <v>6770</v>
      </c>
      <c r="C3424" s="446" t="s">
        <v>14</v>
      </c>
      <c r="D3424" s="448">
        <v>21.34</v>
      </c>
      <c r="E3424" s="210"/>
    </row>
    <row r="3425" spans="1:5" ht="54">
      <c r="A3425" s="446">
        <v>100808</v>
      </c>
      <c r="B3425" s="447" t="s">
        <v>6771</v>
      </c>
      <c r="C3425" s="446" t="s">
        <v>14</v>
      </c>
      <c r="D3425" s="448">
        <v>30.89</v>
      </c>
      <c r="E3425" s="210"/>
    </row>
    <row r="3426" spans="1:5" ht="54">
      <c r="A3426" s="446">
        <v>100809</v>
      </c>
      <c r="B3426" s="447" t="s">
        <v>6772</v>
      </c>
      <c r="C3426" s="446" t="s">
        <v>14</v>
      </c>
      <c r="D3426" s="448">
        <v>40.71</v>
      </c>
      <c r="E3426" s="210"/>
    </row>
    <row r="3427" spans="1:5" ht="54">
      <c r="A3427" s="446">
        <v>100810</v>
      </c>
      <c r="B3427" s="447" t="s">
        <v>6773</v>
      </c>
      <c r="C3427" s="446" t="s">
        <v>14</v>
      </c>
      <c r="D3427" s="448">
        <v>54.66</v>
      </c>
      <c r="E3427" s="210"/>
    </row>
    <row r="3428" spans="1:5" ht="54">
      <c r="A3428" s="446">
        <v>101918</v>
      </c>
      <c r="B3428" s="447" t="s">
        <v>5874</v>
      </c>
      <c r="C3428" s="446" t="s">
        <v>14</v>
      </c>
      <c r="D3428" s="448">
        <v>279.64</v>
      </c>
      <c r="E3428" s="210"/>
    </row>
    <row r="3429" spans="1:5" ht="54">
      <c r="A3429" s="446">
        <v>101919</v>
      </c>
      <c r="B3429" s="447" t="s">
        <v>5875</v>
      </c>
      <c r="C3429" s="446" t="s">
        <v>34</v>
      </c>
      <c r="D3429" s="448">
        <v>301.57</v>
      </c>
      <c r="E3429" s="210"/>
    </row>
    <row r="3430" spans="1:5" ht="40.5">
      <c r="A3430" s="446">
        <v>101920</v>
      </c>
      <c r="B3430" s="447" t="s">
        <v>5876</v>
      </c>
      <c r="C3430" s="446" t="s">
        <v>34</v>
      </c>
      <c r="D3430" s="448">
        <v>141.32</v>
      </c>
      <c r="E3430" s="210"/>
    </row>
    <row r="3431" spans="1:5" ht="54">
      <c r="A3431" s="446">
        <v>101921</v>
      </c>
      <c r="B3431" s="447" t="s">
        <v>5877</v>
      </c>
      <c r="C3431" s="446" t="s">
        <v>34</v>
      </c>
      <c r="D3431" s="448">
        <v>161.96</v>
      </c>
      <c r="E3431" s="210"/>
    </row>
    <row r="3432" spans="1:5" ht="54">
      <c r="A3432" s="446">
        <v>101922</v>
      </c>
      <c r="B3432" s="447" t="s">
        <v>5878</v>
      </c>
      <c r="C3432" s="446" t="s">
        <v>34</v>
      </c>
      <c r="D3432" s="448">
        <v>161.96</v>
      </c>
      <c r="E3432" s="210"/>
    </row>
    <row r="3433" spans="1:5" ht="54">
      <c r="A3433" s="446">
        <v>101923</v>
      </c>
      <c r="B3433" s="447" t="s">
        <v>5879</v>
      </c>
      <c r="C3433" s="446" t="s">
        <v>34</v>
      </c>
      <c r="D3433" s="448">
        <v>161.96</v>
      </c>
      <c r="E3433" s="210"/>
    </row>
    <row r="3434" spans="1:5" ht="54">
      <c r="A3434" s="446">
        <v>101924</v>
      </c>
      <c r="B3434" s="447" t="s">
        <v>5880</v>
      </c>
      <c r="C3434" s="446" t="s">
        <v>34</v>
      </c>
      <c r="D3434" s="448">
        <v>132.69</v>
      </c>
      <c r="E3434" s="210"/>
    </row>
    <row r="3435" spans="1:5" ht="54">
      <c r="A3435" s="446">
        <v>101925</v>
      </c>
      <c r="B3435" s="447" t="s">
        <v>5881</v>
      </c>
      <c r="C3435" s="446" t="s">
        <v>34</v>
      </c>
      <c r="D3435" s="448">
        <v>222.6</v>
      </c>
      <c r="E3435" s="210"/>
    </row>
    <row r="3436" spans="1:5" ht="40.5">
      <c r="A3436" s="446">
        <v>101926</v>
      </c>
      <c r="B3436" s="447" t="s">
        <v>5882</v>
      </c>
      <c r="C3436" s="446" t="s">
        <v>34</v>
      </c>
      <c r="D3436" s="448">
        <v>286.73</v>
      </c>
      <c r="E3436" s="210"/>
    </row>
    <row r="3437" spans="1:5" ht="67.5">
      <c r="A3437" s="446">
        <v>101927</v>
      </c>
      <c r="B3437" s="447" t="s">
        <v>5883</v>
      </c>
      <c r="C3437" s="446" t="s">
        <v>14</v>
      </c>
      <c r="D3437" s="448">
        <v>270.22000000000003</v>
      </c>
      <c r="E3437" s="210"/>
    </row>
    <row r="3438" spans="1:5" ht="54">
      <c r="A3438" s="446">
        <v>101928</v>
      </c>
      <c r="B3438" s="447" t="s">
        <v>5884</v>
      </c>
      <c r="C3438" s="446" t="s">
        <v>34</v>
      </c>
      <c r="D3438" s="448">
        <v>305.17</v>
      </c>
      <c r="E3438" s="210"/>
    </row>
    <row r="3439" spans="1:5" ht="54">
      <c r="A3439" s="446">
        <v>101929</v>
      </c>
      <c r="B3439" s="447" t="s">
        <v>5885</v>
      </c>
      <c r="C3439" s="446" t="s">
        <v>34</v>
      </c>
      <c r="D3439" s="448">
        <v>144.91999999999999</v>
      </c>
      <c r="E3439" s="210"/>
    </row>
    <row r="3440" spans="1:5" ht="67.5">
      <c r="A3440" s="446">
        <v>101930</v>
      </c>
      <c r="B3440" s="447" t="s">
        <v>5886</v>
      </c>
      <c r="C3440" s="446" t="s">
        <v>34</v>
      </c>
      <c r="D3440" s="448">
        <v>165.56</v>
      </c>
      <c r="E3440" s="210"/>
    </row>
    <row r="3441" spans="1:5" ht="54">
      <c r="A3441" s="446">
        <v>101931</v>
      </c>
      <c r="B3441" s="447" t="s">
        <v>5887</v>
      </c>
      <c r="C3441" s="446" t="s">
        <v>34</v>
      </c>
      <c r="D3441" s="448">
        <v>165.56</v>
      </c>
      <c r="E3441" s="210"/>
    </row>
    <row r="3442" spans="1:5" ht="54">
      <c r="A3442" s="446">
        <v>101932</v>
      </c>
      <c r="B3442" s="447" t="s">
        <v>5888</v>
      </c>
      <c r="C3442" s="446" t="s">
        <v>34</v>
      </c>
      <c r="D3442" s="448">
        <v>165.56</v>
      </c>
      <c r="E3442" s="210"/>
    </row>
    <row r="3443" spans="1:5" ht="54">
      <c r="A3443" s="446">
        <v>101933</v>
      </c>
      <c r="B3443" s="447" t="s">
        <v>5889</v>
      </c>
      <c r="C3443" s="446" t="s">
        <v>34</v>
      </c>
      <c r="D3443" s="448">
        <v>136.29</v>
      </c>
      <c r="E3443" s="210"/>
    </row>
    <row r="3444" spans="1:5" ht="54">
      <c r="A3444" s="446">
        <v>101934</v>
      </c>
      <c r="B3444" s="447" t="s">
        <v>5890</v>
      </c>
      <c r="C3444" s="446" t="s">
        <v>34</v>
      </c>
      <c r="D3444" s="448">
        <v>228.02</v>
      </c>
      <c r="E3444" s="210"/>
    </row>
    <row r="3445" spans="1:5" ht="54">
      <c r="A3445" s="446">
        <v>101935</v>
      </c>
      <c r="B3445" s="447" t="s">
        <v>5891</v>
      </c>
      <c r="C3445" s="446" t="s">
        <v>34</v>
      </c>
      <c r="D3445" s="448">
        <v>293.94</v>
      </c>
      <c r="E3445" s="210"/>
    </row>
    <row r="3446" spans="1:5" ht="54">
      <c r="A3446" s="446">
        <v>89358</v>
      </c>
      <c r="B3446" s="447" t="s">
        <v>1287</v>
      </c>
      <c r="C3446" s="446" t="s">
        <v>34</v>
      </c>
      <c r="D3446" s="448">
        <v>5.53</v>
      </c>
      <c r="E3446" s="210"/>
    </row>
    <row r="3447" spans="1:5" ht="54">
      <c r="A3447" s="446">
        <v>89359</v>
      </c>
      <c r="B3447" s="447" t="s">
        <v>1288</v>
      </c>
      <c r="C3447" s="446" t="s">
        <v>34</v>
      </c>
      <c r="D3447" s="448">
        <v>5.88</v>
      </c>
      <c r="E3447" s="210"/>
    </row>
    <row r="3448" spans="1:5" ht="40.5">
      <c r="A3448" s="446">
        <v>89360</v>
      </c>
      <c r="B3448" s="447" t="s">
        <v>1289</v>
      </c>
      <c r="C3448" s="446" t="s">
        <v>34</v>
      </c>
      <c r="D3448" s="448">
        <v>7.35</v>
      </c>
      <c r="E3448" s="210"/>
    </row>
    <row r="3449" spans="1:5" ht="40.5">
      <c r="A3449" s="446">
        <v>89361</v>
      </c>
      <c r="B3449" s="447" t="s">
        <v>1290</v>
      </c>
      <c r="C3449" s="446" t="s">
        <v>34</v>
      </c>
      <c r="D3449" s="448">
        <v>6.77</v>
      </c>
      <c r="E3449" s="210"/>
    </row>
    <row r="3450" spans="1:5" ht="54">
      <c r="A3450" s="446">
        <v>89362</v>
      </c>
      <c r="B3450" s="447" t="s">
        <v>1291</v>
      </c>
      <c r="C3450" s="446" t="s">
        <v>34</v>
      </c>
      <c r="D3450" s="448">
        <v>6.64</v>
      </c>
      <c r="E3450" s="210"/>
    </row>
    <row r="3451" spans="1:5" ht="54">
      <c r="A3451" s="446">
        <v>89363</v>
      </c>
      <c r="B3451" s="447" t="s">
        <v>1292</v>
      </c>
      <c r="C3451" s="446" t="s">
        <v>34</v>
      </c>
      <c r="D3451" s="448">
        <v>7.39</v>
      </c>
      <c r="E3451" s="210"/>
    </row>
    <row r="3452" spans="1:5" ht="40.5">
      <c r="A3452" s="446">
        <v>89364</v>
      </c>
      <c r="B3452" s="447" t="s">
        <v>1293</v>
      </c>
      <c r="C3452" s="446" t="s">
        <v>34</v>
      </c>
      <c r="D3452" s="448">
        <v>8.94</v>
      </c>
      <c r="E3452" s="210"/>
    </row>
    <row r="3453" spans="1:5" ht="40.5">
      <c r="A3453" s="446">
        <v>89365</v>
      </c>
      <c r="B3453" s="447" t="s">
        <v>1294</v>
      </c>
      <c r="C3453" s="446" t="s">
        <v>34</v>
      </c>
      <c r="D3453" s="448">
        <v>8.25</v>
      </c>
      <c r="E3453" s="210"/>
    </row>
    <row r="3454" spans="1:5" ht="54">
      <c r="A3454" s="446">
        <v>89366</v>
      </c>
      <c r="B3454" s="447" t="s">
        <v>1295</v>
      </c>
      <c r="C3454" s="446" t="s">
        <v>34</v>
      </c>
      <c r="D3454" s="448">
        <v>13.04</v>
      </c>
      <c r="E3454" s="210"/>
    </row>
    <row r="3455" spans="1:5" ht="54">
      <c r="A3455" s="446">
        <v>89367</v>
      </c>
      <c r="B3455" s="447" t="s">
        <v>1296</v>
      </c>
      <c r="C3455" s="446" t="s">
        <v>34</v>
      </c>
      <c r="D3455" s="448">
        <v>9.3800000000000008</v>
      </c>
      <c r="E3455" s="210"/>
    </row>
    <row r="3456" spans="1:5" ht="54">
      <c r="A3456" s="446">
        <v>89368</v>
      </c>
      <c r="B3456" s="447" t="s">
        <v>1297</v>
      </c>
      <c r="C3456" s="446" t="s">
        <v>34</v>
      </c>
      <c r="D3456" s="448">
        <v>11.49</v>
      </c>
      <c r="E3456" s="210"/>
    </row>
    <row r="3457" spans="1:5" ht="40.5">
      <c r="A3457" s="446">
        <v>89369</v>
      </c>
      <c r="B3457" s="447" t="s">
        <v>1298</v>
      </c>
      <c r="C3457" s="446" t="s">
        <v>34</v>
      </c>
      <c r="D3457" s="448">
        <v>14.1</v>
      </c>
      <c r="E3457" s="210"/>
    </row>
    <row r="3458" spans="1:5" ht="40.5">
      <c r="A3458" s="446">
        <v>89370</v>
      </c>
      <c r="B3458" s="447" t="s">
        <v>1299</v>
      </c>
      <c r="C3458" s="446" t="s">
        <v>34</v>
      </c>
      <c r="D3458" s="448">
        <v>11.04</v>
      </c>
      <c r="E3458" s="210"/>
    </row>
    <row r="3459" spans="1:5" ht="40.5">
      <c r="A3459" s="446">
        <v>89371</v>
      </c>
      <c r="B3459" s="447" t="s">
        <v>229</v>
      </c>
      <c r="C3459" s="446" t="s">
        <v>34</v>
      </c>
      <c r="D3459" s="448">
        <v>4.3</v>
      </c>
      <c r="E3459" s="210"/>
    </row>
    <row r="3460" spans="1:5" ht="40.5">
      <c r="A3460" s="446">
        <v>89372</v>
      </c>
      <c r="B3460" s="447" t="s">
        <v>1300</v>
      </c>
      <c r="C3460" s="446" t="s">
        <v>34</v>
      </c>
      <c r="D3460" s="448">
        <v>11.25</v>
      </c>
      <c r="E3460" s="210"/>
    </row>
    <row r="3461" spans="1:5" ht="54">
      <c r="A3461" s="446">
        <v>89373</v>
      </c>
      <c r="B3461" s="447" t="s">
        <v>230</v>
      </c>
      <c r="C3461" s="446" t="s">
        <v>34</v>
      </c>
      <c r="D3461" s="448">
        <v>4.93</v>
      </c>
      <c r="E3461" s="210"/>
    </row>
    <row r="3462" spans="1:5" ht="54">
      <c r="A3462" s="446">
        <v>89374</v>
      </c>
      <c r="B3462" s="447" t="s">
        <v>1301</v>
      </c>
      <c r="C3462" s="446" t="s">
        <v>34</v>
      </c>
      <c r="D3462" s="448">
        <v>8.6999999999999993</v>
      </c>
      <c r="E3462" s="210"/>
    </row>
    <row r="3463" spans="1:5" ht="40.5">
      <c r="A3463" s="446">
        <v>89375</v>
      </c>
      <c r="B3463" s="447" t="s">
        <v>231</v>
      </c>
      <c r="C3463" s="446" t="s">
        <v>34</v>
      </c>
      <c r="D3463" s="448">
        <v>10.98</v>
      </c>
      <c r="E3463" s="210"/>
    </row>
    <row r="3464" spans="1:5" ht="54">
      <c r="A3464" s="446">
        <v>89376</v>
      </c>
      <c r="B3464" s="447" t="s">
        <v>1302</v>
      </c>
      <c r="C3464" s="446" t="s">
        <v>34</v>
      </c>
      <c r="D3464" s="448">
        <v>4.37</v>
      </c>
      <c r="E3464" s="210"/>
    </row>
    <row r="3465" spans="1:5" ht="54">
      <c r="A3465" s="446">
        <v>89377</v>
      </c>
      <c r="B3465" s="447" t="s">
        <v>1303</v>
      </c>
      <c r="C3465" s="446" t="s">
        <v>34</v>
      </c>
      <c r="D3465" s="448">
        <v>7.73</v>
      </c>
      <c r="E3465" s="210"/>
    </row>
    <row r="3466" spans="1:5" ht="40.5">
      <c r="A3466" s="446">
        <v>89378</v>
      </c>
      <c r="B3466" s="447" t="s">
        <v>232</v>
      </c>
      <c r="C3466" s="446" t="s">
        <v>34</v>
      </c>
      <c r="D3466" s="448">
        <v>5.13</v>
      </c>
      <c r="E3466" s="210"/>
    </row>
    <row r="3467" spans="1:5" ht="40.5">
      <c r="A3467" s="446">
        <v>89379</v>
      </c>
      <c r="B3467" s="447" t="s">
        <v>1304</v>
      </c>
      <c r="C3467" s="446" t="s">
        <v>34</v>
      </c>
      <c r="D3467" s="448">
        <v>14.4</v>
      </c>
      <c r="E3467" s="210"/>
    </row>
    <row r="3468" spans="1:5" ht="54">
      <c r="A3468" s="446">
        <v>89380</v>
      </c>
      <c r="B3468" s="447" t="s">
        <v>233</v>
      </c>
      <c r="C3468" s="446" t="s">
        <v>34</v>
      </c>
      <c r="D3468" s="448">
        <v>7.98</v>
      </c>
      <c r="E3468" s="210"/>
    </row>
    <row r="3469" spans="1:5" ht="54">
      <c r="A3469" s="446">
        <v>89381</v>
      </c>
      <c r="B3469" s="447" t="s">
        <v>1305</v>
      </c>
      <c r="C3469" s="446" t="s">
        <v>34</v>
      </c>
      <c r="D3469" s="448">
        <v>10.99</v>
      </c>
      <c r="E3469" s="210"/>
    </row>
    <row r="3470" spans="1:5" ht="40.5">
      <c r="A3470" s="446">
        <v>89382</v>
      </c>
      <c r="B3470" s="447" t="s">
        <v>234</v>
      </c>
      <c r="C3470" s="446" t="s">
        <v>34</v>
      </c>
      <c r="D3470" s="448">
        <v>13.11</v>
      </c>
      <c r="E3470" s="210"/>
    </row>
    <row r="3471" spans="1:5" ht="54">
      <c r="A3471" s="446">
        <v>89383</v>
      </c>
      <c r="B3471" s="447" t="s">
        <v>1306</v>
      </c>
      <c r="C3471" s="446" t="s">
        <v>34</v>
      </c>
      <c r="D3471" s="448">
        <v>5.22</v>
      </c>
      <c r="E3471" s="210"/>
    </row>
    <row r="3472" spans="1:5" ht="54">
      <c r="A3472" s="446">
        <v>89384</v>
      </c>
      <c r="B3472" s="447" t="s">
        <v>1307</v>
      </c>
      <c r="C3472" s="446" t="s">
        <v>34</v>
      </c>
      <c r="D3472" s="448">
        <v>11.14</v>
      </c>
      <c r="E3472" s="210"/>
    </row>
    <row r="3473" spans="1:5" ht="54">
      <c r="A3473" s="446">
        <v>89385</v>
      </c>
      <c r="B3473" s="447" t="s">
        <v>1308</v>
      </c>
      <c r="C3473" s="446" t="s">
        <v>34</v>
      </c>
      <c r="D3473" s="448">
        <v>5.96</v>
      </c>
      <c r="E3473" s="210"/>
    </row>
    <row r="3474" spans="1:5" ht="40.5">
      <c r="A3474" s="446">
        <v>89386</v>
      </c>
      <c r="B3474" s="447" t="s">
        <v>235</v>
      </c>
      <c r="C3474" s="446" t="s">
        <v>34</v>
      </c>
      <c r="D3474" s="448">
        <v>7.25</v>
      </c>
      <c r="E3474" s="210"/>
    </row>
    <row r="3475" spans="1:5" ht="40.5">
      <c r="A3475" s="446">
        <v>89387</v>
      </c>
      <c r="B3475" s="447" t="s">
        <v>1309</v>
      </c>
      <c r="C3475" s="446" t="s">
        <v>34</v>
      </c>
      <c r="D3475" s="448">
        <v>29.36</v>
      </c>
      <c r="E3475" s="210"/>
    </row>
    <row r="3476" spans="1:5" ht="54">
      <c r="A3476" s="446">
        <v>89388</v>
      </c>
      <c r="B3476" s="447" t="s">
        <v>236</v>
      </c>
      <c r="C3476" s="446" t="s">
        <v>34</v>
      </c>
      <c r="D3476" s="448">
        <v>9.75</v>
      </c>
      <c r="E3476" s="210"/>
    </row>
    <row r="3477" spans="1:5" ht="54">
      <c r="A3477" s="446">
        <v>89389</v>
      </c>
      <c r="B3477" s="447" t="s">
        <v>1310</v>
      </c>
      <c r="C3477" s="446" t="s">
        <v>34</v>
      </c>
      <c r="D3477" s="448">
        <v>10.61</v>
      </c>
      <c r="E3477" s="210"/>
    </row>
    <row r="3478" spans="1:5" ht="40.5">
      <c r="A3478" s="446">
        <v>89390</v>
      </c>
      <c r="B3478" s="447" t="s">
        <v>237</v>
      </c>
      <c r="C3478" s="446" t="s">
        <v>34</v>
      </c>
      <c r="D3478" s="448">
        <v>19.72</v>
      </c>
      <c r="E3478" s="210"/>
    </row>
    <row r="3479" spans="1:5" ht="54">
      <c r="A3479" s="446">
        <v>89391</v>
      </c>
      <c r="B3479" s="447" t="s">
        <v>1311</v>
      </c>
      <c r="C3479" s="446" t="s">
        <v>34</v>
      </c>
      <c r="D3479" s="448">
        <v>7.15</v>
      </c>
      <c r="E3479" s="210"/>
    </row>
    <row r="3480" spans="1:5" ht="54">
      <c r="A3480" s="446">
        <v>89392</v>
      </c>
      <c r="B3480" s="447" t="s">
        <v>1312</v>
      </c>
      <c r="C3480" s="446" t="s">
        <v>34</v>
      </c>
      <c r="D3480" s="448">
        <v>23.53</v>
      </c>
      <c r="E3480" s="210"/>
    </row>
    <row r="3481" spans="1:5" ht="40.5">
      <c r="A3481" s="446">
        <v>89393</v>
      </c>
      <c r="B3481" s="447" t="s">
        <v>238</v>
      </c>
      <c r="C3481" s="446" t="s">
        <v>34</v>
      </c>
      <c r="D3481" s="448">
        <v>7.79</v>
      </c>
      <c r="E3481" s="210"/>
    </row>
    <row r="3482" spans="1:5" ht="54">
      <c r="A3482" s="446">
        <v>89394</v>
      </c>
      <c r="B3482" s="447" t="s">
        <v>1313</v>
      </c>
      <c r="C3482" s="446" t="s">
        <v>34</v>
      </c>
      <c r="D3482" s="448">
        <v>16.47</v>
      </c>
      <c r="E3482" s="210"/>
    </row>
    <row r="3483" spans="1:5" ht="40.5">
      <c r="A3483" s="446">
        <v>89395</v>
      </c>
      <c r="B3483" s="447" t="s">
        <v>239</v>
      </c>
      <c r="C3483" s="446" t="s">
        <v>34</v>
      </c>
      <c r="D3483" s="448">
        <v>9.3699999999999992</v>
      </c>
      <c r="E3483" s="210"/>
    </row>
    <row r="3484" spans="1:5" ht="54">
      <c r="A3484" s="446">
        <v>89396</v>
      </c>
      <c r="B3484" s="447" t="s">
        <v>1314</v>
      </c>
      <c r="C3484" s="446" t="s">
        <v>34</v>
      </c>
      <c r="D3484" s="448">
        <v>16.8</v>
      </c>
      <c r="E3484" s="210"/>
    </row>
    <row r="3485" spans="1:5" ht="54">
      <c r="A3485" s="446">
        <v>89397</v>
      </c>
      <c r="B3485" s="447" t="s">
        <v>1315</v>
      </c>
      <c r="C3485" s="446" t="s">
        <v>34</v>
      </c>
      <c r="D3485" s="448">
        <v>11.35</v>
      </c>
      <c r="E3485" s="210"/>
    </row>
    <row r="3486" spans="1:5" ht="40.5">
      <c r="A3486" s="446">
        <v>89398</v>
      </c>
      <c r="B3486" s="447" t="s">
        <v>240</v>
      </c>
      <c r="C3486" s="446" t="s">
        <v>34</v>
      </c>
      <c r="D3486" s="448">
        <v>14.03</v>
      </c>
      <c r="E3486" s="210"/>
    </row>
    <row r="3487" spans="1:5" ht="54">
      <c r="A3487" s="446">
        <v>89399</v>
      </c>
      <c r="B3487" s="447" t="s">
        <v>1316</v>
      </c>
      <c r="C3487" s="446" t="s">
        <v>34</v>
      </c>
      <c r="D3487" s="448">
        <v>26.63</v>
      </c>
      <c r="E3487" s="210"/>
    </row>
    <row r="3488" spans="1:5" ht="54">
      <c r="A3488" s="446">
        <v>89400</v>
      </c>
      <c r="B3488" s="447" t="s">
        <v>1317</v>
      </c>
      <c r="C3488" s="446" t="s">
        <v>34</v>
      </c>
      <c r="D3488" s="448">
        <v>16</v>
      </c>
      <c r="E3488" s="210"/>
    </row>
    <row r="3489" spans="1:5" ht="54">
      <c r="A3489" s="446">
        <v>89404</v>
      </c>
      <c r="B3489" s="447" t="s">
        <v>1321</v>
      </c>
      <c r="C3489" s="446" t="s">
        <v>34</v>
      </c>
      <c r="D3489" s="448">
        <v>3.87</v>
      </c>
      <c r="E3489" s="210"/>
    </row>
    <row r="3490" spans="1:5" ht="54">
      <c r="A3490" s="446">
        <v>89405</v>
      </c>
      <c r="B3490" s="447" t="s">
        <v>1322</v>
      </c>
      <c r="C3490" s="446" t="s">
        <v>34</v>
      </c>
      <c r="D3490" s="448">
        <v>4.22</v>
      </c>
      <c r="E3490" s="210"/>
    </row>
    <row r="3491" spans="1:5" ht="54">
      <c r="A3491" s="446">
        <v>89406</v>
      </c>
      <c r="B3491" s="447" t="s">
        <v>1323</v>
      </c>
      <c r="C3491" s="446" t="s">
        <v>34</v>
      </c>
      <c r="D3491" s="448">
        <v>5.69</v>
      </c>
      <c r="E3491" s="210"/>
    </row>
    <row r="3492" spans="1:5" ht="54">
      <c r="A3492" s="446">
        <v>89407</v>
      </c>
      <c r="B3492" s="447" t="s">
        <v>1324</v>
      </c>
      <c r="C3492" s="446" t="s">
        <v>34</v>
      </c>
      <c r="D3492" s="448">
        <v>5.1100000000000003</v>
      </c>
      <c r="E3492" s="210"/>
    </row>
    <row r="3493" spans="1:5" ht="54">
      <c r="A3493" s="446">
        <v>89408</v>
      </c>
      <c r="B3493" s="447" t="s">
        <v>1325</v>
      </c>
      <c r="C3493" s="446" t="s">
        <v>34</v>
      </c>
      <c r="D3493" s="448">
        <v>4.72</v>
      </c>
      <c r="E3493" s="210"/>
    </row>
    <row r="3494" spans="1:5" ht="54">
      <c r="A3494" s="446">
        <v>89409</v>
      </c>
      <c r="B3494" s="447" t="s">
        <v>1326</v>
      </c>
      <c r="C3494" s="446" t="s">
        <v>34</v>
      </c>
      <c r="D3494" s="448">
        <v>5.47</v>
      </c>
      <c r="E3494" s="210"/>
    </row>
    <row r="3495" spans="1:5" ht="54">
      <c r="A3495" s="446">
        <v>89410</v>
      </c>
      <c r="B3495" s="447" t="s">
        <v>1327</v>
      </c>
      <c r="C3495" s="446" t="s">
        <v>34</v>
      </c>
      <c r="D3495" s="448">
        <v>7.02</v>
      </c>
      <c r="E3495" s="210"/>
    </row>
    <row r="3496" spans="1:5" ht="54">
      <c r="A3496" s="446">
        <v>89411</v>
      </c>
      <c r="B3496" s="447" t="s">
        <v>1328</v>
      </c>
      <c r="C3496" s="446" t="s">
        <v>34</v>
      </c>
      <c r="D3496" s="448">
        <v>6.33</v>
      </c>
      <c r="E3496" s="210"/>
    </row>
    <row r="3497" spans="1:5" ht="54">
      <c r="A3497" s="446">
        <v>89412</v>
      </c>
      <c r="B3497" s="447" t="s">
        <v>1329</v>
      </c>
      <c r="C3497" s="446" t="s">
        <v>34</v>
      </c>
      <c r="D3497" s="448">
        <v>7.27</v>
      </c>
      <c r="E3497" s="210"/>
    </row>
    <row r="3498" spans="1:5" ht="54">
      <c r="A3498" s="446">
        <v>89413</v>
      </c>
      <c r="B3498" s="447" t="s">
        <v>1330</v>
      </c>
      <c r="C3498" s="446" t="s">
        <v>34</v>
      </c>
      <c r="D3498" s="448">
        <v>7.07</v>
      </c>
      <c r="E3498" s="210"/>
    </row>
    <row r="3499" spans="1:5" ht="54">
      <c r="A3499" s="446">
        <v>89414</v>
      </c>
      <c r="B3499" s="447" t="s">
        <v>1331</v>
      </c>
      <c r="C3499" s="446" t="s">
        <v>34</v>
      </c>
      <c r="D3499" s="448">
        <v>9.18</v>
      </c>
      <c r="E3499" s="210"/>
    </row>
    <row r="3500" spans="1:5" ht="54">
      <c r="A3500" s="446">
        <v>89415</v>
      </c>
      <c r="B3500" s="447" t="s">
        <v>1332</v>
      </c>
      <c r="C3500" s="446" t="s">
        <v>34</v>
      </c>
      <c r="D3500" s="448">
        <v>11.79</v>
      </c>
      <c r="E3500" s="210"/>
    </row>
    <row r="3501" spans="1:5" ht="54">
      <c r="A3501" s="446">
        <v>89416</v>
      </c>
      <c r="B3501" s="447" t="s">
        <v>1333</v>
      </c>
      <c r="C3501" s="446" t="s">
        <v>34</v>
      </c>
      <c r="D3501" s="448">
        <v>8.73</v>
      </c>
      <c r="E3501" s="210"/>
    </row>
    <row r="3502" spans="1:5" ht="40.5">
      <c r="A3502" s="446">
        <v>89417</v>
      </c>
      <c r="B3502" s="447" t="s">
        <v>1334</v>
      </c>
      <c r="C3502" s="446" t="s">
        <v>34</v>
      </c>
      <c r="D3502" s="448">
        <v>3.21</v>
      </c>
      <c r="E3502" s="210"/>
    </row>
    <row r="3503" spans="1:5" ht="54">
      <c r="A3503" s="446">
        <v>89418</v>
      </c>
      <c r="B3503" s="447" t="s">
        <v>1335</v>
      </c>
      <c r="C3503" s="446" t="s">
        <v>34</v>
      </c>
      <c r="D3503" s="448">
        <v>10.16</v>
      </c>
      <c r="E3503" s="210"/>
    </row>
    <row r="3504" spans="1:5" ht="54">
      <c r="A3504" s="446">
        <v>89419</v>
      </c>
      <c r="B3504" s="447" t="s">
        <v>241</v>
      </c>
      <c r="C3504" s="446" t="s">
        <v>34</v>
      </c>
      <c r="D3504" s="448">
        <v>3.84</v>
      </c>
      <c r="E3504" s="210"/>
    </row>
    <row r="3505" spans="1:5" ht="54">
      <c r="A3505" s="446">
        <v>89420</v>
      </c>
      <c r="B3505" s="447" t="s">
        <v>1336</v>
      </c>
      <c r="C3505" s="446" t="s">
        <v>34</v>
      </c>
      <c r="D3505" s="448">
        <v>7.61</v>
      </c>
      <c r="E3505" s="210"/>
    </row>
    <row r="3506" spans="1:5" ht="54">
      <c r="A3506" s="446">
        <v>89421</v>
      </c>
      <c r="B3506" s="447" t="s">
        <v>1337</v>
      </c>
      <c r="C3506" s="446" t="s">
        <v>34</v>
      </c>
      <c r="D3506" s="448">
        <v>9.89</v>
      </c>
      <c r="E3506" s="210"/>
    </row>
    <row r="3507" spans="1:5" ht="67.5">
      <c r="A3507" s="446">
        <v>89422</v>
      </c>
      <c r="B3507" s="447" t="s">
        <v>1338</v>
      </c>
      <c r="C3507" s="446" t="s">
        <v>34</v>
      </c>
      <c r="D3507" s="448">
        <v>3.28</v>
      </c>
      <c r="E3507" s="210"/>
    </row>
    <row r="3508" spans="1:5" ht="54">
      <c r="A3508" s="446">
        <v>89423</v>
      </c>
      <c r="B3508" s="447" t="s">
        <v>1339</v>
      </c>
      <c r="C3508" s="446" t="s">
        <v>34</v>
      </c>
      <c r="D3508" s="448">
        <v>7.16</v>
      </c>
      <c r="E3508" s="210"/>
    </row>
    <row r="3509" spans="1:5" ht="40.5">
      <c r="A3509" s="446">
        <v>89424</v>
      </c>
      <c r="B3509" s="447" t="s">
        <v>1340</v>
      </c>
      <c r="C3509" s="446" t="s">
        <v>34</v>
      </c>
      <c r="D3509" s="448">
        <v>3.83</v>
      </c>
      <c r="E3509" s="210"/>
    </row>
    <row r="3510" spans="1:5" ht="54">
      <c r="A3510" s="446">
        <v>89425</v>
      </c>
      <c r="B3510" s="447" t="s">
        <v>1341</v>
      </c>
      <c r="C3510" s="446" t="s">
        <v>34</v>
      </c>
      <c r="D3510" s="448">
        <v>13.1</v>
      </c>
      <c r="E3510" s="210"/>
    </row>
    <row r="3511" spans="1:5" ht="54">
      <c r="A3511" s="446">
        <v>89426</v>
      </c>
      <c r="B3511" s="447" t="s">
        <v>242</v>
      </c>
      <c r="C3511" s="446" t="s">
        <v>34</v>
      </c>
      <c r="D3511" s="448">
        <v>6.68</v>
      </c>
      <c r="E3511" s="210"/>
    </row>
    <row r="3512" spans="1:5" ht="54">
      <c r="A3512" s="446">
        <v>89427</v>
      </c>
      <c r="B3512" s="447" t="s">
        <v>1342</v>
      </c>
      <c r="C3512" s="446" t="s">
        <v>34</v>
      </c>
      <c r="D3512" s="448">
        <v>9.69</v>
      </c>
      <c r="E3512" s="210"/>
    </row>
    <row r="3513" spans="1:5" ht="54">
      <c r="A3513" s="446">
        <v>89428</v>
      </c>
      <c r="B3513" s="447" t="s">
        <v>1343</v>
      </c>
      <c r="C3513" s="446" t="s">
        <v>34</v>
      </c>
      <c r="D3513" s="448">
        <v>11.81</v>
      </c>
      <c r="E3513" s="210"/>
    </row>
    <row r="3514" spans="1:5" ht="67.5">
      <c r="A3514" s="446">
        <v>89429</v>
      </c>
      <c r="B3514" s="447" t="s">
        <v>1344</v>
      </c>
      <c r="C3514" s="446" t="s">
        <v>34</v>
      </c>
      <c r="D3514" s="448">
        <v>3.92</v>
      </c>
      <c r="E3514" s="210"/>
    </row>
    <row r="3515" spans="1:5" ht="54">
      <c r="A3515" s="446">
        <v>89430</v>
      </c>
      <c r="B3515" s="447" t="s">
        <v>1345</v>
      </c>
      <c r="C3515" s="446" t="s">
        <v>34</v>
      </c>
      <c r="D3515" s="448">
        <v>9.84</v>
      </c>
      <c r="E3515" s="210"/>
    </row>
    <row r="3516" spans="1:5" ht="40.5">
      <c r="A3516" s="446">
        <v>89431</v>
      </c>
      <c r="B3516" s="447" t="s">
        <v>1346</v>
      </c>
      <c r="C3516" s="446" t="s">
        <v>34</v>
      </c>
      <c r="D3516" s="448">
        <v>5.69</v>
      </c>
      <c r="E3516" s="210"/>
    </row>
    <row r="3517" spans="1:5" ht="54">
      <c r="A3517" s="446">
        <v>89432</v>
      </c>
      <c r="B3517" s="447" t="s">
        <v>1347</v>
      </c>
      <c r="C3517" s="446" t="s">
        <v>34</v>
      </c>
      <c r="D3517" s="448">
        <v>27.8</v>
      </c>
      <c r="E3517" s="210"/>
    </row>
    <row r="3518" spans="1:5" ht="54">
      <c r="A3518" s="446">
        <v>89433</v>
      </c>
      <c r="B3518" s="447" t="s">
        <v>243</v>
      </c>
      <c r="C3518" s="446" t="s">
        <v>34</v>
      </c>
      <c r="D3518" s="448">
        <v>8.19</v>
      </c>
      <c r="E3518" s="210"/>
    </row>
    <row r="3519" spans="1:5" ht="54">
      <c r="A3519" s="446">
        <v>89434</v>
      </c>
      <c r="B3519" s="447" t="s">
        <v>1348</v>
      </c>
      <c r="C3519" s="446" t="s">
        <v>34</v>
      </c>
      <c r="D3519" s="448">
        <v>9.0500000000000007</v>
      </c>
      <c r="E3519" s="210"/>
    </row>
    <row r="3520" spans="1:5" ht="54">
      <c r="A3520" s="446">
        <v>89435</v>
      </c>
      <c r="B3520" s="447" t="s">
        <v>1349</v>
      </c>
      <c r="C3520" s="446" t="s">
        <v>34</v>
      </c>
      <c r="D3520" s="448">
        <v>18.16</v>
      </c>
      <c r="E3520" s="210"/>
    </row>
    <row r="3521" spans="1:5" ht="67.5">
      <c r="A3521" s="446">
        <v>89436</v>
      </c>
      <c r="B3521" s="447" t="s">
        <v>1350</v>
      </c>
      <c r="C3521" s="446" t="s">
        <v>34</v>
      </c>
      <c r="D3521" s="448">
        <v>5.59</v>
      </c>
      <c r="E3521" s="210"/>
    </row>
    <row r="3522" spans="1:5" ht="54">
      <c r="A3522" s="446">
        <v>89437</v>
      </c>
      <c r="B3522" s="447" t="s">
        <v>1351</v>
      </c>
      <c r="C3522" s="446" t="s">
        <v>34</v>
      </c>
      <c r="D3522" s="448">
        <v>21.97</v>
      </c>
      <c r="E3522" s="210"/>
    </row>
    <row r="3523" spans="1:5" ht="40.5">
      <c r="A3523" s="446">
        <v>89438</v>
      </c>
      <c r="B3523" s="447" t="s">
        <v>244</v>
      </c>
      <c r="C3523" s="446" t="s">
        <v>34</v>
      </c>
      <c r="D3523" s="448">
        <v>5.58</v>
      </c>
      <c r="E3523" s="210"/>
    </row>
    <row r="3524" spans="1:5" ht="67.5">
      <c r="A3524" s="446">
        <v>89439</v>
      </c>
      <c r="B3524" s="447" t="s">
        <v>1352</v>
      </c>
      <c r="C3524" s="446" t="s">
        <v>34</v>
      </c>
      <c r="D3524" s="448">
        <v>7.57</v>
      </c>
      <c r="E3524" s="210"/>
    </row>
    <row r="3525" spans="1:5" ht="40.5">
      <c r="A3525" s="446">
        <v>89440</v>
      </c>
      <c r="B3525" s="447" t="s">
        <v>245</v>
      </c>
      <c r="C3525" s="446" t="s">
        <v>34</v>
      </c>
      <c r="D3525" s="448">
        <v>6.8</v>
      </c>
      <c r="E3525" s="210"/>
    </row>
    <row r="3526" spans="1:5" ht="54">
      <c r="A3526" s="446">
        <v>89441</v>
      </c>
      <c r="B3526" s="447" t="s">
        <v>1353</v>
      </c>
      <c r="C3526" s="446" t="s">
        <v>34</v>
      </c>
      <c r="D3526" s="448">
        <v>14.23</v>
      </c>
      <c r="E3526" s="210"/>
    </row>
    <row r="3527" spans="1:5" ht="54">
      <c r="A3527" s="446">
        <v>89442</v>
      </c>
      <c r="B3527" s="447" t="s">
        <v>1354</v>
      </c>
      <c r="C3527" s="446" t="s">
        <v>34</v>
      </c>
      <c r="D3527" s="448">
        <v>8.7799999999999994</v>
      </c>
      <c r="E3527" s="210"/>
    </row>
    <row r="3528" spans="1:5" ht="40.5">
      <c r="A3528" s="446">
        <v>89443</v>
      </c>
      <c r="B3528" s="447" t="s">
        <v>246</v>
      </c>
      <c r="C3528" s="446" t="s">
        <v>34</v>
      </c>
      <c r="D3528" s="448">
        <v>10.99</v>
      </c>
      <c r="E3528" s="210"/>
    </row>
    <row r="3529" spans="1:5" ht="54">
      <c r="A3529" s="446">
        <v>89444</v>
      </c>
      <c r="B3529" s="447" t="s">
        <v>1355</v>
      </c>
      <c r="C3529" s="446" t="s">
        <v>34</v>
      </c>
      <c r="D3529" s="448">
        <v>23.59</v>
      </c>
      <c r="E3529" s="210"/>
    </row>
    <row r="3530" spans="1:5" ht="54">
      <c r="A3530" s="446">
        <v>89445</v>
      </c>
      <c r="B3530" s="447" t="s">
        <v>1356</v>
      </c>
      <c r="C3530" s="446" t="s">
        <v>34</v>
      </c>
      <c r="D3530" s="448">
        <v>12.96</v>
      </c>
      <c r="E3530" s="210"/>
    </row>
    <row r="3531" spans="1:5" ht="40.5">
      <c r="A3531" s="446">
        <v>89481</v>
      </c>
      <c r="B3531" s="447" t="s">
        <v>247</v>
      </c>
      <c r="C3531" s="446" t="s">
        <v>34</v>
      </c>
      <c r="D3531" s="448">
        <v>3.74</v>
      </c>
      <c r="E3531" s="210"/>
    </row>
    <row r="3532" spans="1:5" ht="40.5">
      <c r="A3532" s="446">
        <v>89485</v>
      </c>
      <c r="B3532" s="447" t="s">
        <v>248</v>
      </c>
      <c r="C3532" s="446" t="s">
        <v>34</v>
      </c>
      <c r="D3532" s="448">
        <v>4.49</v>
      </c>
      <c r="E3532" s="210"/>
    </row>
    <row r="3533" spans="1:5" ht="40.5">
      <c r="A3533" s="446">
        <v>89489</v>
      </c>
      <c r="B3533" s="447" t="s">
        <v>249</v>
      </c>
      <c r="C3533" s="446" t="s">
        <v>34</v>
      </c>
      <c r="D3533" s="448">
        <v>6.04</v>
      </c>
      <c r="E3533" s="210"/>
    </row>
    <row r="3534" spans="1:5" ht="40.5">
      <c r="A3534" s="446">
        <v>89490</v>
      </c>
      <c r="B3534" s="447" t="s">
        <v>250</v>
      </c>
      <c r="C3534" s="446" t="s">
        <v>34</v>
      </c>
      <c r="D3534" s="448">
        <v>5.35</v>
      </c>
      <c r="E3534" s="210"/>
    </row>
    <row r="3535" spans="1:5" ht="40.5">
      <c r="A3535" s="446">
        <v>89492</v>
      </c>
      <c r="B3535" s="447" t="s">
        <v>251</v>
      </c>
      <c r="C3535" s="446" t="s">
        <v>34</v>
      </c>
      <c r="D3535" s="448">
        <v>5.97</v>
      </c>
      <c r="E3535" s="210"/>
    </row>
    <row r="3536" spans="1:5" ht="40.5">
      <c r="A3536" s="446">
        <v>89493</v>
      </c>
      <c r="B3536" s="447" t="s">
        <v>252</v>
      </c>
      <c r="C3536" s="446" t="s">
        <v>34</v>
      </c>
      <c r="D3536" s="448">
        <v>8.08</v>
      </c>
      <c r="E3536" s="210"/>
    </row>
    <row r="3537" spans="1:5" ht="40.5">
      <c r="A3537" s="446">
        <v>89494</v>
      </c>
      <c r="B3537" s="447" t="s">
        <v>253</v>
      </c>
      <c r="C3537" s="446" t="s">
        <v>34</v>
      </c>
      <c r="D3537" s="448">
        <v>10.69</v>
      </c>
      <c r="E3537" s="210"/>
    </row>
    <row r="3538" spans="1:5" ht="40.5">
      <c r="A3538" s="446">
        <v>89496</v>
      </c>
      <c r="B3538" s="447" t="s">
        <v>254</v>
      </c>
      <c r="C3538" s="446" t="s">
        <v>34</v>
      </c>
      <c r="D3538" s="448">
        <v>7.63</v>
      </c>
      <c r="E3538" s="210"/>
    </row>
    <row r="3539" spans="1:5" ht="40.5">
      <c r="A3539" s="446">
        <v>89497</v>
      </c>
      <c r="B3539" s="447" t="s">
        <v>255</v>
      </c>
      <c r="C3539" s="446" t="s">
        <v>34</v>
      </c>
      <c r="D3539" s="448">
        <v>9.9</v>
      </c>
      <c r="E3539" s="210"/>
    </row>
    <row r="3540" spans="1:5" ht="40.5">
      <c r="A3540" s="446">
        <v>89498</v>
      </c>
      <c r="B3540" s="447" t="s">
        <v>256</v>
      </c>
      <c r="C3540" s="446" t="s">
        <v>34</v>
      </c>
      <c r="D3540" s="448">
        <v>10.86</v>
      </c>
      <c r="E3540" s="210"/>
    </row>
    <row r="3541" spans="1:5" ht="40.5">
      <c r="A3541" s="446">
        <v>89499</v>
      </c>
      <c r="B3541" s="447" t="s">
        <v>257</v>
      </c>
      <c r="C3541" s="446" t="s">
        <v>34</v>
      </c>
      <c r="D3541" s="448">
        <v>16.989999999999998</v>
      </c>
      <c r="E3541" s="210"/>
    </row>
    <row r="3542" spans="1:5" ht="40.5">
      <c r="A3542" s="446">
        <v>89500</v>
      </c>
      <c r="B3542" s="447" t="s">
        <v>258</v>
      </c>
      <c r="C3542" s="446" t="s">
        <v>34</v>
      </c>
      <c r="D3542" s="448">
        <v>11.04</v>
      </c>
      <c r="E3542" s="210"/>
    </row>
    <row r="3543" spans="1:5" ht="40.5">
      <c r="A3543" s="446">
        <v>89501</v>
      </c>
      <c r="B3543" s="447" t="s">
        <v>259</v>
      </c>
      <c r="C3543" s="446" t="s">
        <v>34</v>
      </c>
      <c r="D3543" s="448">
        <v>11.98</v>
      </c>
      <c r="E3543" s="210"/>
    </row>
    <row r="3544" spans="1:5" ht="40.5">
      <c r="A3544" s="446">
        <v>89502</v>
      </c>
      <c r="B3544" s="447" t="s">
        <v>260</v>
      </c>
      <c r="C3544" s="446" t="s">
        <v>34</v>
      </c>
      <c r="D3544" s="448">
        <v>13.72</v>
      </c>
      <c r="E3544" s="210"/>
    </row>
    <row r="3545" spans="1:5" ht="40.5">
      <c r="A3545" s="446">
        <v>89503</v>
      </c>
      <c r="B3545" s="447" t="s">
        <v>261</v>
      </c>
      <c r="C3545" s="446" t="s">
        <v>34</v>
      </c>
      <c r="D3545" s="448">
        <v>21.34</v>
      </c>
      <c r="E3545" s="210"/>
    </row>
    <row r="3546" spans="1:5" ht="40.5">
      <c r="A3546" s="446">
        <v>89504</v>
      </c>
      <c r="B3546" s="447" t="s">
        <v>262</v>
      </c>
      <c r="C3546" s="446" t="s">
        <v>34</v>
      </c>
      <c r="D3546" s="448">
        <v>18.579999999999998</v>
      </c>
      <c r="E3546" s="210"/>
    </row>
    <row r="3547" spans="1:5" ht="40.5">
      <c r="A3547" s="446">
        <v>89505</v>
      </c>
      <c r="B3547" s="447" t="s">
        <v>263</v>
      </c>
      <c r="C3547" s="446" t="s">
        <v>34</v>
      </c>
      <c r="D3547" s="448">
        <v>32.130000000000003</v>
      </c>
      <c r="E3547" s="210"/>
    </row>
    <row r="3548" spans="1:5" ht="40.5">
      <c r="A3548" s="446">
        <v>89506</v>
      </c>
      <c r="B3548" s="447" t="s">
        <v>264</v>
      </c>
      <c r="C3548" s="446" t="s">
        <v>34</v>
      </c>
      <c r="D3548" s="448">
        <v>36.28</v>
      </c>
      <c r="E3548" s="210"/>
    </row>
    <row r="3549" spans="1:5" ht="40.5">
      <c r="A3549" s="446">
        <v>89507</v>
      </c>
      <c r="B3549" s="447" t="s">
        <v>265</v>
      </c>
      <c r="C3549" s="446" t="s">
        <v>34</v>
      </c>
      <c r="D3549" s="448">
        <v>44.94</v>
      </c>
      <c r="E3549" s="210"/>
    </row>
    <row r="3550" spans="1:5" ht="40.5">
      <c r="A3550" s="446">
        <v>89510</v>
      </c>
      <c r="B3550" s="447" t="s">
        <v>266</v>
      </c>
      <c r="C3550" s="446" t="s">
        <v>34</v>
      </c>
      <c r="D3550" s="448">
        <v>29.06</v>
      </c>
      <c r="E3550" s="210"/>
    </row>
    <row r="3551" spans="1:5" ht="40.5">
      <c r="A3551" s="446">
        <v>89513</v>
      </c>
      <c r="B3551" s="447" t="s">
        <v>267</v>
      </c>
      <c r="C3551" s="446" t="s">
        <v>34</v>
      </c>
      <c r="D3551" s="448">
        <v>101.88</v>
      </c>
      <c r="E3551" s="210"/>
    </row>
    <row r="3552" spans="1:5" ht="54">
      <c r="A3552" s="446">
        <v>89514</v>
      </c>
      <c r="B3552" s="447" t="s">
        <v>268</v>
      </c>
      <c r="C3552" s="446" t="s">
        <v>34</v>
      </c>
      <c r="D3552" s="448">
        <v>8.8699999999999992</v>
      </c>
      <c r="E3552" s="210"/>
    </row>
    <row r="3553" spans="1:5" ht="40.5">
      <c r="A3553" s="446">
        <v>89515</v>
      </c>
      <c r="B3553" s="447" t="s">
        <v>269</v>
      </c>
      <c r="C3553" s="446" t="s">
        <v>34</v>
      </c>
      <c r="D3553" s="448">
        <v>76.569999999999993</v>
      </c>
      <c r="E3553" s="210"/>
    </row>
    <row r="3554" spans="1:5" ht="54">
      <c r="A3554" s="446">
        <v>89516</v>
      </c>
      <c r="B3554" s="447" t="s">
        <v>270</v>
      </c>
      <c r="C3554" s="446" t="s">
        <v>34</v>
      </c>
      <c r="D3554" s="448">
        <v>7.68</v>
      </c>
      <c r="E3554" s="210"/>
    </row>
    <row r="3555" spans="1:5" ht="40.5">
      <c r="A3555" s="446">
        <v>89517</v>
      </c>
      <c r="B3555" s="447" t="s">
        <v>271</v>
      </c>
      <c r="C3555" s="446" t="s">
        <v>34</v>
      </c>
      <c r="D3555" s="448">
        <v>64.27</v>
      </c>
      <c r="E3555" s="210"/>
    </row>
    <row r="3556" spans="1:5" ht="54">
      <c r="A3556" s="446">
        <v>89518</v>
      </c>
      <c r="B3556" s="447" t="s">
        <v>272</v>
      </c>
      <c r="C3556" s="446" t="s">
        <v>34</v>
      </c>
      <c r="D3556" s="448">
        <v>13.4</v>
      </c>
      <c r="E3556" s="210"/>
    </row>
    <row r="3557" spans="1:5" ht="40.5">
      <c r="A3557" s="446">
        <v>89519</v>
      </c>
      <c r="B3557" s="447" t="s">
        <v>273</v>
      </c>
      <c r="C3557" s="446" t="s">
        <v>34</v>
      </c>
      <c r="D3557" s="448">
        <v>43.02</v>
      </c>
      <c r="E3557" s="210"/>
    </row>
    <row r="3558" spans="1:5" ht="54">
      <c r="A3558" s="446">
        <v>89520</v>
      </c>
      <c r="B3558" s="447" t="s">
        <v>274</v>
      </c>
      <c r="C3558" s="446" t="s">
        <v>34</v>
      </c>
      <c r="D3558" s="448">
        <v>11.83</v>
      </c>
      <c r="E3558" s="210"/>
    </row>
    <row r="3559" spans="1:5" ht="40.5">
      <c r="A3559" s="446">
        <v>89521</v>
      </c>
      <c r="B3559" s="447" t="s">
        <v>275</v>
      </c>
      <c r="C3559" s="446" t="s">
        <v>34</v>
      </c>
      <c r="D3559" s="448">
        <v>120.17</v>
      </c>
      <c r="E3559" s="210"/>
    </row>
    <row r="3560" spans="1:5" ht="54">
      <c r="A3560" s="446">
        <v>89522</v>
      </c>
      <c r="B3560" s="447" t="s">
        <v>276</v>
      </c>
      <c r="C3560" s="446" t="s">
        <v>34</v>
      </c>
      <c r="D3560" s="448">
        <v>27.09</v>
      </c>
      <c r="E3560" s="210"/>
    </row>
    <row r="3561" spans="1:5" ht="40.5">
      <c r="A3561" s="446">
        <v>89523</v>
      </c>
      <c r="B3561" s="447" t="s">
        <v>277</v>
      </c>
      <c r="C3561" s="446" t="s">
        <v>34</v>
      </c>
      <c r="D3561" s="448">
        <v>90.37</v>
      </c>
      <c r="E3561" s="210"/>
    </row>
    <row r="3562" spans="1:5" ht="54">
      <c r="A3562" s="446">
        <v>89524</v>
      </c>
      <c r="B3562" s="447" t="s">
        <v>278</v>
      </c>
      <c r="C3562" s="446" t="s">
        <v>34</v>
      </c>
      <c r="D3562" s="448">
        <v>24.07</v>
      </c>
      <c r="E3562" s="210"/>
    </row>
    <row r="3563" spans="1:5" ht="40.5">
      <c r="A3563" s="446">
        <v>89525</v>
      </c>
      <c r="B3563" s="447" t="s">
        <v>279</v>
      </c>
      <c r="C3563" s="446" t="s">
        <v>34</v>
      </c>
      <c r="D3563" s="448">
        <v>88.86</v>
      </c>
      <c r="E3563" s="210"/>
    </row>
    <row r="3564" spans="1:5" ht="54">
      <c r="A3564" s="446">
        <v>89526</v>
      </c>
      <c r="B3564" s="447" t="s">
        <v>1403</v>
      </c>
      <c r="C3564" s="446" t="s">
        <v>34</v>
      </c>
      <c r="D3564" s="448">
        <v>35.06</v>
      </c>
      <c r="E3564" s="210"/>
    </row>
    <row r="3565" spans="1:5" ht="40.5">
      <c r="A3565" s="446">
        <v>89527</v>
      </c>
      <c r="B3565" s="447" t="s">
        <v>280</v>
      </c>
      <c r="C3565" s="446" t="s">
        <v>34</v>
      </c>
      <c r="D3565" s="448">
        <v>67.95</v>
      </c>
      <c r="E3565" s="210"/>
    </row>
    <row r="3566" spans="1:5" ht="40.5">
      <c r="A3566" s="446">
        <v>89528</v>
      </c>
      <c r="B3566" s="447" t="s">
        <v>1404</v>
      </c>
      <c r="C3566" s="446" t="s">
        <v>34</v>
      </c>
      <c r="D3566" s="448">
        <v>3.17</v>
      </c>
      <c r="E3566" s="210"/>
    </row>
    <row r="3567" spans="1:5" ht="54">
      <c r="A3567" s="446">
        <v>89529</v>
      </c>
      <c r="B3567" s="447" t="s">
        <v>1405</v>
      </c>
      <c r="C3567" s="446" t="s">
        <v>34</v>
      </c>
      <c r="D3567" s="448">
        <v>39.54</v>
      </c>
      <c r="E3567" s="210"/>
    </row>
    <row r="3568" spans="1:5" ht="40.5">
      <c r="A3568" s="446">
        <v>89530</v>
      </c>
      <c r="B3568" s="447" t="s">
        <v>281</v>
      </c>
      <c r="C3568" s="446" t="s">
        <v>34</v>
      </c>
      <c r="D3568" s="448">
        <v>12.44</v>
      </c>
      <c r="E3568" s="210"/>
    </row>
    <row r="3569" spans="1:5" ht="54">
      <c r="A3569" s="446">
        <v>89531</v>
      </c>
      <c r="B3569" s="447" t="s">
        <v>1406</v>
      </c>
      <c r="C3569" s="446" t="s">
        <v>34</v>
      </c>
      <c r="D3569" s="448">
        <v>32.200000000000003</v>
      </c>
      <c r="E3569" s="210"/>
    </row>
    <row r="3570" spans="1:5" ht="40.5">
      <c r="A3570" s="446">
        <v>89532</v>
      </c>
      <c r="B3570" s="447" t="s">
        <v>1407</v>
      </c>
      <c r="C3570" s="446" t="s">
        <v>34</v>
      </c>
      <c r="D3570" s="448">
        <v>6.02</v>
      </c>
      <c r="E3570" s="210"/>
    </row>
    <row r="3571" spans="1:5" ht="54">
      <c r="A3571" s="446">
        <v>89533</v>
      </c>
      <c r="B3571" s="447" t="s">
        <v>282</v>
      </c>
      <c r="C3571" s="446" t="s">
        <v>34</v>
      </c>
      <c r="D3571" s="448">
        <v>32.200000000000003</v>
      </c>
      <c r="E3571" s="210"/>
    </row>
    <row r="3572" spans="1:5" ht="54">
      <c r="A3572" s="446">
        <v>89534</v>
      </c>
      <c r="B3572" s="447" t="s">
        <v>1408</v>
      </c>
      <c r="C3572" s="446" t="s">
        <v>34</v>
      </c>
      <c r="D3572" s="448">
        <v>4</v>
      </c>
      <c r="E3572" s="210"/>
    </row>
    <row r="3573" spans="1:5" ht="54">
      <c r="A3573" s="446">
        <v>89535</v>
      </c>
      <c r="B3573" s="447" t="s">
        <v>1409</v>
      </c>
      <c r="C3573" s="446" t="s">
        <v>34</v>
      </c>
      <c r="D3573" s="448">
        <v>51.04</v>
      </c>
      <c r="E3573" s="210"/>
    </row>
    <row r="3574" spans="1:5" ht="40.5">
      <c r="A3574" s="446">
        <v>89536</v>
      </c>
      <c r="B3574" s="447" t="s">
        <v>1410</v>
      </c>
      <c r="C3574" s="446" t="s">
        <v>34</v>
      </c>
      <c r="D3574" s="448">
        <v>11.15</v>
      </c>
      <c r="E3574" s="210"/>
    </row>
    <row r="3575" spans="1:5" ht="54">
      <c r="A3575" s="446">
        <v>89538</v>
      </c>
      <c r="B3575" s="447" t="s">
        <v>1411</v>
      </c>
      <c r="C3575" s="446" t="s">
        <v>34</v>
      </c>
      <c r="D3575" s="448">
        <v>3.26</v>
      </c>
      <c r="E3575" s="210"/>
    </row>
    <row r="3576" spans="1:5" ht="54">
      <c r="A3576" s="446">
        <v>89539</v>
      </c>
      <c r="B3576" s="447" t="s">
        <v>6774</v>
      </c>
      <c r="C3576" s="446" t="s">
        <v>34</v>
      </c>
      <c r="D3576" s="448">
        <v>34.24</v>
      </c>
      <c r="E3576" s="210"/>
    </row>
    <row r="3577" spans="1:5" ht="40.5">
      <c r="A3577" s="446">
        <v>89540</v>
      </c>
      <c r="B3577" s="447" t="s">
        <v>283</v>
      </c>
      <c r="C3577" s="446" t="s">
        <v>34</v>
      </c>
      <c r="D3577" s="448">
        <v>9.18</v>
      </c>
      <c r="E3577" s="210"/>
    </row>
    <row r="3578" spans="1:5" ht="40.5">
      <c r="A3578" s="446">
        <v>89541</v>
      </c>
      <c r="B3578" s="447" t="s">
        <v>1412</v>
      </c>
      <c r="C3578" s="446" t="s">
        <v>34</v>
      </c>
      <c r="D3578" s="448">
        <v>4.97</v>
      </c>
      <c r="E3578" s="210"/>
    </row>
    <row r="3579" spans="1:5" ht="40.5">
      <c r="A3579" s="446">
        <v>89542</v>
      </c>
      <c r="B3579" s="447" t="s">
        <v>284</v>
      </c>
      <c r="C3579" s="446" t="s">
        <v>34</v>
      </c>
      <c r="D3579" s="448">
        <v>27.08</v>
      </c>
      <c r="E3579" s="210"/>
    </row>
    <row r="3580" spans="1:5" ht="54">
      <c r="A3580" s="446">
        <v>89544</v>
      </c>
      <c r="B3580" s="447" t="s">
        <v>1413</v>
      </c>
      <c r="C3580" s="446" t="s">
        <v>34</v>
      </c>
      <c r="D3580" s="448">
        <v>7.94</v>
      </c>
      <c r="E3580" s="210"/>
    </row>
    <row r="3581" spans="1:5" ht="54">
      <c r="A3581" s="446">
        <v>89545</v>
      </c>
      <c r="B3581" s="447" t="s">
        <v>1414</v>
      </c>
      <c r="C3581" s="446" t="s">
        <v>34</v>
      </c>
      <c r="D3581" s="448">
        <v>12.44</v>
      </c>
      <c r="E3581" s="210"/>
    </row>
    <row r="3582" spans="1:5" ht="54">
      <c r="A3582" s="446">
        <v>89546</v>
      </c>
      <c r="B3582" s="447" t="s">
        <v>1415</v>
      </c>
      <c r="C3582" s="446" t="s">
        <v>34</v>
      </c>
      <c r="D3582" s="448">
        <v>10.85</v>
      </c>
      <c r="E3582" s="210"/>
    </row>
    <row r="3583" spans="1:5" ht="54">
      <c r="A3583" s="446">
        <v>89547</v>
      </c>
      <c r="B3583" s="447" t="s">
        <v>1416</v>
      </c>
      <c r="C3583" s="446" t="s">
        <v>34</v>
      </c>
      <c r="D3583" s="448">
        <v>18.96</v>
      </c>
      <c r="E3583" s="210"/>
    </row>
    <row r="3584" spans="1:5" ht="54">
      <c r="A3584" s="446">
        <v>89548</v>
      </c>
      <c r="B3584" s="447" t="s">
        <v>285</v>
      </c>
      <c r="C3584" s="446" t="s">
        <v>34</v>
      </c>
      <c r="D3584" s="448">
        <v>20.46</v>
      </c>
      <c r="E3584" s="210"/>
    </row>
    <row r="3585" spans="1:5" ht="54">
      <c r="A3585" s="446">
        <v>89549</v>
      </c>
      <c r="B3585" s="447" t="s">
        <v>1417</v>
      </c>
      <c r="C3585" s="446" t="s">
        <v>34</v>
      </c>
      <c r="D3585" s="448">
        <v>14.94</v>
      </c>
      <c r="E3585" s="210"/>
    </row>
    <row r="3586" spans="1:5" ht="54">
      <c r="A3586" s="446">
        <v>89550</v>
      </c>
      <c r="B3586" s="447" t="s">
        <v>286</v>
      </c>
      <c r="C3586" s="446" t="s">
        <v>34</v>
      </c>
      <c r="D3586" s="448">
        <v>35.43</v>
      </c>
      <c r="E3586" s="210"/>
    </row>
    <row r="3587" spans="1:5" ht="54">
      <c r="A3587" s="446">
        <v>89551</v>
      </c>
      <c r="B3587" s="447" t="s">
        <v>1418</v>
      </c>
      <c r="C3587" s="446" t="s">
        <v>34</v>
      </c>
      <c r="D3587" s="448">
        <v>8.33</v>
      </c>
      <c r="E3587" s="210"/>
    </row>
    <row r="3588" spans="1:5" ht="40.5">
      <c r="A3588" s="446">
        <v>89552</v>
      </c>
      <c r="B3588" s="447" t="s">
        <v>1419</v>
      </c>
      <c r="C3588" s="446" t="s">
        <v>34</v>
      </c>
      <c r="D3588" s="448">
        <v>17.440000000000001</v>
      </c>
      <c r="E3588" s="210"/>
    </row>
    <row r="3589" spans="1:5" ht="54">
      <c r="A3589" s="446">
        <v>89553</v>
      </c>
      <c r="B3589" s="447" t="s">
        <v>1420</v>
      </c>
      <c r="C3589" s="446" t="s">
        <v>34</v>
      </c>
      <c r="D3589" s="448">
        <v>4.87</v>
      </c>
      <c r="E3589" s="210"/>
    </row>
    <row r="3590" spans="1:5" ht="54">
      <c r="A3590" s="446">
        <v>89554</v>
      </c>
      <c r="B3590" s="447" t="s">
        <v>1421</v>
      </c>
      <c r="C3590" s="446" t="s">
        <v>34</v>
      </c>
      <c r="D3590" s="448">
        <v>23.01</v>
      </c>
      <c r="E3590" s="210"/>
    </row>
    <row r="3591" spans="1:5" ht="40.5">
      <c r="A3591" s="446">
        <v>89555</v>
      </c>
      <c r="B3591" s="447" t="s">
        <v>287</v>
      </c>
      <c r="C3591" s="446" t="s">
        <v>34</v>
      </c>
      <c r="D3591" s="448">
        <v>21.25</v>
      </c>
      <c r="E3591" s="210"/>
    </row>
    <row r="3592" spans="1:5" ht="54">
      <c r="A3592" s="446">
        <v>89556</v>
      </c>
      <c r="B3592" s="447" t="s">
        <v>288</v>
      </c>
      <c r="C3592" s="446" t="s">
        <v>34</v>
      </c>
      <c r="D3592" s="448">
        <v>33.28</v>
      </c>
      <c r="E3592" s="210"/>
    </row>
    <row r="3593" spans="1:5" ht="54">
      <c r="A3593" s="446">
        <v>89557</v>
      </c>
      <c r="B3593" s="447" t="s">
        <v>289</v>
      </c>
      <c r="C3593" s="446" t="s">
        <v>34</v>
      </c>
      <c r="D3593" s="448">
        <v>26.53</v>
      </c>
      <c r="E3593" s="210"/>
    </row>
    <row r="3594" spans="1:5" ht="40.5">
      <c r="A3594" s="446">
        <v>89558</v>
      </c>
      <c r="B3594" s="447" t="s">
        <v>1422</v>
      </c>
      <c r="C3594" s="446" t="s">
        <v>34</v>
      </c>
      <c r="D3594" s="448">
        <v>7.72</v>
      </c>
      <c r="E3594" s="210"/>
    </row>
    <row r="3595" spans="1:5" ht="54">
      <c r="A3595" s="446">
        <v>89559</v>
      </c>
      <c r="B3595" s="447" t="s">
        <v>290</v>
      </c>
      <c r="C3595" s="446" t="s">
        <v>34</v>
      </c>
      <c r="D3595" s="448">
        <v>57.74</v>
      </c>
      <c r="E3595" s="210"/>
    </row>
    <row r="3596" spans="1:5" ht="54">
      <c r="A3596" s="446">
        <v>89561</v>
      </c>
      <c r="B3596" s="447" t="s">
        <v>291</v>
      </c>
      <c r="C3596" s="446" t="s">
        <v>34</v>
      </c>
      <c r="D3596" s="448">
        <v>11.46</v>
      </c>
      <c r="E3596" s="210"/>
    </row>
    <row r="3597" spans="1:5" ht="40.5">
      <c r="A3597" s="446">
        <v>89562</v>
      </c>
      <c r="B3597" s="447" t="s">
        <v>1423</v>
      </c>
      <c r="C3597" s="446" t="s">
        <v>34</v>
      </c>
      <c r="D3597" s="448">
        <v>8.26</v>
      </c>
      <c r="E3597" s="210"/>
    </row>
    <row r="3598" spans="1:5" ht="54">
      <c r="A3598" s="446">
        <v>89563</v>
      </c>
      <c r="B3598" s="447" t="s">
        <v>292</v>
      </c>
      <c r="C3598" s="446" t="s">
        <v>34</v>
      </c>
      <c r="D3598" s="448">
        <v>20.66</v>
      </c>
      <c r="E3598" s="210"/>
    </row>
    <row r="3599" spans="1:5" ht="40.5">
      <c r="A3599" s="446">
        <v>89564</v>
      </c>
      <c r="B3599" s="447" t="s">
        <v>1424</v>
      </c>
      <c r="C3599" s="446" t="s">
        <v>34</v>
      </c>
      <c r="D3599" s="448">
        <v>15.48</v>
      </c>
      <c r="E3599" s="210"/>
    </row>
    <row r="3600" spans="1:5" ht="54">
      <c r="A3600" s="446">
        <v>89565</v>
      </c>
      <c r="B3600" s="447" t="s">
        <v>1425</v>
      </c>
      <c r="C3600" s="446" t="s">
        <v>34</v>
      </c>
      <c r="D3600" s="448">
        <v>50.11</v>
      </c>
      <c r="E3600" s="210"/>
    </row>
    <row r="3601" spans="1:5" ht="54">
      <c r="A3601" s="446">
        <v>89566</v>
      </c>
      <c r="B3601" s="447" t="s">
        <v>293</v>
      </c>
      <c r="C3601" s="446" t="s">
        <v>34</v>
      </c>
      <c r="D3601" s="448">
        <v>43.6</v>
      </c>
      <c r="E3601" s="210"/>
    </row>
    <row r="3602" spans="1:5" ht="54">
      <c r="A3602" s="446">
        <v>89567</v>
      </c>
      <c r="B3602" s="447" t="s">
        <v>1426</v>
      </c>
      <c r="C3602" s="446" t="s">
        <v>34</v>
      </c>
      <c r="D3602" s="448">
        <v>72.849999999999994</v>
      </c>
      <c r="E3602" s="210"/>
    </row>
    <row r="3603" spans="1:5" ht="40.5">
      <c r="A3603" s="446">
        <v>89568</v>
      </c>
      <c r="B3603" s="447" t="s">
        <v>1427</v>
      </c>
      <c r="C3603" s="446" t="s">
        <v>34</v>
      </c>
      <c r="D3603" s="448">
        <v>31.85</v>
      </c>
      <c r="E3603" s="210"/>
    </row>
    <row r="3604" spans="1:5" ht="54">
      <c r="A3604" s="446">
        <v>89569</v>
      </c>
      <c r="B3604" s="447" t="s">
        <v>1428</v>
      </c>
      <c r="C3604" s="446" t="s">
        <v>34</v>
      </c>
      <c r="D3604" s="448">
        <v>68.849999999999994</v>
      </c>
      <c r="E3604" s="210"/>
    </row>
    <row r="3605" spans="1:5" ht="54">
      <c r="A3605" s="446">
        <v>89570</v>
      </c>
      <c r="B3605" s="447" t="s">
        <v>1429</v>
      </c>
      <c r="C3605" s="446" t="s">
        <v>34</v>
      </c>
      <c r="D3605" s="448">
        <v>10.79</v>
      </c>
      <c r="E3605" s="210"/>
    </row>
    <row r="3606" spans="1:5" ht="54">
      <c r="A3606" s="446">
        <v>89571</v>
      </c>
      <c r="B3606" s="447" t="s">
        <v>1430</v>
      </c>
      <c r="C3606" s="446" t="s">
        <v>34</v>
      </c>
      <c r="D3606" s="448">
        <v>67.150000000000006</v>
      </c>
      <c r="E3606" s="210"/>
    </row>
    <row r="3607" spans="1:5" ht="54">
      <c r="A3607" s="446">
        <v>89572</v>
      </c>
      <c r="B3607" s="447" t="s">
        <v>1431</v>
      </c>
      <c r="C3607" s="446" t="s">
        <v>34</v>
      </c>
      <c r="D3607" s="448">
        <v>7.28</v>
      </c>
      <c r="E3607" s="210"/>
    </row>
    <row r="3608" spans="1:5" ht="54">
      <c r="A3608" s="446">
        <v>89573</v>
      </c>
      <c r="B3608" s="447" t="s">
        <v>1432</v>
      </c>
      <c r="C3608" s="446" t="s">
        <v>34</v>
      </c>
      <c r="D3608" s="448">
        <v>61.13</v>
      </c>
      <c r="E3608" s="210"/>
    </row>
    <row r="3609" spans="1:5" ht="54">
      <c r="A3609" s="446">
        <v>89574</v>
      </c>
      <c r="B3609" s="447" t="s">
        <v>1433</v>
      </c>
      <c r="C3609" s="446" t="s">
        <v>34</v>
      </c>
      <c r="D3609" s="448">
        <v>118.54</v>
      </c>
      <c r="E3609" s="210"/>
    </row>
    <row r="3610" spans="1:5" ht="40.5">
      <c r="A3610" s="446">
        <v>89575</v>
      </c>
      <c r="B3610" s="447" t="s">
        <v>1434</v>
      </c>
      <c r="C3610" s="446" t="s">
        <v>34</v>
      </c>
      <c r="D3610" s="448">
        <v>9.8800000000000008</v>
      </c>
      <c r="E3610" s="210"/>
    </row>
    <row r="3611" spans="1:5" ht="40.5">
      <c r="A3611" s="446">
        <v>89577</v>
      </c>
      <c r="B3611" s="447" t="s">
        <v>294</v>
      </c>
      <c r="C3611" s="446" t="s">
        <v>34</v>
      </c>
      <c r="D3611" s="448">
        <v>32.61</v>
      </c>
      <c r="E3611" s="210"/>
    </row>
    <row r="3612" spans="1:5" ht="40.5">
      <c r="A3612" s="446">
        <v>89579</v>
      </c>
      <c r="B3612" s="447" t="s">
        <v>1437</v>
      </c>
      <c r="C3612" s="446" t="s">
        <v>34</v>
      </c>
      <c r="D3612" s="448">
        <v>10.130000000000001</v>
      </c>
      <c r="E3612" s="210"/>
    </row>
    <row r="3613" spans="1:5" ht="54">
      <c r="A3613" s="446">
        <v>89581</v>
      </c>
      <c r="B3613" s="447" t="s">
        <v>1439</v>
      </c>
      <c r="C3613" s="446" t="s">
        <v>34</v>
      </c>
      <c r="D3613" s="448">
        <v>25.84</v>
      </c>
      <c r="E3613" s="210"/>
    </row>
    <row r="3614" spans="1:5" ht="54">
      <c r="A3614" s="446">
        <v>89582</v>
      </c>
      <c r="B3614" s="447" t="s">
        <v>1440</v>
      </c>
      <c r="C3614" s="446" t="s">
        <v>34</v>
      </c>
      <c r="D3614" s="448">
        <v>22.82</v>
      </c>
      <c r="E3614" s="210"/>
    </row>
    <row r="3615" spans="1:5" ht="67.5">
      <c r="A3615" s="446">
        <v>89583</v>
      </c>
      <c r="B3615" s="447" t="s">
        <v>1441</v>
      </c>
      <c r="C3615" s="446" t="s">
        <v>34</v>
      </c>
      <c r="D3615" s="448">
        <v>33.81</v>
      </c>
      <c r="E3615" s="210"/>
    </row>
    <row r="3616" spans="1:5" ht="54">
      <c r="A3616" s="446">
        <v>89584</v>
      </c>
      <c r="B3616" s="447" t="s">
        <v>1442</v>
      </c>
      <c r="C3616" s="446" t="s">
        <v>34</v>
      </c>
      <c r="D3616" s="448">
        <v>38.29</v>
      </c>
      <c r="E3616" s="210"/>
    </row>
    <row r="3617" spans="1:5" ht="54">
      <c r="A3617" s="446">
        <v>89585</v>
      </c>
      <c r="B3617" s="447" t="s">
        <v>1443</v>
      </c>
      <c r="C3617" s="446" t="s">
        <v>34</v>
      </c>
      <c r="D3617" s="448">
        <v>30.95</v>
      </c>
      <c r="E3617" s="210"/>
    </row>
    <row r="3618" spans="1:5" ht="67.5">
      <c r="A3618" s="446">
        <v>89586</v>
      </c>
      <c r="B3618" s="447" t="s">
        <v>1444</v>
      </c>
      <c r="C3618" s="446" t="s">
        <v>34</v>
      </c>
      <c r="D3618" s="448">
        <v>30.95</v>
      </c>
      <c r="E3618" s="210"/>
    </row>
    <row r="3619" spans="1:5" ht="67.5">
      <c r="A3619" s="446">
        <v>89587</v>
      </c>
      <c r="B3619" s="447" t="s">
        <v>1445</v>
      </c>
      <c r="C3619" s="446" t="s">
        <v>34</v>
      </c>
      <c r="D3619" s="448">
        <v>49.79</v>
      </c>
      <c r="E3619" s="210"/>
    </row>
    <row r="3620" spans="1:5" ht="54">
      <c r="A3620" s="446">
        <v>89589</v>
      </c>
      <c r="B3620" s="447" t="s">
        <v>6775</v>
      </c>
      <c r="C3620" s="446" t="s">
        <v>34</v>
      </c>
      <c r="D3620" s="448">
        <v>32.99</v>
      </c>
      <c r="E3620" s="210"/>
    </row>
    <row r="3621" spans="1:5" ht="54">
      <c r="A3621" s="446">
        <v>89590</v>
      </c>
      <c r="B3621" s="447" t="s">
        <v>1446</v>
      </c>
      <c r="C3621" s="446" t="s">
        <v>34</v>
      </c>
      <c r="D3621" s="448">
        <v>124.5</v>
      </c>
      <c r="E3621" s="210"/>
    </row>
    <row r="3622" spans="1:5" ht="54">
      <c r="A3622" s="446">
        <v>89591</v>
      </c>
      <c r="B3622" s="447" t="s">
        <v>1447</v>
      </c>
      <c r="C3622" s="446" t="s">
        <v>34</v>
      </c>
      <c r="D3622" s="448">
        <v>103.43</v>
      </c>
      <c r="E3622" s="210"/>
    </row>
    <row r="3623" spans="1:5" ht="67.5">
      <c r="A3623" s="446">
        <v>89592</v>
      </c>
      <c r="B3623" s="447" t="s">
        <v>1448</v>
      </c>
      <c r="C3623" s="446" t="s">
        <v>34</v>
      </c>
      <c r="D3623" s="448">
        <v>164.69</v>
      </c>
      <c r="E3623" s="210"/>
    </row>
    <row r="3624" spans="1:5" ht="40.5">
      <c r="A3624" s="446">
        <v>89593</v>
      </c>
      <c r="B3624" s="447" t="s">
        <v>1449</v>
      </c>
      <c r="C3624" s="446" t="s">
        <v>34</v>
      </c>
      <c r="D3624" s="448">
        <v>29.47</v>
      </c>
      <c r="E3624" s="210"/>
    </row>
    <row r="3625" spans="1:5" ht="40.5">
      <c r="A3625" s="446">
        <v>89594</v>
      </c>
      <c r="B3625" s="447" t="s">
        <v>1450</v>
      </c>
      <c r="C3625" s="446" t="s">
        <v>34</v>
      </c>
      <c r="D3625" s="448">
        <v>35.659999999999997</v>
      </c>
      <c r="E3625" s="210"/>
    </row>
    <row r="3626" spans="1:5" ht="54">
      <c r="A3626" s="446">
        <v>89595</v>
      </c>
      <c r="B3626" s="447" t="s">
        <v>1451</v>
      </c>
      <c r="C3626" s="446" t="s">
        <v>34</v>
      </c>
      <c r="D3626" s="448">
        <v>13.34</v>
      </c>
      <c r="E3626" s="210"/>
    </row>
    <row r="3627" spans="1:5" ht="54">
      <c r="A3627" s="446">
        <v>89596</v>
      </c>
      <c r="B3627" s="447" t="s">
        <v>1452</v>
      </c>
      <c r="C3627" s="446" t="s">
        <v>34</v>
      </c>
      <c r="D3627" s="448">
        <v>9.6999999999999993</v>
      </c>
      <c r="E3627" s="210"/>
    </row>
    <row r="3628" spans="1:5" ht="40.5">
      <c r="A3628" s="446">
        <v>89597</v>
      </c>
      <c r="B3628" s="447" t="s">
        <v>1453</v>
      </c>
      <c r="C3628" s="446" t="s">
        <v>34</v>
      </c>
      <c r="D3628" s="448">
        <v>18.62</v>
      </c>
      <c r="E3628" s="210"/>
    </row>
    <row r="3629" spans="1:5" ht="40.5">
      <c r="A3629" s="446">
        <v>89598</v>
      </c>
      <c r="B3629" s="447" t="s">
        <v>1454</v>
      </c>
      <c r="C3629" s="446" t="s">
        <v>34</v>
      </c>
      <c r="D3629" s="448">
        <v>49.41</v>
      </c>
      <c r="E3629" s="210"/>
    </row>
    <row r="3630" spans="1:5" ht="54">
      <c r="A3630" s="446">
        <v>89599</v>
      </c>
      <c r="B3630" s="447" t="s">
        <v>1455</v>
      </c>
      <c r="C3630" s="446" t="s">
        <v>34</v>
      </c>
      <c r="D3630" s="448">
        <v>18.02</v>
      </c>
      <c r="E3630" s="210"/>
    </row>
    <row r="3631" spans="1:5" ht="54">
      <c r="A3631" s="446">
        <v>89600</v>
      </c>
      <c r="B3631" s="447" t="s">
        <v>1456</v>
      </c>
      <c r="C3631" s="446" t="s">
        <v>34</v>
      </c>
      <c r="D3631" s="448">
        <v>19.52</v>
      </c>
      <c r="E3631" s="210"/>
    </row>
    <row r="3632" spans="1:5" ht="40.5">
      <c r="A3632" s="446">
        <v>89605</v>
      </c>
      <c r="B3632" s="447" t="s">
        <v>1457</v>
      </c>
      <c r="C3632" s="446" t="s">
        <v>34</v>
      </c>
      <c r="D3632" s="448">
        <v>18.170000000000002</v>
      </c>
      <c r="E3632" s="210"/>
    </row>
    <row r="3633" spans="1:5" ht="40.5">
      <c r="A3633" s="446">
        <v>89609</v>
      </c>
      <c r="B3633" s="447" t="s">
        <v>1458</v>
      </c>
      <c r="C3633" s="446" t="s">
        <v>34</v>
      </c>
      <c r="D3633" s="448">
        <v>83.11</v>
      </c>
      <c r="E3633" s="210"/>
    </row>
    <row r="3634" spans="1:5" ht="54">
      <c r="A3634" s="446">
        <v>89610</v>
      </c>
      <c r="B3634" s="447" t="s">
        <v>1459</v>
      </c>
      <c r="C3634" s="446" t="s">
        <v>34</v>
      </c>
      <c r="D3634" s="448">
        <v>18.64</v>
      </c>
      <c r="E3634" s="210"/>
    </row>
    <row r="3635" spans="1:5" ht="40.5">
      <c r="A3635" s="446">
        <v>89611</v>
      </c>
      <c r="B3635" s="447" t="s">
        <v>1460</v>
      </c>
      <c r="C3635" s="446" t="s">
        <v>34</v>
      </c>
      <c r="D3635" s="448">
        <v>30.85</v>
      </c>
      <c r="E3635" s="210"/>
    </row>
    <row r="3636" spans="1:5" ht="40.5">
      <c r="A3636" s="446">
        <v>89612</v>
      </c>
      <c r="B3636" s="447" t="s">
        <v>1461</v>
      </c>
      <c r="C3636" s="446" t="s">
        <v>34</v>
      </c>
      <c r="D3636" s="448">
        <v>164.26</v>
      </c>
      <c r="E3636" s="210"/>
    </row>
    <row r="3637" spans="1:5" ht="54">
      <c r="A3637" s="446">
        <v>89613</v>
      </c>
      <c r="B3637" s="447" t="s">
        <v>1462</v>
      </c>
      <c r="C3637" s="446" t="s">
        <v>34</v>
      </c>
      <c r="D3637" s="448">
        <v>27.51</v>
      </c>
      <c r="E3637" s="210"/>
    </row>
    <row r="3638" spans="1:5" ht="40.5">
      <c r="A3638" s="446">
        <v>89614</v>
      </c>
      <c r="B3638" s="447" t="s">
        <v>1463</v>
      </c>
      <c r="C3638" s="446" t="s">
        <v>34</v>
      </c>
      <c r="D3638" s="448">
        <v>58.81</v>
      </c>
      <c r="E3638" s="210"/>
    </row>
    <row r="3639" spans="1:5" ht="40.5">
      <c r="A3639" s="446">
        <v>89615</v>
      </c>
      <c r="B3639" s="447" t="s">
        <v>1464</v>
      </c>
      <c r="C3639" s="446" t="s">
        <v>34</v>
      </c>
      <c r="D3639" s="448">
        <v>248.56</v>
      </c>
      <c r="E3639" s="210"/>
    </row>
    <row r="3640" spans="1:5" ht="54">
      <c r="A3640" s="446">
        <v>89616</v>
      </c>
      <c r="B3640" s="447" t="s">
        <v>1465</v>
      </c>
      <c r="C3640" s="446" t="s">
        <v>34</v>
      </c>
      <c r="D3640" s="448">
        <v>40.08</v>
      </c>
      <c r="E3640" s="210"/>
    </row>
    <row r="3641" spans="1:5" ht="40.5">
      <c r="A3641" s="446">
        <v>89617</v>
      </c>
      <c r="B3641" s="447" t="s">
        <v>1466</v>
      </c>
      <c r="C3641" s="446" t="s">
        <v>34</v>
      </c>
      <c r="D3641" s="448">
        <v>5.51</v>
      </c>
      <c r="E3641" s="210"/>
    </row>
    <row r="3642" spans="1:5" ht="54">
      <c r="A3642" s="446">
        <v>89618</v>
      </c>
      <c r="B3642" s="447" t="s">
        <v>1467</v>
      </c>
      <c r="C3642" s="446" t="s">
        <v>34</v>
      </c>
      <c r="D3642" s="448">
        <v>12.94</v>
      </c>
      <c r="E3642" s="210"/>
    </row>
    <row r="3643" spans="1:5" ht="40.5">
      <c r="A3643" s="446">
        <v>89619</v>
      </c>
      <c r="B3643" s="447" t="s">
        <v>295</v>
      </c>
      <c r="C3643" s="446" t="s">
        <v>34</v>
      </c>
      <c r="D3643" s="448">
        <v>7.49</v>
      </c>
      <c r="E3643" s="210"/>
    </row>
    <row r="3644" spans="1:5" ht="40.5">
      <c r="A3644" s="446">
        <v>89620</v>
      </c>
      <c r="B3644" s="447" t="s">
        <v>1468</v>
      </c>
      <c r="C3644" s="446" t="s">
        <v>34</v>
      </c>
      <c r="D3644" s="448">
        <v>9.5399999999999991</v>
      </c>
      <c r="E3644" s="210"/>
    </row>
    <row r="3645" spans="1:5" ht="54">
      <c r="A3645" s="446">
        <v>89621</v>
      </c>
      <c r="B3645" s="447" t="s">
        <v>1469</v>
      </c>
      <c r="C3645" s="446" t="s">
        <v>34</v>
      </c>
      <c r="D3645" s="448">
        <v>22.14</v>
      </c>
      <c r="E3645" s="210"/>
    </row>
    <row r="3646" spans="1:5" ht="40.5">
      <c r="A3646" s="446">
        <v>89622</v>
      </c>
      <c r="B3646" s="447" t="s">
        <v>296</v>
      </c>
      <c r="C3646" s="446" t="s">
        <v>34</v>
      </c>
      <c r="D3646" s="448">
        <v>11.51</v>
      </c>
      <c r="E3646" s="210"/>
    </row>
    <row r="3647" spans="1:5" ht="40.5">
      <c r="A3647" s="446">
        <v>89623</v>
      </c>
      <c r="B3647" s="447" t="s">
        <v>1470</v>
      </c>
      <c r="C3647" s="446" t="s">
        <v>34</v>
      </c>
      <c r="D3647" s="448">
        <v>15.64</v>
      </c>
      <c r="E3647" s="210"/>
    </row>
    <row r="3648" spans="1:5" ht="40.5">
      <c r="A3648" s="446">
        <v>89624</v>
      </c>
      <c r="B3648" s="447" t="s">
        <v>297</v>
      </c>
      <c r="C3648" s="446" t="s">
        <v>34</v>
      </c>
      <c r="D3648" s="448">
        <v>16.63</v>
      </c>
      <c r="E3648" s="210"/>
    </row>
    <row r="3649" spans="1:5" ht="40.5">
      <c r="A3649" s="446">
        <v>89625</v>
      </c>
      <c r="B3649" s="447" t="s">
        <v>1471</v>
      </c>
      <c r="C3649" s="446" t="s">
        <v>34</v>
      </c>
      <c r="D3649" s="448">
        <v>19.02</v>
      </c>
      <c r="E3649" s="210"/>
    </row>
    <row r="3650" spans="1:5" ht="40.5">
      <c r="A3650" s="446">
        <v>89626</v>
      </c>
      <c r="B3650" s="447" t="s">
        <v>298</v>
      </c>
      <c r="C3650" s="446" t="s">
        <v>34</v>
      </c>
      <c r="D3650" s="448">
        <v>26.66</v>
      </c>
      <c r="E3650" s="210"/>
    </row>
    <row r="3651" spans="1:5" ht="40.5">
      <c r="A3651" s="446">
        <v>89627</v>
      </c>
      <c r="B3651" s="447" t="s">
        <v>299</v>
      </c>
      <c r="C3651" s="446" t="s">
        <v>34</v>
      </c>
      <c r="D3651" s="448">
        <v>17.87</v>
      </c>
      <c r="E3651" s="210"/>
    </row>
    <row r="3652" spans="1:5" ht="40.5">
      <c r="A3652" s="446">
        <v>89628</v>
      </c>
      <c r="B3652" s="447" t="s">
        <v>1472</v>
      </c>
      <c r="C3652" s="446" t="s">
        <v>34</v>
      </c>
      <c r="D3652" s="448">
        <v>41.11</v>
      </c>
      <c r="E3652" s="210"/>
    </row>
    <row r="3653" spans="1:5" ht="40.5">
      <c r="A3653" s="446">
        <v>89629</v>
      </c>
      <c r="B3653" s="447" t="s">
        <v>1473</v>
      </c>
      <c r="C3653" s="446" t="s">
        <v>34</v>
      </c>
      <c r="D3653" s="448">
        <v>76.41</v>
      </c>
      <c r="E3653" s="210"/>
    </row>
    <row r="3654" spans="1:5" ht="40.5">
      <c r="A3654" s="446">
        <v>89630</v>
      </c>
      <c r="B3654" s="447" t="s">
        <v>300</v>
      </c>
      <c r="C3654" s="446" t="s">
        <v>34</v>
      </c>
      <c r="D3654" s="448">
        <v>66</v>
      </c>
      <c r="E3654" s="210"/>
    </row>
    <row r="3655" spans="1:5" ht="40.5">
      <c r="A3655" s="446">
        <v>89631</v>
      </c>
      <c r="B3655" s="447" t="s">
        <v>1474</v>
      </c>
      <c r="C3655" s="446" t="s">
        <v>34</v>
      </c>
      <c r="D3655" s="448">
        <v>116.91</v>
      </c>
      <c r="E3655" s="210"/>
    </row>
    <row r="3656" spans="1:5" ht="40.5">
      <c r="A3656" s="446">
        <v>89632</v>
      </c>
      <c r="B3656" s="447" t="s">
        <v>301</v>
      </c>
      <c r="C3656" s="446" t="s">
        <v>34</v>
      </c>
      <c r="D3656" s="448">
        <v>95.61</v>
      </c>
      <c r="E3656" s="210"/>
    </row>
    <row r="3657" spans="1:5" ht="54">
      <c r="A3657" s="446">
        <v>89637</v>
      </c>
      <c r="B3657" s="447" t="s">
        <v>1476</v>
      </c>
      <c r="C3657" s="446" t="s">
        <v>34</v>
      </c>
      <c r="D3657" s="448">
        <v>8.51</v>
      </c>
      <c r="E3657" s="210"/>
    </row>
    <row r="3658" spans="1:5" ht="54">
      <c r="A3658" s="446">
        <v>89638</v>
      </c>
      <c r="B3658" s="447" t="s">
        <v>1477</v>
      </c>
      <c r="C3658" s="446" t="s">
        <v>34</v>
      </c>
      <c r="D3658" s="448">
        <v>9.77</v>
      </c>
      <c r="E3658" s="210"/>
    </row>
    <row r="3659" spans="1:5" ht="54">
      <c r="A3659" s="446">
        <v>89639</v>
      </c>
      <c r="B3659" s="447" t="s">
        <v>1478</v>
      </c>
      <c r="C3659" s="446" t="s">
        <v>34</v>
      </c>
      <c r="D3659" s="448">
        <v>10.26</v>
      </c>
      <c r="E3659" s="210"/>
    </row>
    <row r="3660" spans="1:5" ht="54">
      <c r="A3660" s="446">
        <v>89640</v>
      </c>
      <c r="B3660" s="447" t="s">
        <v>3909</v>
      </c>
      <c r="C3660" s="446" t="s">
        <v>34</v>
      </c>
      <c r="D3660" s="448">
        <v>17.78</v>
      </c>
      <c r="E3660" s="210"/>
    </row>
    <row r="3661" spans="1:5" ht="54">
      <c r="A3661" s="446">
        <v>89641</v>
      </c>
      <c r="B3661" s="447" t="s">
        <v>1479</v>
      </c>
      <c r="C3661" s="446" t="s">
        <v>34</v>
      </c>
      <c r="D3661" s="448">
        <v>12.33</v>
      </c>
      <c r="E3661" s="210"/>
    </row>
    <row r="3662" spans="1:5" ht="54">
      <c r="A3662" s="446">
        <v>89642</v>
      </c>
      <c r="B3662" s="447" t="s">
        <v>1480</v>
      </c>
      <c r="C3662" s="446" t="s">
        <v>34</v>
      </c>
      <c r="D3662" s="448">
        <v>14.75</v>
      </c>
      <c r="E3662" s="210"/>
    </row>
    <row r="3663" spans="1:5" ht="54">
      <c r="A3663" s="446">
        <v>89643</v>
      </c>
      <c r="B3663" s="447" t="s">
        <v>1481</v>
      </c>
      <c r="C3663" s="446" t="s">
        <v>34</v>
      </c>
      <c r="D3663" s="448">
        <v>15.56</v>
      </c>
      <c r="E3663" s="210"/>
    </row>
    <row r="3664" spans="1:5" ht="54">
      <c r="A3664" s="446">
        <v>89644</v>
      </c>
      <c r="B3664" s="447" t="s">
        <v>3910</v>
      </c>
      <c r="C3664" s="446" t="s">
        <v>34</v>
      </c>
      <c r="D3664" s="448">
        <v>27.02</v>
      </c>
      <c r="E3664" s="210"/>
    </row>
    <row r="3665" spans="1:5" ht="54">
      <c r="A3665" s="446">
        <v>89645</v>
      </c>
      <c r="B3665" s="447" t="s">
        <v>1482</v>
      </c>
      <c r="C3665" s="446" t="s">
        <v>34</v>
      </c>
      <c r="D3665" s="448">
        <v>31.27</v>
      </c>
      <c r="E3665" s="210"/>
    </row>
    <row r="3666" spans="1:5" ht="54">
      <c r="A3666" s="446">
        <v>89646</v>
      </c>
      <c r="B3666" s="447" t="s">
        <v>1483</v>
      </c>
      <c r="C3666" s="446" t="s">
        <v>34</v>
      </c>
      <c r="D3666" s="448">
        <v>20.56</v>
      </c>
      <c r="E3666" s="210"/>
    </row>
    <row r="3667" spans="1:5" ht="54">
      <c r="A3667" s="446">
        <v>89647</v>
      </c>
      <c r="B3667" s="447" t="s">
        <v>1484</v>
      </c>
      <c r="C3667" s="446" t="s">
        <v>34</v>
      </c>
      <c r="D3667" s="448">
        <v>20</v>
      </c>
      <c r="E3667" s="210"/>
    </row>
    <row r="3668" spans="1:5" ht="54">
      <c r="A3668" s="446">
        <v>89648</v>
      </c>
      <c r="B3668" s="447" t="s">
        <v>1485</v>
      </c>
      <c r="C3668" s="446" t="s">
        <v>34</v>
      </c>
      <c r="D3668" s="448">
        <v>22.6</v>
      </c>
      <c r="E3668" s="210"/>
    </row>
    <row r="3669" spans="1:5" ht="54">
      <c r="A3669" s="446">
        <v>89649</v>
      </c>
      <c r="B3669" s="447" t="s">
        <v>1486</v>
      </c>
      <c r="C3669" s="446" t="s">
        <v>34</v>
      </c>
      <c r="D3669" s="448">
        <v>31.63</v>
      </c>
      <c r="E3669" s="210"/>
    </row>
    <row r="3670" spans="1:5" ht="54">
      <c r="A3670" s="446">
        <v>89650</v>
      </c>
      <c r="B3670" s="447" t="s">
        <v>1487</v>
      </c>
      <c r="C3670" s="446" t="s">
        <v>34</v>
      </c>
      <c r="D3670" s="448">
        <v>31.63</v>
      </c>
      <c r="E3670" s="210"/>
    </row>
    <row r="3671" spans="1:5" ht="40.5">
      <c r="A3671" s="446">
        <v>89651</v>
      </c>
      <c r="B3671" s="447" t="s">
        <v>305</v>
      </c>
      <c r="C3671" s="446" t="s">
        <v>34</v>
      </c>
      <c r="D3671" s="448">
        <v>5.8</v>
      </c>
      <c r="E3671" s="210"/>
    </row>
    <row r="3672" spans="1:5" ht="54">
      <c r="A3672" s="446">
        <v>89652</v>
      </c>
      <c r="B3672" s="447" t="s">
        <v>1488</v>
      </c>
      <c r="C3672" s="446" t="s">
        <v>34</v>
      </c>
      <c r="D3672" s="448">
        <v>11.36</v>
      </c>
      <c r="E3672" s="210"/>
    </row>
    <row r="3673" spans="1:5" ht="54">
      <c r="A3673" s="446">
        <v>89653</v>
      </c>
      <c r="B3673" s="447" t="s">
        <v>1489</v>
      </c>
      <c r="C3673" s="446" t="s">
        <v>34</v>
      </c>
      <c r="D3673" s="448">
        <v>19.89</v>
      </c>
      <c r="E3673" s="210"/>
    </row>
    <row r="3674" spans="1:5" ht="40.5">
      <c r="A3674" s="446">
        <v>89654</v>
      </c>
      <c r="B3674" s="447" t="s">
        <v>1490</v>
      </c>
      <c r="C3674" s="446" t="s">
        <v>34</v>
      </c>
      <c r="D3674" s="448">
        <v>19.329999999999998</v>
      </c>
      <c r="E3674" s="210"/>
    </row>
    <row r="3675" spans="1:5" ht="54">
      <c r="A3675" s="446">
        <v>89655</v>
      </c>
      <c r="B3675" s="447" t="s">
        <v>1491</v>
      </c>
      <c r="C3675" s="446" t="s">
        <v>34</v>
      </c>
      <c r="D3675" s="448">
        <v>29.77</v>
      </c>
      <c r="E3675" s="210"/>
    </row>
    <row r="3676" spans="1:5" ht="40.5">
      <c r="A3676" s="446">
        <v>89656</v>
      </c>
      <c r="B3676" s="447" t="s">
        <v>1492</v>
      </c>
      <c r="C3676" s="446" t="s">
        <v>34</v>
      </c>
      <c r="D3676" s="448">
        <v>12.23</v>
      </c>
      <c r="E3676" s="210"/>
    </row>
    <row r="3677" spans="1:5" ht="54">
      <c r="A3677" s="446">
        <v>89657</v>
      </c>
      <c r="B3677" s="447" t="s">
        <v>1493</v>
      </c>
      <c r="C3677" s="446" t="s">
        <v>34</v>
      </c>
      <c r="D3677" s="448">
        <v>12.51</v>
      </c>
      <c r="E3677" s="210"/>
    </row>
    <row r="3678" spans="1:5" ht="40.5">
      <c r="A3678" s="446">
        <v>89658</v>
      </c>
      <c r="B3678" s="447" t="s">
        <v>1494</v>
      </c>
      <c r="C3678" s="446" t="s">
        <v>34</v>
      </c>
      <c r="D3678" s="448">
        <v>8.16</v>
      </c>
      <c r="E3678" s="210"/>
    </row>
    <row r="3679" spans="1:5" ht="54">
      <c r="A3679" s="446">
        <v>89659</v>
      </c>
      <c r="B3679" s="447" t="s">
        <v>1495</v>
      </c>
      <c r="C3679" s="446" t="s">
        <v>34</v>
      </c>
      <c r="D3679" s="448">
        <v>16.66</v>
      </c>
      <c r="E3679" s="210"/>
    </row>
    <row r="3680" spans="1:5" ht="54">
      <c r="A3680" s="446">
        <v>89660</v>
      </c>
      <c r="B3680" s="447" t="s">
        <v>1496</v>
      </c>
      <c r="C3680" s="446" t="s">
        <v>34</v>
      </c>
      <c r="D3680" s="448">
        <v>7.42</v>
      </c>
      <c r="E3680" s="210"/>
    </row>
    <row r="3681" spans="1:5" ht="40.5">
      <c r="A3681" s="446">
        <v>89661</v>
      </c>
      <c r="B3681" s="447" t="s">
        <v>1497</v>
      </c>
      <c r="C3681" s="446" t="s">
        <v>34</v>
      </c>
      <c r="D3681" s="448">
        <v>23.13</v>
      </c>
      <c r="E3681" s="210"/>
    </row>
    <row r="3682" spans="1:5" ht="54">
      <c r="A3682" s="446">
        <v>89662</v>
      </c>
      <c r="B3682" s="447" t="s">
        <v>1498</v>
      </c>
      <c r="C3682" s="446" t="s">
        <v>34</v>
      </c>
      <c r="D3682" s="448">
        <v>36.97</v>
      </c>
      <c r="E3682" s="210"/>
    </row>
    <row r="3683" spans="1:5" ht="40.5">
      <c r="A3683" s="446">
        <v>89663</v>
      </c>
      <c r="B3683" s="447" t="s">
        <v>1499</v>
      </c>
      <c r="C3683" s="446" t="s">
        <v>34</v>
      </c>
      <c r="D3683" s="448">
        <v>13.78</v>
      </c>
      <c r="E3683" s="210"/>
    </row>
    <row r="3684" spans="1:5" ht="54">
      <c r="A3684" s="446">
        <v>89664</v>
      </c>
      <c r="B3684" s="447" t="s">
        <v>1500</v>
      </c>
      <c r="C3684" s="446" t="s">
        <v>34</v>
      </c>
      <c r="D3684" s="448">
        <v>16.66</v>
      </c>
      <c r="E3684" s="210"/>
    </row>
    <row r="3685" spans="1:5" ht="54">
      <c r="A3685" s="446">
        <v>89665</v>
      </c>
      <c r="B3685" s="447" t="s">
        <v>1501</v>
      </c>
      <c r="C3685" s="446" t="s">
        <v>34</v>
      </c>
      <c r="D3685" s="448">
        <v>14</v>
      </c>
      <c r="E3685" s="210"/>
    </row>
    <row r="3686" spans="1:5" ht="54">
      <c r="A3686" s="446">
        <v>89666</v>
      </c>
      <c r="B3686" s="447" t="s">
        <v>1502</v>
      </c>
      <c r="C3686" s="446" t="s">
        <v>34</v>
      </c>
      <c r="D3686" s="448">
        <v>6.16</v>
      </c>
      <c r="E3686" s="210"/>
    </row>
    <row r="3687" spans="1:5" ht="54">
      <c r="A3687" s="446">
        <v>89667</v>
      </c>
      <c r="B3687" s="447" t="s">
        <v>1503</v>
      </c>
      <c r="C3687" s="446" t="s">
        <v>34</v>
      </c>
      <c r="D3687" s="448">
        <v>34.49</v>
      </c>
      <c r="E3687" s="210"/>
    </row>
    <row r="3688" spans="1:5" ht="54">
      <c r="A3688" s="446">
        <v>89668</v>
      </c>
      <c r="B3688" s="447" t="s">
        <v>1504</v>
      </c>
      <c r="C3688" s="446" t="s">
        <v>34</v>
      </c>
      <c r="D3688" s="448">
        <v>34.93</v>
      </c>
      <c r="E3688" s="210"/>
    </row>
    <row r="3689" spans="1:5" ht="54">
      <c r="A3689" s="446">
        <v>89669</v>
      </c>
      <c r="B3689" s="447" t="s">
        <v>1505</v>
      </c>
      <c r="C3689" s="446" t="s">
        <v>34</v>
      </c>
      <c r="D3689" s="448">
        <v>22.23</v>
      </c>
      <c r="E3689" s="210"/>
    </row>
    <row r="3690" spans="1:5" ht="40.5">
      <c r="A3690" s="446">
        <v>89670</v>
      </c>
      <c r="B3690" s="447" t="s">
        <v>1506</v>
      </c>
      <c r="C3690" s="446" t="s">
        <v>34</v>
      </c>
      <c r="D3690" s="448">
        <v>12.83</v>
      </c>
      <c r="E3690" s="210"/>
    </row>
    <row r="3691" spans="1:5" ht="54">
      <c r="A3691" s="446">
        <v>89671</v>
      </c>
      <c r="B3691" s="447" t="s">
        <v>1507</v>
      </c>
      <c r="C3691" s="446" t="s">
        <v>34</v>
      </c>
      <c r="D3691" s="448">
        <v>32.5</v>
      </c>
      <c r="E3691" s="210"/>
    </row>
    <row r="3692" spans="1:5" ht="54">
      <c r="A3692" s="446">
        <v>89672</v>
      </c>
      <c r="B3692" s="447" t="s">
        <v>1508</v>
      </c>
      <c r="C3692" s="446" t="s">
        <v>34</v>
      </c>
      <c r="D3692" s="448">
        <v>22.56</v>
      </c>
      <c r="E3692" s="210"/>
    </row>
    <row r="3693" spans="1:5" ht="67.5">
      <c r="A3693" s="446">
        <v>89673</v>
      </c>
      <c r="B3693" s="447" t="s">
        <v>1509</v>
      </c>
      <c r="C3693" s="446" t="s">
        <v>34</v>
      </c>
      <c r="D3693" s="448">
        <v>25.75</v>
      </c>
      <c r="E3693" s="210"/>
    </row>
    <row r="3694" spans="1:5" ht="40.5">
      <c r="A3694" s="446">
        <v>89674</v>
      </c>
      <c r="B3694" s="447" t="s">
        <v>1510</v>
      </c>
      <c r="C3694" s="446" t="s">
        <v>34</v>
      </c>
      <c r="D3694" s="448">
        <v>34.96</v>
      </c>
      <c r="E3694" s="210"/>
    </row>
    <row r="3695" spans="1:5" ht="54">
      <c r="A3695" s="446">
        <v>89675</v>
      </c>
      <c r="B3695" s="447" t="s">
        <v>1511</v>
      </c>
      <c r="C3695" s="446" t="s">
        <v>34</v>
      </c>
      <c r="D3695" s="448">
        <v>56.96</v>
      </c>
      <c r="E3695" s="210"/>
    </row>
    <row r="3696" spans="1:5" ht="40.5">
      <c r="A3696" s="446">
        <v>89676</v>
      </c>
      <c r="B3696" s="447" t="s">
        <v>1512</v>
      </c>
      <c r="C3696" s="446" t="s">
        <v>34</v>
      </c>
      <c r="D3696" s="448">
        <v>55.2</v>
      </c>
      <c r="E3696" s="210"/>
    </row>
    <row r="3697" spans="1:5" ht="54">
      <c r="A3697" s="446">
        <v>89677</v>
      </c>
      <c r="B3697" s="447" t="s">
        <v>1513</v>
      </c>
      <c r="C3697" s="446" t="s">
        <v>34</v>
      </c>
      <c r="D3697" s="448">
        <v>67.72</v>
      </c>
      <c r="E3697" s="210"/>
    </row>
    <row r="3698" spans="1:5" ht="54">
      <c r="A3698" s="446">
        <v>89678</v>
      </c>
      <c r="B3698" s="447" t="s">
        <v>1514</v>
      </c>
      <c r="C3698" s="446" t="s">
        <v>34</v>
      </c>
      <c r="D3698" s="448">
        <v>8.51</v>
      </c>
      <c r="E3698" s="210"/>
    </row>
    <row r="3699" spans="1:5" ht="54">
      <c r="A3699" s="446">
        <v>89679</v>
      </c>
      <c r="B3699" s="447" t="s">
        <v>1515</v>
      </c>
      <c r="C3699" s="446" t="s">
        <v>34</v>
      </c>
      <c r="D3699" s="448">
        <v>104.35</v>
      </c>
      <c r="E3699" s="210"/>
    </row>
    <row r="3700" spans="1:5" ht="40.5">
      <c r="A3700" s="446">
        <v>89680</v>
      </c>
      <c r="B3700" s="447" t="s">
        <v>1516</v>
      </c>
      <c r="C3700" s="446" t="s">
        <v>34</v>
      </c>
      <c r="D3700" s="448">
        <v>21.38</v>
      </c>
      <c r="E3700" s="210"/>
    </row>
    <row r="3701" spans="1:5" ht="67.5">
      <c r="A3701" s="446">
        <v>89681</v>
      </c>
      <c r="B3701" s="447" t="s">
        <v>1517</v>
      </c>
      <c r="C3701" s="446" t="s">
        <v>34</v>
      </c>
      <c r="D3701" s="448">
        <v>74.209999999999994</v>
      </c>
      <c r="E3701" s="210"/>
    </row>
    <row r="3702" spans="1:5" ht="54">
      <c r="A3702" s="446">
        <v>89682</v>
      </c>
      <c r="B3702" s="447" t="s">
        <v>1518</v>
      </c>
      <c r="C3702" s="446" t="s">
        <v>34</v>
      </c>
      <c r="D3702" s="448">
        <v>35.93</v>
      </c>
      <c r="E3702" s="210"/>
    </row>
    <row r="3703" spans="1:5" ht="67.5">
      <c r="A3703" s="446">
        <v>89683</v>
      </c>
      <c r="B3703" s="447" t="s">
        <v>6776</v>
      </c>
      <c r="C3703" s="446" t="s">
        <v>34</v>
      </c>
      <c r="D3703" s="448">
        <v>253.75</v>
      </c>
      <c r="E3703" s="210"/>
    </row>
    <row r="3704" spans="1:5" ht="40.5">
      <c r="A3704" s="446">
        <v>89684</v>
      </c>
      <c r="B3704" s="447" t="s">
        <v>1519</v>
      </c>
      <c r="C3704" s="446" t="s">
        <v>34</v>
      </c>
      <c r="D3704" s="448">
        <v>51.53</v>
      </c>
      <c r="E3704" s="210"/>
    </row>
    <row r="3705" spans="1:5" ht="54">
      <c r="A3705" s="446">
        <v>89685</v>
      </c>
      <c r="B3705" s="447" t="s">
        <v>1520</v>
      </c>
      <c r="C3705" s="446" t="s">
        <v>34</v>
      </c>
      <c r="D3705" s="448">
        <v>48.4</v>
      </c>
      <c r="E3705" s="210"/>
    </row>
    <row r="3706" spans="1:5" ht="54">
      <c r="A3706" s="446">
        <v>89686</v>
      </c>
      <c r="B3706" s="447" t="s">
        <v>1521</v>
      </c>
      <c r="C3706" s="446" t="s">
        <v>34</v>
      </c>
      <c r="D3706" s="448">
        <v>205.84</v>
      </c>
      <c r="E3706" s="210"/>
    </row>
    <row r="3707" spans="1:5" ht="54">
      <c r="A3707" s="446">
        <v>89687</v>
      </c>
      <c r="B3707" s="447" t="s">
        <v>1522</v>
      </c>
      <c r="C3707" s="446" t="s">
        <v>34</v>
      </c>
      <c r="D3707" s="448">
        <v>41.89</v>
      </c>
      <c r="E3707" s="210"/>
    </row>
    <row r="3708" spans="1:5" ht="54">
      <c r="A3708" s="446">
        <v>89689</v>
      </c>
      <c r="B3708" s="447" t="s">
        <v>1523</v>
      </c>
      <c r="C3708" s="446" t="s">
        <v>34</v>
      </c>
      <c r="D3708" s="448">
        <v>39.049999999999997</v>
      </c>
      <c r="E3708" s="210"/>
    </row>
    <row r="3709" spans="1:5" ht="67.5">
      <c r="A3709" s="446">
        <v>89690</v>
      </c>
      <c r="B3709" s="447" t="s">
        <v>1524</v>
      </c>
      <c r="C3709" s="446" t="s">
        <v>34</v>
      </c>
      <c r="D3709" s="448">
        <v>71.14</v>
      </c>
      <c r="E3709" s="210"/>
    </row>
    <row r="3710" spans="1:5" ht="40.5">
      <c r="A3710" s="446">
        <v>89691</v>
      </c>
      <c r="B3710" s="447" t="s">
        <v>306</v>
      </c>
      <c r="C3710" s="446" t="s">
        <v>34</v>
      </c>
      <c r="D3710" s="448">
        <v>10.79</v>
      </c>
      <c r="E3710" s="210"/>
    </row>
    <row r="3711" spans="1:5" ht="67.5">
      <c r="A3711" s="446">
        <v>89692</v>
      </c>
      <c r="B3711" s="447" t="s">
        <v>1525</v>
      </c>
      <c r="C3711" s="446" t="s">
        <v>34</v>
      </c>
      <c r="D3711" s="448">
        <v>67.14</v>
      </c>
      <c r="E3711" s="210"/>
    </row>
    <row r="3712" spans="1:5" ht="54">
      <c r="A3712" s="446">
        <v>89693</v>
      </c>
      <c r="B3712" s="447" t="s">
        <v>1526</v>
      </c>
      <c r="C3712" s="446" t="s">
        <v>34</v>
      </c>
      <c r="D3712" s="448">
        <v>65.44</v>
      </c>
      <c r="E3712" s="210"/>
    </row>
    <row r="3713" spans="1:5" ht="54">
      <c r="A3713" s="446">
        <v>89694</v>
      </c>
      <c r="B3713" s="447" t="s">
        <v>1527</v>
      </c>
      <c r="C3713" s="446" t="s">
        <v>34</v>
      </c>
      <c r="D3713" s="448">
        <v>20.309999999999999</v>
      </c>
      <c r="E3713" s="210"/>
    </row>
    <row r="3714" spans="1:5" ht="40.5">
      <c r="A3714" s="446">
        <v>89695</v>
      </c>
      <c r="B3714" s="447" t="s">
        <v>1528</v>
      </c>
      <c r="C3714" s="446" t="s">
        <v>34</v>
      </c>
      <c r="D3714" s="448">
        <v>18.52</v>
      </c>
      <c r="E3714" s="210"/>
    </row>
    <row r="3715" spans="1:5" ht="54">
      <c r="A3715" s="446">
        <v>89696</v>
      </c>
      <c r="B3715" s="447" t="s">
        <v>1529</v>
      </c>
      <c r="C3715" s="446" t="s">
        <v>34</v>
      </c>
      <c r="D3715" s="448">
        <v>59.42</v>
      </c>
      <c r="E3715" s="210"/>
    </row>
    <row r="3716" spans="1:5" ht="40.5">
      <c r="A3716" s="446">
        <v>89697</v>
      </c>
      <c r="B3716" s="447" t="s">
        <v>307</v>
      </c>
      <c r="C3716" s="446" t="s">
        <v>34</v>
      </c>
      <c r="D3716" s="448">
        <v>13.19</v>
      </c>
      <c r="E3716" s="210"/>
    </row>
    <row r="3717" spans="1:5" ht="67.5">
      <c r="A3717" s="446">
        <v>89698</v>
      </c>
      <c r="B3717" s="447" t="s">
        <v>1530</v>
      </c>
      <c r="C3717" s="446" t="s">
        <v>34</v>
      </c>
      <c r="D3717" s="448">
        <v>216.85</v>
      </c>
      <c r="E3717" s="210"/>
    </row>
    <row r="3718" spans="1:5" ht="67.5">
      <c r="A3718" s="446">
        <v>89699</v>
      </c>
      <c r="B3718" s="447" t="s">
        <v>1531</v>
      </c>
      <c r="C3718" s="446" t="s">
        <v>34</v>
      </c>
      <c r="D3718" s="448">
        <v>181.33</v>
      </c>
      <c r="E3718" s="210"/>
    </row>
    <row r="3719" spans="1:5" ht="54">
      <c r="A3719" s="446">
        <v>89700</v>
      </c>
      <c r="B3719" s="447" t="s">
        <v>1532</v>
      </c>
      <c r="C3719" s="446" t="s">
        <v>34</v>
      </c>
      <c r="D3719" s="448">
        <v>21.34</v>
      </c>
      <c r="E3719" s="210"/>
    </row>
    <row r="3720" spans="1:5" ht="54">
      <c r="A3720" s="446">
        <v>89701</v>
      </c>
      <c r="B3720" s="447" t="s">
        <v>1533</v>
      </c>
      <c r="C3720" s="446" t="s">
        <v>34</v>
      </c>
      <c r="D3720" s="448">
        <v>172.15</v>
      </c>
      <c r="E3720" s="210"/>
    </row>
    <row r="3721" spans="1:5" ht="40.5">
      <c r="A3721" s="446">
        <v>89702</v>
      </c>
      <c r="B3721" s="447" t="s">
        <v>1534</v>
      </c>
      <c r="C3721" s="446" t="s">
        <v>34</v>
      </c>
      <c r="D3721" s="448">
        <v>21.34</v>
      </c>
      <c r="E3721" s="210"/>
    </row>
    <row r="3722" spans="1:5" ht="54">
      <c r="A3722" s="446">
        <v>89703</v>
      </c>
      <c r="B3722" s="447" t="s">
        <v>308</v>
      </c>
      <c r="C3722" s="446" t="s">
        <v>34</v>
      </c>
      <c r="D3722" s="448">
        <v>54.44</v>
      </c>
      <c r="E3722" s="210"/>
    </row>
    <row r="3723" spans="1:5" ht="54">
      <c r="A3723" s="446">
        <v>89704</v>
      </c>
      <c r="B3723" s="447" t="s">
        <v>1535</v>
      </c>
      <c r="C3723" s="446" t="s">
        <v>34</v>
      </c>
      <c r="D3723" s="448">
        <v>117.25</v>
      </c>
      <c r="E3723" s="210"/>
    </row>
    <row r="3724" spans="1:5" ht="40.5">
      <c r="A3724" s="446">
        <v>89705</v>
      </c>
      <c r="B3724" s="447" t="s">
        <v>1536</v>
      </c>
      <c r="C3724" s="446" t="s">
        <v>34</v>
      </c>
      <c r="D3724" s="448">
        <v>23.8</v>
      </c>
      <c r="E3724" s="210"/>
    </row>
    <row r="3725" spans="1:5" ht="40.5">
      <c r="A3725" s="446">
        <v>89706</v>
      </c>
      <c r="B3725" s="447" t="s">
        <v>1537</v>
      </c>
      <c r="C3725" s="446" t="s">
        <v>34</v>
      </c>
      <c r="D3725" s="448">
        <v>58.19</v>
      </c>
      <c r="E3725" s="210"/>
    </row>
    <row r="3726" spans="1:5" ht="54">
      <c r="A3726" s="446">
        <v>89718</v>
      </c>
      <c r="B3726" s="447" t="s">
        <v>1547</v>
      </c>
      <c r="C3726" s="446" t="s">
        <v>14</v>
      </c>
      <c r="D3726" s="448">
        <v>41.86</v>
      </c>
      <c r="E3726" s="210"/>
    </row>
    <row r="3727" spans="1:5" ht="54">
      <c r="A3727" s="446">
        <v>89719</v>
      </c>
      <c r="B3727" s="447" t="s">
        <v>1548</v>
      </c>
      <c r="C3727" s="446" t="s">
        <v>34</v>
      </c>
      <c r="D3727" s="448">
        <v>10.58</v>
      </c>
      <c r="E3727" s="210"/>
    </row>
    <row r="3728" spans="1:5" ht="54">
      <c r="A3728" s="446">
        <v>89720</v>
      </c>
      <c r="B3728" s="447" t="s">
        <v>1549</v>
      </c>
      <c r="C3728" s="446" t="s">
        <v>34</v>
      </c>
      <c r="D3728" s="448">
        <v>13</v>
      </c>
      <c r="E3728" s="210"/>
    </row>
    <row r="3729" spans="1:5" ht="54">
      <c r="A3729" s="446">
        <v>89721</v>
      </c>
      <c r="B3729" s="447" t="s">
        <v>1550</v>
      </c>
      <c r="C3729" s="446" t="s">
        <v>34</v>
      </c>
      <c r="D3729" s="448">
        <v>13.81</v>
      </c>
      <c r="E3729" s="210"/>
    </row>
    <row r="3730" spans="1:5" ht="54">
      <c r="A3730" s="446">
        <v>89722</v>
      </c>
      <c r="B3730" s="447" t="s">
        <v>3911</v>
      </c>
      <c r="C3730" s="446" t="s">
        <v>34</v>
      </c>
      <c r="D3730" s="448">
        <v>25.27</v>
      </c>
      <c r="E3730" s="210"/>
    </row>
    <row r="3731" spans="1:5" ht="54">
      <c r="A3731" s="446">
        <v>89723</v>
      </c>
      <c r="B3731" s="447" t="s">
        <v>1551</v>
      </c>
      <c r="C3731" s="446" t="s">
        <v>34</v>
      </c>
      <c r="D3731" s="448">
        <v>18.53</v>
      </c>
      <c r="E3731" s="210"/>
    </row>
    <row r="3732" spans="1:5" ht="67.5">
      <c r="A3732" s="446">
        <v>89724</v>
      </c>
      <c r="B3732" s="447" t="s">
        <v>1552</v>
      </c>
      <c r="C3732" s="446" t="s">
        <v>34</v>
      </c>
      <c r="D3732" s="448">
        <v>8.3699999999999992</v>
      </c>
      <c r="E3732" s="210"/>
    </row>
    <row r="3733" spans="1:5" ht="54">
      <c r="A3733" s="446">
        <v>89725</v>
      </c>
      <c r="B3733" s="447" t="s">
        <v>1553</v>
      </c>
      <c r="C3733" s="446" t="s">
        <v>34</v>
      </c>
      <c r="D3733" s="448">
        <v>17.97</v>
      </c>
      <c r="E3733" s="210"/>
    </row>
    <row r="3734" spans="1:5" ht="67.5">
      <c r="A3734" s="446">
        <v>89726</v>
      </c>
      <c r="B3734" s="447" t="s">
        <v>1554</v>
      </c>
      <c r="C3734" s="446" t="s">
        <v>34</v>
      </c>
      <c r="D3734" s="448">
        <v>5.99</v>
      </c>
      <c r="E3734" s="210"/>
    </row>
    <row r="3735" spans="1:5" ht="54">
      <c r="A3735" s="446">
        <v>89727</v>
      </c>
      <c r="B3735" s="447" t="s">
        <v>1555</v>
      </c>
      <c r="C3735" s="446" t="s">
        <v>34</v>
      </c>
      <c r="D3735" s="448">
        <v>20.57</v>
      </c>
      <c r="E3735" s="210"/>
    </row>
    <row r="3736" spans="1:5" ht="67.5">
      <c r="A3736" s="446">
        <v>89728</v>
      </c>
      <c r="B3736" s="447" t="s">
        <v>1556</v>
      </c>
      <c r="C3736" s="446" t="s">
        <v>34</v>
      </c>
      <c r="D3736" s="448">
        <v>8.9600000000000009</v>
      </c>
      <c r="E3736" s="210"/>
    </row>
    <row r="3737" spans="1:5" ht="54">
      <c r="A3737" s="446">
        <v>89729</v>
      </c>
      <c r="B3737" s="447" t="s">
        <v>1557</v>
      </c>
      <c r="C3737" s="446" t="s">
        <v>34</v>
      </c>
      <c r="D3737" s="448">
        <v>29.23</v>
      </c>
      <c r="E3737" s="210"/>
    </row>
    <row r="3738" spans="1:5" ht="67.5">
      <c r="A3738" s="446">
        <v>89730</v>
      </c>
      <c r="B3738" s="447" t="s">
        <v>1558</v>
      </c>
      <c r="C3738" s="446" t="s">
        <v>34</v>
      </c>
      <c r="D3738" s="448">
        <v>9.73</v>
      </c>
      <c r="E3738" s="210"/>
    </row>
    <row r="3739" spans="1:5" ht="67.5">
      <c r="A3739" s="446">
        <v>89731</v>
      </c>
      <c r="B3739" s="447" t="s">
        <v>1559</v>
      </c>
      <c r="C3739" s="446" t="s">
        <v>34</v>
      </c>
      <c r="D3739" s="448">
        <v>10.01</v>
      </c>
      <c r="E3739" s="210"/>
    </row>
    <row r="3740" spans="1:5" ht="67.5">
      <c r="A3740" s="446">
        <v>89732</v>
      </c>
      <c r="B3740" s="447" t="s">
        <v>1560</v>
      </c>
      <c r="C3740" s="446" t="s">
        <v>34</v>
      </c>
      <c r="D3740" s="448">
        <v>10.57</v>
      </c>
      <c r="E3740" s="210"/>
    </row>
    <row r="3741" spans="1:5" ht="67.5">
      <c r="A3741" s="446">
        <v>89733</v>
      </c>
      <c r="B3741" s="447" t="s">
        <v>1561</v>
      </c>
      <c r="C3741" s="446" t="s">
        <v>34</v>
      </c>
      <c r="D3741" s="448">
        <v>16.63</v>
      </c>
      <c r="E3741" s="210"/>
    </row>
    <row r="3742" spans="1:5" ht="54">
      <c r="A3742" s="446">
        <v>89734</v>
      </c>
      <c r="B3742" s="447" t="s">
        <v>1562</v>
      </c>
      <c r="C3742" s="446" t="s">
        <v>34</v>
      </c>
      <c r="D3742" s="448">
        <v>29.23</v>
      </c>
      <c r="E3742" s="210"/>
    </row>
    <row r="3743" spans="1:5" ht="67.5">
      <c r="A3743" s="446">
        <v>89735</v>
      </c>
      <c r="B3743" s="447" t="s">
        <v>1563</v>
      </c>
      <c r="C3743" s="446" t="s">
        <v>34</v>
      </c>
      <c r="D3743" s="448">
        <v>17.55</v>
      </c>
      <c r="E3743" s="210"/>
    </row>
    <row r="3744" spans="1:5" ht="54">
      <c r="A3744" s="446">
        <v>89736</v>
      </c>
      <c r="B3744" s="447" t="s">
        <v>1564</v>
      </c>
      <c r="C3744" s="446" t="s">
        <v>34</v>
      </c>
      <c r="D3744" s="448">
        <v>7.01</v>
      </c>
      <c r="E3744" s="210"/>
    </row>
    <row r="3745" spans="1:5" ht="67.5">
      <c r="A3745" s="446">
        <v>89737</v>
      </c>
      <c r="B3745" s="447" t="s">
        <v>1565</v>
      </c>
      <c r="C3745" s="446" t="s">
        <v>34</v>
      </c>
      <c r="D3745" s="448">
        <v>17.11</v>
      </c>
      <c r="E3745" s="210"/>
    </row>
    <row r="3746" spans="1:5" ht="54">
      <c r="A3746" s="446">
        <v>89738</v>
      </c>
      <c r="B3746" s="447" t="s">
        <v>1566</v>
      </c>
      <c r="C3746" s="446" t="s">
        <v>34</v>
      </c>
      <c r="D3746" s="448">
        <v>15.51</v>
      </c>
      <c r="E3746" s="210"/>
    </row>
    <row r="3747" spans="1:5" ht="67.5">
      <c r="A3747" s="446">
        <v>89739</v>
      </c>
      <c r="B3747" s="447" t="s">
        <v>1567</v>
      </c>
      <c r="C3747" s="446" t="s">
        <v>34</v>
      </c>
      <c r="D3747" s="448">
        <v>17.920000000000002</v>
      </c>
      <c r="E3747" s="210"/>
    </row>
    <row r="3748" spans="1:5" ht="54">
      <c r="A3748" s="446">
        <v>89740</v>
      </c>
      <c r="B3748" s="447" t="s">
        <v>310</v>
      </c>
      <c r="C3748" s="446" t="s">
        <v>34</v>
      </c>
      <c r="D3748" s="448">
        <v>6.27</v>
      </c>
      <c r="E3748" s="210"/>
    </row>
    <row r="3749" spans="1:5" ht="54">
      <c r="A3749" s="446">
        <v>89741</v>
      </c>
      <c r="B3749" s="447" t="s">
        <v>311</v>
      </c>
      <c r="C3749" s="446" t="s">
        <v>34</v>
      </c>
      <c r="D3749" s="448">
        <v>21.98</v>
      </c>
      <c r="E3749" s="210"/>
    </row>
    <row r="3750" spans="1:5" ht="67.5">
      <c r="A3750" s="446">
        <v>89742</v>
      </c>
      <c r="B3750" s="447" t="s">
        <v>1568</v>
      </c>
      <c r="C3750" s="446" t="s">
        <v>34</v>
      </c>
      <c r="D3750" s="448">
        <v>28.58</v>
      </c>
      <c r="E3750" s="210"/>
    </row>
    <row r="3751" spans="1:5" ht="67.5">
      <c r="A3751" s="446">
        <v>89743</v>
      </c>
      <c r="B3751" s="447" t="s">
        <v>1569</v>
      </c>
      <c r="C3751" s="446" t="s">
        <v>34</v>
      </c>
      <c r="D3751" s="448">
        <v>40.090000000000003</v>
      </c>
      <c r="E3751" s="210"/>
    </row>
    <row r="3752" spans="1:5" ht="67.5">
      <c r="A3752" s="446">
        <v>89744</v>
      </c>
      <c r="B3752" s="447" t="s">
        <v>1570</v>
      </c>
      <c r="C3752" s="446" t="s">
        <v>34</v>
      </c>
      <c r="D3752" s="448">
        <v>22.19</v>
      </c>
      <c r="E3752" s="210"/>
    </row>
    <row r="3753" spans="1:5" ht="54">
      <c r="A3753" s="446">
        <v>89745</v>
      </c>
      <c r="B3753" s="447" t="s">
        <v>1571</v>
      </c>
      <c r="C3753" s="446" t="s">
        <v>34</v>
      </c>
      <c r="D3753" s="448">
        <v>35.82</v>
      </c>
      <c r="E3753" s="210"/>
    </row>
    <row r="3754" spans="1:5" ht="67.5">
      <c r="A3754" s="446">
        <v>89746</v>
      </c>
      <c r="B3754" s="447" t="s">
        <v>1572</v>
      </c>
      <c r="C3754" s="446" t="s">
        <v>34</v>
      </c>
      <c r="D3754" s="448">
        <v>22.14</v>
      </c>
      <c r="E3754" s="210"/>
    </row>
    <row r="3755" spans="1:5" ht="54">
      <c r="A3755" s="446">
        <v>89747</v>
      </c>
      <c r="B3755" s="447" t="s">
        <v>312</v>
      </c>
      <c r="C3755" s="446" t="s">
        <v>34</v>
      </c>
      <c r="D3755" s="448">
        <v>12.63</v>
      </c>
      <c r="E3755" s="210"/>
    </row>
    <row r="3756" spans="1:5" ht="67.5">
      <c r="A3756" s="446">
        <v>89748</v>
      </c>
      <c r="B3756" s="447" t="s">
        <v>1573</v>
      </c>
      <c r="C3756" s="446" t="s">
        <v>34</v>
      </c>
      <c r="D3756" s="448">
        <v>34.67</v>
      </c>
      <c r="E3756" s="210"/>
    </row>
    <row r="3757" spans="1:5" ht="54">
      <c r="A3757" s="446">
        <v>89749</v>
      </c>
      <c r="B3757" s="447" t="s">
        <v>313</v>
      </c>
      <c r="C3757" s="446" t="s">
        <v>34</v>
      </c>
      <c r="D3757" s="448">
        <v>15.51</v>
      </c>
      <c r="E3757" s="210"/>
    </row>
    <row r="3758" spans="1:5" ht="67.5">
      <c r="A3758" s="446">
        <v>89750</v>
      </c>
      <c r="B3758" s="447" t="s">
        <v>1574</v>
      </c>
      <c r="C3758" s="446" t="s">
        <v>34</v>
      </c>
      <c r="D3758" s="448">
        <v>56.8</v>
      </c>
      <c r="E3758" s="210"/>
    </row>
    <row r="3759" spans="1:5" ht="54">
      <c r="A3759" s="446">
        <v>89751</v>
      </c>
      <c r="B3759" s="447" t="s">
        <v>1575</v>
      </c>
      <c r="C3759" s="446" t="s">
        <v>34</v>
      </c>
      <c r="D3759" s="448">
        <v>5.01</v>
      </c>
      <c r="E3759" s="210"/>
    </row>
    <row r="3760" spans="1:5" ht="67.5">
      <c r="A3760" s="446">
        <v>89752</v>
      </c>
      <c r="B3760" s="447" t="s">
        <v>1576</v>
      </c>
      <c r="C3760" s="446" t="s">
        <v>34</v>
      </c>
      <c r="D3760" s="448">
        <v>5.28</v>
      </c>
      <c r="E3760" s="210"/>
    </row>
    <row r="3761" spans="1:5" ht="67.5">
      <c r="A3761" s="446">
        <v>89753</v>
      </c>
      <c r="B3761" s="447" t="s">
        <v>1577</v>
      </c>
      <c r="C3761" s="446" t="s">
        <v>34</v>
      </c>
      <c r="D3761" s="448">
        <v>8.7899999999999991</v>
      </c>
      <c r="E3761" s="210"/>
    </row>
    <row r="3762" spans="1:5" ht="67.5">
      <c r="A3762" s="446">
        <v>89754</v>
      </c>
      <c r="B3762" s="447" t="s">
        <v>1578</v>
      </c>
      <c r="C3762" s="446" t="s">
        <v>34</v>
      </c>
      <c r="D3762" s="448">
        <v>15.51</v>
      </c>
      <c r="E3762" s="210"/>
    </row>
    <row r="3763" spans="1:5" ht="54">
      <c r="A3763" s="446">
        <v>89755</v>
      </c>
      <c r="B3763" s="447" t="s">
        <v>1579</v>
      </c>
      <c r="C3763" s="446" t="s">
        <v>34</v>
      </c>
      <c r="D3763" s="448">
        <v>11.49</v>
      </c>
      <c r="E3763" s="210"/>
    </row>
    <row r="3764" spans="1:5" ht="54">
      <c r="A3764" s="446">
        <v>89756</v>
      </c>
      <c r="B3764" s="447" t="s">
        <v>1580</v>
      </c>
      <c r="C3764" s="446" t="s">
        <v>34</v>
      </c>
      <c r="D3764" s="448">
        <v>21.22</v>
      </c>
      <c r="E3764" s="210"/>
    </row>
    <row r="3765" spans="1:5" ht="54">
      <c r="A3765" s="446">
        <v>89757</v>
      </c>
      <c r="B3765" s="447" t="s">
        <v>314</v>
      </c>
      <c r="C3765" s="446" t="s">
        <v>34</v>
      </c>
      <c r="D3765" s="448">
        <v>33.619999999999997</v>
      </c>
      <c r="E3765" s="210"/>
    </row>
    <row r="3766" spans="1:5" ht="54">
      <c r="A3766" s="446">
        <v>89758</v>
      </c>
      <c r="B3766" s="447" t="s">
        <v>1581</v>
      </c>
      <c r="C3766" s="446" t="s">
        <v>34</v>
      </c>
      <c r="D3766" s="448">
        <v>53.86</v>
      </c>
      <c r="E3766" s="210"/>
    </row>
    <row r="3767" spans="1:5" ht="54">
      <c r="A3767" s="446">
        <v>89759</v>
      </c>
      <c r="B3767" s="447" t="s">
        <v>1582</v>
      </c>
      <c r="C3767" s="446" t="s">
        <v>34</v>
      </c>
      <c r="D3767" s="448">
        <v>7.17</v>
      </c>
      <c r="E3767" s="210"/>
    </row>
    <row r="3768" spans="1:5" ht="54">
      <c r="A3768" s="446">
        <v>89760</v>
      </c>
      <c r="B3768" s="447" t="s">
        <v>1583</v>
      </c>
      <c r="C3768" s="446" t="s">
        <v>34</v>
      </c>
      <c r="D3768" s="448">
        <v>19.79</v>
      </c>
      <c r="E3768" s="210"/>
    </row>
    <row r="3769" spans="1:5" ht="54">
      <c r="A3769" s="446">
        <v>89761</v>
      </c>
      <c r="B3769" s="447" t="s">
        <v>1584</v>
      </c>
      <c r="C3769" s="446" t="s">
        <v>34</v>
      </c>
      <c r="D3769" s="448">
        <v>34.340000000000003</v>
      </c>
      <c r="E3769" s="210"/>
    </row>
    <row r="3770" spans="1:5" ht="54">
      <c r="A3770" s="446">
        <v>89762</v>
      </c>
      <c r="B3770" s="447" t="s">
        <v>1585</v>
      </c>
      <c r="C3770" s="446" t="s">
        <v>34</v>
      </c>
      <c r="D3770" s="448">
        <v>49.94</v>
      </c>
      <c r="E3770" s="210"/>
    </row>
    <row r="3771" spans="1:5" ht="54">
      <c r="A3771" s="446">
        <v>89763</v>
      </c>
      <c r="B3771" s="447" t="s">
        <v>1586</v>
      </c>
      <c r="C3771" s="446" t="s">
        <v>34</v>
      </c>
      <c r="D3771" s="448">
        <v>204.25</v>
      </c>
      <c r="E3771" s="210"/>
    </row>
    <row r="3772" spans="1:5" ht="54">
      <c r="A3772" s="446">
        <v>89764</v>
      </c>
      <c r="B3772" s="447" t="s">
        <v>315</v>
      </c>
      <c r="C3772" s="446" t="s">
        <v>34</v>
      </c>
      <c r="D3772" s="448">
        <v>37.46</v>
      </c>
      <c r="E3772" s="210"/>
    </row>
    <row r="3773" spans="1:5" ht="40.5">
      <c r="A3773" s="446">
        <v>89765</v>
      </c>
      <c r="B3773" s="447" t="s">
        <v>1587</v>
      </c>
      <c r="C3773" s="446" t="s">
        <v>34</v>
      </c>
      <c r="D3773" s="448">
        <v>13.44</v>
      </c>
      <c r="E3773" s="210"/>
    </row>
    <row r="3774" spans="1:5" ht="54">
      <c r="A3774" s="446">
        <v>89766</v>
      </c>
      <c r="B3774" s="447" t="s">
        <v>316</v>
      </c>
      <c r="C3774" s="446" t="s">
        <v>34</v>
      </c>
      <c r="D3774" s="448">
        <v>21.59</v>
      </c>
      <c r="E3774" s="210"/>
    </row>
    <row r="3775" spans="1:5" ht="54">
      <c r="A3775" s="446">
        <v>89767</v>
      </c>
      <c r="B3775" s="447" t="s">
        <v>1588</v>
      </c>
      <c r="C3775" s="446" t="s">
        <v>34</v>
      </c>
      <c r="D3775" s="448">
        <v>21.59</v>
      </c>
      <c r="E3775" s="210"/>
    </row>
    <row r="3776" spans="1:5" ht="40.5">
      <c r="A3776" s="446">
        <v>89768</v>
      </c>
      <c r="B3776" s="447" t="s">
        <v>1589</v>
      </c>
      <c r="C3776" s="446" t="s">
        <v>34</v>
      </c>
      <c r="D3776" s="448">
        <v>21.08</v>
      </c>
      <c r="E3776" s="210"/>
    </row>
    <row r="3777" spans="1:5" ht="40.5">
      <c r="A3777" s="446">
        <v>89769</v>
      </c>
      <c r="B3777" s="447" t="s">
        <v>317</v>
      </c>
      <c r="C3777" s="446" t="s">
        <v>34</v>
      </c>
      <c r="D3777" s="448">
        <v>54.98</v>
      </c>
      <c r="E3777" s="210"/>
    </row>
    <row r="3778" spans="1:5" ht="40.5">
      <c r="A3778" s="446">
        <v>89772</v>
      </c>
      <c r="B3778" s="447" t="s">
        <v>1592</v>
      </c>
      <c r="C3778" s="446" t="s">
        <v>14</v>
      </c>
      <c r="D3778" s="448">
        <v>79.05</v>
      </c>
      <c r="E3778" s="210"/>
    </row>
    <row r="3779" spans="1:5" ht="67.5">
      <c r="A3779" s="446">
        <v>89774</v>
      </c>
      <c r="B3779" s="447" t="s">
        <v>1594</v>
      </c>
      <c r="C3779" s="446" t="s">
        <v>34</v>
      </c>
      <c r="D3779" s="448">
        <v>14.27</v>
      </c>
      <c r="E3779" s="210"/>
    </row>
    <row r="3780" spans="1:5" ht="67.5">
      <c r="A3780" s="446">
        <v>89776</v>
      </c>
      <c r="B3780" s="447" t="s">
        <v>1596</v>
      </c>
      <c r="C3780" s="446" t="s">
        <v>34</v>
      </c>
      <c r="D3780" s="448">
        <v>19.46</v>
      </c>
      <c r="E3780" s="210"/>
    </row>
    <row r="3781" spans="1:5" ht="40.5">
      <c r="A3781" s="446">
        <v>89777</v>
      </c>
      <c r="B3781" s="447" t="s">
        <v>1597</v>
      </c>
      <c r="C3781" s="446" t="s">
        <v>34</v>
      </c>
      <c r="D3781" s="448">
        <v>28.14</v>
      </c>
      <c r="E3781" s="210"/>
    </row>
    <row r="3782" spans="1:5" ht="67.5">
      <c r="A3782" s="446">
        <v>89778</v>
      </c>
      <c r="B3782" s="447" t="s">
        <v>1598</v>
      </c>
      <c r="C3782" s="446" t="s">
        <v>34</v>
      </c>
      <c r="D3782" s="448">
        <v>17.899999999999999</v>
      </c>
      <c r="E3782" s="210"/>
    </row>
    <row r="3783" spans="1:5" ht="67.5">
      <c r="A3783" s="446">
        <v>89779</v>
      </c>
      <c r="B3783" s="447" t="s">
        <v>1599</v>
      </c>
      <c r="C3783" s="446" t="s">
        <v>34</v>
      </c>
      <c r="D3783" s="448">
        <v>27.52</v>
      </c>
      <c r="E3783" s="210"/>
    </row>
    <row r="3784" spans="1:5" ht="40.5">
      <c r="A3784" s="446">
        <v>89780</v>
      </c>
      <c r="B3784" s="447" t="s">
        <v>318</v>
      </c>
      <c r="C3784" s="446" t="s">
        <v>34</v>
      </c>
      <c r="D3784" s="448">
        <v>28.14</v>
      </c>
      <c r="E3784" s="210"/>
    </row>
    <row r="3785" spans="1:5" ht="40.5">
      <c r="A3785" s="446">
        <v>89781</v>
      </c>
      <c r="B3785" s="447" t="s">
        <v>1600</v>
      </c>
      <c r="C3785" s="446" t="s">
        <v>34</v>
      </c>
      <c r="D3785" s="448">
        <v>42.84</v>
      </c>
      <c r="E3785" s="210"/>
    </row>
    <row r="3786" spans="1:5" ht="67.5">
      <c r="A3786" s="446">
        <v>89782</v>
      </c>
      <c r="B3786" s="447" t="s">
        <v>1601</v>
      </c>
      <c r="C3786" s="446" t="s">
        <v>34</v>
      </c>
      <c r="D3786" s="448">
        <v>9.86</v>
      </c>
      <c r="E3786" s="210"/>
    </row>
    <row r="3787" spans="1:5" ht="67.5">
      <c r="A3787" s="446">
        <v>89783</v>
      </c>
      <c r="B3787" s="447" t="s">
        <v>1602</v>
      </c>
      <c r="C3787" s="446" t="s">
        <v>34</v>
      </c>
      <c r="D3787" s="448">
        <v>10.1</v>
      </c>
      <c r="E3787" s="210"/>
    </row>
    <row r="3788" spans="1:5" ht="67.5">
      <c r="A3788" s="446">
        <v>89784</v>
      </c>
      <c r="B3788" s="447" t="s">
        <v>1603</v>
      </c>
      <c r="C3788" s="446" t="s">
        <v>34</v>
      </c>
      <c r="D3788" s="448">
        <v>19.12</v>
      </c>
      <c r="E3788" s="210"/>
    </row>
    <row r="3789" spans="1:5" ht="67.5">
      <c r="A3789" s="446">
        <v>89785</v>
      </c>
      <c r="B3789" s="447" t="s">
        <v>1604</v>
      </c>
      <c r="C3789" s="446" t="s">
        <v>34</v>
      </c>
      <c r="D3789" s="448">
        <v>20.72</v>
      </c>
      <c r="E3789" s="210"/>
    </row>
    <row r="3790" spans="1:5" ht="67.5">
      <c r="A3790" s="446">
        <v>89786</v>
      </c>
      <c r="B3790" s="447" t="s">
        <v>1605</v>
      </c>
      <c r="C3790" s="446" t="s">
        <v>34</v>
      </c>
      <c r="D3790" s="448">
        <v>31.18</v>
      </c>
      <c r="E3790" s="210"/>
    </row>
    <row r="3791" spans="1:5" ht="40.5">
      <c r="A3791" s="446">
        <v>89787</v>
      </c>
      <c r="B3791" s="447" t="s">
        <v>1606</v>
      </c>
      <c r="C3791" s="446" t="s">
        <v>34</v>
      </c>
      <c r="D3791" s="448">
        <v>42.84</v>
      </c>
      <c r="E3791" s="210"/>
    </row>
    <row r="3792" spans="1:5" ht="40.5">
      <c r="A3792" s="446">
        <v>89788</v>
      </c>
      <c r="B3792" s="447" t="s">
        <v>1607</v>
      </c>
      <c r="C3792" s="446" t="s">
        <v>34</v>
      </c>
      <c r="D3792" s="448">
        <v>86.26</v>
      </c>
      <c r="E3792" s="210"/>
    </row>
    <row r="3793" spans="1:5" ht="40.5">
      <c r="A3793" s="446">
        <v>89789</v>
      </c>
      <c r="B3793" s="447" t="s">
        <v>1608</v>
      </c>
      <c r="C3793" s="446" t="s">
        <v>34</v>
      </c>
      <c r="D3793" s="448">
        <v>87.7</v>
      </c>
      <c r="E3793" s="210"/>
    </row>
    <row r="3794" spans="1:5" ht="40.5">
      <c r="A3794" s="446">
        <v>89790</v>
      </c>
      <c r="B3794" s="447" t="s">
        <v>1609</v>
      </c>
      <c r="C3794" s="446" t="s">
        <v>34</v>
      </c>
      <c r="D3794" s="448">
        <v>218.53</v>
      </c>
      <c r="E3794" s="210"/>
    </row>
    <row r="3795" spans="1:5" ht="40.5">
      <c r="A3795" s="446">
        <v>89791</v>
      </c>
      <c r="B3795" s="447" t="s">
        <v>1610</v>
      </c>
      <c r="C3795" s="446" t="s">
        <v>34</v>
      </c>
      <c r="D3795" s="448">
        <v>223.8</v>
      </c>
      <c r="E3795" s="210"/>
    </row>
    <row r="3796" spans="1:5" ht="40.5">
      <c r="A3796" s="446">
        <v>89792</v>
      </c>
      <c r="B3796" s="447" t="s">
        <v>1611</v>
      </c>
      <c r="C3796" s="446" t="s">
        <v>34</v>
      </c>
      <c r="D3796" s="448">
        <v>256.13</v>
      </c>
      <c r="E3796" s="210"/>
    </row>
    <row r="3797" spans="1:5" ht="40.5">
      <c r="A3797" s="446">
        <v>89793</v>
      </c>
      <c r="B3797" s="447" t="s">
        <v>1612</v>
      </c>
      <c r="C3797" s="446" t="s">
        <v>34</v>
      </c>
      <c r="D3797" s="448">
        <v>263.23</v>
      </c>
      <c r="E3797" s="210"/>
    </row>
    <row r="3798" spans="1:5" ht="40.5">
      <c r="A3798" s="446">
        <v>89794</v>
      </c>
      <c r="B3798" s="447" t="s">
        <v>1613</v>
      </c>
      <c r="C3798" s="446" t="s">
        <v>34</v>
      </c>
      <c r="D3798" s="448">
        <v>19.07</v>
      </c>
      <c r="E3798" s="210"/>
    </row>
    <row r="3799" spans="1:5" ht="67.5">
      <c r="A3799" s="446">
        <v>89795</v>
      </c>
      <c r="B3799" s="447" t="s">
        <v>1614</v>
      </c>
      <c r="C3799" s="446" t="s">
        <v>34</v>
      </c>
      <c r="D3799" s="448">
        <v>33.380000000000003</v>
      </c>
      <c r="E3799" s="210"/>
    </row>
    <row r="3800" spans="1:5" ht="67.5">
      <c r="A3800" s="446">
        <v>89796</v>
      </c>
      <c r="B3800" s="447" t="s">
        <v>1615</v>
      </c>
      <c r="C3800" s="446" t="s">
        <v>34</v>
      </c>
      <c r="D3800" s="448">
        <v>38.49</v>
      </c>
      <c r="E3800" s="210"/>
    </row>
    <row r="3801" spans="1:5" ht="67.5">
      <c r="A3801" s="446">
        <v>89797</v>
      </c>
      <c r="B3801" s="447" t="s">
        <v>1616</v>
      </c>
      <c r="C3801" s="446" t="s">
        <v>34</v>
      </c>
      <c r="D3801" s="448">
        <v>43.65</v>
      </c>
      <c r="E3801" s="210"/>
    </row>
    <row r="3802" spans="1:5" ht="67.5">
      <c r="A3802" s="446">
        <v>89801</v>
      </c>
      <c r="B3802" s="447" t="s">
        <v>1620</v>
      </c>
      <c r="C3802" s="446" t="s">
        <v>34</v>
      </c>
      <c r="D3802" s="448">
        <v>7.2</v>
      </c>
      <c r="E3802" s="210"/>
    </row>
    <row r="3803" spans="1:5" ht="67.5">
      <c r="A3803" s="446">
        <v>89802</v>
      </c>
      <c r="B3803" s="447" t="s">
        <v>1621</v>
      </c>
      <c r="C3803" s="446" t="s">
        <v>34</v>
      </c>
      <c r="D3803" s="448">
        <v>7.76</v>
      </c>
      <c r="E3803" s="210"/>
    </row>
    <row r="3804" spans="1:5" ht="67.5">
      <c r="A3804" s="446">
        <v>89803</v>
      </c>
      <c r="B3804" s="447" t="s">
        <v>1622</v>
      </c>
      <c r="C3804" s="446" t="s">
        <v>34</v>
      </c>
      <c r="D3804" s="448">
        <v>13.82</v>
      </c>
      <c r="E3804" s="210"/>
    </row>
    <row r="3805" spans="1:5" ht="67.5">
      <c r="A3805" s="446">
        <v>89804</v>
      </c>
      <c r="B3805" s="447" t="s">
        <v>1623</v>
      </c>
      <c r="C3805" s="446" t="s">
        <v>34</v>
      </c>
      <c r="D3805" s="448">
        <v>14.74</v>
      </c>
      <c r="E3805" s="210"/>
    </row>
    <row r="3806" spans="1:5" ht="67.5">
      <c r="A3806" s="446">
        <v>89805</v>
      </c>
      <c r="B3806" s="447" t="s">
        <v>1624</v>
      </c>
      <c r="C3806" s="446" t="s">
        <v>34</v>
      </c>
      <c r="D3806" s="448">
        <v>13.68</v>
      </c>
      <c r="E3806" s="210"/>
    </row>
    <row r="3807" spans="1:5" ht="67.5">
      <c r="A3807" s="446">
        <v>89806</v>
      </c>
      <c r="B3807" s="447" t="s">
        <v>1625</v>
      </c>
      <c r="C3807" s="446" t="s">
        <v>34</v>
      </c>
      <c r="D3807" s="448">
        <v>14.49</v>
      </c>
      <c r="E3807" s="210"/>
    </row>
    <row r="3808" spans="1:5" ht="67.5">
      <c r="A3808" s="446">
        <v>89807</v>
      </c>
      <c r="B3808" s="447" t="s">
        <v>1626</v>
      </c>
      <c r="C3808" s="446" t="s">
        <v>34</v>
      </c>
      <c r="D3808" s="448">
        <v>25.15</v>
      </c>
      <c r="E3808" s="210"/>
    </row>
    <row r="3809" spans="1:5" ht="67.5">
      <c r="A3809" s="446">
        <v>89808</v>
      </c>
      <c r="B3809" s="447" t="s">
        <v>1627</v>
      </c>
      <c r="C3809" s="446" t="s">
        <v>34</v>
      </c>
      <c r="D3809" s="448">
        <v>36.659999999999997</v>
      </c>
      <c r="E3809" s="210"/>
    </row>
    <row r="3810" spans="1:5" ht="67.5">
      <c r="A3810" s="446">
        <v>89809</v>
      </c>
      <c r="B3810" s="447" t="s">
        <v>1628</v>
      </c>
      <c r="C3810" s="446" t="s">
        <v>34</v>
      </c>
      <c r="D3810" s="448">
        <v>18.13</v>
      </c>
      <c r="E3810" s="210"/>
    </row>
    <row r="3811" spans="1:5" ht="67.5">
      <c r="A3811" s="446">
        <v>89810</v>
      </c>
      <c r="B3811" s="447" t="s">
        <v>1629</v>
      </c>
      <c r="C3811" s="446" t="s">
        <v>34</v>
      </c>
      <c r="D3811" s="448">
        <v>18.079999999999998</v>
      </c>
      <c r="E3811" s="210"/>
    </row>
    <row r="3812" spans="1:5" ht="67.5">
      <c r="A3812" s="446">
        <v>89811</v>
      </c>
      <c r="B3812" s="447" t="s">
        <v>1630</v>
      </c>
      <c r="C3812" s="446" t="s">
        <v>34</v>
      </c>
      <c r="D3812" s="448">
        <v>30.61</v>
      </c>
      <c r="E3812" s="210"/>
    </row>
    <row r="3813" spans="1:5" ht="67.5">
      <c r="A3813" s="446">
        <v>89812</v>
      </c>
      <c r="B3813" s="447" t="s">
        <v>1631</v>
      </c>
      <c r="C3813" s="446" t="s">
        <v>34</v>
      </c>
      <c r="D3813" s="448">
        <v>52.74</v>
      </c>
      <c r="E3813" s="210"/>
    </row>
    <row r="3814" spans="1:5" ht="67.5">
      <c r="A3814" s="446">
        <v>89813</v>
      </c>
      <c r="B3814" s="447" t="s">
        <v>1632</v>
      </c>
      <c r="C3814" s="446" t="s">
        <v>34</v>
      </c>
      <c r="D3814" s="448">
        <v>7.23</v>
      </c>
      <c r="E3814" s="210"/>
    </row>
    <row r="3815" spans="1:5" ht="67.5">
      <c r="A3815" s="446">
        <v>89814</v>
      </c>
      <c r="B3815" s="447" t="s">
        <v>1633</v>
      </c>
      <c r="C3815" s="446" t="s">
        <v>34</v>
      </c>
      <c r="D3815" s="448">
        <v>13.95</v>
      </c>
      <c r="E3815" s="210"/>
    </row>
    <row r="3816" spans="1:5" ht="40.5">
      <c r="A3816" s="446">
        <v>89815</v>
      </c>
      <c r="B3816" s="447" t="s">
        <v>1634</v>
      </c>
      <c r="C3816" s="446" t="s">
        <v>34</v>
      </c>
      <c r="D3816" s="448">
        <v>33.619999999999997</v>
      </c>
      <c r="E3816" s="210"/>
    </row>
    <row r="3817" spans="1:5" ht="40.5">
      <c r="A3817" s="446">
        <v>89816</v>
      </c>
      <c r="B3817" s="447" t="s">
        <v>1635</v>
      </c>
      <c r="C3817" s="446" t="s">
        <v>34</v>
      </c>
      <c r="D3817" s="448">
        <v>49.22</v>
      </c>
      <c r="E3817" s="210"/>
    </row>
    <row r="3818" spans="1:5" ht="67.5">
      <c r="A3818" s="446">
        <v>89817</v>
      </c>
      <c r="B3818" s="447" t="s">
        <v>1636</v>
      </c>
      <c r="C3818" s="446" t="s">
        <v>34</v>
      </c>
      <c r="D3818" s="448">
        <v>12.08</v>
      </c>
      <c r="E3818" s="210"/>
    </row>
    <row r="3819" spans="1:5" ht="40.5">
      <c r="A3819" s="446">
        <v>89818</v>
      </c>
      <c r="B3819" s="447" t="s">
        <v>1637</v>
      </c>
      <c r="C3819" s="446" t="s">
        <v>34</v>
      </c>
      <c r="D3819" s="448">
        <v>203.53</v>
      </c>
      <c r="E3819" s="210"/>
    </row>
    <row r="3820" spans="1:5" ht="67.5">
      <c r="A3820" s="446">
        <v>89819</v>
      </c>
      <c r="B3820" s="447" t="s">
        <v>1638</v>
      </c>
      <c r="C3820" s="446" t="s">
        <v>34</v>
      </c>
      <c r="D3820" s="448">
        <v>17.27</v>
      </c>
      <c r="E3820" s="210"/>
    </row>
    <row r="3821" spans="1:5" ht="54">
      <c r="A3821" s="446">
        <v>89820</v>
      </c>
      <c r="B3821" s="447" t="s">
        <v>1639</v>
      </c>
      <c r="C3821" s="446" t="s">
        <v>34</v>
      </c>
      <c r="D3821" s="448">
        <v>36.74</v>
      </c>
      <c r="E3821" s="210"/>
    </row>
    <row r="3822" spans="1:5" ht="67.5">
      <c r="A3822" s="446">
        <v>89821</v>
      </c>
      <c r="B3822" s="447" t="s">
        <v>1640</v>
      </c>
      <c r="C3822" s="446" t="s">
        <v>34</v>
      </c>
      <c r="D3822" s="448">
        <v>15.09</v>
      </c>
      <c r="E3822" s="210"/>
    </row>
    <row r="3823" spans="1:5" ht="40.5">
      <c r="A3823" s="446">
        <v>89822</v>
      </c>
      <c r="B3823" s="447" t="s">
        <v>1641</v>
      </c>
      <c r="C3823" s="446" t="s">
        <v>34</v>
      </c>
      <c r="D3823" s="448">
        <v>25.36</v>
      </c>
      <c r="E3823" s="210"/>
    </row>
    <row r="3824" spans="1:5" ht="67.5">
      <c r="A3824" s="446">
        <v>89823</v>
      </c>
      <c r="B3824" s="447" t="s">
        <v>1642</v>
      </c>
      <c r="C3824" s="446" t="s">
        <v>34</v>
      </c>
      <c r="D3824" s="448">
        <v>24.71</v>
      </c>
      <c r="E3824" s="210"/>
    </row>
    <row r="3825" spans="1:5" ht="40.5">
      <c r="A3825" s="446">
        <v>89824</v>
      </c>
      <c r="B3825" s="447" t="s">
        <v>1643</v>
      </c>
      <c r="C3825" s="446" t="s">
        <v>34</v>
      </c>
      <c r="D3825" s="448">
        <v>46.09</v>
      </c>
      <c r="E3825" s="210"/>
    </row>
    <row r="3826" spans="1:5" ht="67.5">
      <c r="A3826" s="446">
        <v>89825</v>
      </c>
      <c r="B3826" s="447" t="s">
        <v>1644</v>
      </c>
      <c r="C3826" s="446" t="s">
        <v>34</v>
      </c>
      <c r="D3826" s="448">
        <v>15.68</v>
      </c>
      <c r="E3826" s="210"/>
    </row>
    <row r="3827" spans="1:5" ht="54">
      <c r="A3827" s="446">
        <v>89826</v>
      </c>
      <c r="B3827" s="447" t="s">
        <v>1645</v>
      </c>
      <c r="C3827" s="446" t="s">
        <v>34</v>
      </c>
      <c r="D3827" s="448">
        <v>207.46</v>
      </c>
      <c r="E3827" s="210"/>
    </row>
    <row r="3828" spans="1:5" ht="67.5">
      <c r="A3828" s="446">
        <v>89827</v>
      </c>
      <c r="B3828" s="447" t="s">
        <v>1646</v>
      </c>
      <c r="C3828" s="446" t="s">
        <v>34</v>
      </c>
      <c r="D3828" s="448">
        <v>17.28</v>
      </c>
      <c r="E3828" s="210"/>
    </row>
    <row r="3829" spans="1:5" ht="40.5">
      <c r="A3829" s="446">
        <v>89828</v>
      </c>
      <c r="B3829" s="447" t="s">
        <v>1647</v>
      </c>
      <c r="C3829" s="446" t="s">
        <v>34</v>
      </c>
      <c r="D3829" s="448">
        <v>71.66</v>
      </c>
      <c r="E3829" s="210"/>
    </row>
    <row r="3830" spans="1:5" ht="67.5">
      <c r="A3830" s="446">
        <v>89829</v>
      </c>
      <c r="B3830" s="447" t="s">
        <v>1648</v>
      </c>
      <c r="C3830" s="446" t="s">
        <v>34</v>
      </c>
      <c r="D3830" s="448">
        <v>26.82</v>
      </c>
      <c r="E3830" s="210"/>
    </row>
    <row r="3831" spans="1:5" ht="67.5">
      <c r="A3831" s="446">
        <v>89830</v>
      </c>
      <c r="B3831" s="447" t="s">
        <v>1649</v>
      </c>
      <c r="C3831" s="446" t="s">
        <v>34</v>
      </c>
      <c r="D3831" s="448">
        <v>29.02</v>
      </c>
      <c r="E3831" s="210"/>
    </row>
    <row r="3832" spans="1:5" ht="40.5">
      <c r="A3832" s="446">
        <v>89831</v>
      </c>
      <c r="B3832" s="447" t="s">
        <v>1650</v>
      </c>
      <c r="C3832" s="446" t="s">
        <v>34</v>
      </c>
      <c r="D3832" s="448">
        <v>248.6</v>
      </c>
      <c r="E3832" s="210"/>
    </row>
    <row r="3833" spans="1:5" ht="54">
      <c r="A3833" s="446">
        <v>89832</v>
      </c>
      <c r="B3833" s="447" t="s">
        <v>1651</v>
      </c>
      <c r="C3833" s="446" t="s">
        <v>34</v>
      </c>
      <c r="D3833" s="448">
        <v>48.44</v>
      </c>
      <c r="E3833" s="210"/>
    </row>
    <row r="3834" spans="1:5" ht="67.5">
      <c r="A3834" s="446">
        <v>89833</v>
      </c>
      <c r="B3834" s="447" t="s">
        <v>1652</v>
      </c>
      <c r="C3834" s="446" t="s">
        <v>34</v>
      </c>
      <c r="D3834" s="448">
        <v>33.200000000000003</v>
      </c>
      <c r="E3834" s="210"/>
    </row>
    <row r="3835" spans="1:5" ht="67.5">
      <c r="A3835" s="446">
        <v>89834</v>
      </c>
      <c r="B3835" s="447" t="s">
        <v>1653</v>
      </c>
      <c r="C3835" s="446" t="s">
        <v>34</v>
      </c>
      <c r="D3835" s="448">
        <v>38.36</v>
      </c>
      <c r="E3835" s="210"/>
    </row>
    <row r="3836" spans="1:5" ht="40.5">
      <c r="A3836" s="446">
        <v>89835</v>
      </c>
      <c r="B3836" s="447" t="s">
        <v>1654</v>
      </c>
      <c r="C3836" s="446" t="s">
        <v>34</v>
      </c>
      <c r="D3836" s="448">
        <v>46.98</v>
      </c>
      <c r="E3836" s="210"/>
    </row>
    <row r="3837" spans="1:5" ht="40.5">
      <c r="A3837" s="446">
        <v>89836</v>
      </c>
      <c r="B3837" s="447" t="s">
        <v>1655</v>
      </c>
      <c r="C3837" s="446" t="s">
        <v>34</v>
      </c>
      <c r="D3837" s="448">
        <v>336.22</v>
      </c>
      <c r="E3837" s="210"/>
    </row>
    <row r="3838" spans="1:5" ht="40.5">
      <c r="A3838" s="446">
        <v>89837</v>
      </c>
      <c r="B3838" s="447" t="s">
        <v>1656</v>
      </c>
      <c r="C3838" s="446" t="s">
        <v>34</v>
      </c>
      <c r="D3838" s="448">
        <v>165.67</v>
      </c>
      <c r="E3838" s="210"/>
    </row>
    <row r="3839" spans="1:5" ht="40.5">
      <c r="A3839" s="446">
        <v>89838</v>
      </c>
      <c r="B3839" s="447" t="s">
        <v>1657</v>
      </c>
      <c r="C3839" s="446" t="s">
        <v>34</v>
      </c>
      <c r="D3839" s="448">
        <v>180.36</v>
      </c>
      <c r="E3839" s="210"/>
    </row>
    <row r="3840" spans="1:5" ht="40.5">
      <c r="A3840" s="446">
        <v>89839</v>
      </c>
      <c r="B3840" s="447" t="s">
        <v>1658</v>
      </c>
      <c r="C3840" s="446" t="s">
        <v>34</v>
      </c>
      <c r="D3840" s="448">
        <v>240.24</v>
      </c>
      <c r="E3840" s="210"/>
    </row>
    <row r="3841" spans="1:5" ht="40.5">
      <c r="A3841" s="446">
        <v>89840</v>
      </c>
      <c r="B3841" s="447" t="s">
        <v>1659</v>
      </c>
      <c r="C3841" s="446" t="s">
        <v>34</v>
      </c>
      <c r="D3841" s="448">
        <v>206.62</v>
      </c>
      <c r="E3841" s="210"/>
    </row>
    <row r="3842" spans="1:5" ht="40.5">
      <c r="A3842" s="446">
        <v>89841</v>
      </c>
      <c r="B3842" s="447" t="s">
        <v>1660</v>
      </c>
      <c r="C3842" s="446" t="s">
        <v>34</v>
      </c>
      <c r="D3842" s="448">
        <v>353.24</v>
      </c>
      <c r="E3842" s="210"/>
    </row>
    <row r="3843" spans="1:5" ht="40.5">
      <c r="A3843" s="446">
        <v>89842</v>
      </c>
      <c r="B3843" s="447" t="s">
        <v>1661</v>
      </c>
      <c r="C3843" s="446" t="s">
        <v>34</v>
      </c>
      <c r="D3843" s="448">
        <v>53.55</v>
      </c>
      <c r="E3843" s="210"/>
    </row>
    <row r="3844" spans="1:5" ht="40.5">
      <c r="A3844" s="446">
        <v>89844</v>
      </c>
      <c r="B3844" s="447" t="s">
        <v>1662</v>
      </c>
      <c r="C3844" s="446" t="s">
        <v>34</v>
      </c>
      <c r="D3844" s="448">
        <v>68.64</v>
      </c>
      <c r="E3844" s="210"/>
    </row>
    <row r="3845" spans="1:5" ht="40.5">
      <c r="A3845" s="446">
        <v>89845</v>
      </c>
      <c r="B3845" s="447" t="s">
        <v>1663</v>
      </c>
      <c r="C3845" s="446" t="s">
        <v>34</v>
      </c>
      <c r="D3845" s="448">
        <v>108.14</v>
      </c>
      <c r="E3845" s="210"/>
    </row>
    <row r="3846" spans="1:5" ht="40.5">
      <c r="A3846" s="446">
        <v>89846</v>
      </c>
      <c r="B3846" s="447" t="s">
        <v>1664</v>
      </c>
      <c r="C3846" s="446" t="s">
        <v>34</v>
      </c>
      <c r="D3846" s="448">
        <v>249.22</v>
      </c>
      <c r="E3846" s="210"/>
    </row>
    <row r="3847" spans="1:5" ht="40.5">
      <c r="A3847" s="446">
        <v>89847</v>
      </c>
      <c r="B3847" s="447" t="s">
        <v>1665</v>
      </c>
      <c r="C3847" s="446" t="s">
        <v>34</v>
      </c>
      <c r="D3847" s="448">
        <v>305.58</v>
      </c>
      <c r="E3847" s="210"/>
    </row>
    <row r="3848" spans="1:5" ht="67.5">
      <c r="A3848" s="446">
        <v>89850</v>
      </c>
      <c r="B3848" s="447" t="s">
        <v>1668</v>
      </c>
      <c r="C3848" s="446" t="s">
        <v>34</v>
      </c>
      <c r="D3848" s="448">
        <v>21.87</v>
      </c>
      <c r="E3848" s="210"/>
    </row>
    <row r="3849" spans="1:5" ht="67.5">
      <c r="A3849" s="446">
        <v>89851</v>
      </c>
      <c r="B3849" s="447" t="s">
        <v>1669</v>
      </c>
      <c r="C3849" s="446" t="s">
        <v>34</v>
      </c>
      <c r="D3849" s="448">
        <v>21.82</v>
      </c>
      <c r="E3849" s="210"/>
    </row>
    <row r="3850" spans="1:5" ht="67.5">
      <c r="A3850" s="446">
        <v>89852</v>
      </c>
      <c r="B3850" s="447" t="s">
        <v>1670</v>
      </c>
      <c r="C3850" s="446" t="s">
        <v>34</v>
      </c>
      <c r="D3850" s="448">
        <v>34.35</v>
      </c>
      <c r="E3850" s="210"/>
    </row>
    <row r="3851" spans="1:5" ht="67.5">
      <c r="A3851" s="446">
        <v>89853</v>
      </c>
      <c r="B3851" s="447" t="s">
        <v>1671</v>
      </c>
      <c r="C3851" s="446" t="s">
        <v>34</v>
      </c>
      <c r="D3851" s="448">
        <v>56.48</v>
      </c>
      <c r="E3851" s="210"/>
    </row>
    <row r="3852" spans="1:5" ht="67.5">
      <c r="A3852" s="446">
        <v>89854</v>
      </c>
      <c r="B3852" s="447" t="s">
        <v>1672</v>
      </c>
      <c r="C3852" s="446" t="s">
        <v>34</v>
      </c>
      <c r="D3852" s="448">
        <v>78.41</v>
      </c>
      <c r="E3852" s="210"/>
    </row>
    <row r="3853" spans="1:5" ht="67.5">
      <c r="A3853" s="446">
        <v>89855</v>
      </c>
      <c r="B3853" s="447" t="s">
        <v>1673</v>
      </c>
      <c r="C3853" s="446" t="s">
        <v>34</v>
      </c>
      <c r="D3853" s="448">
        <v>82.87</v>
      </c>
      <c r="E3853" s="210"/>
    </row>
    <row r="3854" spans="1:5" ht="54">
      <c r="A3854" s="446">
        <v>89856</v>
      </c>
      <c r="B3854" s="447" t="s">
        <v>1674</v>
      </c>
      <c r="C3854" s="446" t="s">
        <v>34</v>
      </c>
      <c r="D3854" s="448">
        <v>17.579999999999998</v>
      </c>
      <c r="E3854" s="210"/>
    </row>
    <row r="3855" spans="1:5" ht="67.5">
      <c r="A3855" s="446">
        <v>89857</v>
      </c>
      <c r="B3855" s="447" t="s">
        <v>1675</v>
      </c>
      <c r="C3855" s="446" t="s">
        <v>34</v>
      </c>
      <c r="D3855" s="448">
        <v>27.2</v>
      </c>
      <c r="E3855" s="210"/>
    </row>
    <row r="3856" spans="1:5" ht="67.5">
      <c r="A3856" s="446">
        <v>89859</v>
      </c>
      <c r="B3856" s="447" t="s">
        <v>1676</v>
      </c>
      <c r="C3856" s="446" t="s">
        <v>34</v>
      </c>
      <c r="D3856" s="448">
        <v>115.11</v>
      </c>
      <c r="E3856" s="210"/>
    </row>
    <row r="3857" spans="1:5" ht="54">
      <c r="A3857" s="446">
        <v>89860</v>
      </c>
      <c r="B3857" s="447" t="s">
        <v>1677</v>
      </c>
      <c r="C3857" s="446" t="s">
        <v>34</v>
      </c>
      <c r="D3857" s="448">
        <v>38.19</v>
      </c>
      <c r="E3857" s="210"/>
    </row>
    <row r="3858" spans="1:5" ht="67.5">
      <c r="A3858" s="446">
        <v>89861</v>
      </c>
      <c r="B3858" s="447" t="s">
        <v>1678</v>
      </c>
      <c r="C3858" s="446" t="s">
        <v>34</v>
      </c>
      <c r="D3858" s="448">
        <v>43.35</v>
      </c>
      <c r="E3858" s="210"/>
    </row>
    <row r="3859" spans="1:5" ht="54">
      <c r="A3859" s="446">
        <v>89862</v>
      </c>
      <c r="B3859" s="447" t="s">
        <v>1679</v>
      </c>
      <c r="C3859" s="446" t="s">
        <v>34</v>
      </c>
      <c r="D3859" s="448">
        <v>92.14</v>
      </c>
      <c r="E3859" s="210"/>
    </row>
    <row r="3860" spans="1:5" ht="67.5">
      <c r="A3860" s="446">
        <v>89863</v>
      </c>
      <c r="B3860" s="447" t="s">
        <v>1680</v>
      </c>
      <c r="C3860" s="446" t="s">
        <v>34</v>
      </c>
      <c r="D3860" s="448">
        <v>178.3</v>
      </c>
      <c r="E3860" s="210"/>
    </row>
    <row r="3861" spans="1:5" ht="54">
      <c r="A3861" s="446">
        <v>89866</v>
      </c>
      <c r="B3861" s="447" t="s">
        <v>1681</v>
      </c>
      <c r="C3861" s="446" t="s">
        <v>34</v>
      </c>
      <c r="D3861" s="448">
        <v>4.09</v>
      </c>
      <c r="E3861" s="210"/>
    </row>
    <row r="3862" spans="1:5" ht="54">
      <c r="A3862" s="446">
        <v>89867</v>
      </c>
      <c r="B3862" s="447" t="s">
        <v>1682</v>
      </c>
      <c r="C3862" s="446" t="s">
        <v>34</v>
      </c>
      <c r="D3862" s="448">
        <v>4.84</v>
      </c>
      <c r="E3862" s="210"/>
    </row>
    <row r="3863" spans="1:5" ht="40.5">
      <c r="A3863" s="446">
        <v>89868</v>
      </c>
      <c r="B3863" s="447" t="s">
        <v>321</v>
      </c>
      <c r="C3863" s="446" t="s">
        <v>34</v>
      </c>
      <c r="D3863" s="448">
        <v>3.2</v>
      </c>
      <c r="E3863" s="210"/>
    </row>
    <row r="3864" spans="1:5" ht="40.5">
      <c r="A3864" s="446">
        <v>89869</v>
      </c>
      <c r="B3864" s="447" t="s">
        <v>1683</v>
      </c>
      <c r="C3864" s="446" t="s">
        <v>34</v>
      </c>
      <c r="D3864" s="448">
        <v>6.93</v>
      </c>
      <c r="E3864" s="210"/>
    </row>
    <row r="3865" spans="1:5" ht="54">
      <c r="A3865" s="446">
        <v>89979</v>
      </c>
      <c r="B3865" s="447" t="s">
        <v>1694</v>
      </c>
      <c r="C3865" s="446" t="s">
        <v>34</v>
      </c>
      <c r="D3865" s="448">
        <v>23.41</v>
      </c>
      <c r="E3865" s="210"/>
    </row>
    <row r="3866" spans="1:5" ht="54">
      <c r="A3866" s="446">
        <v>89980</v>
      </c>
      <c r="B3866" s="447" t="s">
        <v>1695</v>
      </c>
      <c r="C3866" s="446" t="s">
        <v>34</v>
      </c>
      <c r="D3866" s="448">
        <v>9.0299999999999994</v>
      </c>
      <c r="E3866" s="210"/>
    </row>
    <row r="3867" spans="1:5" ht="54">
      <c r="A3867" s="446">
        <v>89981</v>
      </c>
      <c r="B3867" s="447" t="s">
        <v>1696</v>
      </c>
      <c r="C3867" s="446" t="s">
        <v>34</v>
      </c>
      <c r="D3867" s="448">
        <v>21.13</v>
      </c>
      <c r="E3867" s="210"/>
    </row>
    <row r="3868" spans="1:5" ht="54">
      <c r="A3868" s="446">
        <v>90373</v>
      </c>
      <c r="B3868" s="447" t="s">
        <v>1718</v>
      </c>
      <c r="C3868" s="446" t="s">
        <v>34</v>
      </c>
      <c r="D3868" s="448">
        <v>11.93</v>
      </c>
      <c r="E3868" s="210"/>
    </row>
    <row r="3869" spans="1:5" ht="54">
      <c r="A3869" s="446">
        <v>90374</v>
      </c>
      <c r="B3869" s="447" t="s">
        <v>1719</v>
      </c>
      <c r="C3869" s="446" t="s">
        <v>34</v>
      </c>
      <c r="D3869" s="448">
        <v>18.96</v>
      </c>
      <c r="E3869" s="210"/>
    </row>
    <row r="3870" spans="1:5" ht="54">
      <c r="A3870" s="446">
        <v>90375</v>
      </c>
      <c r="B3870" s="447" t="s">
        <v>337</v>
      </c>
      <c r="C3870" s="446" t="s">
        <v>34</v>
      </c>
      <c r="D3870" s="448">
        <v>7.28</v>
      </c>
      <c r="E3870" s="210"/>
    </row>
    <row r="3871" spans="1:5" ht="40.5">
      <c r="A3871" s="446">
        <v>92287</v>
      </c>
      <c r="B3871" s="447" t="s">
        <v>3912</v>
      </c>
      <c r="C3871" s="446" t="s">
        <v>34</v>
      </c>
      <c r="D3871" s="448">
        <v>16.98</v>
      </c>
      <c r="E3871" s="210"/>
    </row>
    <row r="3872" spans="1:5" ht="40.5">
      <c r="A3872" s="446">
        <v>92288</v>
      </c>
      <c r="B3872" s="447" t="s">
        <v>3913</v>
      </c>
      <c r="C3872" s="446" t="s">
        <v>34</v>
      </c>
      <c r="D3872" s="448">
        <v>26.84</v>
      </c>
      <c r="E3872" s="210"/>
    </row>
    <row r="3873" spans="1:5" ht="40.5">
      <c r="A3873" s="446">
        <v>92289</v>
      </c>
      <c r="B3873" s="447" t="s">
        <v>3914</v>
      </c>
      <c r="C3873" s="446" t="s">
        <v>34</v>
      </c>
      <c r="D3873" s="448">
        <v>48.32</v>
      </c>
      <c r="E3873" s="210"/>
    </row>
    <row r="3874" spans="1:5" ht="40.5">
      <c r="A3874" s="446">
        <v>92290</v>
      </c>
      <c r="B3874" s="447" t="s">
        <v>3915</v>
      </c>
      <c r="C3874" s="446" t="s">
        <v>34</v>
      </c>
      <c r="D3874" s="448">
        <v>74.31</v>
      </c>
      <c r="E3874" s="210"/>
    </row>
    <row r="3875" spans="1:5" ht="40.5">
      <c r="A3875" s="446">
        <v>92291</v>
      </c>
      <c r="B3875" s="447" t="s">
        <v>3916</v>
      </c>
      <c r="C3875" s="446" t="s">
        <v>34</v>
      </c>
      <c r="D3875" s="448">
        <v>114.73</v>
      </c>
      <c r="E3875" s="210"/>
    </row>
    <row r="3876" spans="1:5" ht="40.5">
      <c r="A3876" s="446">
        <v>92292</v>
      </c>
      <c r="B3876" s="447" t="s">
        <v>3917</v>
      </c>
      <c r="C3876" s="446" t="s">
        <v>34</v>
      </c>
      <c r="D3876" s="448">
        <v>365.26</v>
      </c>
      <c r="E3876" s="210"/>
    </row>
    <row r="3877" spans="1:5" ht="40.5">
      <c r="A3877" s="446">
        <v>92293</v>
      </c>
      <c r="B3877" s="447" t="s">
        <v>3918</v>
      </c>
      <c r="C3877" s="446" t="s">
        <v>34</v>
      </c>
      <c r="D3877" s="448">
        <v>9.61</v>
      </c>
      <c r="E3877" s="210"/>
    </row>
    <row r="3878" spans="1:5" ht="40.5">
      <c r="A3878" s="446">
        <v>92294</v>
      </c>
      <c r="B3878" s="447" t="s">
        <v>3919</v>
      </c>
      <c r="C3878" s="446" t="s">
        <v>34</v>
      </c>
      <c r="D3878" s="448">
        <v>16.36</v>
      </c>
      <c r="E3878" s="210"/>
    </row>
    <row r="3879" spans="1:5" ht="40.5">
      <c r="A3879" s="446">
        <v>92295</v>
      </c>
      <c r="B3879" s="447" t="s">
        <v>3920</v>
      </c>
      <c r="C3879" s="446" t="s">
        <v>34</v>
      </c>
      <c r="D3879" s="448">
        <v>31.42</v>
      </c>
      <c r="E3879" s="210"/>
    </row>
    <row r="3880" spans="1:5" ht="40.5">
      <c r="A3880" s="446">
        <v>92296</v>
      </c>
      <c r="B3880" s="447" t="s">
        <v>3921</v>
      </c>
      <c r="C3880" s="446" t="s">
        <v>34</v>
      </c>
      <c r="D3880" s="448">
        <v>42.14</v>
      </c>
      <c r="E3880" s="210"/>
    </row>
    <row r="3881" spans="1:5" ht="40.5">
      <c r="A3881" s="446">
        <v>92297</v>
      </c>
      <c r="B3881" s="447" t="s">
        <v>3922</v>
      </c>
      <c r="C3881" s="446" t="s">
        <v>34</v>
      </c>
      <c r="D3881" s="448">
        <v>65.75</v>
      </c>
      <c r="E3881" s="210"/>
    </row>
    <row r="3882" spans="1:5" ht="40.5">
      <c r="A3882" s="446">
        <v>92298</v>
      </c>
      <c r="B3882" s="447" t="s">
        <v>3923</v>
      </c>
      <c r="C3882" s="446" t="s">
        <v>34</v>
      </c>
      <c r="D3882" s="448">
        <v>188.43</v>
      </c>
      <c r="E3882" s="210"/>
    </row>
    <row r="3883" spans="1:5" ht="40.5">
      <c r="A3883" s="446">
        <v>92299</v>
      </c>
      <c r="B3883" s="447" t="s">
        <v>3924</v>
      </c>
      <c r="C3883" s="446" t="s">
        <v>34</v>
      </c>
      <c r="D3883" s="448">
        <v>22.37</v>
      </c>
      <c r="E3883" s="210"/>
    </row>
    <row r="3884" spans="1:5" ht="40.5">
      <c r="A3884" s="446">
        <v>92300</v>
      </c>
      <c r="B3884" s="447" t="s">
        <v>3925</v>
      </c>
      <c r="C3884" s="446" t="s">
        <v>34</v>
      </c>
      <c r="D3884" s="448">
        <v>34.07</v>
      </c>
      <c r="E3884" s="210"/>
    </row>
    <row r="3885" spans="1:5" ht="40.5">
      <c r="A3885" s="446">
        <v>92301</v>
      </c>
      <c r="B3885" s="447" t="s">
        <v>3926</v>
      </c>
      <c r="C3885" s="446" t="s">
        <v>34</v>
      </c>
      <c r="D3885" s="448">
        <v>68.98</v>
      </c>
      <c r="E3885" s="210"/>
    </row>
    <row r="3886" spans="1:5" ht="40.5">
      <c r="A3886" s="446">
        <v>92302</v>
      </c>
      <c r="B3886" s="447" t="s">
        <v>3927</v>
      </c>
      <c r="C3886" s="446" t="s">
        <v>34</v>
      </c>
      <c r="D3886" s="448">
        <v>91.88</v>
      </c>
      <c r="E3886" s="210"/>
    </row>
    <row r="3887" spans="1:5" ht="40.5">
      <c r="A3887" s="446">
        <v>92303</v>
      </c>
      <c r="B3887" s="447" t="s">
        <v>3928</v>
      </c>
      <c r="C3887" s="446" t="s">
        <v>34</v>
      </c>
      <c r="D3887" s="448">
        <v>170.6</v>
      </c>
      <c r="E3887" s="210"/>
    </row>
    <row r="3888" spans="1:5" ht="40.5">
      <c r="A3888" s="446">
        <v>92304</v>
      </c>
      <c r="B3888" s="447" t="s">
        <v>3929</v>
      </c>
      <c r="C3888" s="446" t="s">
        <v>34</v>
      </c>
      <c r="D3888" s="448">
        <v>450.33</v>
      </c>
      <c r="E3888" s="210"/>
    </row>
    <row r="3889" spans="1:5" ht="54">
      <c r="A3889" s="446">
        <v>92311</v>
      </c>
      <c r="B3889" s="447" t="s">
        <v>3930</v>
      </c>
      <c r="C3889" s="446" t="s">
        <v>34</v>
      </c>
      <c r="D3889" s="448">
        <v>10.77</v>
      </c>
      <c r="E3889" s="210"/>
    </row>
    <row r="3890" spans="1:5" ht="54">
      <c r="A3890" s="446">
        <v>92312</v>
      </c>
      <c r="B3890" s="447" t="s">
        <v>3931</v>
      </c>
      <c r="C3890" s="446" t="s">
        <v>34</v>
      </c>
      <c r="D3890" s="448">
        <v>18.93</v>
      </c>
      <c r="E3890" s="210"/>
    </row>
    <row r="3891" spans="1:5" ht="54">
      <c r="A3891" s="446">
        <v>92313</v>
      </c>
      <c r="B3891" s="447" t="s">
        <v>3932</v>
      </c>
      <c r="C3891" s="446" t="s">
        <v>34</v>
      </c>
      <c r="D3891" s="448">
        <v>28.78</v>
      </c>
      <c r="E3891" s="210"/>
    </row>
    <row r="3892" spans="1:5" ht="54">
      <c r="A3892" s="446">
        <v>92314</v>
      </c>
      <c r="B3892" s="447" t="s">
        <v>3933</v>
      </c>
      <c r="C3892" s="446" t="s">
        <v>34</v>
      </c>
      <c r="D3892" s="448">
        <v>6.95</v>
      </c>
      <c r="E3892" s="210"/>
    </row>
    <row r="3893" spans="1:5" ht="54">
      <c r="A3893" s="446">
        <v>92315</v>
      </c>
      <c r="B3893" s="447" t="s">
        <v>3934</v>
      </c>
      <c r="C3893" s="446" t="s">
        <v>34</v>
      </c>
      <c r="D3893" s="448">
        <v>10.93</v>
      </c>
      <c r="E3893" s="210"/>
    </row>
    <row r="3894" spans="1:5" ht="54">
      <c r="A3894" s="446">
        <v>92316</v>
      </c>
      <c r="B3894" s="447" t="s">
        <v>3935</v>
      </c>
      <c r="C3894" s="446" t="s">
        <v>34</v>
      </c>
      <c r="D3894" s="448">
        <v>17.68</v>
      </c>
      <c r="E3894" s="210"/>
    </row>
    <row r="3895" spans="1:5" ht="54">
      <c r="A3895" s="446">
        <v>92317</v>
      </c>
      <c r="B3895" s="447" t="s">
        <v>3936</v>
      </c>
      <c r="C3895" s="446" t="s">
        <v>34</v>
      </c>
      <c r="D3895" s="448">
        <v>14.71</v>
      </c>
      <c r="E3895" s="210"/>
    </row>
    <row r="3896" spans="1:5" ht="54">
      <c r="A3896" s="446">
        <v>92318</v>
      </c>
      <c r="B3896" s="447" t="s">
        <v>3937</v>
      </c>
      <c r="C3896" s="446" t="s">
        <v>34</v>
      </c>
      <c r="D3896" s="448">
        <v>24.98</v>
      </c>
      <c r="E3896" s="210"/>
    </row>
    <row r="3897" spans="1:5" ht="54">
      <c r="A3897" s="446">
        <v>92319</v>
      </c>
      <c r="B3897" s="447" t="s">
        <v>3938</v>
      </c>
      <c r="C3897" s="446" t="s">
        <v>34</v>
      </c>
      <c r="D3897" s="448">
        <v>36.69</v>
      </c>
      <c r="E3897" s="210"/>
    </row>
    <row r="3898" spans="1:5" ht="54">
      <c r="A3898" s="446">
        <v>92326</v>
      </c>
      <c r="B3898" s="447" t="s">
        <v>3939</v>
      </c>
      <c r="C3898" s="446" t="s">
        <v>34</v>
      </c>
      <c r="D3898" s="448">
        <v>12.14</v>
      </c>
      <c r="E3898" s="210"/>
    </row>
    <row r="3899" spans="1:5" ht="54">
      <c r="A3899" s="446">
        <v>92327</v>
      </c>
      <c r="B3899" s="447" t="s">
        <v>3940</v>
      </c>
      <c r="C3899" s="446" t="s">
        <v>34</v>
      </c>
      <c r="D3899" s="448">
        <v>20.74</v>
      </c>
      <c r="E3899" s="210"/>
    </row>
    <row r="3900" spans="1:5" ht="54">
      <c r="A3900" s="446">
        <v>92328</v>
      </c>
      <c r="B3900" s="447" t="s">
        <v>3941</v>
      </c>
      <c r="C3900" s="446" t="s">
        <v>34</v>
      </c>
      <c r="D3900" s="448">
        <v>32.01</v>
      </c>
      <c r="E3900" s="210"/>
    </row>
    <row r="3901" spans="1:5" ht="40.5">
      <c r="A3901" s="446">
        <v>92329</v>
      </c>
      <c r="B3901" s="447" t="s">
        <v>3942</v>
      </c>
      <c r="C3901" s="446" t="s">
        <v>34</v>
      </c>
      <c r="D3901" s="448">
        <v>7.08</v>
      </c>
      <c r="E3901" s="210"/>
    </row>
    <row r="3902" spans="1:5" ht="40.5">
      <c r="A3902" s="446">
        <v>92330</v>
      </c>
      <c r="B3902" s="447" t="s">
        <v>3943</v>
      </c>
      <c r="C3902" s="446" t="s">
        <v>34</v>
      </c>
      <c r="D3902" s="448">
        <v>12.12</v>
      </c>
      <c r="E3902" s="210"/>
    </row>
    <row r="3903" spans="1:5" ht="40.5">
      <c r="A3903" s="446">
        <v>92331</v>
      </c>
      <c r="B3903" s="447" t="s">
        <v>3944</v>
      </c>
      <c r="C3903" s="446" t="s">
        <v>34</v>
      </c>
      <c r="D3903" s="448">
        <v>19.84</v>
      </c>
      <c r="E3903" s="210"/>
    </row>
    <row r="3904" spans="1:5" ht="40.5">
      <c r="A3904" s="446">
        <v>92332</v>
      </c>
      <c r="B3904" s="447" t="s">
        <v>3945</v>
      </c>
      <c r="C3904" s="446" t="s">
        <v>34</v>
      </c>
      <c r="D3904" s="448">
        <v>14.89</v>
      </c>
      <c r="E3904" s="210"/>
    </row>
    <row r="3905" spans="1:5" ht="40.5">
      <c r="A3905" s="446">
        <v>92333</v>
      </c>
      <c r="B3905" s="447" t="s">
        <v>3946</v>
      </c>
      <c r="C3905" s="446" t="s">
        <v>34</v>
      </c>
      <c r="D3905" s="448">
        <v>27.38</v>
      </c>
      <c r="E3905" s="210"/>
    </row>
    <row r="3906" spans="1:5" ht="40.5">
      <c r="A3906" s="446">
        <v>92334</v>
      </c>
      <c r="B3906" s="447" t="s">
        <v>3947</v>
      </c>
      <c r="C3906" s="446" t="s">
        <v>34</v>
      </c>
      <c r="D3906" s="448">
        <v>40.97</v>
      </c>
      <c r="E3906" s="210"/>
    </row>
    <row r="3907" spans="1:5" ht="54">
      <c r="A3907" s="446">
        <v>92344</v>
      </c>
      <c r="B3907" s="447" t="s">
        <v>5892</v>
      </c>
      <c r="C3907" s="446" t="s">
        <v>34</v>
      </c>
      <c r="D3907" s="448">
        <v>46.99</v>
      </c>
      <c r="E3907" s="210"/>
    </row>
    <row r="3908" spans="1:5" ht="54">
      <c r="A3908" s="446">
        <v>92345</v>
      </c>
      <c r="B3908" s="447" t="s">
        <v>5893</v>
      </c>
      <c r="C3908" s="446" t="s">
        <v>34</v>
      </c>
      <c r="D3908" s="448">
        <v>46.97</v>
      </c>
      <c r="E3908" s="210"/>
    </row>
    <row r="3909" spans="1:5" ht="54">
      <c r="A3909" s="446">
        <v>92346</v>
      </c>
      <c r="B3909" s="447" t="s">
        <v>5894</v>
      </c>
      <c r="C3909" s="446" t="s">
        <v>34</v>
      </c>
      <c r="D3909" s="448">
        <v>62.85</v>
      </c>
      <c r="E3909" s="210"/>
    </row>
    <row r="3910" spans="1:5" ht="54">
      <c r="A3910" s="446">
        <v>92347</v>
      </c>
      <c r="B3910" s="447" t="s">
        <v>5895</v>
      </c>
      <c r="C3910" s="446" t="s">
        <v>34</v>
      </c>
      <c r="D3910" s="448">
        <v>70.540000000000006</v>
      </c>
      <c r="E3910" s="210"/>
    </row>
    <row r="3911" spans="1:5" ht="54">
      <c r="A3911" s="446">
        <v>92348</v>
      </c>
      <c r="B3911" s="447" t="s">
        <v>5896</v>
      </c>
      <c r="C3911" s="446" t="s">
        <v>34</v>
      </c>
      <c r="D3911" s="448">
        <v>89.95</v>
      </c>
      <c r="E3911" s="210"/>
    </row>
    <row r="3912" spans="1:5" ht="54">
      <c r="A3912" s="446">
        <v>92349</v>
      </c>
      <c r="B3912" s="447" t="s">
        <v>5897</v>
      </c>
      <c r="C3912" s="446" t="s">
        <v>34</v>
      </c>
      <c r="D3912" s="448">
        <v>96.8</v>
      </c>
      <c r="E3912" s="210"/>
    </row>
    <row r="3913" spans="1:5" ht="54">
      <c r="A3913" s="446">
        <v>92350</v>
      </c>
      <c r="B3913" s="447" t="s">
        <v>5898</v>
      </c>
      <c r="C3913" s="446" t="s">
        <v>34</v>
      </c>
      <c r="D3913" s="448">
        <v>69.760000000000005</v>
      </c>
      <c r="E3913" s="210"/>
    </row>
    <row r="3914" spans="1:5" ht="54">
      <c r="A3914" s="446">
        <v>92351</v>
      </c>
      <c r="B3914" s="447" t="s">
        <v>5899</v>
      </c>
      <c r="C3914" s="446" t="s">
        <v>34</v>
      </c>
      <c r="D3914" s="448">
        <v>68.05</v>
      </c>
      <c r="E3914" s="210"/>
    </row>
    <row r="3915" spans="1:5" ht="54">
      <c r="A3915" s="446">
        <v>92352</v>
      </c>
      <c r="B3915" s="447" t="s">
        <v>5900</v>
      </c>
      <c r="C3915" s="446" t="s">
        <v>34</v>
      </c>
      <c r="D3915" s="448">
        <v>108.98</v>
      </c>
      <c r="E3915" s="210"/>
    </row>
    <row r="3916" spans="1:5" ht="54">
      <c r="A3916" s="446">
        <v>92353</v>
      </c>
      <c r="B3916" s="447" t="s">
        <v>5901</v>
      </c>
      <c r="C3916" s="446" t="s">
        <v>34</v>
      </c>
      <c r="D3916" s="448">
        <v>101.45</v>
      </c>
      <c r="E3916" s="210"/>
    </row>
    <row r="3917" spans="1:5" ht="54">
      <c r="A3917" s="446">
        <v>92354</v>
      </c>
      <c r="B3917" s="447" t="s">
        <v>5902</v>
      </c>
      <c r="C3917" s="446" t="s">
        <v>34</v>
      </c>
      <c r="D3917" s="448">
        <v>146.62</v>
      </c>
      <c r="E3917" s="210"/>
    </row>
    <row r="3918" spans="1:5" ht="54">
      <c r="A3918" s="446">
        <v>92355</v>
      </c>
      <c r="B3918" s="447" t="s">
        <v>5903</v>
      </c>
      <c r="C3918" s="446" t="s">
        <v>34</v>
      </c>
      <c r="D3918" s="448">
        <v>132.11000000000001</v>
      </c>
      <c r="E3918" s="210"/>
    </row>
    <row r="3919" spans="1:5" ht="54">
      <c r="A3919" s="446">
        <v>92356</v>
      </c>
      <c r="B3919" s="447" t="s">
        <v>5904</v>
      </c>
      <c r="C3919" s="446" t="s">
        <v>34</v>
      </c>
      <c r="D3919" s="448">
        <v>90.72</v>
      </c>
      <c r="E3919" s="210"/>
    </row>
    <row r="3920" spans="1:5" ht="54">
      <c r="A3920" s="446">
        <v>92357</v>
      </c>
      <c r="B3920" s="447" t="s">
        <v>5905</v>
      </c>
      <c r="C3920" s="446" t="s">
        <v>34</v>
      </c>
      <c r="D3920" s="448">
        <v>139.08000000000001</v>
      </c>
      <c r="E3920" s="210"/>
    </row>
    <row r="3921" spans="1:5" ht="54">
      <c r="A3921" s="446">
        <v>92358</v>
      </c>
      <c r="B3921" s="447" t="s">
        <v>5906</v>
      </c>
      <c r="C3921" s="446" t="s">
        <v>34</v>
      </c>
      <c r="D3921" s="448">
        <v>174.81</v>
      </c>
      <c r="E3921" s="210"/>
    </row>
    <row r="3922" spans="1:5" ht="54">
      <c r="A3922" s="446">
        <v>92369</v>
      </c>
      <c r="B3922" s="447" t="s">
        <v>5907</v>
      </c>
      <c r="C3922" s="446" t="s">
        <v>34</v>
      </c>
      <c r="D3922" s="448">
        <v>24.21</v>
      </c>
      <c r="E3922" s="210"/>
    </row>
    <row r="3923" spans="1:5" ht="54">
      <c r="A3923" s="446">
        <v>92370</v>
      </c>
      <c r="B3923" s="447" t="s">
        <v>5908</v>
      </c>
      <c r="C3923" s="446" t="s">
        <v>34</v>
      </c>
      <c r="D3923" s="448">
        <v>25.59</v>
      </c>
      <c r="E3923" s="210"/>
    </row>
    <row r="3924" spans="1:5" ht="54">
      <c r="A3924" s="446">
        <v>92371</v>
      </c>
      <c r="B3924" s="447" t="s">
        <v>5909</v>
      </c>
      <c r="C3924" s="446" t="s">
        <v>34</v>
      </c>
      <c r="D3924" s="448">
        <v>29.73</v>
      </c>
      <c r="E3924" s="210"/>
    </row>
    <row r="3925" spans="1:5" ht="54">
      <c r="A3925" s="446">
        <v>92372</v>
      </c>
      <c r="B3925" s="447" t="s">
        <v>5910</v>
      </c>
      <c r="C3925" s="446" t="s">
        <v>34</v>
      </c>
      <c r="D3925" s="448">
        <v>31.02</v>
      </c>
      <c r="E3925" s="210"/>
    </row>
    <row r="3926" spans="1:5" ht="54">
      <c r="A3926" s="446">
        <v>92373</v>
      </c>
      <c r="B3926" s="447" t="s">
        <v>5911</v>
      </c>
      <c r="C3926" s="446" t="s">
        <v>34</v>
      </c>
      <c r="D3926" s="448">
        <v>35.51</v>
      </c>
      <c r="E3926" s="210"/>
    </row>
    <row r="3927" spans="1:5" ht="54">
      <c r="A3927" s="446">
        <v>92374</v>
      </c>
      <c r="B3927" s="447" t="s">
        <v>5912</v>
      </c>
      <c r="C3927" s="446" t="s">
        <v>34</v>
      </c>
      <c r="D3927" s="448">
        <v>35.76</v>
      </c>
      <c r="E3927" s="210"/>
    </row>
    <row r="3928" spans="1:5" ht="54">
      <c r="A3928" s="446">
        <v>92375</v>
      </c>
      <c r="B3928" s="447" t="s">
        <v>5913</v>
      </c>
      <c r="C3928" s="446" t="s">
        <v>34</v>
      </c>
      <c r="D3928" s="448">
        <v>46.96</v>
      </c>
      <c r="E3928" s="210"/>
    </row>
    <row r="3929" spans="1:5" ht="54">
      <c r="A3929" s="446">
        <v>92376</v>
      </c>
      <c r="B3929" s="447" t="s">
        <v>5914</v>
      </c>
      <c r="C3929" s="446" t="s">
        <v>34</v>
      </c>
      <c r="D3929" s="448">
        <v>46.94</v>
      </c>
      <c r="E3929" s="210"/>
    </row>
    <row r="3930" spans="1:5" ht="54">
      <c r="A3930" s="446">
        <v>92377</v>
      </c>
      <c r="B3930" s="447" t="s">
        <v>5915</v>
      </c>
      <c r="C3930" s="446" t="s">
        <v>34</v>
      </c>
      <c r="D3930" s="448">
        <v>63.91</v>
      </c>
      <c r="E3930" s="210"/>
    </row>
    <row r="3931" spans="1:5" ht="54">
      <c r="A3931" s="446">
        <v>92378</v>
      </c>
      <c r="B3931" s="447" t="s">
        <v>5916</v>
      </c>
      <c r="C3931" s="446" t="s">
        <v>34</v>
      </c>
      <c r="D3931" s="448">
        <v>71.599999999999994</v>
      </c>
      <c r="E3931" s="210"/>
    </row>
    <row r="3932" spans="1:5" ht="54">
      <c r="A3932" s="446">
        <v>92379</v>
      </c>
      <c r="B3932" s="447" t="s">
        <v>5917</v>
      </c>
      <c r="C3932" s="446" t="s">
        <v>34</v>
      </c>
      <c r="D3932" s="448">
        <v>92.14</v>
      </c>
      <c r="E3932" s="210"/>
    </row>
    <row r="3933" spans="1:5" ht="54">
      <c r="A3933" s="446">
        <v>92380</v>
      </c>
      <c r="B3933" s="447" t="s">
        <v>5918</v>
      </c>
      <c r="C3933" s="446" t="s">
        <v>34</v>
      </c>
      <c r="D3933" s="448">
        <v>98.99</v>
      </c>
      <c r="E3933" s="210"/>
    </row>
    <row r="3934" spans="1:5" ht="67.5">
      <c r="A3934" s="446">
        <v>92381</v>
      </c>
      <c r="B3934" s="447" t="s">
        <v>5919</v>
      </c>
      <c r="C3934" s="446" t="s">
        <v>34</v>
      </c>
      <c r="D3934" s="448">
        <v>36.68</v>
      </c>
      <c r="E3934" s="210"/>
    </row>
    <row r="3935" spans="1:5" ht="67.5">
      <c r="A3935" s="446">
        <v>92382</v>
      </c>
      <c r="B3935" s="447" t="s">
        <v>5920</v>
      </c>
      <c r="C3935" s="446" t="s">
        <v>34</v>
      </c>
      <c r="D3935" s="448">
        <v>34.85</v>
      </c>
      <c r="E3935" s="210"/>
    </row>
    <row r="3936" spans="1:5" ht="67.5">
      <c r="A3936" s="446">
        <v>92383</v>
      </c>
      <c r="B3936" s="447" t="s">
        <v>5921</v>
      </c>
      <c r="C3936" s="446" t="s">
        <v>34</v>
      </c>
      <c r="D3936" s="448">
        <v>47.22</v>
      </c>
      <c r="E3936" s="210"/>
    </row>
    <row r="3937" spans="1:5" ht="67.5">
      <c r="A3937" s="446">
        <v>92384</v>
      </c>
      <c r="B3937" s="447" t="s">
        <v>5922</v>
      </c>
      <c r="C3937" s="446" t="s">
        <v>34</v>
      </c>
      <c r="D3937" s="448">
        <v>43.56</v>
      </c>
      <c r="E3937" s="210"/>
    </row>
    <row r="3938" spans="1:5" ht="67.5">
      <c r="A3938" s="446">
        <v>92385</v>
      </c>
      <c r="B3938" s="447" t="s">
        <v>5923</v>
      </c>
      <c r="C3938" s="446" t="s">
        <v>34</v>
      </c>
      <c r="D3938" s="448">
        <v>54.44</v>
      </c>
      <c r="E3938" s="210"/>
    </row>
    <row r="3939" spans="1:5" ht="67.5">
      <c r="A3939" s="446">
        <v>92386</v>
      </c>
      <c r="B3939" s="447" t="s">
        <v>5924</v>
      </c>
      <c r="C3939" s="446" t="s">
        <v>34</v>
      </c>
      <c r="D3939" s="448">
        <v>51.92</v>
      </c>
      <c r="E3939" s="210"/>
    </row>
    <row r="3940" spans="1:5" ht="67.5">
      <c r="A3940" s="446">
        <v>92387</v>
      </c>
      <c r="B3940" s="447" t="s">
        <v>5925</v>
      </c>
      <c r="C3940" s="446" t="s">
        <v>34</v>
      </c>
      <c r="D3940" s="448">
        <v>69.7</v>
      </c>
      <c r="E3940" s="210"/>
    </row>
    <row r="3941" spans="1:5" ht="67.5">
      <c r="A3941" s="446">
        <v>92388</v>
      </c>
      <c r="B3941" s="447" t="s">
        <v>5926</v>
      </c>
      <c r="C3941" s="446" t="s">
        <v>34</v>
      </c>
      <c r="D3941" s="448">
        <v>67.989999999999995</v>
      </c>
      <c r="E3941" s="210"/>
    </row>
    <row r="3942" spans="1:5" ht="67.5">
      <c r="A3942" s="446">
        <v>92389</v>
      </c>
      <c r="B3942" s="447" t="s">
        <v>5927</v>
      </c>
      <c r="C3942" s="446" t="s">
        <v>34</v>
      </c>
      <c r="D3942" s="448">
        <v>110.6</v>
      </c>
      <c r="E3942" s="210"/>
    </row>
    <row r="3943" spans="1:5" ht="67.5">
      <c r="A3943" s="446">
        <v>92390</v>
      </c>
      <c r="B3943" s="447" t="s">
        <v>5928</v>
      </c>
      <c r="C3943" s="446" t="s">
        <v>34</v>
      </c>
      <c r="D3943" s="448">
        <v>103.07</v>
      </c>
      <c r="E3943" s="210"/>
    </row>
    <row r="3944" spans="1:5" ht="67.5">
      <c r="A3944" s="446">
        <v>92635</v>
      </c>
      <c r="B3944" s="447" t="s">
        <v>5929</v>
      </c>
      <c r="C3944" s="446" t="s">
        <v>34</v>
      </c>
      <c r="D3944" s="448">
        <v>149.9</v>
      </c>
      <c r="E3944" s="210"/>
    </row>
    <row r="3945" spans="1:5" ht="67.5">
      <c r="A3945" s="446">
        <v>92636</v>
      </c>
      <c r="B3945" s="447" t="s">
        <v>5930</v>
      </c>
      <c r="C3945" s="446" t="s">
        <v>34</v>
      </c>
      <c r="D3945" s="448">
        <v>135.38999999999999</v>
      </c>
      <c r="E3945" s="210"/>
    </row>
    <row r="3946" spans="1:5" ht="54">
      <c r="A3946" s="446">
        <v>92637</v>
      </c>
      <c r="B3946" s="447" t="s">
        <v>5931</v>
      </c>
      <c r="C3946" s="446" t="s">
        <v>34</v>
      </c>
      <c r="D3946" s="448">
        <v>47.17</v>
      </c>
      <c r="E3946" s="210"/>
    </row>
    <row r="3947" spans="1:5" ht="54">
      <c r="A3947" s="446">
        <v>92638</v>
      </c>
      <c r="B3947" s="447" t="s">
        <v>5932</v>
      </c>
      <c r="C3947" s="446" t="s">
        <v>34</v>
      </c>
      <c r="D3947" s="448">
        <v>58.54</v>
      </c>
      <c r="E3947" s="210"/>
    </row>
    <row r="3948" spans="1:5" ht="54">
      <c r="A3948" s="446">
        <v>92639</v>
      </c>
      <c r="B3948" s="447" t="s">
        <v>5933</v>
      </c>
      <c r="C3948" s="446" t="s">
        <v>34</v>
      </c>
      <c r="D3948" s="448">
        <v>68.3</v>
      </c>
      <c r="E3948" s="210"/>
    </row>
    <row r="3949" spans="1:5" ht="54">
      <c r="A3949" s="446">
        <v>92640</v>
      </c>
      <c r="B3949" s="447" t="s">
        <v>5934</v>
      </c>
      <c r="C3949" s="446" t="s">
        <v>34</v>
      </c>
      <c r="D3949" s="448">
        <v>90.62</v>
      </c>
      <c r="E3949" s="210"/>
    </row>
    <row r="3950" spans="1:5" ht="54">
      <c r="A3950" s="446">
        <v>92642</v>
      </c>
      <c r="B3950" s="447" t="s">
        <v>5935</v>
      </c>
      <c r="C3950" s="446" t="s">
        <v>34</v>
      </c>
      <c r="D3950" s="448">
        <v>141.19</v>
      </c>
      <c r="E3950" s="210"/>
    </row>
    <row r="3951" spans="1:5" ht="54">
      <c r="A3951" s="446">
        <v>92644</v>
      </c>
      <c r="B3951" s="447" t="s">
        <v>5936</v>
      </c>
      <c r="C3951" s="446" t="s">
        <v>34</v>
      </c>
      <c r="D3951" s="448">
        <v>179.17</v>
      </c>
      <c r="E3951" s="210"/>
    </row>
    <row r="3952" spans="1:5" ht="54">
      <c r="A3952" s="446">
        <v>92657</v>
      </c>
      <c r="B3952" s="447" t="s">
        <v>5937</v>
      </c>
      <c r="C3952" s="446" t="s">
        <v>34</v>
      </c>
      <c r="D3952" s="448">
        <v>18.32</v>
      </c>
      <c r="E3952" s="210"/>
    </row>
    <row r="3953" spans="1:5" ht="54">
      <c r="A3953" s="446">
        <v>92658</v>
      </c>
      <c r="B3953" s="447" t="s">
        <v>5938</v>
      </c>
      <c r="C3953" s="446" t="s">
        <v>34</v>
      </c>
      <c r="D3953" s="448">
        <v>19.7</v>
      </c>
      <c r="E3953" s="210"/>
    </row>
    <row r="3954" spans="1:5" ht="54">
      <c r="A3954" s="446">
        <v>92659</v>
      </c>
      <c r="B3954" s="447" t="s">
        <v>5939</v>
      </c>
      <c r="C3954" s="446" t="s">
        <v>34</v>
      </c>
      <c r="D3954" s="448">
        <v>23.03</v>
      </c>
      <c r="E3954" s="210"/>
    </row>
    <row r="3955" spans="1:5" ht="54">
      <c r="A3955" s="446">
        <v>92660</v>
      </c>
      <c r="B3955" s="447" t="s">
        <v>5940</v>
      </c>
      <c r="C3955" s="446" t="s">
        <v>34</v>
      </c>
      <c r="D3955" s="448">
        <v>24.32</v>
      </c>
      <c r="E3955" s="210"/>
    </row>
    <row r="3956" spans="1:5" ht="54">
      <c r="A3956" s="446">
        <v>92661</v>
      </c>
      <c r="B3956" s="447" t="s">
        <v>5941</v>
      </c>
      <c r="C3956" s="446" t="s">
        <v>34</v>
      </c>
      <c r="D3956" s="448">
        <v>27.89</v>
      </c>
      <c r="E3956" s="210"/>
    </row>
    <row r="3957" spans="1:5" ht="54">
      <c r="A3957" s="446">
        <v>92662</v>
      </c>
      <c r="B3957" s="447" t="s">
        <v>5942</v>
      </c>
      <c r="C3957" s="446" t="s">
        <v>34</v>
      </c>
      <c r="D3957" s="448">
        <v>28.14</v>
      </c>
      <c r="E3957" s="210"/>
    </row>
    <row r="3958" spans="1:5" ht="54">
      <c r="A3958" s="446">
        <v>92663</v>
      </c>
      <c r="B3958" s="447" t="s">
        <v>5943</v>
      </c>
      <c r="C3958" s="446" t="s">
        <v>34</v>
      </c>
      <c r="D3958" s="448">
        <v>38.17</v>
      </c>
      <c r="E3958" s="210"/>
    </row>
    <row r="3959" spans="1:5" ht="54">
      <c r="A3959" s="446">
        <v>92664</v>
      </c>
      <c r="B3959" s="447" t="s">
        <v>5944</v>
      </c>
      <c r="C3959" s="446" t="s">
        <v>34</v>
      </c>
      <c r="D3959" s="448">
        <v>38.15</v>
      </c>
      <c r="E3959" s="210"/>
    </row>
    <row r="3960" spans="1:5" ht="54">
      <c r="A3960" s="446">
        <v>92665</v>
      </c>
      <c r="B3960" s="447" t="s">
        <v>5945</v>
      </c>
      <c r="C3960" s="446" t="s">
        <v>34</v>
      </c>
      <c r="D3960" s="448">
        <v>53.38</v>
      </c>
      <c r="E3960" s="210"/>
    </row>
    <row r="3961" spans="1:5" ht="54">
      <c r="A3961" s="446">
        <v>92666</v>
      </c>
      <c r="B3961" s="447" t="s">
        <v>5946</v>
      </c>
      <c r="C3961" s="446" t="s">
        <v>34</v>
      </c>
      <c r="D3961" s="448">
        <v>61.07</v>
      </c>
      <c r="E3961" s="210"/>
    </row>
    <row r="3962" spans="1:5" ht="54">
      <c r="A3962" s="446">
        <v>92667</v>
      </c>
      <c r="B3962" s="447" t="s">
        <v>5947</v>
      </c>
      <c r="C3962" s="446" t="s">
        <v>34</v>
      </c>
      <c r="D3962" s="448">
        <v>79.900000000000006</v>
      </c>
      <c r="E3962" s="210"/>
    </row>
    <row r="3963" spans="1:5" ht="54">
      <c r="A3963" s="446">
        <v>92668</v>
      </c>
      <c r="B3963" s="447" t="s">
        <v>5948</v>
      </c>
      <c r="C3963" s="446" t="s">
        <v>34</v>
      </c>
      <c r="D3963" s="448">
        <v>86.75</v>
      </c>
      <c r="E3963" s="210"/>
    </row>
    <row r="3964" spans="1:5" ht="67.5">
      <c r="A3964" s="446">
        <v>92669</v>
      </c>
      <c r="B3964" s="447" t="s">
        <v>5949</v>
      </c>
      <c r="C3964" s="446" t="s">
        <v>34</v>
      </c>
      <c r="D3964" s="448">
        <v>27.83</v>
      </c>
      <c r="E3964" s="210"/>
    </row>
    <row r="3965" spans="1:5" ht="67.5">
      <c r="A3965" s="446">
        <v>92670</v>
      </c>
      <c r="B3965" s="447" t="s">
        <v>5950</v>
      </c>
      <c r="C3965" s="446" t="s">
        <v>34</v>
      </c>
      <c r="D3965" s="448">
        <v>26</v>
      </c>
      <c r="E3965" s="210"/>
    </row>
    <row r="3966" spans="1:5" ht="67.5">
      <c r="A3966" s="446">
        <v>92671</v>
      </c>
      <c r="B3966" s="447" t="s">
        <v>5951</v>
      </c>
      <c r="C3966" s="446" t="s">
        <v>34</v>
      </c>
      <c r="D3966" s="448">
        <v>37.18</v>
      </c>
      <c r="E3966" s="210"/>
    </row>
    <row r="3967" spans="1:5" ht="67.5">
      <c r="A3967" s="446">
        <v>92672</v>
      </c>
      <c r="B3967" s="447" t="s">
        <v>5952</v>
      </c>
      <c r="C3967" s="446" t="s">
        <v>34</v>
      </c>
      <c r="D3967" s="448">
        <v>33.520000000000003</v>
      </c>
      <c r="E3967" s="210"/>
    </row>
    <row r="3968" spans="1:5" ht="67.5">
      <c r="A3968" s="446">
        <v>92673</v>
      </c>
      <c r="B3968" s="447" t="s">
        <v>5953</v>
      </c>
      <c r="C3968" s="446" t="s">
        <v>34</v>
      </c>
      <c r="D3968" s="448">
        <v>43.02</v>
      </c>
      <c r="E3968" s="210"/>
    </row>
    <row r="3969" spans="1:5" ht="67.5">
      <c r="A3969" s="446">
        <v>92674</v>
      </c>
      <c r="B3969" s="447" t="s">
        <v>5954</v>
      </c>
      <c r="C3969" s="446" t="s">
        <v>34</v>
      </c>
      <c r="D3969" s="448">
        <v>40.5</v>
      </c>
      <c r="E3969" s="210"/>
    </row>
    <row r="3970" spans="1:5" ht="67.5">
      <c r="A3970" s="446">
        <v>92675</v>
      </c>
      <c r="B3970" s="447" t="s">
        <v>5955</v>
      </c>
      <c r="C3970" s="446" t="s">
        <v>34</v>
      </c>
      <c r="D3970" s="448">
        <v>56.55</v>
      </c>
      <c r="E3970" s="210"/>
    </row>
    <row r="3971" spans="1:5" ht="67.5">
      <c r="A3971" s="446">
        <v>92676</v>
      </c>
      <c r="B3971" s="447" t="s">
        <v>5956</v>
      </c>
      <c r="C3971" s="446" t="s">
        <v>34</v>
      </c>
      <c r="D3971" s="448">
        <v>54.84</v>
      </c>
      <c r="E3971" s="210"/>
    </row>
    <row r="3972" spans="1:5" ht="67.5">
      <c r="A3972" s="446">
        <v>92677</v>
      </c>
      <c r="B3972" s="447" t="s">
        <v>5957</v>
      </c>
      <c r="C3972" s="446" t="s">
        <v>34</v>
      </c>
      <c r="D3972" s="448">
        <v>94.85</v>
      </c>
      <c r="E3972" s="210"/>
    </row>
    <row r="3973" spans="1:5" ht="67.5">
      <c r="A3973" s="446">
        <v>92678</v>
      </c>
      <c r="B3973" s="447" t="s">
        <v>5958</v>
      </c>
      <c r="C3973" s="446" t="s">
        <v>34</v>
      </c>
      <c r="D3973" s="448">
        <v>87.32</v>
      </c>
      <c r="E3973" s="210"/>
    </row>
    <row r="3974" spans="1:5" ht="67.5">
      <c r="A3974" s="446">
        <v>92679</v>
      </c>
      <c r="B3974" s="447" t="s">
        <v>5959</v>
      </c>
      <c r="C3974" s="446" t="s">
        <v>34</v>
      </c>
      <c r="D3974" s="448">
        <v>131.56</v>
      </c>
      <c r="E3974" s="210"/>
    </row>
    <row r="3975" spans="1:5" ht="67.5">
      <c r="A3975" s="446">
        <v>92680</v>
      </c>
      <c r="B3975" s="447" t="s">
        <v>5960</v>
      </c>
      <c r="C3975" s="446" t="s">
        <v>34</v>
      </c>
      <c r="D3975" s="448">
        <v>117.05</v>
      </c>
      <c r="E3975" s="210"/>
    </row>
    <row r="3976" spans="1:5" ht="54">
      <c r="A3976" s="446">
        <v>92681</v>
      </c>
      <c r="B3976" s="447" t="s">
        <v>5961</v>
      </c>
      <c r="C3976" s="446" t="s">
        <v>34</v>
      </c>
      <c r="D3976" s="448">
        <v>35.369999999999997</v>
      </c>
      <c r="E3976" s="210"/>
    </row>
    <row r="3977" spans="1:5" ht="54">
      <c r="A3977" s="446">
        <v>92682</v>
      </c>
      <c r="B3977" s="447" t="s">
        <v>5962</v>
      </c>
      <c r="C3977" s="446" t="s">
        <v>34</v>
      </c>
      <c r="D3977" s="448">
        <v>45.12</v>
      </c>
      <c r="E3977" s="210"/>
    </row>
    <row r="3978" spans="1:5" ht="54">
      <c r="A3978" s="446">
        <v>92683</v>
      </c>
      <c r="B3978" s="447" t="s">
        <v>5963</v>
      </c>
      <c r="C3978" s="446" t="s">
        <v>34</v>
      </c>
      <c r="D3978" s="448">
        <v>53.07</v>
      </c>
      <c r="E3978" s="210"/>
    </row>
    <row r="3979" spans="1:5" ht="54">
      <c r="A3979" s="446">
        <v>92684</v>
      </c>
      <c r="B3979" s="447" t="s">
        <v>5964</v>
      </c>
      <c r="C3979" s="446" t="s">
        <v>34</v>
      </c>
      <c r="D3979" s="448">
        <v>73.09</v>
      </c>
      <c r="E3979" s="210"/>
    </row>
    <row r="3980" spans="1:5" ht="54">
      <c r="A3980" s="446">
        <v>92685</v>
      </c>
      <c r="B3980" s="447" t="s">
        <v>5965</v>
      </c>
      <c r="C3980" s="446" t="s">
        <v>34</v>
      </c>
      <c r="D3980" s="448">
        <v>120.21</v>
      </c>
      <c r="E3980" s="210"/>
    </row>
    <row r="3981" spans="1:5" ht="54">
      <c r="A3981" s="446">
        <v>92686</v>
      </c>
      <c r="B3981" s="447" t="s">
        <v>5966</v>
      </c>
      <c r="C3981" s="446" t="s">
        <v>34</v>
      </c>
      <c r="D3981" s="448">
        <v>154.69</v>
      </c>
      <c r="E3981" s="210"/>
    </row>
    <row r="3982" spans="1:5" ht="54">
      <c r="A3982" s="446">
        <v>92692</v>
      </c>
      <c r="B3982" s="447" t="s">
        <v>5967</v>
      </c>
      <c r="C3982" s="446" t="s">
        <v>34</v>
      </c>
      <c r="D3982" s="448">
        <v>9.8000000000000007</v>
      </c>
      <c r="E3982" s="210"/>
    </row>
    <row r="3983" spans="1:5" ht="54">
      <c r="A3983" s="446">
        <v>92693</v>
      </c>
      <c r="B3983" s="447" t="s">
        <v>5968</v>
      </c>
      <c r="C3983" s="446" t="s">
        <v>34</v>
      </c>
      <c r="D3983" s="448">
        <v>10.1</v>
      </c>
      <c r="E3983" s="210"/>
    </row>
    <row r="3984" spans="1:5" ht="54">
      <c r="A3984" s="446">
        <v>92694</v>
      </c>
      <c r="B3984" s="447" t="s">
        <v>5969</v>
      </c>
      <c r="C3984" s="446" t="s">
        <v>34</v>
      </c>
      <c r="D3984" s="448">
        <v>15.38</v>
      </c>
      <c r="E3984" s="210"/>
    </row>
    <row r="3985" spans="1:5" ht="54">
      <c r="A3985" s="446">
        <v>92695</v>
      </c>
      <c r="B3985" s="447" t="s">
        <v>5970</v>
      </c>
      <c r="C3985" s="446" t="s">
        <v>34</v>
      </c>
      <c r="D3985" s="448">
        <v>15.69</v>
      </c>
      <c r="E3985" s="210"/>
    </row>
    <row r="3986" spans="1:5" ht="54">
      <c r="A3986" s="446">
        <v>92696</v>
      </c>
      <c r="B3986" s="447" t="s">
        <v>5971</v>
      </c>
      <c r="C3986" s="446" t="s">
        <v>34</v>
      </c>
      <c r="D3986" s="448">
        <v>23.96</v>
      </c>
      <c r="E3986" s="210"/>
    </row>
    <row r="3987" spans="1:5" ht="54">
      <c r="A3987" s="446">
        <v>92697</v>
      </c>
      <c r="B3987" s="447" t="s">
        <v>5972</v>
      </c>
      <c r="C3987" s="446" t="s">
        <v>34</v>
      </c>
      <c r="D3987" s="448">
        <v>25.34</v>
      </c>
      <c r="E3987" s="210"/>
    </row>
    <row r="3988" spans="1:5" ht="54">
      <c r="A3988" s="446">
        <v>92698</v>
      </c>
      <c r="B3988" s="447" t="s">
        <v>5973</v>
      </c>
      <c r="C3988" s="446" t="s">
        <v>34</v>
      </c>
      <c r="D3988" s="448">
        <v>14.44</v>
      </c>
      <c r="E3988" s="210"/>
    </row>
    <row r="3989" spans="1:5" ht="54">
      <c r="A3989" s="446">
        <v>92699</v>
      </c>
      <c r="B3989" s="447" t="s">
        <v>5974</v>
      </c>
      <c r="C3989" s="446" t="s">
        <v>34</v>
      </c>
      <c r="D3989" s="448">
        <v>13.44</v>
      </c>
      <c r="E3989" s="210"/>
    </row>
    <row r="3990" spans="1:5" ht="54">
      <c r="A3990" s="446">
        <v>92700</v>
      </c>
      <c r="B3990" s="447" t="s">
        <v>5975</v>
      </c>
      <c r="C3990" s="446" t="s">
        <v>34</v>
      </c>
      <c r="D3990" s="448">
        <v>23.37</v>
      </c>
      <c r="E3990" s="210"/>
    </row>
    <row r="3991" spans="1:5" ht="54">
      <c r="A3991" s="446">
        <v>92701</v>
      </c>
      <c r="B3991" s="447" t="s">
        <v>5976</v>
      </c>
      <c r="C3991" s="446" t="s">
        <v>34</v>
      </c>
      <c r="D3991" s="448">
        <v>21.88</v>
      </c>
      <c r="E3991" s="210"/>
    </row>
    <row r="3992" spans="1:5" ht="54">
      <c r="A3992" s="446">
        <v>92702</v>
      </c>
      <c r="B3992" s="447" t="s">
        <v>5977</v>
      </c>
      <c r="C3992" s="446" t="s">
        <v>34</v>
      </c>
      <c r="D3992" s="448">
        <v>36.33</v>
      </c>
      <c r="E3992" s="210"/>
    </row>
    <row r="3993" spans="1:5" ht="54">
      <c r="A3993" s="446">
        <v>92703</v>
      </c>
      <c r="B3993" s="447" t="s">
        <v>5978</v>
      </c>
      <c r="C3993" s="446" t="s">
        <v>34</v>
      </c>
      <c r="D3993" s="448">
        <v>34.5</v>
      </c>
      <c r="E3993" s="210"/>
    </row>
    <row r="3994" spans="1:5" ht="54">
      <c r="A3994" s="446">
        <v>92704</v>
      </c>
      <c r="B3994" s="447" t="s">
        <v>5979</v>
      </c>
      <c r="C3994" s="446" t="s">
        <v>34</v>
      </c>
      <c r="D3994" s="448">
        <v>18.13</v>
      </c>
      <c r="E3994" s="210"/>
    </row>
    <row r="3995" spans="1:5" ht="54">
      <c r="A3995" s="446">
        <v>92705</v>
      </c>
      <c r="B3995" s="447" t="s">
        <v>5980</v>
      </c>
      <c r="C3995" s="446" t="s">
        <v>34</v>
      </c>
      <c r="D3995" s="448">
        <v>28.89</v>
      </c>
      <c r="E3995" s="210"/>
    </row>
    <row r="3996" spans="1:5" ht="54">
      <c r="A3996" s="446">
        <v>92706</v>
      </c>
      <c r="B3996" s="447" t="s">
        <v>5981</v>
      </c>
      <c r="C3996" s="446" t="s">
        <v>34</v>
      </c>
      <c r="D3996" s="448">
        <v>46.7</v>
      </c>
      <c r="E3996" s="210"/>
    </row>
    <row r="3997" spans="1:5" ht="54">
      <c r="A3997" s="446">
        <v>92889</v>
      </c>
      <c r="B3997" s="447" t="s">
        <v>5982</v>
      </c>
      <c r="C3997" s="446" t="s">
        <v>34</v>
      </c>
      <c r="D3997" s="448">
        <v>96.92</v>
      </c>
      <c r="E3997" s="210"/>
    </row>
    <row r="3998" spans="1:5" ht="54">
      <c r="A3998" s="446">
        <v>92890</v>
      </c>
      <c r="B3998" s="447" t="s">
        <v>5983</v>
      </c>
      <c r="C3998" s="446" t="s">
        <v>34</v>
      </c>
      <c r="D3998" s="448">
        <v>148.72</v>
      </c>
      <c r="E3998" s="210"/>
    </row>
    <row r="3999" spans="1:5" ht="54">
      <c r="A3999" s="446">
        <v>92891</v>
      </c>
      <c r="B3999" s="447" t="s">
        <v>5984</v>
      </c>
      <c r="C3999" s="446" t="s">
        <v>34</v>
      </c>
      <c r="D3999" s="448">
        <v>219.87</v>
      </c>
      <c r="E3999" s="210"/>
    </row>
    <row r="4000" spans="1:5" ht="54">
      <c r="A4000" s="446">
        <v>92892</v>
      </c>
      <c r="B4000" s="447" t="s">
        <v>5985</v>
      </c>
      <c r="C4000" s="446" t="s">
        <v>34</v>
      </c>
      <c r="D4000" s="448">
        <v>40.46</v>
      </c>
      <c r="E4000" s="210"/>
    </row>
    <row r="4001" spans="1:5" ht="54">
      <c r="A4001" s="446">
        <v>92893</v>
      </c>
      <c r="B4001" s="447" t="s">
        <v>5986</v>
      </c>
      <c r="C4001" s="446" t="s">
        <v>34</v>
      </c>
      <c r="D4001" s="448">
        <v>58.66</v>
      </c>
      <c r="E4001" s="210"/>
    </row>
    <row r="4002" spans="1:5" ht="54">
      <c r="A4002" s="446">
        <v>92894</v>
      </c>
      <c r="B4002" s="447" t="s">
        <v>5987</v>
      </c>
      <c r="C4002" s="446" t="s">
        <v>34</v>
      </c>
      <c r="D4002" s="448">
        <v>70.44</v>
      </c>
      <c r="E4002" s="210"/>
    </row>
    <row r="4003" spans="1:5" ht="54">
      <c r="A4003" s="446">
        <v>92895</v>
      </c>
      <c r="B4003" s="447" t="s">
        <v>5988</v>
      </c>
      <c r="C4003" s="446" t="s">
        <v>34</v>
      </c>
      <c r="D4003" s="448">
        <v>96.89</v>
      </c>
      <c r="E4003" s="210"/>
    </row>
    <row r="4004" spans="1:5" ht="54">
      <c r="A4004" s="446">
        <v>92896</v>
      </c>
      <c r="B4004" s="447" t="s">
        <v>5989</v>
      </c>
      <c r="C4004" s="446" t="s">
        <v>34</v>
      </c>
      <c r="D4004" s="448">
        <v>149.78</v>
      </c>
      <c r="E4004" s="210"/>
    </row>
    <row r="4005" spans="1:5" ht="54">
      <c r="A4005" s="446">
        <v>92897</v>
      </c>
      <c r="B4005" s="447" t="s">
        <v>5990</v>
      </c>
      <c r="C4005" s="446" t="s">
        <v>34</v>
      </c>
      <c r="D4005" s="448">
        <v>222.06</v>
      </c>
      <c r="E4005" s="210"/>
    </row>
    <row r="4006" spans="1:5" ht="54">
      <c r="A4006" s="446">
        <v>92898</v>
      </c>
      <c r="B4006" s="447" t="s">
        <v>5991</v>
      </c>
      <c r="C4006" s="446" t="s">
        <v>34</v>
      </c>
      <c r="D4006" s="448">
        <v>34.57</v>
      </c>
      <c r="E4006" s="210"/>
    </row>
    <row r="4007" spans="1:5" ht="54">
      <c r="A4007" s="446">
        <v>92899</v>
      </c>
      <c r="B4007" s="447" t="s">
        <v>5992</v>
      </c>
      <c r="C4007" s="446" t="s">
        <v>34</v>
      </c>
      <c r="D4007" s="448">
        <v>51.96</v>
      </c>
      <c r="E4007" s="210"/>
    </row>
    <row r="4008" spans="1:5" ht="54">
      <c r="A4008" s="446">
        <v>92900</v>
      </c>
      <c r="B4008" s="447" t="s">
        <v>5993</v>
      </c>
      <c r="C4008" s="446" t="s">
        <v>34</v>
      </c>
      <c r="D4008" s="448">
        <v>62.82</v>
      </c>
      <c r="E4008" s="210"/>
    </row>
    <row r="4009" spans="1:5" ht="54">
      <c r="A4009" s="446">
        <v>92901</v>
      </c>
      <c r="B4009" s="447" t="s">
        <v>5994</v>
      </c>
      <c r="C4009" s="446" t="s">
        <v>34</v>
      </c>
      <c r="D4009" s="448">
        <v>88.1</v>
      </c>
      <c r="E4009" s="210"/>
    </row>
    <row r="4010" spans="1:5" ht="54">
      <c r="A4010" s="446">
        <v>92902</v>
      </c>
      <c r="B4010" s="447" t="s">
        <v>5995</v>
      </c>
      <c r="C4010" s="446" t="s">
        <v>34</v>
      </c>
      <c r="D4010" s="448">
        <v>139.25</v>
      </c>
      <c r="E4010" s="210"/>
    </row>
    <row r="4011" spans="1:5" ht="54">
      <c r="A4011" s="446">
        <v>92903</v>
      </c>
      <c r="B4011" s="447" t="s">
        <v>5996</v>
      </c>
      <c r="C4011" s="446" t="s">
        <v>34</v>
      </c>
      <c r="D4011" s="448">
        <v>209.82</v>
      </c>
      <c r="E4011" s="210"/>
    </row>
    <row r="4012" spans="1:5" ht="54">
      <c r="A4012" s="446">
        <v>92904</v>
      </c>
      <c r="B4012" s="447" t="s">
        <v>5997</v>
      </c>
      <c r="C4012" s="446" t="s">
        <v>34</v>
      </c>
      <c r="D4012" s="448">
        <v>23.75</v>
      </c>
      <c r="E4012" s="210"/>
    </row>
    <row r="4013" spans="1:5" ht="54">
      <c r="A4013" s="446">
        <v>92905</v>
      </c>
      <c r="B4013" s="447" t="s">
        <v>5998</v>
      </c>
      <c r="C4013" s="446" t="s">
        <v>34</v>
      </c>
      <c r="D4013" s="448">
        <v>33.590000000000003</v>
      </c>
      <c r="E4013" s="210"/>
    </row>
    <row r="4014" spans="1:5" ht="54">
      <c r="A4014" s="446">
        <v>92906</v>
      </c>
      <c r="B4014" s="447" t="s">
        <v>5999</v>
      </c>
      <c r="C4014" s="446" t="s">
        <v>34</v>
      </c>
      <c r="D4014" s="448">
        <v>40.21</v>
      </c>
      <c r="E4014" s="210"/>
    </row>
    <row r="4015" spans="1:5" ht="54">
      <c r="A4015" s="446">
        <v>92907</v>
      </c>
      <c r="B4015" s="447" t="s">
        <v>6000</v>
      </c>
      <c r="C4015" s="446" t="s">
        <v>34</v>
      </c>
      <c r="D4015" s="448">
        <v>49.88</v>
      </c>
      <c r="E4015" s="210"/>
    </row>
    <row r="4016" spans="1:5" ht="54">
      <c r="A4016" s="446">
        <v>92908</v>
      </c>
      <c r="B4016" s="447" t="s">
        <v>6001</v>
      </c>
      <c r="C4016" s="446" t="s">
        <v>34</v>
      </c>
      <c r="D4016" s="448">
        <v>49.88</v>
      </c>
      <c r="E4016" s="210"/>
    </row>
    <row r="4017" spans="1:5" ht="54">
      <c r="A4017" s="446">
        <v>92909</v>
      </c>
      <c r="B4017" s="447" t="s">
        <v>6002</v>
      </c>
      <c r="C4017" s="446" t="s">
        <v>34</v>
      </c>
      <c r="D4017" s="448">
        <v>49.88</v>
      </c>
      <c r="E4017" s="210"/>
    </row>
    <row r="4018" spans="1:5" ht="54">
      <c r="A4018" s="446">
        <v>92910</v>
      </c>
      <c r="B4018" s="447" t="s">
        <v>6003</v>
      </c>
      <c r="C4018" s="446" t="s">
        <v>34</v>
      </c>
      <c r="D4018" s="448">
        <v>73.790000000000006</v>
      </c>
      <c r="E4018" s="210"/>
    </row>
    <row r="4019" spans="1:5" ht="54">
      <c r="A4019" s="446">
        <v>92911</v>
      </c>
      <c r="B4019" s="447" t="s">
        <v>6004</v>
      </c>
      <c r="C4019" s="446" t="s">
        <v>34</v>
      </c>
      <c r="D4019" s="448">
        <v>73.790000000000006</v>
      </c>
      <c r="E4019" s="210"/>
    </row>
    <row r="4020" spans="1:5" ht="54">
      <c r="A4020" s="446">
        <v>92912</v>
      </c>
      <c r="B4020" s="447" t="s">
        <v>6005</v>
      </c>
      <c r="C4020" s="446" t="s">
        <v>34</v>
      </c>
      <c r="D4020" s="448">
        <v>100.61</v>
      </c>
      <c r="E4020" s="210"/>
    </row>
    <row r="4021" spans="1:5" ht="54">
      <c r="A4021" s="446">
        <v>92913</v>
      </c>
      <c r="B4021" s="447" t="s">
        <v>6006</v>
      </c>
      <c r="C4021" s="446" t="s">
        <v>34</v>
      </c>
      <c r="D4021" s="448">
        <v>102.47</v>
      </c>
      <c r="E4021" s="210"/>
    </row>
    <row r="4022" spans="1:5" ht="54">
      <c r="A4022" s="446">
        <v>92914</v>
      </c>
      <c r="B4022" s="447" t="s">
        <v>6007</v>
      </c>
      <c r="C4022" s="446" t="s">
        <v>34</v>
      </c>
      <c r="D4022" s="448">
        <v>102.47</v>
      </c>
      <c r="E4022" s="210"/>
    </row>
    <row r="4023" spans="1:5" ht="54">
      <c r="A4023" s="446">
        <v>92918</v>
      </c>
      <c r="B4023" s="447" t="s">
        <v>6008</v>
      </c>
      <c r="C4023" s="446" t="s">
        <v>34</v>
      </c>
      <c r="D4023" s="448">
        <v>25.48</v>
      </c>
      <c r="E4023" s="210"/>
    </row>
    <row r="4024" spans="1:5" ht="54">
      <c r="A4024" s="446">
        <v>92920</v>
      </c>
      <c r="B4024" s="447" t="s">
        <v>6009</v>
      </c>
      <c r="C4024" s="446" t="s">
        <v>34</v>
      </c>
      <c r="D4024" s="448">
        <v>25.67</v>
      </c>
      <c r="E4024" s="210"/>
    </row>
    <row r="4025" spans="1:5" ht="67.5">
      <c r="A4025" s="446">
        <v>92925</v>
      </c>
      <c r="B4025" s="447" t="s">
        <v>6010</v>
      </c>
      <c r="C4025" s="446" t="s">
        <v>34</v>
      </c>
      <c r="D4025" s="448">
        <v>32.049999999999997</v>
      </c>
      <c r="E4025" s="210"/>
    </row>
    <row r="4026" spans="1:5" ht="67.5">
      <c r="A4026" s="446">
        <v>92926</v>
      </c>
      <c r="B4026" s="447" t="s">
        <v>6011</v>
      </c>
      <c r="C4026" s="446" t="s">
        <v>34</v>
      </c>
      <c r="D4026" s="448">
        <v>32.04</v>
      </c>
      <c r="E4026" s="210"/>
    </row>
    <row r="4027" spans="1:5" ht="67.5">
      <c r="A4027" s="446">
        <v>92927</v>
      </c>
      <c r="B4027" s="447" t="s">
        <v>6012</v>
      </c>
      <c r="C4027" s="446" t="s">
        <v>34</v>
      </c>
      <c r="D4027" s="448">
        <v>32.04</v>
      </c>
      <c r="E4027" s="210"/>
    </row>
    <row r="4028" spans="1:5" ht="67.5">
      <c r="A4028" s="446">
        <v>92928</v>
      </c>
      <c r="B4028" s="447" t="s">
        <v>6013</v>
      </c>
      <c r="C4028" s="446" t="s">
        <v>34</v>
      </c>
      <c r="D4028" s="448">
        <v>36.82</v>
      </c>
      <c r="E4028" s="210"/>
    </row>
    <row r="4029" spans="1:5" ht="67.5">
      <c r="A4029" s="446">
        <v>92929</v>
      </c>
      <c r="B4029" s="447" t="s">
        <v>6014</v>
      </c>
      <c r="C4029" s="446" t="s">
        <v>34</v>
      </c>
      <c r="D4029" s="448">
        <v>36.82</v>
      </c>
      <c r="E4029" s="210"/>
    </row>
    <row r="4030" spans="1:5" ht="67.5">
      <c r="A4030" s="446">
        <v>92930</v>
      </c>
      <c r="B4030" s="447" t="s">
        <v>6015</v>
      </c>
      <c r="C4030" s="446" t="s">
        <v>34</v>
      </c>
      <c r="D4030" s="448">
        <v>36.82</v>
      </c>
      <c r="E4030" s="210"/>
    </row>
    <row r="4031" spans="1:5" ht="67.5">
      <c r="A4031" s="446">
        <v>92931</v>
      </c>
      <c r="B4031" s="447" t="s">
        <v>6016</v>
      </c>
      <c r="C4031" s="446" t="s">
        <v>34</v>
      </c>
      <c r="D4031" s="448">
        <v>49.85</v>
      </c>
      <c r="E4031" s="210"/>
    </row>
    <row r="4032" spans="1:5" ht="67.5">
      <c r="A4032" s="446">
        <v>92932</v>
      </c>
      <c r="B4032" s="447" t="s">
        <v>6017</v>
      </c>
      <c r="C4032" s="446" t="s">
        <v>34</v>
      </c>
      <c r="D4032" s="448">
        <v>49.85</v>
      </c>
      <c r="E4032" s="210"/>
    </row>
    <row r="4033" spans="1:5" ht="54">
      <c r="A4033" s="446">
        <v>92933</v>
      </c>
      <c r="B4033" s="447" t="s">
        <v>6018</v>
      </c>
      <c r="C4033" s="446" t="s">
        <v>34</v>
      </c>
      <c r="D4033" s="448">
        <v>49.85</v>
      </c>
      <c r="E4033" s="210"/>
    </row>
    <row r="4034" spans="1:5" ht="67.5">
      <c r="A4034" s="446">
        <v>92934</v>
      </c>
      <c r="B4034" s="447" t="s">
        <v>6019</v>
      </c>
      <c r="C4034" s="446" t="s">
        <v>34</v>
      </c>
      <c r="D4034" s="448">
        <v>74.849999999999994</v>
      </c>
      <c r="E4034" s="210"/>
    </row>
    <row r="4035" spans="1:5" ht="67.5">
      <c r="A4035" s="446">
        <v>92935</v>
      </c>
      <c r="B4035" s="447" t="s">
        <v>6020</v>
      </c>
      <c r="C4035" s="446" t="s">
        <v>34</v>
      </c>
      <c r="D4035" s="448">
        <v>74.849999999999994</v>
      </c>
      <c r="E4035" s="210"/>
    </row>
    <row r="4036" spans="1:5" ht="67.5">
      <c r="A4036" s="446">
        <v>92936</v>
      </c>
      <c r="B4036" s="447" t="s">
        <v>6021</v>
      </c>
      <c r="C4036" s="446" t="s">
        <v>34</v>
      </c>
      <c r="D4036" s="448">
        <v>104.66</v>
      </c>
      <c r="E4036" s="210"/>
    </row>
    <row r="4037" spans="1:5" ht="54">
      <c r="A4037" s="446">
        <v>92937</v>
      </c>
      <c r="B4037" s="447" t="s">
        <v>6022</v>
      </c>
      <c r="C4037" s="446" t="s">
        <v>34</v>
      </c>
      <c r="D4037" s="448">
        <v>104.66</v>
      </c>
      <c r="E4037" s="210"/>
    </row>
    <row r="4038" spans="1:5" ht="54">
      <c r="A4038" s="446">
        <v>92938</v>
      </c>
      <c r="B4038" s="447" t="s">
        <v>6023</v>
      </c>
      <c r="C4038" s="446" t="s">
        <v>34</v>
      </c>
      <c r="D4038" s="448">
        <v>19.59</v>
      </c>
      <c r="E4038" s="210"/>
    </row>
    <row r="4039" spans="1:5" ht="54">
      <c r="A4039" s="446">
        <v>92939</v>
      </c>
      <c r="B4039" s="447" t="s">
        <v>6024</v>
      </c>
      <c r="C4039" s="446" t="s">
        <v>34</v>
      </c>
      <c r="D4039" s="448">
        <v>19.78</v>
      </c>
      <c r="E4039" s="210"/>
    </row>
    <row r="4040" spans="1:5" ht="67.5">
      <c r="A4040" s="446">
        <v>92940</v>
      </c>
      <c r="B4040" s="447" t="s">
        <v>6025</v>
      </c>
      <c r="C4040" s="446" t="s">
        <v>34</v>
      </c>
      <c r="D4040" s="448">
        <v>25.35</v>
      </c>
      <c r="E4040" s="210"/>
    </row>
    <row r="4041" spans="1:5" ht="67.5">
      <c r="A4041" s="446">
        <v>92941</v>
      </c>
      <c r="B4041" s="447" t="s">
        <v>6026</v>
      </c>
      <c r="C4041" s="446" t="s">
        <v>34</v>
      </c>
      <c r="D4041" s="448">
        <v>25.34</v>
      </c>
      <c r="E4041" s="210"/>
    </row>
    <row r="4042" spans="1:5" ht="67.5">
      <c r="A4042" s="446">
        <v>92942</v>
      </c>
      <c r="B4042" s="447" t="s">
        <v>6027</v>
      </c>
      <c r="C4042" s="446" t="s">
        <v>34</v>
      </c>
      <c r="D4042" s="448">
        <v>25.34</v>
      </c>
      <c r="E4042" s="210"/>
    </row>
    <row r="4043" spans="1:5" ht="67.5">
      <c r="A4043" s="446">
        <v>92943</v>
      </c>
      <c r="B4043" s="447" t="s">
        <v>6028</v>
      </c>
      <c r="C4043" s="446" t="s">
        <v>34</v>
      </c>
      <c r="D4043" s="448">
        <v>29.2</v>
      </c>
      <c r="E4043" s="210"/>
    </row>
    <row r="4044" spans="1:5" ht="67.5">
      <c r="A4044" s="446">
        <v>92944</v>
      </c>
      <c r="B4044" s="447" t="s">
        <v>6029</v>
      </c>
      <c r="C4044" s="446" t="s">
        <v>34</v>
      </c>
      <c r="D4044" s="448">
        <v>29.2</v>
      </c>
      <c r="E4044" s="210"/>
    </row>
    <row r="4045" spans="1:5" ht="67.5">
      <c r="A4045" s="446">
        <v>92945</v>
      </c>
      <c r="B4045" s="447" t="s">
        <v>6030</v>
      </c>
      <c r="C4045" s="446" t="s">
        <v>34</v>
      </c>
      <c r="D4045" s="448">
        <v>29.2</v>
      </c>
      <c r="E4045" s="210"/>
    </row>
    <row r="4046" spans="1:5" ht="67.5">
      <c r="A4046" s="446">
        <v>92946</v>
      </c>
      <c r="B4046" s="447" t="s">
        <v>6031</v>
      </c>
      <c r="C4046" s="446" t="s">
        <v>34</v>
      </c>
      <c r="D4046" s="448">
        <v>41.06</v>
      </c>
      <c r="E4046" s="210"/>
    </row>
    <row r="4047" spans="1:5" ht="67.5">
      <c r="A4047" s="446">
        <v>92947</v>
      </c>
      <c r="B4047" s="447" t="s">
        <v>6032</v>
      </c>
      <c r="C4047" s="446" t="s">
        <v>34</v>
      </c>
      <c r="D4047" s="448">
        <v>41.06</v>
      </c>
      <c r="E4047" s="210"/>
    </row>
    <row r="4048" spans="1:5" ht="54">
      <c r="A4048" s="446">
        <v>92948</v>
      </c>
      <c r="B4048" s="447" t="s">
        <v>6033</v>
      </c>
      <c r="C4048" s="446" t="s">
        <v>34</v>
      </c>
      <c r="D4048" s="448">
        <v>41.06</v>
      </c>
      <c r="E4048" s="210"/>
    </row>
    <row r="4049" spans="1:5" ht="67.5">
      <c r="A4049" s="446">
        <v>92949</v>
      </c>
      <c r="B4049" s="447" t="s">
        <v>6034</v>
      </c>
      <c r="C4049" s="446" t="s">
        <v>34</v>
      </c>
      <c r="D4049" s="448">
        <v>64.319999999999993</v>
      </c>
      <c r="E4049" s="210"/>
    </row>
    <row r="4050" spans="1:5" ht="67.5">
      <c r="A4050" s="446">
        <v>92950</v>
      </c>
      <c r="B4050" s="447" t="s">
        <v>6035</v>
      </c>
      <c r="C4050" s="446" t="s">
        <v>34</v>
      </c>
      <c r="D4050" s="448">
        <v>64.319999999999993</v>
      </c>
      <c r="E4050" s="210"/>
    </row>
    <row r="4051" spans="1:5" ht="67.5">
      <c r="A4051" s="446">
        <v>92951</v>
      </c>
      <c r="B4051" s="447" t="s">
        <v>6036</v>
      </c>
      <c r="C4051" s="446" t="s">
        <v>34</v>
      </c>
      <c r="D4051" s="448">
        <v>92.42</v>
      </c>
      <c r="E4051" s="210"/>
    </row>
    <row r="4052" spans="1:5" ht="54">
      <c r="A4052" s="446">
        <v>92952</v>
      </c>
      <c r="B4052" s="447" t="s">
        <v>6037</v>
      </c>
      <c r="C4052" s="446" t="s">
        <v>34</v>
      </c>
      <c r="D4052" s="448">
        <v>92.42</v>
      </c>
      <c r="E4052" s="210"/>
    </row>
    <row r="4053" spans="1:5" ht="54">
      <c r="A4053" s="446">
        <v>92953</v>
      </c>
      <c r="B4053" s="447" t="s">
        <v>6038</v>
      </c>
      <c r="C4053" s="446" t="s">
        <v>34</v>
      </c>
      <c r="D4053" s="448">
        <v>16.690000000000001</v>
      </c>
      <c r="E4053" s="210"/>
    </row>
    <row r="4054" spans="1:5" ht="40.5">
      <c r="A4054" s="446">
        <v>93050</v>
      </c>
      <c r="B4054" s="447" t="s">
        <v>3948</v>
      </c>
      <c r="C4054" s="446" t="s">
        <v>34</v>
      </c>
      <c r="D4054" s="448">
        <v>10.98</v>
      </c>
      <c r="E4054" s="210"/>
    </row>
    <row r="4055" spans="1:5" ht="54">
      <c r="A4055" s="446">
        <v>93051</v>
      </c>
      <c r="B4055" s="447" t="s">
        <v>3949</v>
      </c>
      <c r="C4055" s="446" t="s">
        <v>34</v>
      </c>
      <c r="D4055" s="448">
        <v>10.039999999999999</v>
      </c>
      <c r="E4055" s="210"/>
    </row>
    <row r="4056" spans="1:5" ht="40.5">
      <c r="A4056" s="446">
        <v>93052</v>
      </c>
      <c r="B4056" s="447" t="s">
        <v>3950</v>
      </c>
      <c r="C4056" s="446" t="s">
        <v>34</v>
      </c>
      <c r="D4056" s="448">
        <v>540.78</v>
      </c>
      <c r="E4056" s="210"/>
    </row>
    <row r="4057" spans="1:5" ht="54">
      <c r="A4057" s="446">
        <v>93054</v>
      </c>
      <c r="B4057" s="447" t="s">
        <v>3951</v>
      </c>
      <c r="C4057" s="446" t="s">
        <v>34</v>
      </c>
      <c r="D4057" s="448">
        <v>22.03</v>
      </c>
      <c r="E4057" s="210"/>
    </row>
    <row r="4058" spans="1:5" ht="54">
      <c r="A4058" s="446">
        <v>93055</v>
      </c>
      <c r="B4058" s="447" t="s">
        <v>3952</v>
      </c>
      <c r="C4058" s="446" t="s">
        <v>34</v>
      </c>
      <c r="D4058" s="448">
        <v>46.07</v>
      </c>
      <c r="E4058" s="210"/>
    </row>
    <row r="4059" spans="1:5" ht="40.5">
      <c r="A4059" s="446">
        <v>93056</v>
      </c>
      <c r="B4059" s="447" t="s">
        <v>3953</v>
      </c>
      <c r="C4059" s="446" t="s">
        <v>34</v>
      </c>
      <c r="D4059" s="448">
        <v>16.36</v>
      </c>
      <c r="E4059" s="210"/>
    </row>
    <row r="4060" spans="1:5" ht="54">
      <c r="A4060" s="446">
        <v>93057</v>
      </c>
      <c r="B4060" s="447" t="s">
        <v>3954</v>
      </c>
      <c r="C4060" s="446" t="s">
        <v>34</v>
      </c>
      <c r="D4060" s="448">
        <v>14.11</v>
      </c>
      <c r="E4060" s="210"/>
    </row>
    <row r="4061" spans="1:5" ht="40.5">
      <c r="A4061" s="446">
        <v>93058</v>
      </c>
      <c r="B4061" s="447" t="s">
        <v>3955</v>
      </c>
      <c r="C4061" s="446" t="s">
        <v>34</v>
      </c>
      <c r="D4061" s="448">
        <v>594.57000000000005</v>
      </c>
      <c r="E4061" s="210"/>
    </row>
    <row r="4062" spans="1:5" ht="54">
      <c r="A4062" s="446">
        <v>93059</v>
      </c>
      <c r="B4062" s="447" t="s">
        <v>3956</v>
      </c>
      <c r="C4062" s="446" t="s">
        <v>34</v>
      </c>
      <c r="D4062" s="448">
        <v>30.45</v>
      </c>
      <c r="E4062" s="210"/>
    </row>
    <row r="4063" spans="1:5" ht="54">
      <c r="A4063" s="446">
        <v>93060</v>
      </c>
      <c r="B4063" s="447" t="s">
        <v>3957</v>
      </c>
      <c r="C4063" s="446" t="s">
        <v>34</v>
      </c>
      <c r="D4063" s="448">
        <v>80.88</v>
      </c>
      <c r="E4063" s="210"/>
    </row>
    <row r="4064" spans="1:5" ht="40.5">
      <c r="A4064" s="446">
        <v>93061</v>
      </c>
      <c r="B4064" s="447" t="s">
        <v>3958</v>
      </c>
      <c r="C4064" s="446" t="s">
        <v>34</v>
      </c>
      <c r="D4064" s="448">
        <v>31.56</v>
      </c>
      <c r="E4064" s="210"/>
    </row>
    <row r="4065" spans="1:5" ht="54">
      <c r="A4065" s="446">
        <v>93062</v>
      </c>
      <c r="B4065" s="447" t="s">
        <v>3959</v>
      </c>
      <c r="C4065" s="446" t="s">
        <v>34</v>
      </c>
      <c r="D4065" s="448">
        <v>27.19</v>
      </c>
      <c r="E4065" s="210"/>
    </row>
    <row r="4066" spans="1:5" ht="54">
      <c r="A4066" s="446">
        <v>93063</v>
      </c>
      <c r="B4066" s="447" t="s">
        <v>3960</v>
      </c>
      <c r="C4066" s="446" t="s">
        <v>34</v>
      </c>
      <c r="D4066" s="448">
        <v>680.98</v>
      </c>
      <c r="E4066" s="210"/>
    </row>
    <row r="4067" spans="1:5" ht="40.5">
      <c r="A4067" s="446">
        <v>93064</v>
      </c>
      <c r="B4067" s="447" t="s">
        <v>3961</v>
      </c>
      <c r="C4067" s="446" t="s">
        <v>34</v>
      </c>
      <c r="D4067" s="448">
        <v>49.29</v>
      </c>
      <c r="E4067" s="210"/>
    </row>
    <row r="4068" spans="1:5" ht="54">
      <c r="A4068" s="446">
        <v>93065</v>
      </c>
      <c r="B4068" s="447" t="s">
        <v>3962</v>
      </c>
      <c r="C4068" s="446" t="s">
        <v>34</v>
      </c>
      <c r="D4068" s="448">
        <v>46.07</v>
      </c>
      <c r="E4068" s="210"/>
    </row>
    <row r="4069" spans="1:5" ht="54">
      <c r="A4069" s="446">
        <v>93066</v>
      </c>
      <c r="B4069" s="447" t="s">
        <v>3963</v>
      </c>
      <c r="C4069" s="446" t="s">
        <v>34</v>
      </c>
      <c r="D4069" s="448">
        <v>854.97</v>
      </c>
      <c r="E4069" s="210"/>
    </row>
    <row r="4070" spans="1:5" ht="40.5">
      <c r="A4070" s="446">
        <v>93067</v>
      </c>
      <c r="B4070" s="447" t="s">
        <v>3964</v>
      </c>
      <c r="C4070" s="446" t="s">
        <v>34</v>
      </c>
      <c r="D4070" s="448">
        <v>73.540000000000006</v>
      </c>
      <c r="E4070" s="210"/>
    </row>
    <row r="4071" spans="1:5" ht="54">
      <c r="A4071" s="446">
        <v>93068</v>
      </c>
      <c r="B4071" s="447" t="s">
        <v>3965</v>
      </c>
      <c r="C4071" s="446" t="s">
        <v>34</v>
      </c>
      <c r="D4071" s="448">
        <v>64.09</v>
      </c>
      <c r="E4071" s="210"/>
    </row>
    <row r="4072" spans="1:5" ht="54">
      <c r="A4072" s="446">
        <v>93069</v>
      </c>
      <c r="B4072" s="447" t="s">
        <v>3966</v>
      </c>
      <c r="C4072" s="446" t="s">
        <v>34</v>
      </c>
      <c r="D4072" s="448">
        <v>1185.17</v>
      </c>
      <c r="E4072" s="210"/>
    </row>
    <row r="4073" spans="1:5" ht="40.5">
      <c r="A4073" s="446">
        <v>93070</v>
      </c>
      <c r="B4073" s="447" t="s">
        <v>3967</v>
      </c>
      <c r="C4073" s="446" t="s">
        <v>34</v>
      </c>
      <c r="D4073" s="448">
        <v>188.43</v>
      </c>
      <c r="E4073" s="210"/>
    </row>
    <row r="4074" spans="1:5" ht="54">
      <c r="A4074" s="446">
        <v>93071</v>
      </c>
      <c r="B4074" s="447" t="s">
        <v>3968</v>
      </c>
      <c r="C4074" s="446" t="s">
        <v>34</v>
      </c>
      <c r="D4074" s="448">
        <v>174.8</v>
      </c>
      <c r="E4074" s="210"/>
    </row>
    <row r="4075" spans="1:5" ht="54">
      <c r="A4075" s="446">
        <v>93072</v>
      </c>
      <c r="B4075" s="447" t="s">
        <v>3969</v>
      </c>
      <c r="C4075" s="446" t="s">
        <v>34</v>
      </c>
      <c r="D4075" s="448">
        <v>1563.99</v>
      </c>
      <c r="E4075" s="210"/>
    </row>
    <row r="4076" spans="1:5" ht="67.5">
      <c r="A4076" s="446">
        <v>93073</v>
      </c>
      <c r="B4076" s="447" t="s">
        <v>3970</v>
      </c>
      <c r="C4076" s="446" t="s">
        <v>34</v>
      </c>
      <c r="D4076" s="448">
        <v>84.06</v>
      </c>
      <c r="E4076" s="210"/>
    </row>
    <row r="4077" spans="1:5" ht="54">
      <c r="A4077" s="446">
        <v>93074</v>
      </c>
      <c r="B4077" s="447" t="s">
        <v>3971</v>
      </c>
      <c r="C4077" s="446" t="s">
        <v>34</v>
      </c>
      <c r="D4077" s="448">
        <v>10.73</v>
      </c>
      <c r="E4077" s="210"/>
    </row>
    <row r="4078" spans="1:5" ht="67.5">
      <c r="A4078" s="446">
        <v>93075</v>
      </c>
      <c r="B4078" s="447" t="s">
        <v>3972</v>
      </c>
      <c r="C4078" s="446" t="s">
        <v>34</v>
      </c>
      <c r="D4078" s="448">
        <v>19.73</v>
      </c>
      <c r="E4078" s="210"/>
    </row>
    <row r="4079" spans="1:5" ht="54">
      <c r="A4079" s="446">
        <v>93076</v>
      </c>
      <c r="B4079" s="447" t="s">
        <v>3973</v>
      </c>
      <c r="C4079" s="446" t="s">
        <v>34</v>
      </c>
      <c r="D4079" s="448">
        <v>18.62</v>
      </c>
      <c r="E4079" s="210"/>
    </row>
    <row r="4080" spans="1:5" ht="67.5">
      <c r="A4080" s="446">
        <v>93077</v>
      </c>
      <c r="B4080" s="447" t="s">
        <v>3974</v>
      </c>
      <c r="C4080" s="446" t="s">
        <v>34</v>
      </c>
      <c r="D4080" s="448">
        <v>28.73</v>
      </c>
      <c r="E4080" s="210"/>
    </row>
    <row r="4081" spans="1:5" ht="67.5">
      <c r="A4081" s="446">
        <v>93078</v>
      </c>
      <c r="B4081" s="447" t="s">
        <v>3975</v>
      </c>
      <c r="C4081" s="446" t="s">
        <v>34</v>
      </c>
      <c r="D4081" s="448">
        <v>31.38</v>
      </c>
      <c r="E4081" s="210"/>
    </row>
    <row r="4082" spans="1:5" ht="54">
      <c r="A4082" s="446">
        <v>93079</v>
      </c>
      <c r="B4082" s="447" t="s">
        <v>3976</v>
      </c>
      <c r="C4082" s="446" t="s">
        <v>34</v>
      </c>
      <c r="D4082" s="448">
        <v>26.93</v>
      </c>
      <c r="E4082" s="210"/>
    </row>
    <row r="4083" spans="1:5" ht="54">
      <c r="A4083" s="446">
        <v>93080</v>
      </c>
      <c r="B4083" s="447" t="s">
        <v>3977</v>
      </c>
      <c r="C4083" s="446" t="s">
        <v>34</v>
      </c>
      <c r="D4083" s="448">
        <v>6.99</v>
      </c>
      <c r="E4083" s="210"/>
    </row>
    <row r="4084" spans="1:5" ht="54">
      <c r="A4084" s="446">
        <v>93081</v>
      </c>
      <c r="B4084" s="447" t="s">
        <v>3978</v>
      </c>
      <c r="C4084" s="446" t="s">
        <v>34</v>
      </c>
      <c r="D4084" s="448">
        <v>18.399999999999999</v>
      </c>
      <c r="E4084" s="210"/>
    </row>
    <row r="4085" spans="1:5" ht="67.5">
      <c r="A4085" s="446">
        <v>93082</v>
      </c>
      <c r="B4085" s="447" t="s">
        <v>3979</v>
      </c>
      <c r="C4085" s="446" t="s">
        <v>34</v>
      </c>
      <c r="D4085" s="448">
        <v>22.95</v>
      </c>
      <c r="E4085" s="210"/>
    </row>
    <row r="4086" spans="1:5" ht="54">
      <c r="A4086" s="446">
        <v>93083</v>
      </c>
      <c r="B4086" s="447" t="s">
        <v>3980</v>
      </c>
      <c r="C4086" s="446" t="s">
        <v>34</v>
      </c>
      <c r="D4086" s="448">
        <v>466.85</v>
      </c>
      <c r="E4086" s="210"/>
    </row>
    <row r="4087" spans="1:5" ht="54">
      <c r="A4087" s="446">
        <v>93084</v>
      </c>
      <c r="B4087" s="447" t="s">
        <v>3981</v>
      </c>
      <c r="C4087" s="446" t="s">
        <v>34</v>
      </c>
      <c r="D4087" s="448">
        <v>12.3</v>
      </c>
      <c r="E4087" s="210"/>
    </row>
    <row r="4088" spans="1:5" ht="67.5">
      <c r="A4088" s="446">
        <v>93085</v>
      </c>
      <c r="B4088" s="447" t="s">
        <v>3982</v>
      </c>
      <c r="C4088" s="446" t="s">
        <v>34</v>
      </c>
      <c r="D4088" s="448">
        <v>11.36</v>
      </c>
      <c r="E4088" s="210"/>
    </row>
    <row r="4089" spans="1:5" ht="54">
      <c r="A4089" s="446">
        <v>93086</v>
      </c>
      <c r="B4089" s="447" t="s">
        <v>3983</v>
      </c>
      <c r="C4089" s="446" t="s">
        <v>34</v>
      </c>
      <c r="D4089" s="448">
        <v>542.1</v>
      </c>
      <c r="E4089" s="210"/>
    </row>
    <row r="4090" spans="1:5" ht="54">
      <c r="A4090" s="446">
        <v>93087</v>
      </c>
      <c r="B4090" s="447" t="s">
        <v>3984</v>
      </c>
      <c r="C4090" s="446" t="s">
        <v>34</v>
      </c>
      <c r="D4090" s="448">
        <v>19.82</v>
      </c>
      <c r="E4090" s="210"/>
    </row>
    <row r="4091" spans="1:5" ht="54">
      <c r="A4091" s="446">
        <v>93088</v>
      </c>
      <c r="B4091" s="447" t="s">
        <v>3985</v>
      </c>
      <c r="C4091" s="446" t="s">
        <v>34</v>
      </c>
      <c r="D4091" s="448">
        <v>23.54</v>
      </c>
      <c r="E4091" s="210"/>
    </row>
    <row r="4092" spans="1:5" ht="67.5">
      <c r="A4092" s="446">
        <v>93089</v>
      </c>
      <c r="B4092" s="447" t="s">
        <v>3986</v>
      </c>
      <c r="C4092" s="446" t="s">
        <v>34</v>
      </c>
      <c r="D4092" s="448">
        <v>47.39</v>
      </c>
      <c r="E4092" s="210"/>
    </row>
    <row r="4093" spans="1:5" ht="54">
      <c r="A4093" s="446">
        <v>93090</v>
      </c>
      <c r="B4093" s="447" t="s">
        <v>3987</v>
      </c>
      <c r="C4093" s="446" t="s">
        <v>34</v>
      </c>
      <c r="D4093" s="448">
        <v>17.68</v>
      </c>
      <c r="E4093" s="210"/>
    </row>
    <row r="4094" spans="1:5" ht="54">
      <c r="A4094" s="446">
        <v>93091</v>
      </c>
      <c r="B4094" s="447" t="s">
        <v>3988</v>
      </c>
      <c r="C4094" s="446" t="s">
        <v>34</v>
      </c>
      <c r="D4094" s="448">
        <v>15.43</v>
      </c>
      <c r="E4094" s="210"/>
    </row>
    <row r="4095" spans="1:5" ht="54">
      <c r="A4095" s="446">
        <v>93092</v>
      </c>
      <c r="B4095" s="447" t="s">
        <v>3989</v>
      </c>
      <c r="C4095" s="446" t="s">
        <v>34</v>
      </c>
      <c r="D4095" s="448">
        <v>595.89</v>
      </c>
      <c r="E4095" s="210"/>
    </row>
    <row r="4096" spans="1:5" ht="54">
      <c r="A4096" s="446">
        <v>93093</v>
      </c>
      <c r="B4096" s="447" t="s">
        <v>3990</v>
      </c>
      <c r="C4096" s="446" t="s">
        <v>34</v>
      </c>
      <c r="D4096" s="448">
        <v>31.77</v>
      </c>
      <c r="E4096" s="210"/>
    </row>
    <row r="4097" spans="1:5" ht="67.5">
      <c r="A4097" s="446">
        <v>93094</v>
      </c>
      <c r="B4097" s="447" t="s">
        <v>3991</v>
      </c>
      <c r="C4097" s="446" t="s">
        <v>34</v>
      </c>
      <c r="D4097" s="448">
        <v>82.2</v>
      </c>
      <c r="E4097" s="210"/>
    </row>
    <row r="4098" spans="1:5" ht="67.5">
      <c r="A4098" s="446">
        <v>93095</v>
      </c>
      <c r="B4098" s="447" t="s">
        <v>3992</v>
      </c>
      <c r="C4098" s="446" t="s">
        <v>34</v>
      </c>
      <c r="D4098" s="448">
        <v>60.12</v>
      </c>
      <c r="E4098" s="210"/>
    </row>
    <row r="4099" spans="1:5" ht="67.5">
      <c r="A4099" s="446">
        <v>93096</v>
      </c>
      <c r="B4099" s="447" t="s">
        <v>3993</v>
      </c>
      <c r="C4099" s="446" t="s">
        <v>34</v>
      </c>
      <c r="D4099" s="448">
        <v>86.67</v>
      </c>
      <c r="E4099" s="210"/>
    </row>
    <row r="4100" spans="1:5" ht="54">
      <c r="A4100" s="446">
        <v>93097</v>
      </c>
      <c r="B4100" s="447" t="s">
        <v>3994</v>
      </c>
      <c r="C4100" s="446" t="s">
        <v>34</v>
      </c>
      <c r="D4100" s="448">
        <v>10.89</v>
      </c>
      <c r="E4100" s="210"/>
    </row>
    <row r="4101" spans="1:5" ht="67.5">
      <c r="A4101" s="446">
        <v>93098</v>
      </c>
      <c r="B4101" s="447" t="s">
        <v>3995</v>
      </c>
      <c r="C4101" s="446" t="s">
        <v>34</v>
      </c>
      <c r="D4101" s="448">
        <v>19.89</v>
      </c>
      <c r="E4101" s="210"/>
    </row>
    <row r="4102" spans="1:5" ht="54">
      <c r="A4102" s="446">
        <v>93099</v>
      </c>
      <c r="B4102" s="447" t="s">
        <v>3996</v>
      </c>
      <c r="C4102" s="446" t="s">
        <v>34</v>
      </c>
      <c r="D4102" s="448">
        <v>20.43</v>
      </c>
      <c r="E4102" s="210"/>
    </row>
    <row r="4103" spans="1:5" ht="67.5">
      <c r="A4103" s="446">
        <v>93100</v>
      </c>
      <c r="B4103" s="447" t="s">
        <v>3997</v>
      </c>
      <c r="C4103" s="446" t="s">
        <v>34</v>
      </c>
      <c r="D4103" s="448">
        <v>30.54</v>
      </c>
      <c r="E4103" s="210"/>
    </row>
    <row r="4104" spans="1:5" ht="67.5">
      <c r="A4104" s="446">
        <v>93101</v>
      </c>
      <c r="B4104" s="447" t="s">
        <v>3998</v>
      </c>
      <c r="C4104" s="446" t="s">
        <v>34</v>
      </c>
      <c r="D4104" s="448">
        <v>33.19</v>
      </c>
      <c r="E4104" s="210"/>
    </row>
    <row r="4105" spans="1:5" ht="54">
      <c r="A4105" s="446">
        <v>93102</v>
      </c>
      <c r="B4105" s="447" t="s">
        <v>3999</v>
      </c>
      <c r="C4105" s="446" t="s">
        <v>34</v>
      </c>
      <c r="D4105" s="448">
        <v>28.59</v>
      </c>
      <c r="E4105" s="210"/>
    </row>
    <row r="4106" spans="1:5" ht="54">
      <c r="A4106" s="446">
        <v>93103</v>
      </c>
      <c r="B4106" s="447" t="s">
        <v>4000</v>
      </c>
      <c r="C4106" s="446" t="s">
        <v>34</v>
      </c>
      <c r="D4106" s="448">
        <v>7.12</v>
      </c>
      <c r="E4106" s="210"/>
    </row>
    <row r="4107" spans="1:5" ht="54">
      <c r="A4107" s="446">
        <v>93104</v>
      </c>
      <c r="B4107" s="447" t="s">
        <v>4001</v>
      </c>
      <c r="C4107" s="446" t="s">
        <v>34</v>
      </c>
      <c r="D4107" s="448">
        <v>18.53</v>
      </c>
      <c r="E4107" s="210"/>
    </row>
    <row r="4108" spans="1:5" ht="54">
      <c r="A4108" s="446">
        <v>93105</v>
      </c>
      <c r="B4108" s="447" t="s">
        <v>4002</v>
      </c>
      <c r="C4108" s="446" t="s">
        <v>34</v>
      </c>
      <c r="D4108" s="448">
        <v>23.08</v>
      </c>
      <c r="E4108" s="210"/>
    </row>
    <row r="4109" spans="1:5" ht="54">
      <c r="A4109" s="446">
        <v>93106</v>
      </c>
      <c r="B4109" s="447" t="s">
        <v>4003</v>
      </c>
      <c r="C4109" s="446" t="s">
        <v>34</v>
      </c>
      <c r="D4109" s="448">
        <v>466.98</v>
      </c>
      <c r="E4109" s="210"/>
    </row>
    <row r="4110" spans="1:5" ht="54">
      <c r="A4110" s="446">
        <v>93107</v>
      </c>
      <c r="B4110" s="447" t="s">
        <v>4004</v>
      </c>
      <c r="C4110" s="446" t="s">
        <v>34</v>
      </c>
      <c r="D4110" s="448">
        <v>13.49</v>
      </c>
      <c r="E4110" s="210"/>
    </row>
    <row r="4111" spans="1:5" ht="54">
      <c r="A4111" s="446">
        <v>93108</v>
      </c>
      <c r="B4111" s="447" t="s">
        <v>4005</v>
      </c>
      <c r="C4111" s="446" t="s">
        <v>34</v>
      </c>
      <c r="D4111" s="448">
        <v>12.55</v>
      </c>
      <c r="E4111" s="210"/>
    </row>
    <row r="4112" spans="1:5" ht="54">
      <c r="A4112" s="446">
        <v>93109</v>
      </c>
      <c r="B4112" s="447" t="s">
        <v>4006</v>
      </c>
      <c r="C4112" s="446" t="s">
        <v>34</v>
      </c>
      <c r="D4112" s="448">
        <v>543.29</v>
      </c>
      <c r="E4112" s="210"/>
    </row>
    <row r="4113" spans="1:5" ht="54">
      <c r="A4113" s="446">
        <v>93110</v>
      </c>
      <c r="B4113" s="447" t="s">
        <v>4007</v>
      </c>
      <c r="C4113" s="446" t="s">
        <v>34</v>
      </c>
      <c r="D4113" s="448">
        <v>21.01</v>
      </c>
      <c r="E4113" s="210"/>
    </row>
    <row r="4114" spans="1:5" ht="54">
      <c r="A4114" s="446">
        <v>93111</v>
      </c>
      <c r="B4114" s="447" t="s">
        <v>4008</v>
      </c>
      <c r="C4114" s="446" t="s">
        <v>34</v>
      </c>
      <c r="D4114" s="448">
        <v>24.54</v>
      </c>
      <c r="E4114" s="210"/>
    </row>
    <row r="4115" spans="1:5" ht="54">
      <c r="A4115" s="446">
        <v>93112</v>
      </c>
      <c r="B4115" s="447" t="s">
        <v>4009</v>
      </c>
      <c r="C4115" s="446" t="s">
        <v>34</v>
      </c>
      <c r="D4115" s="448">
        <v>48.58</v>
      </c>
      <c r="E4115" s="210"/>
    </row>
    <row r="4116" spans="1:5" ht="54">
      <c r="A4116" s="446">
        <v>93113</v>
      </c>
      <c r="B4116" s="447" t="s">
        <v>4010</v>
      </c>
      <c r="C4116" s="446" t="s">
        <v>34</v>
      </c>
      <c r="D4116" s="448">
        <v>19.84</v>
      </c>
      <c r="E4116" s="210"/>
    </row>
    <row r="4117" spans="1:5" ht="54">
      <c r="A4117" s="446">
        <v>93114</v>
      </c>
      <c r="B4117" s="447" t="s">
        <v>4011</v>
      </c>
      <c r="C4117" s="446" t="s">
        <v>34</v>
      </c>
      <c r="D4117" s="448">
        <v>33.93</v>
      </c>
      <c r="E4117" s="210"/>
    </row>
    <row r="4118" spans="1:5" ht="54">
      <c r="A4118" s="446">
        <v>93115</v>
      </c>
      <c r="B4118" s="447" t="s">
        <v>4012</v>
      </c>
      <c r="C4118" s="446" t="s">
        <v>34</v>
      </c>
      <c r="D4118" s="448">
        <v>84.36</v>
      </c>
      <c r="E4118" s="210"/>
    </row>
    <row r="4119" spans="1:5" ht="54">
      <c r="A4119" s="446">
        <v>93116</v>
      </c>
      <c r="B4119" s="447" t="s">
        <v>4013</v>
      </c>
      <c r="C4119" s="446" t="s">
        <v>34</v>
      </c>
      <c r="D4119" s="448">
        <v>598.04999999999995</v>
      </c>
      <c r="E4119" s="210"/>
    </row>
    <row r="4120" spans="1:5" ht="67.5">
      <c r="A4120" s="446">
        <v>93117</v>
      </c>
      <c r="B4120" s="447" t="s">
        <v>4014</v>
      </c>
      <c r="C4120" s="446" t="s">
        <v>34</v>
      </c>
      <c r="D4120" s="448">
        <v>60.3</v>
      </c>
      <c r="E4120" s="210"/>
    </row>
    <row r="4121" spans="1:5" ht="67.5">
      <c r="A4121" s="446">
        <v>93118</v>
      </c>
      <c r="B4121" s="447" t="s">
        <v>4015</v>
      </c>
      <c r="C4121" s="446" t="s">
        <v>34</v>
      </c>
      <c r="D4121" s="448">
        <v>89.07</v>
      </c>
      <c r="E4121" s="210"/>
    </row>
    <row r="4122" spans="1:5" ht="54">
      <c r="A4122" s="446">
        <v>93119</v>
      </c>
      <c r="B4122" s="447" t="s">
        <v>4016</v>
      </c>
      <c r="C4122" s="446" t="s">
        <v>34</v>
      </c>
      <c r="D4122" s="448">
        <v>16.670000000000002</v>
      </c>
      <c r="E4122" s="210"/>
    </row>
    <row r="4123" spans="1:5" ht="54">
      <c r="A4123" s="446">
        <v>93120</v>
      </c>
      <c r="B4123" s="447" t="s">
        <v>4017</v>
      </c>
      <c r="C4123" s="446" t="s">
        <v>34</v>
      </c>
      <c r="D4123" s="448">
        <v>26.78</v>
      </c>
      <c r="E4123" s="210"/>
    </row>
    <row r="4124" spans="1:5" ht="54">
      <c r="A4124" s="446">
        <v>93121</v>
      </c>
      <c r="B4124" s="447" t="s">
        <v>4018</v>
      </c>
      <c r="C4124" s="446" t="s">
        <v>34</v>
      </c>
      <c r="D4124" s="448">
        <v>29.43</v>
      </c>
      <c r="E4124" s="210"/>
    </row>
    <row r="4125" spans="1:5" ht="54">
      <c r="A4125" s="446">
        <v>93122</v>
      </c>
      <c r="B4125" s="447" t="s">
        <v>4019</v>
      </c>
      <c r="C4125" s="446" t="s">
        <v>34</v>
      </c>
      <c r="D4125" s="448">
        <v>24.99</v>
      </c>
      <c r="E4125" s="210"/>
    </row>
    <row r="4126" spans="1:5" ht="54">
      <c r="A4126" s="446">
        <v>93123</v>
      </c>
      <c r="B4126" s="447" t="s">
        <v>4020</v>
      </c>
      <c r="C4126" s="446" t="s">
        <v>34</v>
      </c>
      <c r="D4126" s="448">
        <v>57.36</v>
      </c>
      <c r="E4126" s="210"/>
    </row>
    <row r="4127" spans="1:5" ht="54">
      <c r="A4127" s="446">
        <v>93124</v>
      </c>
      <c r="B4127" s="447" t="s">
        <v>4021</v>
      </c>
      <c r="C4127" s="446" t="s">
        <v>34</v>
      </c>
      <c r="D4127" s="448">
        <v>91.3</v>
      </c>
      <c r="E4127" s="210"/>
    </row>
    <row r="4128" spans="1:5" ht="54">
      <c r="A4128" s="446">
        <v>93125</v>
      </c>
      <c r="B4128" s="447" t="s">
        <v>4022</v>
      </c>
      <c r="C4128" s="446" t="s">
        <v>34</v>
      </c>
      <c r="D4128" s="448">
        <v>133.55000000000001</v>
      </c>
      <c r="E4128" s="210"/>
    </row>
    <row r="4129" spans="1:5" ht="54">
      <c r="A4129" s="446">
        <v>93126</v>
      </c>
      <c r="B4129" s="447" t="s">
        <v>4023</v>
      </c>
      <c r="C4129" s="446" t="s">
        <v>34</v>
      </c>
      <c r="D4129" s="448">
        <v>299.82</v>
      </c>
      <c r="E4129" s="210"/>
    </row>
    <row r="4130" spans="1:5" ht="54">
      <c r="A4130" s="446">
        <v>93133</v>
      </c>
      <c r="B4130" s="447" t="s">
        <v>4024</v>
      </c>
      <c r="C4130" s="446" t="s">
        <v>34</v>
      </c>
      <c r="D4130" s="448">
        <v>17.59</v>
      </c>
      <c r="E4130" s="210"/>
    </row>
    <row r="4131" spans="1:5" ht="81">
      <c r="A4131" s="446">
        <v>94465</v>
      </c>
      <c r="B4131" s="447" t="s">
        <v>2515</v>
      </c>
      <c r="C4131" s="446" t="s">
        <v>34</v>
      </c>
      <c r="D4131" s="448">
        <v>37.69</v>
      </c>
      <c r="E4131" s="210"/>
    </row>
    <row r="4132" spans="1:5" ht="81">
      <c r="A4132" s="446">
        <v>94466</v>
      </c>
      <c r="B4132" s="447" t="s">
        <v>2516</v>
      </c>
      <c r="C4132" s="446" t="s">
        <v>34</v>
      </c>
      <c r="D4132" s="448">
        <v>37.71</v>
      </c>
      <c r="E4132" s="210"/>
    </row>
    <row r="4133" spans="1:5" ht="81">
      <c r="A4133" s="446">
        <v>94467</v>
      </c>
      <c r="B4133" s="447" t="s">
        <v>2517</v>
      </c>
      <c r="C4133" s="446" t="s">
        <v>34</v>
      </c>
      <c r="D4133" s="448">
        <v>59.36</v>
      </c>
      <c r="E4133" s="210"/>
    </row>
    <row r="4134" spans="1:5" ht="81">
      <c r="A4134" s="446">
        <v>94468</v>
      </c>
      <c r="B4134" s="447" t="s">
        <v>2518</v>
      </c>
      <c r="C4134" s="446" t="s">
        <v>34</v>
      </c>
      <c r="D4134" s="448">
        <v>51.67</v>
      </c>
      <c r="E4134" s="210"/>
    </row>
    <row r="4135" spans="1:5" ht="81">
      <c r="A4135" s="446">
        <v>94469</v>
      </c>
      <c r="B4135" s="447" t="s">
        <v>2519</v>
      </c>
      <c r="C4135" s="446" t="s">
        <v>34</v>
      </c>
      <c r="D4135" s="448">
        <v>86.64</v>
      </c>
      <c r="E4135" s="210"/>
    </row>
    <row r="4136" spans="1:5" ht="81">
      <c r="A4136" s="446">
        <v>94470</v>
      </c>
      <c r="B4136" s="447" t="s">
        <v>2520</v>
      </c>
      <c r="C4136" s="446" t="s">
        <v>34</v>
      </c>
      <c r="D4136" s="448">
        <v>79.790000000000006</v>
      </c>
      <c r="E4136" s="210"/>
    </row>
    <row r="4137" spans="1:5" ht="81">
      <c r="A4137" s="446">
        <v>94471</v>
      </c>
      <c r="B4137" s="447" t="s">
        <v>2521</v>
      </c>
      <c r="C4137" s="446" t="s">
        <v>34</v>
      </c>
      <c r="D4137" s="448">
        <v>54.16</v>
      </c>
      <c r="E4137" s="210"/>
    </row>
    <row r="4138" spans="1:5" ht="81">
      <c r="A4138" s="446">
        <v>94472</v>
      </c>
      <c r="B4138" s="447" t="s">
        <v>2522</v>
      </c>
      <c r="C4138" s="446" t="s">
        <v>34</v>
      </c>
      <c r="D4138" s="448">
        <v>55.87</v>
      </c>
      <c r="E4138" s="210"/>
    </row>
    <row r="4139" spans="1:5" ht="81">
      <c r="A4139" s="446">
        <v>94473</v>
      </c>
      <c r="B4139" s="447" t="s">
        <v>2523</v>
      </c>
      <c r="C4139" s="446" t="s">
        <v>34</v>
      </c>
      <c r="D4139" s="448">
        <v>84.78</v>
      </c>
      <c r="E4139" s="210"/>
    </row>
    <row r="4140" spans="1:5" ht="81">
      <c r="A4140" s="446">
        <v>94474</v>
      </c>
      <c r="B4140" s="447" t="s">
        <v>2524</v>
      </c>
      <c r="C4140" s="446" t="s">
        <v>34</v>
      </c>
      <c r="D4140" s="448">
        <v>92.31</v>
      </c>
      <c r="E4140" s="210"/>
    </row>
    <row r="4141" spans="1:5" ht="81">
      <c r="A4141" s="446">
        <v>94475</v>
      </c>
      <c r="B4141" s="447" t="s">
        <v>2525</v>
      </c>
      <c r="C4141" s="446" t="s">
        <v>34</v>
      </c>
      <c r="D4141" s="448">
        <v>116.9</v>
      </c>
      <c r="E4141" s="210"/>
    </row>
    <row r="4142" spans="1:5" ht="81">
      <c r="A4142" s="446">
        <v>94476</v>
      </c>
      <c r="B4142" s="447" t="s">
        <v>2526</v>
      </c>
      <c r="C4142" s="446" t="s">
        <v>34</v>
      </c>
      <c r="D4142" s="448">
        <v>131.41</v>
      </c>
      <c r="E4142" s="210"/>
    </row>
    <row r="4143" spans="1:5" ht="81">
      <c r="A4143" s="446">
        <v>94477</v>
      </c>
      <c r="B4143" s="447" t="s">
        <v>2527</v>
      </c>
      <c r="C4143" s="446" t="s">
        <v>34</v>
      </c>
      <c r="D4143" s="448">
        <v>72.12</v>
      </c>
      <c r="E4143" s="210"/>
    </row>
    <row r="4144" spans="1:5" ht="81">
      <c r="A4144" s="446">
        <v>94478</v>
      </c>
      <c r="B4144" s="447" t="s">
        <v>2528</v>
      </c>
      <c r="C4144" s="446" t="s">
        <v>34</v>
      </c>
      <c r="D4144" s="448">
        <v>116.75</v>
      </c>
      <c r="E4144" s="210"/>
    </row>
    <row r="4145" spans="1:5" ht="81">
      <c r="A4145" s="446">
        <v>94479</v>
      </c>
      <c r="B4145" s="447" t="s">
        <v>2529</v>
      </c>
      <c r="C4145" s="446" t="s">
        <v>34</v>
      </c>
      <c r="D4145" s="448">
        <v>154.41</v>
      </c>
      <c r="E4145" s="210"/>
    </row>
    <row r="4146" spans="1:5" ht="67.5">
      <c r="A4146" s="446">
        <v>94606</v>
      </c>
      <c r="B4146" s="447" t="s">
        <v>4025</v>
      </c>
      <c r="C4146" s="446" t="s">
        <v>34</v>
      </c>
      <c r="D4146" s="448">
        <v>75.430000000000007</v>
      </c>
      <c r="E4146" s="210"/>
    </row>
    <row r="4147" spans="1:5" ht="67.5">
      <c r="A4147" s="446">
        <v>94608</v>
      </c>
      <c r="B4147" s="447" t="s">
        <v>4026</v>
      </c>
      <c r="C4147" s="446" t="s">
        <v>34</v>
      </c>
      <c r="D4147" s="448">
        <v>195.33</v>
      </c>
      <c r="E4147" s="210"/>
    </row>
    <row r="4148" spans="1:5" ht="67.5">
      <c r="A4148" s="446">
        <v>94610</v>
      </c>
      <c r="B4148" s="447" t="s">
        <v>4027</v>
      </c>
      <c r="C4148" s="446" t="s">
        <v>34</v>
      </c>
      <c r="D4148" s="448">
        <v>292.83</v>
      </c>
      <c r="E4148" s="210"/>
    </row>
    <row r="4149" spans="1:5" ht="67.5">
      <c r="A4149" s="446">
        <v>94612</v>
      </c>
      <c r="B4149" s="447" t="s">
        <v>4028</v>
      </c>
      <c r="C4149" s="446" t="s">
        <v>34</v>
      </c>
      <c r="D4149" s="448">
        <v>413.87</v>
      </c>
      <c r="E4149" s="210"/>
    </row>
    <row r="4150" spans="1:5" ht="81">
      <c r="A4150" s="446">
        <v>94614</v>
      </c>
      <c r="B4150" s="447" t="s">
        <v>4029</v>
      </c>
      <c r="C4150" s="446" t="s">
        <v>34</v>
      </c>
      <c r="D4150" s="448">
        <v>128.87</v>
      </c>
      <c r="E4150" s="210"/>
    </row>
    <row r="4151" spans="1:5" ht="81">
      <c r="A4151" s="446">
        <v>94615</v>
      </c>
      <c r="B4151" s="447" t="s">
        <v>4030</v>
      </c>
      <c r="C4151" s="446" t="s">
        <v>34</v>
      </c>
      <c r="D4151" s="448">
        <v>147.69</v>
      </c>
      <c r="E4151" s="210"/>
    </row>
    <row r="4152" spans="1:5" ht="81">
      <c r="A4152" s="446">
        <v>94616</v>
      </c>
      <c r="B4152" s="447" t="s">
        <v>4031</v>
      </c>
      <c r="C4152" s="446" t="s">
        <v>34</v>
      </c>
      <c r="D4152" s="448">
        <v>376.24</v>
      </c>
      <c r="E4152" s="210"/>
    </row>
    <row r="4153" spans="1:5" ht="81">
      <c r="A4153" s="446">
        <v>94617</v>
      </c>
      <c r="B4153" s="447" t="s">
        <v>4032</v>
      </c>
      <c r="C4153" s="446" t="s">
        <v>34</v>
      </c>
      <c r="D4153" s="448">
        <v>310.8</v>
      </c>
      <c r="E4153" s="210"/>
    </row>
    <row r="4154" spans="1:5" ht="81">
      <c r="A4154" s="446">
        <v>94618</v>
      </c>
      <c r="B4154" s="447" t="s">
        <v>4033</v>
      </c>
      <c r="C4154" s="446" t="s">
        <v>34</v>
      </c>
      <c r="D4154" s="448">
        <v>368.4</v>
      </c>
      <c r="E4154" s="210"/>
    </row>
    <row r="4155" spans="1:5" ht="81">
      <c r="A4155" s="446">
        <v>94620</v>
      </c>
      <c r="B4155" s="447" t="s">
        <v>4034</v>
      </c>
      <c r="C4155" s="446" t="s">
        <v>34</v>
      </c>
      <c r="D4155" s="448">
        <v>857.91</v>
      </c>
      <c r="E4155" s="210"/>
    </row>
    <row r="4156" spans="1:5" ht="67.5">
      <c r="A4156" s="446">
        <v>94622</v>
      </c>
      <c r="B4156" s="447" t="s">
        <v>4035</v>
      </c>
      <c r="C4156" s="446" t="s">
        <v>34</v>
      </c>
      <c r="D4156" s="448">
        <v>189.87</v>
      </c>
      <c r="E4156" s="210"/>
    </row>
    <row r="4157" spans="1:5" ht="67.5">
      <c r="A4157" s="446">
        <v>94623</v>
      </c>
      <c r="B4157" s="447" t="s">
        <v>4036</v>
      </c>
      <c r="C4157" s="446" t="s">
        <v>34</v>
      </c>
      <c r="D4157" s="448">
        <v>465.02</v>
      </c>
      <c r="E4157" s="210"/>
    </row>
    <row r="4158" spans="1:5" ht="67.5">
      <c r="A4158" s="446">
        <v>94624</v>
      </c>
      <c r="B4158" s="447" t="s">
        <v>4037</v>
      </c>
      <c r="C4158" s="446" t="s">
        <v>34</v>
      </c>
      <c r="D4158" s="448">
        <v>713.54</v>
      </c>
      <c r="E4158" s="210"/>
    </row>
    <row r="4159" spans="1:5" ht="67.5">
      <c r="A4159" s="446">
        <v>94625</v>
      </c>
      <c r="B4159" s="447" t="s">
        <v>4038</v>
      </c>
      <c r="C4159" s="446" t="s">
        <v>34</v>
      </c>
      <c r="D4159" s="448">
        <v>1500.88</v>
      </c>
      <c r="E4159" s="210"/>
    </row>
    <row r="4160" spans="1:5" ht="81">
      <c r="A4160" s="446">
        <v>94656</v>
      </c>
      <c r="B4160" s="447" t="s">
        <v>2555</v>
      </c>
      <c r="C4160" s="446" t="s">
        <v>34</v>
      </c>
      <c r="D4160" s="448">
        <v>5.12</v>
      </c>
      <c r="E4160" s="210"/>
    </row>
    <row r="4161" spans="1:5" ht="67.5">
      <c r="A4161" s="446">
        <v>94657</v>
      </c>
      <c r="B4161" s="447" t="s">
        <v>2556</v>
      </c>
      <c r="C4161" s="446" t="s">
        <v>34</v>
      </c>
      <c r="D4161" s="448">
        <v>5.03</v>
      </c>
      <c r="E4161" s="210"/>
    </row>
    <row r="4162" spans="1:5" ht="81">
      <c r="A4162" s="446">
        <v>94658</v>
      </c>
      <c r="B4162" s="447" t="s">
        <v>2557</v>
      </c>
      <c r="C4162" s="446" t="s">
        <v>34</v>
      </c>
      <c r="D4162" s="448">
        <v>6.05</v>
      </c>
      <c r="E4162" s="210"/>
    </row>
    <row r="4163" spans="1:5" ht="67.5">
      <c r="A4163" s="446">
        <v>94659</v>
      </c>
      <c r="B4163" s="447" t="s">
        <v>2558</v>
      </c>
      <c r="C4163" s="446" t="s">
        <v>34</v>
      </c>
      <c r="D4163" s="448">
        <v>6.15</v>
      </c>
      <c r="E4163" s="210"/>
    </row>
    <row r="4164" spans="1:5" ht="81">
      <c r="A4164" s="446">
        <v>94660</v>
      </c>
      <c r="B4164" s="447" t="s">
        <v>2559</v>
      </c>
      <c r="C4164" s="446" t="s">
        <v>34</v>
      </c>
      <c r="D4164" s="448">
        <v>10.130000000000001</v>
      </c>
      <c r="E4164" s="210"/>
    </row>
    <row r="4165" spans="1:5" ht="67.5">
      <c r="A4165" s="446">
        <v>94661</v>
      </c>
      <c r="B4165" s="447" t="s">
        <v>2560</v>
      </c>
      <c r="C4165" s="446" t="s">
        <v>34</v>
      </c>
      <c r="D4165" s="448">
        <v>10.57</v>
      </c>
      <c r="E4165" s="210"/>
    </row>
    <row r="4166" spans="1:5" ht="81">
      <c r="A4166" s="446">
        <v>94662</v>
      </c>
      <c r="B4166" s="447" t="s">
        <v>2561</v>
      </c>
      <c r="C4166" s="446" t="s">
        <v>34</v>
      </c>
      <c r="D4166" s="448">
        <v>11.06</v>
      </c>
      <c r="E4166" s="210"/>
    </row>
    <row r="4167" spans="1:5" ht="67.5">
      <c r="A4167" s="446">
        <v>94663</v>
      </c>
      <c r="B4167" s="447" t="s">
        <v>2562</v>
      </c>
      <c r="C4167" s="446" t="s">
        <v>34</v>
      </c>
      <c r="D4167" s="448">
        <v>11.24</v>
      </c>
      <c r="E4167" s="210"/>
    </row>
    <row r="4168" spans="1:5" ht="81">
      <c r="A4168" s="446">
        <v>94664</v>
      </c>
      <c r="B4168" s="447" t="s">
        <v>2563</v>
      </c>
      <c r="C4168" s="446" t="s">
        <v>34</v>
      </c>
      <c r="D4168" s="448">
        <v>24.55</v>
      </c>
      <c r="E4168" s="210"/>
    </row>
    <row r="4169" spans="1:5" ht="67.5">
      <c r="A4169" s="446">
        <v>94665</v>
      </c>
      <c r="B4169" s="447" t="s">
        <v>2564</v>
      </c>
      <c r="C4169" s="446" t="s">
        <v>34</v>
      </c>
      <c r="D4169" s="448">
        <v>24.53</v>
      </c>
      <c r="E4169" s="210"/>
    </row>
    <row r="4170" spans="1:5" ht="81">
      <c r="A4170" s="446">
        <v>94666</v>
      </c>
      <c r="B4170" s="447" t="s">
        <v>2565</v>
      </c>
      <c r="C4170" s="446" t="s">
        <v>34</v>
      </c>
      <c r="D4170" s="448">
        <v>29.9</v>
      </c>
      <c r="E4170" s="210"/>
    </row>
    <row r="4171" spans="1:5" ht="67.5">
      <c r="A4171" s="446">
        <v>94667</v>
      </c>
      <c r="B4171" s="447" t="s">
        <v>2566</v>
      </c>
      <c r="C4171" s="446" t="s">
        <v>34</v>
      </c>
      <c r="D4171" s="448">
        <v>33.24</v>
      </c>
      <c r="E4171" s="210"/>
    </row>
    <row r="4172" spans="1:5" ht="81">
      <c r="A4172" s="446">
        <v>94668</v>
      </c>
      <c r="B4172" s="447" t="s">
        <v>2567</v>
      </c>
      <c r="C4172" s="446" t="s">
        <v>34</v>
      </c>
      <c r="D4172" s="448">
        <v>51.36</v>
      </c>
      <c r="E4172" s="210"/>
    </row>
    <row r="4173" spans="1:5" ht="67.5">
      <c r="A4173" s="446">
        <v>94669</v>
      </c>
      <c r="B4173" s="447" t="s">
        <v>2568</v>
      </c>
      <c r="C4173" s="446" t="s">
        <v>34</v>
      </c>
      <c r="D4173" s="448">
        <v>70.09</v>
      </c>
      <c r="E4173" s="210"/>
    </row>
    <row r="4174" spans="1:5" ht="81">
      <c r="A4174" s="446">
        <v>94670</v>
      </c>
      <c r="B4174" s="447" t="s">
        <v>2569</v>
      </c>
      <c r="C4174" s="446" t="s">
        <v>34</v>
      </c>
      <c r="D4174" s="448">
        <v>68.03</v>
      </c>
      <c r="E4174" s="210"/>
    </row>
    <row r="4175" spans="1:5" ht="67.5">
      <c r="A4175" s="446">
        <v>94671</v>
      </c>
      <c r="B4175" s="447" t="s">
        <v>2570</v>
      </c>
      <c r="C4175" s="446" t="s">
        <v>34</v>
      </c>
      <c r="D4175" s="448">
        <v>99.25</v>
      </c>
      <c r="E4175" s="210"/>
    </row>
    <row r="4176" spans="1:5" ht="81">
      <c r="A4176" s="446">
        <v>94672</v>
      </c>
      <c r="B4176" s="447" t="s">
        <v>2571</v>
      </c>
      <c r="C4176" s="446" t="s">
        <v>34</v>
      </c>
      <c r="D4176" s="448">
        <v>8.7799999999999994</v>
      </c>
      <c r="E4176" s="210"/>
    </row>
    <row r="4177" spans="1:5" ht="67.5">
      <c r="A4177" s="446">
        <v>94673</v>
      </c>
      <c r="B4177" s="447" t="s">
        <v>2572</v>
      </c>
      <c r="C4177" s="446" t="s">
        <v>34</v>
      </c>
      <c r="D4177" s="448">
        <v>8.5299999999999994</v>
      </c>
      <c r="E4177" s="210"/>
    </row>
    <row r="4178" spans="1:5" ht="67.5">
      <c r="A4178" s="446">
        <v>94674</v>
      </c>
      <c r="B4178" s="447" t="s">
        <v>2573</v>
      </c>
      <c r="C4178" s="446" t="s">
        <v>34</v>
      </c>
      <c r="D4178" s="448">
        <v>7.66</v>
      </c>
      <c r="E4178" s="210"/>
    </row>
    <row r="4179" spans="1:5" ht="67.5">
      <c r="A4179" s="446">
        <v>94675</v>
      </c>
      <c r="B4179" s="447" t="s">
        <v>2574</v>
      </c>
      <c r="C4179" s="446" t="s">
        <v>34</v>
      </c>
      <c r="D4179" s="448">
        <v>12.38</v>
      </c>
      <c r="E4179" s="210"/>
    </row>
    <row r="4180" spans="1:5" ht="67.5">
      <c r="A4180" s="446">
        <v>94676</v>
      </c>
      <c r="B4180" s="447" t="s">
        <v>2575</v>
      </c>
      <c r="C4180" s="446" t="s">
        <v>34</v>
      </c>
      <c r="D4180" s="448">
        <v>13.6</v>
      </c>
      <c r="E4180" s="210"/>
    </row>
    <row r="4181" spans="1:5" ht="67.5">
      <c r="A4181" s="446">
        <v>94677</v>
      </c>
      <c r="B4181" s="447" t="s">
        <v>2576</v>
      </c>
      <c r="C4181" s="446" t="s">
        <v>34</v>
      </c>
      <c r="D4181" s="448">
        <v>20.69</v>
      </c>
      <c r="E4181" s="210"/>
    </row>
    <row r="4182" spans="1:5" ht="67.5">
      <c r="A4182" s="446">
        <v>94678</v>
      </c>
      <c r="B4182" s="447" t="s">
        <v>2577</v>
      </c>
      <c r="C4182" s="446" t="s">
        <v>34</v>
      </c>
      <c r="D4182" s="448">
        <v>14.01</v>
      </c>
      <c r="E4182" s="210"/>
    </row>
    <row r="4183" spans="1:5" ht="67.5">
      <c r="A4183" s="446">
        <v>94679</v>
      </c>
      <c r="B4183" s="447" t="s">
        <v>2578</v>
      </c>
      <c r="C4183" s="446" t="s">
        <v>34</v>
      </c>
      <c r="D4183" s="448">
        <v>23.37</v>
      </c>
      <c r="E4183" s="210"/>
    </row>
    <row r="4184" spans="1:5" ht="67.5">
      <c r="A4184" s="446">
        <v>94680</v>
      </c>
      <c r="B4184" s="447" t="s">
        <v>2579</v>
      </c>
      <c r="C4184" s="446" t="s">
        <v>34</v>
      </c>
      <c r="D4184" s="448">
        <v>39.6</v>
      </c>
      <c r="E4184" s="210"/>
    </row>
    <row r="4185" spans="1:5" ht="67.5">
      <c r="A4185" s="446">
        <v>94681</v>
      </c>
      <c r="B4185" s="447" t="s">
        <v>2580</v>
      </c>
      <c r="C4185" s="446" t="s">
        <v>34</v>
      </c>
      <c r="D4185" s="448">
        <v>52.41</v>
      </c>
      <c r="E4185" s="210"/>
    </row>
    <row r="4186" spans="1:5" ht="67.5">
      <c r="A4186" s="446">
        <v>94682</v>
      </c>
      <c r="B4186" s="447" t="s">
        <v>2581</v>
      </c>
      <c r="C4186" s="446" t="s">
        <v>34</v>
      </c>
      <c r="D4186" s="448">
        <v>105.52</v>
      </c>
      <c r="E4186" s="210"/>
    </row>
    <row r="4187" spans="1:5" ht="67.5">
      <c r="A4187" s="446">
        <v>94683</v>
      </c>
      <c r="B4187" s="447" t="s">
        <v>2582</v>
      </c>
      <c r="C4187" s="446" t="s">
        <v>34</v>
      </c>
      <c r="D4187" s="448">
        <v>67.91</v>
      </c>
      <c r="E4187" s="210"/>
    </row>
    <row r="4188" spans="1:5" ht="67.5">
      <c r="A4188" s="446">
        <v>94684</v>
      </c>
      <c r="B4188" s="447" t="s">
        <v>2583</v>
      </c>
      <c r="C4188" s="446" t="s">
        <v>34</v>
      </c>
      <c r="D4188" s="448">
        <v>134.68</v>
      </c>
      <c r="E4188" s="210"/>
    </row>
    <row r="4189" spans="1:5" ht="67.5">
      <c r="A4189" s="446">
        <v>94685</v>
      </c>
      <c r="B4189" s="447" t="s">
        <v>2584</v>
      </c>
      <c r="C4189" s="446" t="s">
        <v>34</v>
      </c>
      <c r="D4189" s="448">
        <v>103.37</v>
      </c>
      <c r="E4189" s="210"/>
    </row>
    <row r="4190" spans="1:5" ht="67.5">
      <c r="A4190" s="446">
        <v>94686</v>
      </c>
      <c r="B4190" s="447" t="s">
        <v>2585</v>
      </c>
      <c r="C4190" s="446" t="s">
        <v>34</v>
      </c>
      <c r="D4190" s="448">
        <v>252.72</v>
      </c>
      <c r="E4190" s="210"/>
    </row>
    <row r="4191" spans="1:5" ht="67.5">
      <c r="A4191" s="446">
        <v>94687</v>
      </c>
      <c r="B4191" s="447" t="s">
        <v>2586</v>
      </c>
      <c r="C4191" s="446" t="s">
        <v>34</v>
      </c>
      <c r="D4191" s="448">
        <v>205.52</v>
      </c>
      <c r="E4191" s="210"/>
    </row>
    <row r="4192" spans="1:5" ht="67.5">
      <c r="A4192" s="446">
        <v>94688</v>
      </c>
      <c r="B4192" s="447" t="s">
        <v>2587</v>
      </c>
      <c r="C4192" s="446" t="s">
        <v>34</v>
      </c>
      <c r="D4192" s="448">
        <v>8.8000000000000007</v>
      </c>
      <c r="E4192" s="210"/>
    </row>
    <row r="4193" spans="1:5" ht="81">
      <c r="A4193" s="446">
        <v>94689</v>
      </c>
      <c r="B4193" s="447" t="s">
        <v>2588</v>
      </c>
      <c r="C4193" s="446" t="s">
        <v>34</v>
      </c>
      <c r="D4193" s="448">
        <v>12.19</v>
      </c>
      <c r="E4193" s="210"/>
    </row>
    <row r="4194" spans="1:5" ht="67.5">
      <c r="A4194" s="446">
        <v>94690</v>
      </c>
      <c r="B4194" s="447" t="s">
        <v>2589</v>
      </c>
      <c r="C4194" s="446" t="s">
        <v>34</v>
      </c>
      <c r="D4194" s="448">
        <v>11.64</v>
      </c>
      <c r="E4194" s="210"/>
    </row>
    <row r="4195" spans="1:5" ht="67.5">
      <c r="A4195" s="446">
        <v>94691</v>
      </c>
      <c r="B4195" s="447" t="s">
        <v>2590</v>
      </c>
      <c r="C4195" s="446" t="s">
        <v>34</v>
      </c>
      <c r="D4195" s="448">
        <v>13.61</v>
      </c>
      <c r="E4195" s="210"/>
    </row>
    <row r="4196" spans="1:5" ht="67.5">
      <c r="A4196" s="446">
        <v>94692</v>
      </c>
      <c r="B4196" s="447" t="s">
        <v>2591</v>
      </c>
      <c r="C4196" s="446" t="s">
        <v>34</v>
      </c>
      <c r="D4196" s="448">
        <v>20.76</v>
      </c>
      <c r="E4196" s="210"/>
    </row>
    <row r="4197" spans="1:5" ht="67.5">
      <c r="A4197" s="446">
        <v>94693</v>
      </c>
      <c r="B4197" s="447" t="s">
        <v>2592</v>
      </c>
      <c r="C4197" s="446" t="s">
        <v>34</v>
      </c>
      <c r="D4197" s="448">
        <v>21.75</v>
      </c>
      <c r="E4197" s="210"/>
    </row>
    <row r="4198" spans="1:5" ht="67.5">
      <c r="A4198" s="446">
        <v>94694</v>
      </c>
      <c r="B4198" s="447" t="s">
        <v>2593</v>
      </c>
      <c r="C4198" s="446" t="s">
        <v>34</v>
      </c>
      <c r="D4198" s="448">
        <v>21.81</v>
      </c>
      <c r="E4198" s="210"/>
    </row>
    <row r="4199" spans="1:5" ht="67.5">
      <c r="A4199" s="446">
        <v>94695</v>
      </c>
      <c r="B4199" s="447" t="s">
        <v>2594</v>
      </c>
      <c r="C4199" s="446" t="s">
        <v>34</v>
      </c>
      <c r="D4199" s="448">
        <v>29.45</v>
      </c>
      <c r="E4199" s="210"/>
    </row>
    <row r="4200" spans="1:5" ht="67.5">
      <c r="A4200" s="446">
        <v>94696</v>
      </c>
      <c r="B4200" s="447" t="s">
        <v>2595</v>
      </c>
      <c r="C4200" s="446" t="s">
        <v>34</v>
      </c>
      <c r="D4200" s="448">
        <v>51.72</v>
      </c>
      <c r="E4200" s="210"/>
    </row>
    <row r="4201" spans="1:5" ht="67.5">
      <c r="A4201" s="446">
        <v>94697</v>
      </c>
      <c r="B4201" s="447" t="s">
        <v>2596</v>
      </c>
      <c r="C4201" s="446" t="s">
        <v>34</v>
      </c>
      <c r="D4201" s="448">
        <v>81.33</v>
      </c>
      <c r="E4201" s="210"/>
    </row>
    <row r="4202" spans="1:5" ht="67.5">
      <c r="A4202" s="446">
        <v>94698</v>
      </c>
      <c r="B4202" s="447" t="s">
        <v>2597</v>
      </c>
      <c r="C4202" s="446" t="s">
        <v>34</v>
      </c>
      <c r="D4202" s="448">
        <v>70.92</v>
      </c>
      <c r="E4202" s="210"/>
    </row>
    <row r="4203" spans="1:5" ht="67.5">
      <c r="A4203" s="446">
        <v>94699</v>
      </c>
      <c r="B4203" s="447" t="s">
        <v>2598</v>
      </c>
      <c r="C4203" s="446" t="s">
        <v>34</v>
      </c>
      <c r="D4203" s="448">
        <v>137.04</v>
      </c>
      <c r="E4203" s="210"/>
    </row>
    <row r="4204" spans="1:5" ht="67.5">
      <c r="A4204" s="446">
        <v>94700</v>
      </c>
      <c r="B4204" s="447" t="s">
        <v>2599</v>
      </c>
      <c r="C4204" s="446" t="s">
        <v>34</v>
      </c>
      <c r="D4204" s="448">
        <v>115.74</v>
      </c>
      <c r="E4204" s="210"/>
    </row>
    <row r="4205" spans="1:5" ht="67.5">
      <c r="A4205" s="446">
        <v>94701</v>
      </c>
      <c r="B4205" s="447" t="s">
        <v>2600</v>
      </c>
      <c r="C4205" s="446" t="s">
        <v>34</v>
      </c>
      <c r="D4205" s="448">
        <v>204.61</v>
      </c>
      <c r="E4205" s="210"/>
    </row>
    <row r="4206" spans="1:5" ht="67.5">
      <c r="A4206" s="446">
        <v>94702</v>
      </c>
      <c r="B4206" s="447" t="s">
        <v>2601</v>
      </c>
      <c r="C4206" s="446" t="s">
        <v>34</v>
      </c>
      <c r="D4206" s="448">
        <v>193.71</v>
      </c>
      <c r="E4206" s="210"/>
    </row>
    <row r="4207" spans="1:5" ht="81">
      <c r="A4207" s="446">
        <v>94703</v>
      </c>
      <c r="B4207" s="447" t="s">
        <v>2602</v>
      </c>
      <c r="C4207" s="446" t="s">
        <v>34</v>
      </c>
      <c r="D4207" s="448">
        <v>17.21</v>
      </c>
      <c r="E4207" s="210"/>
    </row>
    <row r="4208" spans="1:5" ht="81">
      <c r="A4208" s="446">
        <v>94704</v>
      </c>
      <c r="B4208" s="447" t="s">
        <v>528</v>
      </c>
      <c r="C4208" s="446" t="s">
        <v>34</v>
      </c>
      <c r="D4208" s="448">
        <v>20.49</v>
      </c>
      <c r="E4208" s="210"/>
    </row>
    <row r="4209" spans="1:5" ht="81">
      <c r="A4209" s="446">
        <v>94705</v>
      </c>
      <c r="B4209" s="447" t="s">
        <v>2603</v>
      </c>
      <c r="C4209" s="446" t="s">
        <v>34</v>
      </c>
      <c r="D4209" s="448">
        <v>25.44</v>
      </c>
      <c r="E4209" s="210"/>
    </row>
    <row r="4210" spans="1:5" ht="81">
      <c r="A4210" s="446">
        <v>94706</v>
      </c>
      <c r="B4210" s="447" t="s">
        <v>2604</v>
      </c>
      <c r="C4210" s="446" t="s">
        <v>34</v>
      </c>
      <c r="D4210" s="448">
        <v>37.770000000000003</v>
      </c>
      <c r="E4210" s="210"/>
    </row>
    <row r="4211" spans="1:5" ht="81">
      <c r="A4211" s="446">
        <v>94707</v>
      </c>
      <c r="B4211" s="447" t="s">
        <v>529</v>
      </c>
      <c r="C4211" s="446" t="s">
        <v>34</v>
      </c>
      <c r="D4211" s="448">
        <v>46.95</v>
      </c>
      <c r="E4211" s="210"/>
    </row>
    <row r="4212" spans="1:5" ht="81">
      <c r="A4212" s="446">
        <v>94708</v>
      </c>
      <c r="B4212" s="447" t="s">
        <v>2605</v>
      </c>
      <c r="C4212" s="446" t="s">
        <v>34</v>
      </c>
      <c r="D4212" s="448">
        <v>21.55</v>
      </c>
      <c r="E4212" s="210"/>
    </row>
    <row r="4213" spans="1:5" ht="81">
      <c r="A4213" s="446">
        <v>94709</v>
      </c>
      <c r="B4213" s="447" t="s">
        <v>2606</v>
      </c>
      <c r="C4213" s="446" t="s">
        <v>34</v>
      </c>
      <c r="D4213" s="448">
        <v>28.07</v>
      </c>
      <c r="E4213" s="210"/>
    </row>
    <row r="4214" spans="1:5" ht="81">
      <c r="A4214" s="446">
        <v>94710</v>
      </c>
      <c r="B4214" s="447" t="s">
        <v>2607</v>
      </c>
      <c r="C4214" s="446" t="s">
        <v>34</v>
      </c>
      <c r="D4214" s="448">
        <v>44.26</v>
      </c>
      <c r="E4214" s="210"/>
    </row>
    <row r="4215" spans="1:5" ht="81">
      <c r="A4215" s="446">
        <v>94711</v>
      </c>
      <c r="B4215" s="447" t="s">
        <v>2608</v>
      </c>
      <c r="C4215" s="446" t="s">
        <v>34</v>
      </c>
      <c r="D4215" s="448">
        <v>53.65</v>
      </c>
      <c r="E4215" s="210"/>
    </row>
    <row r="4216" spans="1:5" ht="81">
      <c r="A4216" s="446">
        <v>94712</v>
      </c>
      <c r="B4216" s="447" t="s">
        <v>2609</v>
      </c>
      <c r="C4216" s="446" t="s">
        <v>34</v>
      </c>
      <c r="D4216" s="448">
        <v>72.23</v>
      </c>
      <c r="E4216" s="210"/>
    </row>
    <row r="4217" spans="1:5" ht="81">
      <c r="A4217" s="446">
        <v>94713</v>
      </c>
      <c r="B4217" s="447" t="s">
        <v>2610</v>
      </c>
      <c r="C4217" s="446" t="s">
        <v>34</v>
      </c>
      <c r="D4217" s="448">
        <v>190.11</v>
      </c>
      <c r="E4217" s="210"/>
    </row>
    <row r="4218" spans="1:5" ht="81">
      <c r="A4218" s="446">
        <v>94714</v>
      </c>
      <c r="B4218" s="447" t="s">
        <v>2611</v>
      </c>
      <c r="C4218" s="446" t="s">
        <v>34</v>
      </c>
      <c r="D4218" s="448">
        <v>258.08999999999997</v>
      </c>
      <c r="E4218" s="210"/>
    </row>
    <row r="4219" spans="1:5" ht="81">
      <c r="A4219" s="446">
        <v>94715</v>
      </c>
      <c r="B4219" s="447" t="s">
        <v>2612</v>
      </c>
      <c r="C4219" s="446" t="s">
        <v>34</v>
      </c>
      <c r="D4219" s="448">
        <v>356.66</v>
      </c>
      <c r="E4219" s="210"/>
    </row>
    <row r="4220" spans="1:5" ht="67.5">
      <c r="A4220" s="446">
        <v>94724</v>
      </c>
      <c r="B4220" s="447" t="s">
        <v>2620</v>
      </c>
      <c r="C4220" s="446" t="s">
        <v>34</v>
      </c>
      <c r="D4220" s="448">
        <v>33.200000000000003</v>
      </c>
      <c r="E4220" s="210"/>
    </row>
    <row r="4221" spans="1:5" ht="67.5">
      <c r="A4221" s="446">
        <v>94725</v>
      </c>
      <c r="B4221" s="447" t="s">
        <v>2621</v>
      </c>
      <c r="C4221" s="446" t="s">
        <v>34</v>
      </c>
      <c r="D4221" s="448">
        <v>6.43</v>
      </c>
      <c r="E4221" s="210"/>
    </row>
    <row r="4222" spans="1:5" ht="67.5">
      <c r="A4222" s="446">
        <v>94726</v>
      </c>
      <c r="B4222" s="447" t="s">
        <v>2622</v>
      </c>
      <c r="C4222" s="446" t="s">
        <v>34</v>
      </c>
      <c r="D4222" s="448">
        <v>52.35</v>
      </c>
      <c r="E4222" s="210"/>
    </row>
    <row r="4223" spans="1:5" ht="67.5">
      <c r="A4223" s="446">
        <v>94727</v>
      </c>
      <c r="B4223" s="447" t="s">
        <v>2623</v>
      </c>
      <c r="C4223" s="446" t="s">
        <v>34</v>
      </c>
      <c r="D4223" s="448">
        <v>9.98</v>
      </c>
      <c r="E4223" s="210"/>
    </row>
    <row r="4224" spans="1:5" ht="67.5">
      <c r="A4224" s="446">
        <v>94728</v>
      </c>
      <c r="B4224" s="447" t="s">
        <v>2624</v>
      </c>
      <c r="C4224" s="446" t="s">
        <v>34</v>
      </c>
      <c r="D4224" s="448">
        <v>202.94</v>
      </c>
      <c r="E4224" s="210"/>
    </row>
    <row r="4225" spans="1:5" ht="67.5">
      <c r="A4225" s="446">
        <v>94729</v>
      </c>
      <c r="B4225" s="447" t="s">
        <v>2625</v>
      </c>
      <c r="C4225" s="446" t="s">
        <v>34</v>
      </c>
      <c r="D4225" s="448">
        <v>18.48</v>
      </c>
      <c r="E4225" s="210"/>
    </row>
    <row r="4226" spans="1:5" ht="67.5">
      <c r="A4226" s="446">
        <v>94730</v>
      </c>
      <c r="B4226" s="447" t="s">
        <v>2626</v>
      </c>
      <c r="C4226" s="446" t="s">
        <v>34</v>
      </c>
      <c r="D4226" s="448">
        <v>247.1</v>
      </c>
      <c r="E4226" s="210"/>
    </row>
    <row r="4227" spans="1:5" ht="67.5">
      <c r="A4227" s="446">
        <v>94731</v>
      </c>
      <c r="B4227" s="447" t="s">
        <v>2627</v>
      </c>
      <c r="C4227" s="446" t="s">
        <v>34</v>
      </c>
      <c r="D4227" s="448">
        <v>23.86</v>
      </c>
      <c r="E4227" s="210"/>
    </row>
    <row r="4228" spans="1:5" ht="67.5">
      <c r="A4228" s="446">
        <v>94733</v>
      </c>
      <c r="B4228" s="447" t="s">
        <v>2628</v>
      </c>
      <c r="C4228" s="446" t="s">
        <v>34</v>
      </c>
      <c r="D4228" s="448">
        <v>46.82</v>
      </c>
      <c r="E4228" s="210"/>
    </row>
    <row r="4229" spans="1:5" ht="67.5">
      <c r="A4229" s="446">
        <v>94737</v>
      </c>
      <c r="B4229" s="447" t="s">
        <v>2629</v>
      </c>
      <c r="C4229" s="446" t="s">
        <v>34</v>
      </c>
      <c r="D4229" s="448">
        <v>205.75</v>
      </c>
      <c r="E4229" s="210"/>
    </row>
    <row r="4230" spans="1:5" ht="67.5">
      <c r="A4230" s="446">
        <v>94740</v>
      </c>
      <c r="B4230" s="447" t="s">
        <v>2630</v>
      </c>
      <c r="C4230" s="446" t="s">
        <v>34</v>
      </c>
      <c r="D4230" s="448">
        <v>10.31</v>
      </c>
      <c r="E4230" s="210"/>
    </row>
    <row r="4231" spans="1:5" ht="67.5">
      <c r="A4231" s="446">
        <v>94741</v>
      </c>
      <c r="B4231" s="447" t="s">
        <v>2631</v>
      </c>
      <c r="C4231" s="446" t="s">
        <v>34</v>
      </c>
      <c r="D4231" s="448">
        <v>13.54</v>
      </c>
      <c r="E4231" s="210"/>
    </row>
    <row r="4232" spans="1:5" ht="67.5">
      <c r="A4232" s="446">
        <v>94742</v>
      </c>
      <c r="B4232" s="447" t="s">
        <v>2632</v>
      </c>
      <c r="C4232" s="446" t="s">
        <v>34</v>
      </c>
      <c r="D4232" s="448">
        <v>17.16</v>
      </c>
      <c r="E4232" s="210"/>
    </row>
    <row r="4233" spans="1:5" ht="67.5">
      <c r="A4233" s="446">
        <v>94743</v>
      </c>
      <c r="B4233" s="447" t="s">
        <v>2633</v>
      </c>
      <c r="C4233" s="446" t="s">
        <v>34</v>
      </c>
      <c r="D4233" s="448">
        <v>19.2</v>
      </c>
      <c r="E4233" s="210"/>
    </row>
    <row r="4234" spans="1:5" ht="67.5">
      <c r="A4234" s="446">
        <v>94744</v>
      </c>
      <c r="B4234" s="447" t="s">
        <v>2634</v>
      </c>
      <c r="C4234" s="446" t="s">
        <v>34</v>
      </c>
      <c r="D4234" s="448">
        <v>28.24</v>
      </c>
      <c r="E4234" s="210"/>
    </row>
    <row r="4235" spans="1:5" ht="67.5">
      <c r="A4235" s="446">
        <v>94746</v>
      </c>
      <c r="B4235" s="447" t="s">
        <v>2635</v>
      </c>
      <c r="C4235" s="446" t="s">
        <v>34</v>
      </c>
      <c r="D4235" s="448">
        <v>41.87</v>
      </c>
      <c r="E4235" s="210"/>
    </row>
    <row r="4236" spans="1:5" ht="67.5">
      <c r="A4236" s="446">
        <v>94748</v>
      </c>
      <c r="B4236" s="447" t="s">
        <v>2636</v>
      </c>
      <c r="C4236" s="446" t="s">
        <v>34</v>
      </c>
      <c r="D4236" s="448">
        <v>87.54</v>
      </c>
      <c r="E4236" s="210"/>
    </row>
    <row r="4237" spans="1:5" ht="67.5">
      <c r="A4237" s="446">
        <v>94750</v>
      </c>
      <c r="B4237" s="447" t="s">
        <v>2637</v>
      </c>
      <c r="C4237" s="446" t="s">
        <v>34</v>
      </c>
      <c r="D4237" s="448">
        <v>216.48</v>
      </c>
      <c r="E4237" s="210"/>
    </row>
    <row r="4238" spans="1:5" ht="67.5">
      <c r="A4238" s="446">
        <v>94752</v>
      </c>
      <c r="B4238" s="447" t="s">
        <v>2638</v>
      </c>
      <c r="C4238" s="446" t="s">
        <v>34</v>
      </c>
      <c r="D4238" s="448">
        <v>258.74</v>
      </c>
      <c r="E4238" s="210"/>
    </row>
    <row r="4239" spans="1:5" ht="67.5">
      <c r="A4239" s="446">
        <v>94756</v>
      </c>
      <c r="B4239" s="447" t="s">
        <v>2639</v>
      </c>
      <c r="C4239" s="446" t="s">
        <v>34</v>
      </c>
      <c r="D4239" s="448">
        <v>12.85</v>
      </c>
      <c r="E4239" s="210"/>
    </row>
    <row r="4240" spans="1:5" ht="67.5">
      <c r="A4240" s="446">
        <v>94757</v>
      </c>
      <c r="B4240" s="447" t="s">
        <v>2640</v>
      </c>
      <c r="C4240" s="446" t="s">
        <v>34</v>
      </c>
      <c r="D4240" s="448">
        <v>18.97</v>
      </c>
      <c r="E4240" s="210"/>
    </row>
    <row r="4241" spans="1:5" ht="67.5">
      <c r="A4241" s="446">
        <v>94758</v>
      </c>
      <c r="B4241" s="447" t="s">
        <v>2641</v>
      </c>
      <c r="C4241" s="446" t="s">
        <v>34</v>
      </c>
      <c r="D4241" s="448">
        <v>53.27</v>
      </c>
      <c r="E4241" s="210"/>
    </row>
    <row r="4242" spans="1:5" ht="67.5">
      <c r="A4242" s="446">
        <v>94759</v>
      </c>
      <c r="B4242" s="447" t="s">
        <v>2642</v>
      </c>
      <c r="C4242" s="446" t="s">
        <v>34</v>
      </c>
      <c r="D4242" s="448">
        <v>66.87</v>
      </c>
      <c r="E4242" s="210"/>
    </row>
    <row r="4243" spans="1:5" ht="67.5">
      <c r="A4243" s="446">
        <v>94760</v>
      </c>
      <c r="B4243" s="447" t="s">
        <v>2643</v>
      </c>
      <c r="C4243" s="446" t="s">
        <v>34</v>
      </c>
      <c r="D4243" s="448">
        <v>109.36</v>
      </c>
      <c r="E4243" s="210"/>
    </row>
    <row r="4244" spans="1:5" ht="67.5">
      <c r="A4244" s="446">
        <v>94761</v>
      </c>
      <c r="B4244" s="447" t="s">
        <v>2644</v>
      </c>
      <c r="C4244" s="446" t="s">
        <v>34</v>
      </c>
      <c r="D4244" s="448">
        <v>245.64</v>
      </c>
      <c r="E4244" s="210"/>
    </row>
    <row r="4245" spans="1:5" ht="67.5">
      <c r="A4245" s="446">
        <v>94762</v>
      </c>
      <c r="B4245" s="447" t="s">
        <v>2645</v>
      </c>
      <c r="C4245" s="446" t="s">
        <v>34</v>
      </c>
      <c r="D4245" s="448">
        <v>307.83999999999997</v>
      </c>
      <c r="E4245" s="210"/>
    </row>
    <row r="4246" spans="1:5" ht="81">
      <c r="A4246" s="446">
        <v>94783</v>
      </c>
      <c r="B4246" s="447" t="s">
        <v>2648</v>
      </c>
      <c r="C4246" s="446" t="s">
        <v>34</v>
      </c>
      <c r="D4246" s="448">
        <v>15.79</v>
      </c>
      <c r="E4246" s="210"/>
    </row>
    <row r="4247" spans="1:5" ht="81">
      <c r="A4247" s="446">
        <v>94785</v>
      </c>
      <c r="B4247" s="447" t="s">
        <v>2649</v>
      </c>
      <c r="C4247" s="446" t="s">
        <v>34</v>
      </c>
      <c r="D4247" s="448">
        <v>28.54</v>
      </c>
      <c r="E4247" s="210"/>
    </row>
    <row r="4248" spans="1:5" ht="81">
      <c r="A4248" s="446">
        <v>94786</v>
      </c>
      <c r="B4248" s="447" t="s">
        <v>530</v>
      </c>
      <c r="C4248" s="446" t="s">
        <v>34</v>
      </c>
      <c r="D4248" s="448">
        <v>37.78</v>
      </c>
      <c r="E4248" s="210"/>
    </row>
    <row r="4249" spans="1:5" ht="81">
      <c r="A4249" s="446">
        <v>94787</v>
      </c>
      <c r="B4249" s="447" t="s">
        <v>531</v>
      </c>
      <c r="C4249" s="446" t="s">
        <v>34</v>
      </c>
      <c r="D4249" s="448">
        <v>51.21</v>
      </c>
      <c r="E4249" s="210"/>
    </row>
    <row r="4250" spans="1:5" ht="81">
      <c r="A4250" s="446">
        <v>94788</v>
      </c>
      <c r="B4250" s="447" t="s">
        <v>2650</v>
      </c>
      <c r="C4250" s="446" t="s">
        <v>34</v>
      </c>
      <c r="D4250" s="448">
        <v>74.44</v>
      </c>
      <c r="E4250" s="210"/>
    </row>
    <row r="4251" spans="1:5" ht="81">
      <c r="A4251" s="446">
        <v>94789</v>
      </c>
      <c r="B4251" s="447" t="s">
        <v>532</v>
      </c>
      <c r="C4251" s="446" t="s">
        <v>34</v>
      </c>
      <c r="D4251" s="448">
        <v>235.67</v>
      </c>
      <c r="E4251" s="210"/>
    </row>
    <row r="4252" spans="1:5" ht="81">
      <c r="A4252" s="446">
        <v>94790</v>
      </c>
      <c r="B4252" s="447" t="s">
        <v>2651</v>
      </c>
      <c r="C4252" s="446" t="s">
        <v>34</v>
      </c>
      <c r="D4252" s="448">
        <v>272.76</v>
      </c>
      <c r="E4252" s="210"/>
    </row>
    <row r="4253" spans="1:5" ht="81">
      <c r="A4253" s="446">
        <v>94791</v>
      </c>
      <c r="B4253" s="447" t="s">
        <v>2652</v>
      </c>
      <c r="C4253" s="446" t="s">
        <v>34</v>
      </c>
      <c r="D4253" s="448">
        <v>382.48</v>
      </c>
      <c r="E4253" s="210"/>
    </row>
    <row r="4254" spans="1:5" ht="67.5">
      <c r="A4254" s="446">
        <v>94863</v>
      </c>
      <c r="B4254" s="447" t="s">
        <v>2656</v>
      </c>
      <c r="C4254" s="446" t="s">
        <v>34</v>
      </c>
      <c r="D4254" s="448">
        <v>178.48</v>
      </c>
      <c r="E4254" s="210"/>
    </row>
    <row r="4255" spans="1:5" ht="81">
      <c r="A4255" s="446">
        <v>95141</v>
      </c>
      <c r="B4255" s="447" t="s">
        <v>2685</v>
      </c>
      <c r="C4255" s="446" t="s">
        <v>34</v>
      </c>
      <c r="D4255" s="448">
        <v>26.53</v>
      </c>
      <c r="E4255" s="210"/>
    </row>
    <row r="4256" spans="1:5" ht="54">
      <c r="A4256" s="446">
        <v>95237</v>
      </c>
      <c r="B4256" s="447" t="s">
        <v>2693</v>
      </c>
      <c r="C4256" s="446" t="s">
        <v>34</v>
      </c>
      <c r="D4256" s="448">
        <v>21.85</v>
      </c>
      <c r="E4256" s="210"/>
    </row>
    <row r="4257" spans="1:5" ht="54">
      <c r="A4257" s="446">
        <v>95693</v>
      </c>
      <c r="B4257" s="447" t="s">
        <v>2881</v>
      </c>
      <c r="C4257" s="446" t="s">
        <v>34</v>
      </c>
      <c r="D4257" s="448">
        <v>54.36</v>
      </c>
      <c r="E4257" s="210"/>
    </row>
    <row r="4258" spans="1:5" ht="54">
      <c r="A4258" s="446">
        <v>95694</v>
      </c>
      <c r="B4258" s="447" t="s">
        <v>552</v>
      </c>
      <c r="C4258" s="446" t="s">
        <v>34</v>
      </c>
      <c r="D4258" s="448">
        <v>63.48</v>
      </c>
      <c r="E4258" s="210"/>
    </row>
    <row r="4259" spans="1:5" ht="54">
      <c r="A4259" s="446">
        <v>95695</v>
      </c>
      <c r="B4259" s="447" t="s">
        <v>2882</v>
      </c>
      <c r="C4259" s="446" t="s">
        <v>34</v>
      </c>
      <c r="D4259" s="448">
        <v>62.23</v>
      </c>
      <c r="E4259" s="210"/>
    </row>
    <row r="4260" spans="1:5" ht="40.5">
      <c r="A4260" s="446">
        <v>95696</v>
      </c>
      <c r="B4260" s="447" t="s">
        <v>6039</v>
      </c>
      <c r="C4260" s="446" t="s">
        <v>34</v>
      </c>
      <c r="D4260" s="448">
        <v>30.16</v>
      </c>
      <c r="E4260" s="210"/>
    </row>
    <row r="4261" spans="1:5" ht="54">
      <c r="A4261" s="446">
        <v>96637</v>
      </c>
      <c r="B4261" s="447" t="s">
        <v>3090</v>
      </c>
      <c r="C4261" s="446" t="s">
        <v>34</v>
      </c>
      <c r="D4261" s="448">
        <v>10.79</v>
      </c>
      <c r="E4261" s="210"/>
    </row>
    <row r="4262" spans="1:5" ht="54">
      <c r="A4262" s="446">
        <v>96638</v>
      </c>
      <c r="B4262" s="447" t="s">
        <v>3091</v>
      </c>
      <c r="C4262" s="446" t="s">
        <v>34</v>
      </c>
      <c r="D4262" s="448">
        <v>10.15</v>
      </c>
      <c r="E4262" s="210"/>
    </row>
    <row r="4263" spans="1:5" ht="40.5">
      <c r="A4263" s="446">
        <v>96639</v>
      </c>
      <c r="B4263" s="447" t="s">
        <v>3092</v>
      </c>
      <c r="C4263" s="446" t="s">
        <v>34</v>
      </c>
      <c r="D4263" s="448">
        <v>7.72</v>
      </c>
      <c r="E4263" s="210"/>
    </row>
    <row r="4264" spans="1:5" ht="54">
      <c r="A4264" s="446">
        <v>96640</v>
      </c>
      <c r="B4264" s="447" t="s">
        <v>3093</v>
      </c>
      <c r="C4264" s="446" t="s">
        <v>34</v>
      </c>
      <c r="D4264" s="448">
        <v>25.43</v>
      </c>
      <c r="E4264" s="210"/>
    </row>
    <row r="4265" spans="1:5" ht="54">
      <c r="A4265" s="446">
        <v>96641</v>
      </c>
      <c r="B4265" s="447" t="s">
        <v>3094</v>
      </c>
      <c r="C4265" s="446" t="s">
        <v>34</v>
      </c>
      <c r="D4265" s="448">
        <v>19.100000000000001</v>
      </c>
      <c r="E4265" s="210"/>
    </row>
    <row r="4266" spans="1:5" ht="40.5">
      <c r="A4266" s="446">
        <v>96642</v>
      </c>
      <c r="B4266" s="447" t="s">
        <v>3095</v>
      </c>
      <c r="C4266" s="446" t="s">
        <v>34</v>
      </c>
      <c r="D4266" s="448">
        <v>14.21</v>
      </c>
      <c r="E4266" s="210"/>
    </row>
    <row r="4267" spans="1:5" ht="54">
      <c r="A4267" s="446">
        <v>96643</v>
      </c>
      <c r="B4267" s="447" t="s">
        <v>3096</v>
      </c>
      <c r="C4267" s="446" t="s">
        <v>34</v>
      </c>
      <c r="D4267" s="448">
        <v>51.29</v>
      </c>
      <c r="E4267" s="210"/>
    </row>
    <row r="4268" spans="1:5" ht="54">
      <c r="A4268" s="446">
        <v>96650</v>
      </c>
      <c r="B4268" s="447" t="s">
        <v>3103</v>
      </c>
      <c r="C4268" s="446" t="s">
        <v>34</v>
      </c>
      <c r="D4268" s="448">
        <v>8.42</v>
      </c>
      <c r="E4268" s="210"/>
    </row>
    <row r="4269" spans="1:5" ht="54">
      <c r="A4269" s="446">
        <v>96651</v>
      </c>
      <c r="B4269" s="447" t="s">
        <v>3104</v>
      </c>
      <c r="C4269" s="446" t="s">
        <v>34</v>
      </c>
      <c r="D4269" s="448">
        <v>7.78</v>
      </c>
      <c r="E4269" s="210"/>
    </row>
    <row r="4270" spans="1:5" ht="54">
      <c r="A4270" s="446">
        <v>96652</v>
      </c>
      <c r="B4270" s="447" t="s">
        <v>3105</v>
      </c>
      <c r="C4270" s="446" t="s">
        <v>34</v>
      </c>
      <c r="D4270" s="448">
        <v>15.49</v>
      </c>
      <c r="E4270" s="210"/>
    </row>
    <row r="4271" spans="1:5" ht="54">
      <c r="A4271" s="446">
        <v>96653</v>
      </c>
      <c r="B4271" s="447" t="s">
        <v>3106</v>
      </c>
      <c r="C4271" s="446" t="s">
        <v>34</v>
      </c>
      <c r="D4271" s="448">
        <v>15.42</v>
      </c>
      <c r="E4271" s="210"/>
    </row>
    <row r="4272" spans="1:5" ht="54">
      <c r="A4272" s="446">
        <v>96654</v>
      </c>
      <c r="B4272" s="447" t="s">
        <v>3107</v>
      </c>
      <c r="C4272" s="446" t="s">
        <v>34</v>
      </c>
      <c r="D4272" s="448">
        <v>26.21</v>
      </c>
      <c r="E4272" s="210"/>
    </row>
    <row r="4273" spans="1:5" ht="54">
      <c r="A4273" s="446">
        <v>96655</v>
      </c>
      <c r="B4273" s="447" t="s">
        <v>3108</v>
      </c>
      <c r="C4273" s="446" t="s">
        <v>34</v>
      </c>
      <c r="D4273" s="448">
        <v>25.51</v>
      </c>
      <c r="E4273" s="210"/>
    </row>
    <row r="4274" spans="1:5" ht="54">
      <c r="A4274" s="446">
        <v>96656</v>
      </c>
      <c r="B4274" s="447" t="s">
        <v>3109</v>
      </c>
      <c r="C4274" s="446" t="s">
        <v>34</v>
      </c>
      <c r="D4274" s="448">
        <v>6.16</v>
      </c>
      <c r="E4274" s="210"/>
    </row>
    <row r="4275" spans="1:5" ht="54">
      <c r="A4275" s="446">
        <v>96657</v>
      </c>
      <c r="B4275" s="447" t="s">
        <v>3110</v>
      </c>
      <c r="C4275" s="446" t="s">
        <v>34</v>
      </c>
      <c r="D4275" s="448">
        <v>23.87</v>
      </c>
      <c r="E4275" s="210"/>
    </row>
    <row r="4276" spans="1:5" ht="54">
      <c r="A4276" s="446">
        <v>96658</v>
      </c>
      <c r="B4276" s="447" t="s">
        <v>3111</v>
      </c>
      <c r="C4276" s="446" t="s">
        <v>34</v>
      </c>
      <c r="D4276" s="448">
        <v>17.54</v>
      </c>
      <c r="E4276" s="210"/>
    </row>
    <row r="4277" spans="1:5" ht="54">
      <c r="A4277" s="446">
        <v>96659</v>
      </c>
      <c r="B4277" s="447" t="s">
        <v>3112</v>
      </c>
      <c r="C4277" s="446" t="s">
        <v>34</v>
      </c>
      <c r="D4277" s="448">
        <v>10.54</v>
      </c>
      <c r="E4277" s="210"/>
    </row>
    <row r="4278" spans="1:5" ht="54">
      <c r="A4278" s="446">
        <v>96660</v>
      </c>
      <c r="B4278" s="447" t="s">
        <v>3113</v>
      </c>
      <c r="C4278" s="446" t="s">
        <v>34</v>
      </c>
      <c r="D4278" s="448">
        <v>40.06</v>
      </c>
      <c r="E4278" s="210"/>
    </row>
    <row r="4279" spans="1:5" ht="54">
      <c r="A4279" s="446">
        <v>96661</v>
      </c>
      <c r="B4279" s="447" t="s">
        <v>3114</v>
      </c>
      <c r="C4279" s="446" t="s">
        <v>34</v>
      </c>
      <c r="D4279" s="448">
        <v>30.34</v>
      </c>
      <c r="E4279" s="210"/>
    </row>
    <row r="4280" spans="1:5" ht="54">
      <c r="A4280" s="446">
        <v>96662</v>
      </c>
      <c r="B4280" s="447" t="s">
        <v>3115</v>
      </c>
      <c r="C4280" s="446" t="s">
        <v>34</v>
      </c>
      <c r="D4280" s="448">
        <v>10.87</v>
      </c>
      <c r="E4280" s="210"/>
    </row>
    <row r="4281" spans="1:5" ht="54">
      <c r="A4281" s="446">
        <v>96663</v>
      </c>
      <c r="B4281" s="447" t="s">
        <v>3116</v>
      </c>
      <c r="C4281" s="446" t="s">
        <v>34</v>
      </c>
      <c r="D4281" s="448">
        <v>20.28</v>
      </c>
      <c r="E4281" s="210"/>
    </row>
    <row r="4282" spans="1:5" ht="54">
      <c r="A4282" s="446">
        <v>96664</v>
      </c>
      <c r="B4282" s="447" t="s">
        <v>3117</v>
      </c>
      <c r="C4282" s="446" t="s">
        <v>34</v>
      </c>
      <c r="D4282" s="448">
        <v>22.36</v>
      </c>
      <c r="E4282" s="210"/>
    </row>
    <row r="4283" spans="1:5" ht="54">
      <c r="A4283" s="446">
        <v>96665</v>
      </c>
      <c r="B4283" s="447" t="s">
        <v>3118</v>
      </c>
      <c r="C4283" s="446" t="s">
        <v>34</v>
      </c>
      <c r="D4283" s="448">
        <v>11.04</v>
      </c>
      <c r="E4283" s="210"/>
    </row>
    <row r="4284" spans="1:5" ht="54">
      <c r="A4284" s="446">
        <v>96666</v>
      </c>
      <c r="B4284" s="447" t="s">
        <v>3119</v>
      </c>
      <c r="C4284" s="446" t="s">
        <v>34</v>
      </c>
      <c r="D4284" s="448">
        <v>20.8</v>
      </c>
      <c r="E4284" s="210"/>
    </row>
    <row r="4285" spans="1:5" ht="54">
      <c r="A4285" s="446">
        <v>96667</v>
      </c>
      <c r="B4285" s="447" t="s">
        <v>3120</v>
      </c>
      <c r="C4285" s="446" t="s">
        <v>34</v>
      </c>
      <c r="D4285" s="448">
        <v>37.82</v>
      </c>
      <c r="E4285" s="210"/>
    </row>
    <row r="4286" spans="1:5" ht="40.5">
      <c r="A4286" s="446">
        <v>96684</v>
      </c>
      <c r="B4286" s="447" t="s">
        <v>3137</v>
      </c>
      <c r="C4286" s="446" t="s">
        <v>34</v>
      </c>
      <c r="D4286" s="448">
        <v>4.88</v>
      </c>
      <c r="E4286" s="210"/>
    </row>
    <row r="4287" spans="1:5" ht="40.5">
      <c r="A4287" s="446">
        <v>96685</v>
      </c>
      <c r="B4287" s="447" t="s">
        <v>3138</v>
      </c>
      <c r="C4287" s="446" t="s">
        <v>34</v>
      </c>
      <c r="D4287" s="448">
        <v>4.24</v>
      </c>
      <c r="E4287" s="210"/>
    </row>
    <row r="4288" spans="1:5" ht="40.5">
      <c r="A4288" s="446">
        <v>96686</v>
      </c>
      <c r="B4288" s="447" t="s">
        <v>3139</v>
      </c>
      <c r="C4288" s="446" t="s">
        <v>34</v>
      </c>
      <c r="D4288" s="448">
        <v>7.36</v>
      </c>
      <c r="E4288" s="210"/>
    </row>
    <row r="4289" spans="1:5" ht="40.5">
      <c r="A4289" s="446">
        <v>96687</v>
      </c>
      <c r="B4289" s="447" t="s">
        <v>3140</v>
      </c>
      <c r="C4289" s="446" t="s">
        <v>34</v>
      </c>
      <c r="D4289" s="448">
        <v>7.29</v>
      </c>
      <c r="E4289" s="210"/>
    </row>
    <row r="4290" spans="1:5" ht="40.5">
      <c r="A4290" s="446">
        <v>96688</v>
      </c>
      <c r="B4290" s="447" t="s">
        <v>3141</v>
      </c>
      <c r="C4290" s="446" t="s">
        <v>34</v>
      </c>
      <c r="D4290" s="448">
        <v>13.08</v>
      </c>
      <c r="E4290" s="210"/>
    </row>
    <row r="4291" spans="1:5" ht="40.5">
      <c r="A4291" s="446">
        <v>96689</v>
      </c>
      <c r="B4291" s="447" t="s">
        <v>3142</v>
      </c>
      <c r="C4291" s="446" t="s">
        <v>34</v>
      </c>
      <c r="D4291" s="448">
        <v>12.38</v>
      </c>
      <c r="E4291" s="210"/>
    </row>
    <row r="4292" spans="1:5" ht="40.5">
      <c r="A4292" s="446">
        <v>96690</v>
      </c>
      <c r="B4292" s="447" t="s">
        <v>3143</v>
      </c>
      <c r="C4292" s="446" t="s">
        <v>34</v>
      </c>
      <c r="D4292" s="448">
        <v>25.24</v>
      </c>
      <c r="E4292" s="210"/>
    </row>
    <row r="4293" spans="1:5" ht="40.5">
      <c r="A4293" s="446">
        <v>96691</v>
      </c>
      <c r="B4293" s="447" t="s">
        <v>3144</v>
      </c>
      <c r="C4293" s="446" t="s">
        <v>34</v>
      </c>
      <c r="D4293" s="448">
        <v>26.19</v>
      </c>
      <c r="E4293" s="210"/>
    </row>
    <row r="4294" spans="1:5" ht="40.5">
      <c r="A4294" s="446">
        <v>96692</v>
      </c>
      <c r="B4294" s="447" t="s">
        <v>3145</v>
      </c>
      <c r="C4294" s="446" t="s">
        <v>34</v>
      </c>
      <c r="D4294" s="448">
        <v>38.06</v>
      </c>
      <c r="E4294" s="210"/>
    </row>
    <row r="4295" spans="1:5" ht="40.5">
      <c r="A4295" s="446">
        <v>96693</v>
      </c>
      <c r="B4295" s="447" t="s">
        <v>3146</v>
      </c>
      <c r="C4295" s="446" t="s">
        <v>34</v>
      </c>
      <c r="D4295" s="448">
        <v>35.74</v>
      </c>
      <c r="E4295" s="210"/>
    </row>
    <row r="4296" spans="1:5" ht="40.5">
      <c r="A4296" s="446">
        <v>96694</v>
      </c>
      <c r="B4296" s="447" t="s">
        <v>3147</v>
      </c>
      <c r="C4296" s="446" t="s">
        <v>34</v>
      </c>
      <c r="D4296" s="448">
        <v>88.3</v>
      </c>
      <c r="E4296" s="210"/>
    </row>
    <row r="4297" spans="1:5" ht="40.5">
      <c r="A4297" s="446">
        <v>96695</v>
      </c>
      <c r="B4297" s="447" t="s">
        <v>3148</v>
      </c>
      <c r="C4297" s="446" t="s">
        <v>34</v>
      </c>
      <c r="D4297" s="448">
        <v>85.57</v>
      </c>
      <c r="E4297" s="210"/>
    </row>
    <row r="4298" spans="1:5" ht="40.5">
      <c r="A4298" s="446">
        <v>96696</v>
      </c>
      <c r="B4298" s="447" t="s">
        <v>3149</v>
      </c>
      <c r="C4298" s="446" t="s">
        <v>34</v>
      </c>
      <c r="D4298" s="448">
        <v>133.62</v>
      </c>
      <c r="E4298" s="210"/>
    </row>
    <row r="4299" spans="1:5" ht="40.5">
      <c r="A4299" s="446">
        <v>96697</v>
      </c>
      <c r="B4299" s="447" t="s">
        <v>3150</v>
      </c>
      <c r="C4299" s="446" t="s">
        <v>34</v>
      </c>
      <c r="D4299" s="448">
        <v>200.1</v>
      </c>
      <c r="E4299" s="210"/>
    </row>
    <row r="4300" spans="1:5" ht="40.5">
      <c r="A4300" s="446">
        <v>96698</v>
      </c>
      <c r="B4300" s="447" t="s">
        <v>3151</v>
      </c>
      <c r="C4300" s="446" t="s">
        <v>34</v>
      </c>
      <c r="D4300" s="448">
        <v>3.79</v>
      </c>
      <c r="E4300" s="210"/>
    </row>
    <row r="4301" spans="1:5" ht="40.5">
      <c r="A4301" s="446">
        <v>96699</v>
      </c>
      <c r="B4301" s="447" t="s">
        <v>3152</v>
      </c>
      <c r="C4301" s="446" t="s">
        <v>34</v>
      </c>
      <c r="D4301" s="448">
        <v>21.5</v>
      </c>
      <c r="E4301" s="210"/>
    </row>
    <row r="4302" spans="1:5" ht="40.5">
      <c r="A4302" s="446">
        <v>96700</v>
      </c>
      <c r="B4302" s="447" t="s">
        <v>3153</v>
      </c>
      <c r="C4302" s="446" t="s">
        <v>34</v>
      </c>
      <c r="D4302" s="448">
        <v>15.17</v>
      </c>
      <c r="E4302" s="210"/>
    </row>
    <row r="4303" spans="1:5" ht="40.5">
      <c r="A4303" s="446">
        <v>96701</v>
      </c>
      <c r="B4303" s="447" t="s">
        <v>3154</v>
      </c>
      <c r="C4303" s="446" t="s">
        <v>34</v>
      </c>
      <c r="D4303" s="448">
        <v>5.12</v>
      </c>
      <c r="E4303" s="210"/>
    </row>
    <row r="4304" spans="1:5" ht="40.5">
      <c r="A4304" s="446">
        <v>96702</v>
      </c>
      <c r="B4304" s="447" t="s">
        <v>3155</v>
      </c>
      <c r="C4304" s="446" t="s">
        <v>34</v>
      </c>
      <c r="D4304" s="448">
        <v>5.45</v>
      </c>
      <c r="E4304" s="210"/>
    </row>
    <row r="4305" spans="1:5" ht="40.5">
      <c r="A4305" s="446">
        <v>96703</v>
      </c>
      <c r="B4305" s="447" t="s">
        <v>3156</v>
      </c>
      <c r="C4305" s="446" t="s">
        <v>34</v>
      </c>
      <c r="D4305" s="448">
        <v>11.5</v>
      </c>
      <c r="E4305" s="210"/>
    </row>
    <row r="4306" spans="1:5" ht="40.5">
      <c r="A4306" s="446">
        <v>96704</v>
      </c>
      <c r="B4306" s="447" t="s">
        <v>3157</v>
      </c>
      <c r="C4306" s="446" t="s">
        <v>34</v>
      </c>
      <c r="D4306" s="448">
        <v>13.58</v>
      </c>
      <c r="E4306" s="210"/>
    </row>
    <row r="4307" spans="1:5" ht="40.5">
      <c r="A4307" s="446">
        <v>96705</v>
      </c>
      <c r="B4307" s="447" t="s">
        <v>3158</v>
      </c>
      <c r="C4307" s="446" t="s">
        <v>34</v>
      </c>
      <c r="D4307" s="448">
        <v>17.34</v>
      </c>
      <c r="E4307" s="210"/>
    </row>
    <row r="4308" spans="1:5" ht="40.5">
      <c r="A4308" s="446">
        <v>96706</v>
      </c>
      <c r="B4308" s="447" t="s">
        <v>3159</v>
      </c>
      <c r="C4308" s="446" t="s">
        <v>34</v>
      </c>
      <c r="D4308" s="448">
        <v>25.97</v>
      </c>
      <c r="E4308" s="210"/>
    </row>
    <row r="4309" spans="1:5" ht="40.5">
      <c r="A4309" s="446">
        <v>96707</v>
      </c>
      <c r="B4309" s="447" t="s">
        <v>3160</v>
      </c>
      <c r="C4309" s="446" t="s">
        <v>34</v>
      </c>
      <c r="D4309" s="448">
        <v>56.56</v>
      </c>
      <c r="E4309" s="210"/>
    </row>
    <row r="4310" spans="1:5" ht="40.5">
      <c r="A4310" s="446">
        <v>96708</v>
      </c>
      <c r="B4310" s="447" t="s">
        <v>3161</v>
      </c>
      <c r="C4310" s="446" t="s">
        <v>34</v>
      </c>
      <c r="D4310" s="448">
        <v>90.03</v>
      </c>
      <c r="E4310" s="210"/>
    </row>
    <row r="4311" spans="1:5" ht="40.5">
      <c r="A4311" s="446">
        <v>96709</v>
      </c>
      <c r="B4311" s="447" t="s">
        <v>3162</v>
      </c>
      <c r="C4311" s="446" t="s">
        <v>34</v>
      </c>
      <c r="D4311" s="448">
        <v>142.96</v>
      </c>
      <c r="E4311" s="210"/>
    </row>
    <row r="4312" spans="1:5" ht="40.5">
      <c r="A4312" s="446">
        <v>96710</v>
      </c>
      <c r="B4312" s="447" t="s">
        <v>3163</v>
      </c>
      <c r="C4312" s="446" t="s">
        <v>34</v>
      </c>
      <c r="D4312" s="448">
        <v>6.33</v>
      </c>
      <c r="E4312" s="210"/>
    </row>
    <row r="4313" spans="1:5" ht="40.5">
      <c r="A4313" s="446">
        <v>96711</v>
      </c>
      <c r="B4313" s="447" t="s">
        <v>3164</v>
      </c>
      <c r="C4313" s="446" t="s">
        <v>34</v>
      </c>
      <c r="D4313" s="448">
        <v>9.99</v>
      </c>
      <c r="E4313" s="210"/>
    </row>
    <row r="4314" spans="1:5" ht="40.5">
      <c r="A4314" s="446">
        <v>96712</v>
      </c>
      <c r="B4314" s="447" t="s">
        <v>3165</v>
      </c>
      <c r="C4314" s="446" t="s">
        <v>34</v>
      </c>
      <c r="D4314" s="448">
        <v>20.260000000000002</v>
      </c>
      <c r="E4314" s="210"/>
    </row>
    <row r="4315" spans="1:5" ht="40.5">
      <c r="A4315" s="446">
        <v>96713</v>
      </c>
      <c r="B4315" s="447" t="s">
        <v>3166</v>
      </c>
      <c r="C4315" s="446" t="s">
        <v>34</v>
      </c>
      <c r="D4315" s="448">
        <v>27.77</v>
      </c>
      <c r="E4315" s="210"/>
    </row>
    <row r="4316" spans="1:5" ht="40.5">
      <c r="A4316" s="446">
        <v>96714</v>
      </c>
      <c r="B4316" s="447" t="s">
        <v>3167</v>
      </c>
      <c r="C4316" s="446" t="s">
        <v>34</v>
      </c>
      <c r="D4316" s="448">
        <v>47.61</v>
      </c>
      <c r="E4316" s="210"/>
    </row>
    <row r="4317" spans="1:5" ht="40.5">
      <c r="A4317" s="446">
        <v>96715</v>
      </c>
      <c r="B4317" s="447" t="s">
        <v>3168</v>
      </c>
      <c r="C4317" s="446" t="s">
        <v>34</v>
      </c>
      <c r="D4317" s="448">
        <v>93.03</v>
      </c>
      <c r="E4317" s="210"/>
    </row>
    <row r="4318" spans="1:5" ht="40.5">
      <c r="A4318" s="446">
        <v>96716</v>
      </c>
      <c r="B4318" s="447" t="s">
        <v>3169</v>
      </c>
      <c r="C4318" s="446" t="s">
        <v>34</v>
      </c>
      <c r="D4318" s="448">
        <v>140.55000000000001</v>
      </c>
      <c r="E4318" s="210"/>
    </row>
    <row r="4319" spans="1:5" ht="40.5">
      <c r="A4319" s="446">
        <v>96717</v>
      </c>
      <c r="B4319" s="447" t="s">
        <v>3170</v>
      </c>
      <c r="C4319" s="446" t="s">
        <v>34</v>
      </c>
      <c r="D4319" s="448">
        <v>222.71</v>
      </c>
      <c r="E4319" s="210"/>
    </row>
    <row r="4320" spans="1:5" ht="67.5">
      <c r="A4320" s="446">
        <v>96736</v>
      </c>
      <c r="B4320" s="447" t="s">
        <v>3189</v>
      </c>
      <c r="C4320" s="446" t="s">
        <v>34</v>
      </c>
      <c r="D4320" s="448">
        <v>4.53</v>
      </c>
      <c r="E4320" s="210"/>
    </row>
    <row r="4321" spans="1:5" ht="67.5">
      <c r="A4321" s="446">
        <v>96737</v>
      </c>
      <c r="B4321" s="447" t="s">
        <v>3190</v>
      </c>
      <c r="C4321" s="446" t="s">
        <v>34</v>
      </c>
      <c r="D4321" s="448">
        <v>5.5</v>
      </c>
      <c r="E4321" s="210"/>
    </row>
    <row r="4322" spans="1:5" ht="67.5">
      <c r="A4322" s="446">
        <v>96738</v>
      </c>
      <c r="B4322" s="447" t="s">
        <v>3191</v>
      </c>
      <c r="C4322" s="446" t="s">
        <v>34</v>
      </c>
      <c r="D4322" s="448">
        <v>23.21</v>
      </c>
      <c r="E4322" s="210"/>
    </row>
    <row r="4323" spans="1:5" ht="67.5">
      <c r="A4323" s="446">
        <v>96739</v>
      </c>
      <c r="B4323" s="447" t="s">
        <v>3192</v>
      </c>
      <c r="C4323" s="446" t="s">
        <v>34</v>
      </c>
      <c r="D4323" s="448">
        <v>7.15</v>
      </c>
      <c r="E4323" s="210"/>
    </row>
    <row r="4324" spans="1:5" ht="67.5">
      <c r="A4324" s="446">
        <v>96740</v>
      </c>
      <c r="B4324" s="447" t="s">
        <v>3193</v>
      </c>
      <c r="C4324" s="446" t="s">
        <v>34</v>
      </c>
      <c r="D4324" s="448">
        <v>36.67</v>
      </c>
      <c r="E4324" s="210"/>
    </row>
    <row r="4325" spans="1:5" ht="67.5">
      <c r="A4325" s="446">
        <v>96741</v>
      </c>
      <c r="B4325" s="447" t="s">
        <v>3194</v>
      </c>
      <c r="C4325" s="446" t="s">
        <v>34</v>
      </c>
      <c r="D4325" s="448">
        <v>12.91</v>
      </c>
      <c r="E4325" s="210"/>
    </row>
    <row r="4326" spans="1:5" ht="67.5">
      <c r="A4326" s="446">
        <v>96742</v>
      </c>
      <c r="B4326" s="447" t="s">
        <v>3195</v>
      </c>
      <c r="C4326" s="446" t="s">
        <v>34</v>
      </c>
      <c r="D4326" s="448">
        <v>19.55</v>
      </c>
      <c r="E4326" s="210"/>
    </row>
    <row r="4327" spans="1:5" ht="67.5">
      <c r="A4327" s="446">
        <v>96743</v>
      </c>
      <c r="B4327" s="447" t="s">
        <v>3196</v>
      </c>
      <c r="C4327" s="446" t="s">
        <v>34</v>
      </c>
      <c r="D4327" s="448">
        <v>26.56</v>
      </c>
      <c r="E4327" s="210"/>
    </row>
    <row r="4328" spans="1:5" ht="67.5">
      <c r="A4328" s="446">
        <v>96744</v>
      </c>
      <c r="B4328" s="447" t="s">
        <v>3197</v>
      </c>
      <c r="C4328" s="446" t="s">
        <v>34</v>
      </c>
      <c r="D4328" s="448">
        <v>58.74</v>
      </c>
      <c r="E4328" s="210"/>
    </row>
    <row r="4329" spans="1:5" ht="67.5">
      <c r="A4329" s="446">
        <v>96745</v>
      </c>
      <c r="B4329" s="447" t="s">
        <v>3198</v>
      </c>
      <c r="C4329" s="446" t="s">
        <v>34</v>
      </c>
      <c r="D4329" s="448">
        <v>89.5</v>
      </c>
      <c r="E4329" s="210"/>
    </row>
    <row r="4330" spans="1:5" ht="67.5">
      <c r="A4330" s="446">
        <v>96746</v>
      </c>
      <c r="B4330" s="447" t="s">
        <v>3199</v>
      </c>
      <c r="C4330" s="446" t="s">
        <v>34</v>
      </c>
      <c r="D4330" s="448">
        <v>142.93</v>
      </c>
      <c r="E4330" s="210"/>
    </row>
    <row r="4331" spans="1:5" ht="67.5">
      <c r="A4331" s="446">
        <v>96747</v>
      </c>
      <c r="B4331" s="447" t="s">
        <v>3200</v>
      </c>
      <c r="C4331" s="446" t="s">
        <v>34</v>
      </c>
      <c r="D4331" s="448">
        <v>6.23</v>
      </c>
      <c r="E4331" s="210"/>
    </row>
    <row r="4332" spans="1:5" ht="67.5">
      <c r="A4332" s="446">
        <v>96748</v>
      </c>
      <c r="B4332" s="447" t="s">
        <v>3201</v>
      </c>
      <c r="C4332" s="446" t="s">
        <v>34</v>
      </c>
      <c r="D4332" s="448">
        <v>7.45</v>
      </c>
      <c r="E4332" s="210"/>
    </row>
    <row r="4333" spans="1:5" ht="67.5">
      <c r="A4333" s="446">
        <v>96749</v>
      </c>
      <c r="B4333" s="447" t="s">
        <v>3202</v>
      </c>
      <c r="C4333" s="446" t="s">
        <v>34</v>
      </c>
      <c r="D4333" s="448">
        <v>10.41</v>
      </c>
      <c r="E4333" s="210"/>
    </row>
    <row r="4334" spans="1:5" ht="67.5">
      <c r="A4334" s="446">
        <v>96750</v>
      </c>
      <c r="B4334" s="447" t="s">
        <v>3203</v>
      </c>
      <c r="C4334" s="446" t="s">
        <v>34</v>
      </c>
      <c r="D4334" s="448">
        <v>15.16</v>
      </c>
      <c r="E4334" s="210"/>
    </row>
    <row r="4335" spans="1:5" ht="67.5">
      <c r="A4335" s="446">
        <v>96751</v>
      </c>
      <c r="B4335" s="447" t="s">
        <v>3204</v>
      </c>
      <c r="C4335" s="446" t="s">
        <v>34</v>
      </c>
      <c r="D4335" s="448">
        <v>28.54</v>
      </c>
      <c r="E4335" s="210"/>
    </row>
    <row r="4336" spans="1:5" ht="67.5">
      <c r="A4336" s="446">
        <v>96752</v>
      </c>
      <c r="B4336" s="447" t="s">
        <v>3205</v>
      </c>
      <c r="C4336" s="446" t="s">
        <v>34</v>
      </c>
      <c r="D4336" s="448">
        <v>38.94</v>
      </c>
      <c r="E4336" s="210"/>
    </row>
    <row r="4337" spans="1:5" ht="67.5">
      <c r="A4337" s="446">
        <v>96753</v>
      </c>
      <c r="B4337" s="447" t="s">
        <v>3206</v>
      </c>
      <c r="C4337" s="446" t="s">
        <v>34</v>
      </c>
      <c r="D4337" s="448">
        <v>91.57</v>
      </c>
      <c r="E4337" s="210"/>
    </row>
    <row r="4338" spans="1:5" ht="67.5">
      <c r="A4338" s="446">
        <v>96754</v>
      </c>
      <c r="B4338" s="447" t="s">
        <v>3207</v>
      </c>
      <c r="C4338" s="446" t="s">
        <v>34</v>
      </c>
      <c r="D4338" s="448">
        <v>132.81</v>
      </c>
      <c r="E4338" s="210"/>
    </row>
    <row r="4339" spans="1:5" ht="67.5">
      <c r="A4339" s="446">
        <v>96755</v>
      </c>
      <c r="B4339" s="447" t="s">
        <v>3208</v>
      </c>
      <c r="C4339" s="446" t="s">
        <v>34</v>
      </c>
      <c r="D4339" s="448">
        <v>200.07</v>
      </c>
      <c r="E4339" s="210"/>
    </row>
    <row r="4340" spans="1:5" ht="67.5">
      <c r="A4340" s="446">
        <v>96756</v>
      </c>
      <c r="B4340" s="447" t="s">
        <v>3209</v>
      </c>
      <c r="C4340" s="446" t="s">
        <v>34</v>
      </c>
      <c r="D4340" s="448">
        <v>12.91</v>
      </c>
      <c r="E4340" s="210"/>
    </row>
    <row r="4341" spans="1:5" ht="67.5">
      <c r="A4341" s="446">
        <v>96757</v>
      </c>
      <c r="B4341" s="447" t="s">
        <v>3210</v>
      </c>
      <c r="C4341" s="446" t="s">
        <v>34</v>
      </c>
      <c r="D4341" s="448">
        <v>12.27</v>
      </c>
      <c r="E4341" s="210"/>
    </row>
    <row r="4342" spans="1:5" ht="67.5">
      <c r="A4342" s="446">
        <v>96758</v>
      </c>
      <c r="B4342" s="447" t="s">
        <v>3211</v>
      </c>
      <c r="C4342" s="446" t="s">
        <v>34</v>
      </c>
      <c r="D4342" s="448">
        <v>14.04</v>
      </c>
      <c r="E4342" s="210"/>
    </row>
    <row r="4343" spans="1:5" ht="67.5">
      <c r="A4343" s="446">
        <v>96759</v>
      </c>
      <c r="B4343" s="447" t="s">
        <v>3212</v>
      </c>
      <c r="C4343" s="446" t="s">
        <v>34</v>
      </c>
      <c r="D4343" s="448">
        <v>23.06</v>
      </c>
      <c r="E4343" s="210"/>
    </row>
    <row r="4344" spans="1:5" ht="67.5">
      <c r="A4344" s="446">
        <v>96760</v>
      </c>
      <c r="B4344" s="447" t="s">
        <v>3213</v>
      </c>
      <c r="C4344" s="446" t="s">
        <v>34</v>
      </c>
      <c r="D4344" s="448">
        <v>32.159999999999997</v>
      </c>
      <c r="E4344" s="210"/>
    </row>
    <row r="4345" spans="1:5" ht="67.5">
      <c r="A4345" s="446">
        <v>96761</v>
      </c>
      <c r="B4345" s="447" t="s">
        <v>3214</v>
      </c>
      <c r="C4345" s="446" t="s">
        <v>34</v>
      </c>
      <c r="D4345" s="448">
        <v>48.79</v>
      </c>
      <c r="E4345" s="210"/>
    </row>
    <row r="4346" spans="1:5" ht="67.5">
      <c r="A4346" s="446">
        <v>96762</v>
      </c>
      <c r="B4346" s="447" t="s">
        <v>3215</v>
      </c>
      <c r="C4346" s="446" t="s">
        <v>34</v>
      </c>
      <c r="D4346" s="448">
        <v>97.35</v>
      </c>
      <c r="E4346" s="210"/>
    </row>
    <row r="4347" spans="1:5" ht="67.5">
      <c r="A4347" s="446">
        <v>96763</v>
      </c>
      <c r="B4347" s="447" t="s">
        <v>3216</v>
      </c>
      <c r="C4347" s="446" t="s">
        <v>34</v>
      </c>
      <c r="D4347" s="448">
        <v>139.46</v>
      </c>
      <c r="E4347" s="210"/>
    </row>
    <row r="4348" spans="1:5" ht="67.5">
      <c r="A4348" s="446">
        <v>96764</v>
      </c>
      <c r="B4348" s="447" t="s">
        <v>3217</v>
      </c>
      <c r="C4348" s="446" t="s">
        <v>34</v>
      </c>
      <c r="D4348" s="448">
        <v>222.65</v>
      </c>
      <c r="E4348" s="210"/>
    </row>
    <row r="4349" spans="1:5" ht="54">
      <c r="A4349" s="446">
        <v>96802</v>
      </c>
      <c r="B4349" s="447" t="s">
        <v>3226</v>
      </c>
      <c r="C4349" s="446" t="s">
        <v>34</v>
      </c>
      <c r="D4349" s="448">
        <v>328.07</v>
      </c>
      <c r="E4349" s="210"/>
    </row>
    <row r="4350" spans="1:5" ht="54">
      <c r="A4350" s="446">
        <v>96803</v>
      </c>
      <c r="B4350" s="447" t="s">
        <v>3227</v>
      </c>
      <c r="C4350" s="446" t="s">
        <v>34</v>
      </c>
      <c r="D4350" s="448">
        <v>166.31</v>
      </c>
      <c r="E4350" s="210"/>
    </row>
    <row r="4351" spans="1:5" ht="54">
      <c r="A4351" s="446">
        <v>96804</v>
      </c>
      <c r="B4351" s="447" t="s">
        <v>3228</v>
      </c>
      <c r="C4351" s="446" t="s">
        <v>34</v>
      </c>
      <c r="D4351" s="448">
        <v>291.72000000000003</v>
      </c>
      <c r="E4351" s="210"/>
    </row>
    <row r="4352" spans="1:5" ht="54">
      <c r="A4352" s="446">
        <v>96805</v>
      </c>
      <c r="B4352" s="447" t="s">
        <v>3229</v>
      </c>
      <c r="C4352" s="446" t="s">
        <v>34</v>
      </c>
      <c r="D4352" s="448">
        <v>334.59</v>
      </c>
      <c r="E4352" s="210"/>
    </row>
    <row r="4353" spans="1:5" ht="54">
      <c r="A4353" s="446">
        <v>96806</v>
      </c>
      <c r="B4353" s="447" t="s">
        <v>3230</v>
      </c>
      <c r="C4353" s="446" t="s">
        <v>34</v>
      </c>
      <c r="D4353" s="448">
        <v>157.75</v>
      </c>
      <c r="E4353" s="210"/>
    </row>
    <row r="4354" spans="1:5" ht="67.5">
      <c r="A4354" s="446">
        <v>96807</v>
      </c>
      <c r="B4354" s="447" t="s">
        <v>3231</v>
      </c>
      <c r="C4354" s="446" t="s">
        <v>34</v>
      </c>
      <c r="D4354" s="448">
        <v>259.32</v>
      </c>
      <c r="E4354" s="210"/>
    </row>
    <row r="4355" spans="1:5" ht="54">
      <c r="A4355" s="446">
        <v>96808</v>
      </c>
      <c r="B4355" s="447" t="s">
        <v>3232</v>
      </c>
      <c r="C4355" s="446" t="s">
        <v>34</v>
      </c>
      <c r="D4355" s="448">
        <v>13.1</v>
      </c>
      <c r="E4355" s="210"/>
    </row>
    <row r="4356" spans="1:5" ht="54">
      <c r="A4356" s="446">
        <v>96809</v>
      </c>
      <c r="B4356" s="447" t="s">
        <v>3233</v>
      </c>
      <c r="C4356" s="446" t="s">
        <v>34</v>
      </c>
      <c r="D4356" s="448">
        <v>15.37</v>
      </c>
      <c r="E4356" s="210"/>
    </row>
    <row r="4357" spans="1:5" ht="54">
      <c r="A4357" s="446">
        <v>96810</v>
      </c>
      <c r="B4357" s="447" t="s">
        <v>3234</v>
      </c>
      <c r="C4357" s="446" t="s">
        <v>34</v>
      </c>
      <c r="D4357" s="448">
        <v>16.899999999999999</v>
      </c>
      <c r="E4357" s="210"/>
    </row>
    <row r="4358" spans="1:5" ht="54">
      <c r="A4358" s="446">
        <v>96811</v>
      </c>
      <c r="B4358" s="447" t="s">
        <v>3235</v>
      </c>
      <c r="C4358" s="446" t="s">
        <v>34</v>
      </c>
      <c r="D4358" s="448">
        <v>17.91</v>
      </c>
      <c r="E4358" s="210"/>
    </row>
    <row r="4359" spans="1:5" ht="54">
      <c r="A4359" s="446">
        <v>96812</v>
      </c>
      <c r="B4359" s="447" t="s">
        <v>3236</v>
      </c>
      <c r="C4359" s="446" t="s">
        <v>34</v>
      </c>
      <c r="D4359" s="448">
        <v>17.100000000000001</v>
      </c>
      <c r="E4359" s="210"/>
    </row>
    <row r="4360" spans="1:5" ht="54">
      <c r="A4360" s="446">
        <v>96813</v>
      </c>
      <c r="B4360" s="447" t="s">
        <v>3237</v>
      </c>
      <c r="C4360" s="446" t="s">
        <v>34</v>
      </c>
      <c r="D4360" s="448">
        <v>20.14</v>
      </c>
      <c r="E4360" s="210"/>
    </row>
    <row r="4361" spans="1:5" ht="54">
      <c r="A4361" s="446">
        <v>96814</v>
      </c>
      <c r="B4361" s="447" t="s">
        <v>3238</v>
      </c>
      <c r="C4361" s="446" t="s">
        <v>34</v>
      </c>
      <c r="D4361" s="448">
        <v>16.59</v>
      </c>
      <c r="E4361" s="210"/>
    </row>
    <row r="4362" spans="1:5" ht="54">
      <c r="A4362" s="446">
        <v>96815</v>
      </c>
      <c r="B4362" s="447" t="s">
        <v>3239</v>
      </c>
      <c r="C4362" s="446" t="s">
        <v>34</v>
      </c>
      <c r="D4362" s="448">
        <v>29.35</v>
      </c>
      <c r="E4362" s="210"/>
    </row>
    <row r="4363" spans="1:5" ht="54">
      <c r="A4363" s="446">
        <v>96816</v>
      </c>
      <c r="B4363" s="447" t="s">
        <v>3240</v>
      </c>
      <c r="C4363" s="446" t="s">
        <v>34</v>
      </c>
      <c r="D4363" s="448">
        <v>23.56</v>
      </c>
      <c r="E4363" s="210"/>
    </row>
    <row r="4364" spans="1:5" ht="54">
      <c r="A4364" s="446">
        <v>96817</v>
      </c>
      <c r="B4364" s="447" t="s">
        <v>3241</v>
      </c>
      <c r="C4364" s="446" t="s">
        <v>34</v>
      </c>
      <c r="D4364" s="448">
        <v>27.25</v>
      </c>
      <c r="E4364" s="210"/>
    </row>
    <row r="4365" spans="1:5" ht="40.5">
      <c r="A4365" s="446">
        <v>96818</v>
      </c>
      <c r="B4365" s="447" t="s">
        <v>3242</v>
      </c>
      <c r="C4365" s="446" t="s">
        <v>34</v>
      </c>
      <c r="D4365" s="448">
        <v>25.15</v>
      </c>
      <c r="E4365" s="210"/>
    </row>
    <row r="4366" spans="1:5" ht="40.5">
      <c r="A4366" s="446">
        <v>96819</v>
      </c>
      <c r="B4366" s="447" t="s">
        <v>3243</v>
      </c>
      <c r="C4366" s="446" t="s">
        <v>34</v>
      </c>
      <c r="D4366" s="448">
        <v>25.15</v>
      </c>
      <c r="E4366" s="210"/>
    </row>
    <row r="4367" spans="1:5" ht="54">
      <c r="A4367" s="446">
        <v>96820</v>
      </c>
      <c r="B4367" s="447" t="s">
        <v>3244</v>
      </c>
      <c r="C4367" s="446" t="s">
        <v>34</v>
      </c>
      <c r="D4367" s="448">
        <v>47.73</v>
      </c>
      <c r="E4367" s="210"/>
    </row>
    <row r="4368" spans="1:5" ht="54">
      <c r="A4368" s="446">
        <v>96821</v>
      </c>
      <c r="B4368" s="447" t="s">
        <v>3245</v>
      </c>
      <c r="C4368" s="446" t="s">
        <v>34</v>
      </c>
      <c r="D4368" s="448">
        <v>40.049999999999997</v>
      </c>
      <c r="E4368" s="210"/>
    </row>
    <row r="4369" spans="1:5" ht="40.5">
      <c r="A4369" s="446">
        <v>96822</v>
      </c>
      <c r="B4369" s="447" t="s">
        <v>3246</v>
      </c>
      <c r="C4369" s="446" t="s">
        <v>34</v>
      </c>
      <c r="D4369" s="448">
        <v>40.64</v>
      </c>
      <c r="E4369" s="210"/>
    </row>
    <row r="4370" spans="1:5" ht="40.5">
      <c r="A4370" s="446">
        <v>96823</v>
      </c>
      <c r="B4370" s="447" t="s">
        <v>3247</v>
      </c>
      <c r="C4370" s="446" t="s">
        <v>34</v>
      </c>
      <c r="D4370" s="448">
        <v>16.66</v>
      </c>
      <c r="E4370" s="210"/>
    </row>
    <row r="4371" spans="1:5" ht="54">
      <c r="A4371" s="446">
        <v>96824</v>
      </c>
      <c r="B4371" s="447" t="s">
        <v>3248</v>
      </c>
      <c r="C4371" s="446" t="s">
        <v>34</v>
      </c>
      <c r="D4371" s="448">
        <v>19.02</v>
      </c>
      <c r="E4371" s="210"/>
    </row>
    <row r="4372" spans="1:5" ht="54">
      <c r="A4372" s="446">
        <v>96825</v>
      </c>
      <c r="B4372" s="447" t="s">
        <v>3249</v>
      </c>
      <c r="C4372" s="446" t="s">
        <v>34</v>
      </c>
      <c r="D4372" s="448">
        <v>26.4</v>
      </c>
      <c r="E4372" s="210"/>
    </row>
    <row r="4373" spans="1:5" ht="40.5">
      <c r="A4373" s="446">
        <v>96826</v>
      </c>
      <c r="B4373" s="447" t="s">
        <v>3250</v>
      </c>
      <c r="C4373" s="446" t="s">
        <v>34</v>
      </c>
      <c r="D4373" s="448">
        <v>23.45</v>
      </c>
      <c r="E4373" s="210"/>
    </row>
    <row r="4374" spans="1:5" ht="54">
      <c r="A4374" s="446">
        <v>96827</v>
      </c>
      <c r="B4374" s="447" t="s">
        <v>3251</v>
      </c>
      <c r="C4374" s="446" t="s">
        <v>34</v>
      </c>
      <c r="D4374" s="448">
        <v>24.4</v>
      </c>
      <c r="E4374" s="210"/>
    </row>
    <row r="4375" spans="1:5" ht="54">
      <c r="A4375" s="446">
        <v>96828</v>
      </c>
      <c r="B4375" s="447" t="s">
        <v>3252</v>
      </c>
      <c r="C4375" s="446" t="s">
        <v>34</v>
      </c>
      <c r="D4375" s="448">
        <v>31.17</v>
      </c>
      <c r="E4375" s="210"/>
    </row>
    <row r="4376" spans="1:5" ht="54">
      <c r="A4376" s="446">
        <v>96829</v>
      </c>
      <c r="B4376" s="447" t="s">
        <v>3253</v>
      </c>
      <c r="C4376" s="446" t="s">
        <v>34</v>
      </c>
      <c r="D4376" s="448">
        <v>23.4</v>
      </c>
      <c r="E4376" s="210"/>
    </row>
    <row r="4377" spans="1:5" ht="40.5">
      <c r="A4377" s="446">
        <v>96830</v>
      </c>
      <c r="B4377" s="447" t="s">
        <v>3254</v>
      </c>
      <c r="C4377" s="446" t="s">
        <v>34</v>
      </c>
      <c r="D4377" s="448">
        <v>34.56</v>
      </c>
      <c r="E4377" s="210"/>
    </row>
    <row r="4378" spans="1:5" ht="54">
      <c r="A4378" s="446">
        <v>96831</v>
      </c>
      <c r="B4378" s="447" t="s">
        <v>3255</v>
      </c>
      <c r="C4378" s="446" t="s">
        <v>34</v>
      </c>
      <c r="D4378" s="448">
        <v>27.72</v>
      </c>
      <c r="E4378" s="210"/>
    </row>
    <row r="4379" spans="1:5" ht="54">
      <c r="A4379" s="446">
        <v>96832</v>
      </c>
      <c r="B4379" s="447" t="s">
        <v>3256</v>
      </c>
      <c r="C4379" s="446" t="s">
        <v>34</v>
      </c>
      <c r="D4379" s="448">
        <v>32.43</v>
      </c>
      <c r="E4379" s="210"/>
    </row>
    <row r="4380" spans="1:5" ht="54">
      <c r="A4380" s="446">
        <v>96833</v>
      </c>
      <c r="B4380" s="447" t="s">
        <v>3257</v>
      </c>
      <c r="C4380" s="446" t="s">
        <v>34</v>
      </c>
      <c r="D4380" s="448">
        <v>30.21</v>
      </c>
      <c r="E4380" s="210"/>
    </row>
    <row r="4381" spans="1:5" ht="40.5">
      <c r="A4381" s="446">
        <v>96834</v>
      </c>
      <c r="B4381" s="447" t="s">
        <v>3258</v>
      </c>
      <c r="C4381" s="446" t="s">
        <v>34</v>
      </c>
      <c r="D4381" s="448">
        <v>50.95</v>
      </c>
      <c r="E4381" s="210"/>
    </row>
    <row r="4382" spans="1:5" ht="54">
      <c r="A4382" s="446">
        <v>96835</v>
      </c>
      <c r="B4382" s="447" t="s">
        <v>3259</v>
      </c>
      <c r="C4382" s="446" t="s">
        <v>34</v>
      </c>
      <c r="D4382" s="448">
        <v>43.64</v>
      </c>
      <c r="E4382" s="210"/>
    </row>
    <row r="4383" spans="1:5" ht="54">
      <c r="A4383" s="446">
        <v>96836</v>
      </c>
      <c r="B4383" s="447" t="s">
        <v>3260</v>
      </c>
      <c r="C4383" s="446" t="s">
        <v>34</v>
      </c>
      <c r="D4383" s="448">
        <v>46.67</v>
      </c>
      <c r="E4383" s="210"/>
    </row>
    <row r="4384" spans="1:5" ht="54">
      <c r="A4384" s="446">
        <v>96837</v>
      </c>
      <c r="B4384" s="447" t="s">
        <v>3261</v>
      </c>
      <c r="C4384" s="446" t="s">
        <v>34</v>
      </c>
      <c r="D4384" s="448">
        <v>23.5</v>
      </c>
      <c r="E4384" s="210"/>
    </row>
    <row r="4385" spans="1:5" ht="67.5">
      <c r="A4385" s="446">
        <v>96838</v>
      </c>
      <c r="B4385" s="447" t="s">
        <v>3262</v>
      </c>
      <c r="C4385" s="446" t="s">
        <v>34</v>
      </c>
      <c r="D4385" s="448">
        <v>21.32</v>
      </c>
      <c r="E4385" s="210"/>
    </row>
    <row r="4386" spans="1:5" ht="67.5">
      <c r="A4386" s="446">
        <v>96839</v>
      </c>
      <c r="B4386" s="447" t="s">
        <v>3263</v>
      </c>
      <c r="C4386" s="446" t="s">
        <v>34</v>
      </c>
      <c r="D4386" s="448">
        <v>20.93</v>
      </c>
      <c r="E4386" s="210"/>
    </row>
    <row r="4387" spans="1:5" ht="54">
      <c r="A4387" s="446">
        <v>96840</v>
      </c>
      <c r="B4387" s="447" t="s">
        <v>3264</v>
      </c>
      <c r="C4387" s="446" t="s">
        <v>34</v>
      </c>
      <c r="D4387" s="448">
        <v>27.39</v>
      </c>
      <c r="E4387" s="210"/>
    </row>
    <row r="4388" spans="1:5" ht="67.5">
      <c r="A4388" s="446">
        <v>96841</v>
      </c>
      <c r="B4388" s="447" t="s">
        <v>3265</v>
      </c>
      <c r="C4388" s="446" t="s">
        <v>34</v>
      </c>
      <c r="D4388" s="448">
        <v>23.46</v>
      </c>
      <c r="E4388" s="210"/>
    </row>
    <row r="4389" spans="1:5" ht="67.5">
      <c r="A4389" s="446">
        <v>96842</v>
      </c>
      <c r="B4389" s="447" t="s">
        <v>3266</v>
      </c>
      <c r="C4389" s="446" t="s">
        <v>34</v>
      </c>
      <c r="D4389" s="448">
        <v>30.98</v>
      </c>
      <c r="E4389" s="210"/>
    </row>
    <row r="4390" spans="1:5" ht="67.5">
      <c r="A4390" s="446">
        <v>96843</v>
      </c>
      <c r="B4390" s="447" t="s">
        <v>3267</v>
      </c>
      <c r="C4390" s="446" t="s">
        <v>34</v>
      </c>
      <c r="D4390" s="448">
        <v>29.64</v>
      </c>
      <c r="E4390" s="210"/>
    </row>
    <row r="4391" spans="1:5" ht="54">
      <c r="A4391" s="446">
        <v>96844</v>
      </c>
      <c r="B4391" s="447" t="s">
        <v>3268</v>
      </c>
      <c r="C4391" s="446" t="s">
        <v>34</v>
      </c>
      <c r="D4391" s="448">
        <v>41.92</v>
      </c>
      <c r="E4391" s="210"/>
    </row>
    <row r="4392" spans="1:5" ht="54">
      <c r="A4392" s="446">
        <v>96845</v>
      </c>
      <c r="B4392" s="447" t="s">
        <v>3269</v>
      </c>
      <c r="C4392" s="446" t="s">
        <v>34</v>
      </c>
      <c r="D4392" s="448">
        <v>44.37</v>
      </c>
      <c r="E4392" s="210"/>
    </row>
    <row r="4393" spans="1:5" ht="67.5">
      <c r="A4393" s="446">
        <v>96846</v>
      </c>
      <c r="B4393" s="447" t="s">
        <v>3270</v>
      </c>
      <c r="C4393" s="446" t="s">
        <v>34</v>
      </c>
      <c r="D4393" s="448">
        <v>33.880000000000003</v>
      </c>
      <c r="E4393" s="210"/>
    </row>
    <row r="4394" spans="1:5" ht="67.5">
      <c r="A4394" s="446">
        <v>96847</v>
      </c>
      <c r="B4394" s="447" t="s">
        <v>3271</v>
      </c>
      <c r="C4394" s="446" t="s">
        <v>34</v>
      </c>
      <c r="D4394" s="448">
        <v>37.729999999999997</v>
      </c>
      <c r="E4394" s="210"/>
    </row>
    <row r="4395" spans="1:5" ht="54">
      <c r="A4395" s="446">
        <v>96848</v>
      </c>
      <c r="B4395" s="447" t="s">
        <v>3272</v>
      </c>
      <c r="C4395" s="446" t="s">
        <v>34</v>
      </c>
      <c r="D4395" s="448">
        <v>57.9</v>
      </c>
      <c r="E4395" s="210"/>
    </row>
    <row r="4396" spans="1:5" ht="40.5">
      <c r="A4396" s="446">
        <v>96849</v>
      </c>
      <c r="B4396" s="447" t="s">
        <v>3273</v>
      </c>
      <c r="C4396" s="446" t="s">
        <v>34</v>
      </c>
      <c r="D4396" s="448">
        <v>20.54</v>
      </c>
      <c r="E4396" s="210"/>
    </row>
    <row r="4397" spans="1:5" ht="54">
      <c r="A4397" s="446">
        <v>96850</v>
      </c>
      <c r="B4397" s="447" t="s">
        <v>3274</v>
      </c>
      <c r="C4397" s="446" t="s">
        <v>34</v>
      </c>
      <c r="D4397" s="448">
        <v>24.48</v>
      </c>
      <c r="E4397" s="210"/>
    </row>
    <row r="4398" spans="1:5" ht="54">
      <c r="A4398" s="446">
        <v>96851</v>
      </c>
      <c r="B4398" s="447" t="s">
        <v>3275</v>
      </c>
      <c r="C4398" s="446" t="s">
        <v>34</v>
      </c>
      <c r="D4398" s="448">
        <v>33.270000000000003</v>
      </c>
      <c r="E4398" s="210"/>
    </row>
    <row r="4399" spans="1:5" ht="40.5">
      <c r="A4399" s="446">
        <v>96852</v>
      </c>
      <c r="B4399" s="447" t="s">
        <v>3276</v>
      </c>
      <c r="C4399" s="446" t="s">
        <v>34</v>
      </c>
      <c r="D4399" s="448">
        <v>27.73</v>
      </c>
      <c r="E4399" s="210"/>
    </row>
    <row r="4400" spans="1:5" ht="54">
      <c r="A4400" s="446">
        <v>96853</v>
      </c>
      <c r="B4400" s="447" t="s">
        <v>3277</v>
      </c>
      <c r="C4400" s="446" t="s">
        <v>34</v>
      </c>
      <c r="D4400" s="448">
        <v>31.57</v>
      </c>
      <c r="E4400" s="210"/>
    </row>
    <row r="4401" spans="1:5" ht="54">
      <c r="A4401" s="446">
        <v>96854</v>
      </c>
      <c r="B4401" s="447" t="s">
        <v>3278</v>
      </c>
      <c r="C4401" s="446" t="s">
        <v>34</v>
      </c>
      <c r="D4401" s="448">
        <v>38.369999999999997</v>
      </c>
      <c r="E4401" s="210"/>
    </row>
    <row r="4402" spans="1:5" ht="40.5">
      <c r="A4402" s="446">
        <v>96855</v>
      </c>
      <c r="B4402" s="447" t="s">
        <v>3279</v>
      </c>
      <c r="C4402" s="446" t="s">
        <v>34</v>
      </c>
      <c r="D4402" s="448">
        <v>34.58</v>
      </c>
      <c r="E4402" s="210"/>
    </row>
    <row r="4403" spans="1:5" ht="54">
      <c r="A4403" s="446">
        <v>96856</v>
      </c>
      <c r="B4403" s="447" t="s">
        <v>3280</v>
      </c>
      <c r="C4403" s="446" t="s">
        <v>34</v>
      </c>
      <c r="D4403" s="448">
        <v>35.14</v>
      </c>
      <c r="E4403" s="210"/>
    </row>
    <row r="4404" spans="1:5" ht="54">
      <c r="A4404" s="446">
        <v>96857</v>
      </c>
      <c r="B4404" s="447" t="s">
        <v>3281</v>
      </c>
      <c r="C4404" s="446" t="s">
        <v>34</v>
      </c>
      <c r="D4404" s="448">
        <v>58.15</v>
      </c>
      <c r="E4404" s="210"/>
    </row>
    <row r="4405" spans="1:5" ht="40.5">
      <c r="A4405" s="446">
        <v>96858</v>
      </c>
      <c r="B4405" s="447" t="s">
        <v>3282</v>
      </c>
      <c r="C4405" s="446" t="s">
        <v>34</v>
      </c>
      <c r="D4405" s="448">
        <v>57.97</v>
      </c>
      <c r="E4405" s="210"/>
    </row>
    <row r="4406" spans="1:5" ht="54">
      <c r="A4406" s="446">
        <v>96859</v>
      </c>
      <c r="B4406" s="447" t="s">
        <v>3283</v>
      </c>
      <c r="C4406" s="446" t="s">
        <v>34</v>
      </c>
      <c r="D4406" s="448">
        <v>72.91</v>
      </c>
      <c r="E4406" s="210"/>
    </row>
    <row r="4407" spans="1:5" ht="40.5">
      <c r="A4407" s="446">
        <v>96860</v>
      </c>
      <c r="B4407" s="447" t="s">
        <v>3284</v>
      </c>
      <c r="C4407" s="446" t="s">
        <v>34</v>
      </c>
      <c r="D4407" s="448">
        <v>26.69</v>
      </c>
      <c r="E4407" s="210"/>
    </row>
    <row r="4408" spans="1:5" ht="54">
      <c r="A4408" s="446">
        <v>96861</v>
      </c>
      <c r="B4408" s="447" t="s">
        <v>3285</v>
      </c>
      <c r="C4408" s="446" t="s">
        <v>34</v>
      </c>
      <c r="D4408" s="448">
        <v>29.17</v>
      </c>
      <c r="E4408" s="210"/>
    </row>
    <row r="4409" spans="1:5" ht="40.5">
      <c r="A4409" s="446">
        <v>96862</v>
      </c>
      <c r="B4409" s="447" t="s">
        <v>3286</v>
      </c>
      <c r="C4409" s="446" t="s">
        <v>34</v>
      </c>
      <c r="D4409" s="448">
        <v>32.25</v>
      </c>
      <c r="E4409" s="210"/>
    </row>
    <row r="4410" spans="1:5" ht="54">
      <c r="A4410" s="446">
        <v>96863</v>
      </c>
      <c r="B4410" s="447" t="s">
        <v>3287</v>
      </c>
      <c r="C4410" s="446" t="s">
        <v>34</v>
      </c>
      <c r="D4410" s="448">
        <v>31.84</v>
      </c>
      <c r="E4410" s="210"/>
    </row>
    <row r="4411" spans="1:5" ht="40.5">
      <c r="A4411" s="446">
        <v>96864</v>
      </c>
      <c r="B4411" s="447" t="s">
        <v>3288</v>
      </c>
      <c r="C4411" s="446" t="s">
        <v>34</v>
      </c>
      <c r="D4411" s="448">
        <v>52.51</v>
      </c>
      <c r="E4411" s="210"/>
    </row>
    <row r="4412" spans="1:5" ht="54">
      <c r="A4412" s="446">
        <v>96865</v>
      </c>
      <c r="B4412" s="447" t="s">
        <v>3289</v>
      </c>
      <c r="C4412" s="446" t="s">
        <v>34</v>
      </c>
      <c r="D4412" s="448">
        <v>51.3</v>
      </c>
      <c r="E4412" s="210"/>
    </row>
    <row r="4413" spans="1:5" ht="40.5">
      <c r="A4413" s="446">
        <v>96866</v>
      </c>
      <c r="B4413" s="447" t="s">
        <v>3290</v>
      </c>
      <c r="C4413" s="446" t="s">
        <v>34</v>
      </c>
      <c r="D4413" s="448">
        <v>69.56</v>
      </c>
      <c r="E4413" s="210"/>
    </row>
    <row r="4414" spans="1:5" ht="54">
      <c r="A4414" s="446">
        <v>96867</v>
      </c>
      <c r="B4414" s="447" t="s">
        <v>3291</v>
      </c>
      <c r="C4414" s="446" t="s">
        <v>34</v>
      </c>
      <c r="D4414" s="448">
        <v>82.11</v>
      </c>
      <c r="E4414" s="210"/>
    </row>
    <row r="4415" spans="1:5" ht="40.5">
      <c r="A4415" s="446">
        <v>96868</v>
      </c>
      <c r="B4415" s="447" t="s">
        <v>3292</v>
      </c>
      <c r="C4415" s="446" t="s">
        <v>34</v>
      </c>
      <c r="D4415" s="448">
        <v>32.409999999999997</v>
      </c>
      <c r="E4415" s="210"/>
    </row>
    <row r="4416" spans="1:5" ht="40.5">
      <c r="A4416" s="446">
        <v>96869</v>
      </c>
      <c r="B4416" s="447" t="s">
        <v>3293</v>
      </c>
      <c r="C4416" s="446" t="s">
        <v>34</v>
      </c>
      <c r="D4416" s="448">
        <v>38.76</v>
      </c>
      <c r="E4416" s="210"/>
    </row>
    <row r="4417" spans="1:5" ht="40.5">
      <c r="A4417" s="446">
        <v>96870</v>
      </c>
      <c r="B4417" s="447" t="s">
        <v>3294</v>
      </c>
      <c r="C4417" s="446" t="s">
        <v>34</v>
      </c>
      <c r="D4417" s="448">
        <v>62.79</v>
      </c>
      <c r="E4417" s="210"/>
    </row>
    <row r="4418" spans="1:5" ht="40.5">
      <c r="A4418" s="446">
        <v>96871</v>
      </c>
      <c r="B4418" s="447" t="s">
        <v>3295</v>
      </c>
      <c r="C4418" s="446" t="s">
        <v>34</v>
      </c>
      <c r="D4418" s="448">
        <v>92.08</v>
      </c>
      <c r="E4418" s="210"/>
    </row>
    <row r="4419" spans="1:5" ht="67.5">
      <c r="A4419" s="446">
        <v>96872</v>
      </c>
      <c r="B4419" s="447" t="s">
        <v>3296</v>
      </c>
      <c r="C4419" s="446" t="s">
        <v>34</v>
      </c>
      <c r="D4419" s="448">
        <v>80.63</v>
      </c>
      <c r="E4419" s="210"/>
    </row>
    <row r="4420" spans="1:5" ht="67.5">
      <c r="A4420" s="446">
        <v>96873</v>
      </c>
      <c r="B4420" s="447" t="s">
        <v>3297</v>
      </c>
      <c r="C4420" s="446" t="s">
        <v>34</v>
      </c>
      <c r="D4420" s="448">
        <v>94.47</v>
      </c>
      <c r="E4420" s="210"/>
    </row>
    <row r="4421" spans="1:5" ht="67.5">
      <c r="A4421" s="446">
        <v>96874</v>
      </c>
      <c r="B4421" s="447" t="s">
        <v>3298</v>
      </c>
      <c r="C4421" s="446" t="s">
        <v>34</v>
      </c>
      <c r="D4421" s="448">
        <v>97.25</v>
      </c>
      <c r="E4421" s="210"/>
    </row>
    <row r="4422" spans="1:5" ht="67.5">
      <c r="A4422" s="446">
        <v>96875</v>
      </c>
      <c r="B4422" s="447" t="s">
        <v>3299</v>
      </c>
      <c r="C4422" s="446" t="s">
        <v>34</v>
      </c>
      <c r="D4422" s="448">
        <v>119.51</v>
      </c>
      <c r="E4422" s="210"/>
    </row>
    <row r="4423" spans="1:5" ht="54">
      <c r="A4423" s="446">
        <v>96876</v>
      </c>
      <c r="B4423" s="447" t="s">
        <v>3300</v>
      </c>
      <c r="C4423" s="446" t="s">
        <v>34</v>
      </c>
      <c r="D4423" s="448">
        <v>223.39</v>
      </c>
      <c r="E4423" s="210"/>
    </row>
    <row r="4424" spans="1:5" ht="54">
      <c r="A4424" s="446">
        <v>96877</v>
      </c>
      <c r="B4424" s="447" t="s">
        <v>3301</v>
      </c>
      <c r="C4424" s="446" t="s">
        <v>34</v>
      </c>
      <c r="D4424" s="448">
        <v>239.55</v>
      </c>
      <c r="E4424" s="210"/>
    </row>
    <row r="4425" spans="1:5" ht="54">
      <c r="A4425" s="446">
        <v>96878</v>
      </c>
      <c r="B4425" s="447" t="s">
        <v>3302</v>
      </c>
      <c r="C4425" s="446" t="s">
        <v>34</v>
      </c>
      <c r="D4425" s="448">
        <v>242.57</v>
      </c>
      <c r="E4425" s="210"/>
    </row>
    <row r="4426" spans="1:5" ht="54">
      <c r="A4426" s="446">
        <v>96879</v>
      </c>
      <c r="B4426" s="447" t="s">
        <v>3303</v>
      </c>
      <c r="C4426" s="446" t="s">
        <v>34</v>
      </c>
      <c r="D4426" s="448">
        <v>241.3</v>
      </c>
      <c r="E4426" s="210"/>
    </row>
    <row r="4427" spans="1:5" ht="54">
      <c r="A4427" s="446">
        <v>96880</v>
      </c>
      <c r="B4427" s="447" t="s">
        <v>3304</v>
      </c>
      <c r="C4427" s="446" t="s">
        <v>34</v>
      </c>
      <c r="D4427" s="448">
        <v>277.48</v>
      </c>
      <c r="E4427" s="210"/>
    </row>
    <row r="4428" spans="1:5" ht="54">
      <c r="A4428" s="446">
        <v>96881</v>
      </c>
      <c r="B4428" s="447" t="s">
        <v>3305</v>
      </c>
      <c r="C4428" s="446" t="s">
        <v>34</v>
      </c>
      <c r="D4428" s="448">
        <v>293.87</v>
      </c>
      <c r="E4428" s="210"/>
    </row>
    <row r="4429" spans="1:5" ht="67.5">
      <c r="A4429" s="446">
        <v>97425</v>
      </c>
      <c r="B4429" s="447" t="s">
        <v>4039</v>
      </c>
      <c r="C4429" s="446" t="s">
        <v>34</v>
      </c>
      <c r="D4429" s="448">
        <v>22.19</v>
      </c>
      <c r="E4429" s="210"/>
    </row>
    <row r="4430" spans="1:5" ht="67.5">
      <c r="A4430" s="446">
        <v>97426</v>
      </c>
      <c r="B4430" s="447" t="s">
        <v>4040</v>
      </c>
      <c r="C4430" s="446" t="s">
        <v>34</v>
      </c>
      <c r="D4430" s="448">
        <v>27.23</v>
      </c>
      <c r="E4430" s="210"/>
    </row>
    <row r="4431" spans="1:5" ht="67.5">
      <c r="A4431" s="446">
        <v>97427</v>
      </c>
      <c r="B4431" s="447" t="s">
        <v>4041</v>
      </c>
      <c r="C4431" s="446" t="s">
        <v>34</v>
      </c>
      <c r="D4431" s="448">
        <v>31.04</v>
      </c>
      <c r="E4431" s="210"/>
    </row>
    <row r="4432" spans="1:5" ht="67.5">
      <c r="A4432" s="446">
        <v>97428</v>
      </c>
      <c r="B4432" s="447" t="s">
        <v>4042</v>
      </c>
      <c r="C4432" s="446" t="s">
        <v>34</v>
      </c>
      <c r="D4432" s="448">
        <v>39.880000000000003</v>
      </c>
      <c r="E4432" s="210"/>
    </row>
    <row r="4433" spans="1:5" ht="67.5">
      <c r="A4433" s="446">
        <v>97429</v>
      </c>
      <c r="B4433" s="447" t="s">
        <v>4043</v>
      </c>
      <c r="C4433" s="446" t="s">
        <v>34</v>
      </c>
      <c r="D4433" s="448">
        <v>48.01</v>
      </c>
      <c r="E4433" s="210"/>
    </row>
    <row r="4434" spans="1:5" ht="54">
      <c r="A4434" s="446">
        <v>97430</v>
      </c>
      <c r="B4434" s="447" t="s">
        <v>6040</v>
      </c>
      <c r="C4434" s="446" t="s">
        <v>34</v>
      </c>
      <c r="D4434" s="448">
        <v>35.56</v>
      </c>
      <c r="E4434" s="210"/>
    </row>
    <row r="4435" spans="1:5" ht="54">
      <c r="A4435" s="446">
        <v>97431</v>
      </c>
      <c r="B4435" s="447" t="s">
        <v>6041</v>
      </c>
      <c r="C4435" s="446" t="s">
        <v>34</v>
      </c>
      <c r="D4435" s="448">
        <v>39.4</v>
      </c>
      <c r="E4435" s="210"/>
    </row>
    <row r="4436" spans="1:5" ht="54">
      <c r="A4436" s="446">
        <v>97432</v>
      </c>
      <c r="B4436" s="447" t="s">
        <v>6042</v>
      </c>
      <c r="C4436" s="446" t="s">
        <v>34</v>
      </c>
      <c r="D4436" s="448">
        <v>44.44</v>
      </c>
      <c r="E4436" s="210"/>
    </row>
    <row r="4437" spans="1:5" ht="54">
      <c r="A4437" s="446">
        <v>97433</v>
      </c>
      <c r="B4437" s="447" t="s">
        <v>6043</v>
      </c>
      <c r="C4437" s="446" t="s">
        <v>34</v>
      </c>
      <c r="D4437" s="448">
        <v>86.76</v>
      </c>
      <c r="E4437" s="210"/>
    </row>
    <row r="4438" spans="1:5" ht="54">
      <c r="A4438" s="446">
        <v>97434</v>
      </c>
      <c r="B4438" s="447" t="s">
        <v>6044</v>
      </c>
      <c r="C4438" s="446" t="s">
        <v>34</v>
      </c>
      <c r="D4438" s="448">
        <v>88.59</v>
      </c>
      <c r="E4438" s="210"/>
    </row>
    <row r="4439" spans="1:5" ht="54">
      <c r="A4439" s="446">
        <v>97435</v>
      </c>
      <c r="B4439" s="447" t="s">
        <v>6045</v>
      </c>
      <c r="C4439" s="446" t="s">
        <v>34</v>
      </c>
      <c r="D4439" s="448">
        <v>101.68</v>
      </c>
      <c r="E4439" s="210"/>
    </row>
    <row r="4440" spans="1:5" ht="54">
      <c r="A4440" s="446">
        <v>97436</v>
      </c>
      <c r="B4440" s="447" t="s">
        <v>6046</v>
      </c>
      <c r="C4440" s="446" t="s">
        <v>34</v>
      </c>
      <c r="D4440" s="448">
        <v>105.19</v>
      </c>
      <c r="E4440" s="210"/>
    </row>
    <row r="4441" spans="1:5" ht="54">
      <c r="A4441" s="446">
        <v>97437</v>
      </c>
      <c r="B4441" s="447" t="s">
        <v>6047</v>
      </c>
      <c r="C4441" s="446" t="s">
        <v>34</v>
      </c>
      <c r="D4441" s="448">
        <v>116.52</v>
      </c>
      <c r="E4441" s="210"/>
    </row>
    <row r="4442" spans="1:5" ht="54">
      <c r="A4442" s="446">
        <v>97438</v>
      </c>
      <c r="B4442" s="447" t="s">
        <v>6048</v>
      </c>
      <c r="C4442" s="446" t="s">
        <v>34</v>
      </c>
      <c r="D4442" s="448">
        <v>120.28</v>
      </c>
      <c r="E4442" s="210"/>
    </row>
    <row r="4443" spans="1:5" ht="40.5">
      <c r="A4443" s="446">
        <v>97439</v>
      </c>
      <c r="B4443" s="447" t="s">
        <v>6049</v>
      </c>
      <c r="C4443" s="446" t="s">
        <v>34</v>
      </c>
      <c r="D4443" s="448">
        <v>133.22</v>
      </c>
      <c r="E4443" s="210"/>
    </row>
    <row r="4444" spans="1:5" ht="40.5">
      <c r="A4444" s="446">
        <v>97440</v>
      </c>
      <c r="B4444" s="447" t="s">
        <v>6050</v>
      </c>
      <c r="C4444" s="446" t="s">
        <v>34</v>
      </c>
      <c r="D4444" s="448">
        <v>160.38</v>
      </c>
      <c r="E4444" s="210"/>
    </row>
    <row r="4445" spans="1:5" ht="40.5">
      <c r="A4445" s="446">
        <v>97442</v>
      </c>
      <c r="B4445" s="447" t="s">
        <v>6051</v>
      </c>
      <c r="C4445" s="446" t="s">
        <v>34</v>
      </c>
      <c r="D4445" s="448">
        <v>176.69</v>
      </c>
      <c r="E4445" s="210"/>
    </row>
    <row r="4446" spans="1:5" ht="40.5">
      <c r="A4446" s="446">
        <v>97443</v>
      </c>
      <c r="B4446" s="447" t="s">
        <v>6052</v>
      </c>
      <c r="C4446" s="446" t="s">
        <v>34</v>
      </c>
      <c r="D4446" s="448">
        <v>89.77</v>
      </c>
      <c r="E4446" s="210"/>
    </row>
    <row r="4447" spans="1:5" ht="54">
      <c r="A4447" s="446">
        <v>97444</v>
      </c>
      <c r="B4447" s="447" t="s">
        <v>6053</v>
      </c>
      <c r="C4447" s="446" t="s">
        <v>34</v>
      </c>
      <c r="D4447" s="448">
        <v>107.8</v>
      </c>
      <c r="E4447" s="210"/>
    </row>
    <row r="4448" spans="1:5" ht="40.5">
      <c r="A4448" s="446">
        <v>97446</v>
      </c>
      <c r="B4448" s="447" t="s">
        <v>6054</v>
      </c>
      <c r="C4448" s="446" t="s">
        <v>34</v>
      </c>
      <c r="D4448" s="448">
        <v>193.78</v>
      </c>
      <c r="E4448" s="210"/>
    </row>
    <row r="4449" spans="1:5" ht="54">
      <c r="A4449" s="446">
        <v>97447</v>
      </c>
      <c r="B4449" s="447" t="s">
        <v>6055</v>
      </c>
      <c r="C4449" s="446" t="s">
        <v>34</v>
      </c>
      <c r="D4449" s="448">
        <v>193.78</v>
      </c>
      <c r="E4449" s="210"/>
    </row>
    <row r="4450" spans="1:5" ht="40.5">
      <c r="A4450" s="446">
        <v>97449</v>
      </c>
      <c r="B4450" s="447" t="s">
        <v>6056</v>
      </c>
      <c r="C4450" s="446" t="s">
        <v>34</v>
      </c>
      <c r="D4450" s="448">
        <v>205.8</v>
      </c>
      <c r="E4450" s="210"/>
    </row>
    <row r="4451" spans="1:5" ht="54">
      <c r="A4451" s="446">
        <v>97450</v>
      </c>
      <c r="B4451" s="447" t="s">
        <v>6057</v>
      </c>
      <c r="C4451" s="446" t="s">
        <v>34</v>
      </c>
      <c r="D4451" s="448">
        <v>254.9</v>
      </c>
      <c r="E4451" s="210"/>
    </row>
    <row r="4452" spans="1:5" ht="54">
      <c r="A4452" s="446">
        <v>97452</v>
      </c>
      <c r="B4452" s="447" t="s">
        <v>6058</v>
      </c>
      <c r="C4452" s="446" t="s">
        <v>34</v>
      </c>
      <c r="D4452" s="448">
        <v>149.6</v>
      </c>
      <c r="E4452" s="210"/>
    </row>
    <row r="4453" spans="1:5" ht="54">
      <c r="A4453" s="446">
        <v>97453</v>
      </c>
      <c r="B4453" s="447" t="s">
        <v>6059</v>
      </c>
      <c r="C4453" s="446" t="s">
        <v>34</v>
      </c>
      <c r="D4453" s="448">
        <v>159.88999999999999</v>
      </c>
      <c r="E4453" s="210"/>
    </row>
    <row r="4454" spans="1:5" ht="54">
      <c r="A4454" s="446">
        <v>97454</v>
      </c>
      <c r="B4454" s="447" t="s">
        <v>6060</v>
      </c>
      <c r="C4454" s="446" t="s">
        <v>34</v>
      </c>
      <c r="D4454" s="448">
        <v>264.98</v>
      </c>
      <c r="E4454" s="210"/>
    </row>
    <row r="4455" spans="1:5" ht="54">
      <c r="A4455" s="446">
        <v>97455</v>
      </c>
      <c r="B4455" s="447" t="s">
        <v>6061</v>
      </c>
      <c r="C4455" s="446" t="s">
        <v>34</v>
      </c>
      <c r="D4455" s="448">
        <v>281.44</v>
      </c>
      <c r="E4455" s="210"/>
    </row>
    <row r="4456" spans="1:5" ht="54">
      <c r="A4456" s="446">
        <v>97456</v>
      </c>
      <c r="B4456" s="447" t="s">
        <v>6062</v>
      </c>
      <c r="C4456" s="446" t="s">
        <v>34</v>
      </c>
      <c r="D4456" s="448">
        <v>623.23</v>
      </c>
      <c r="E4456" s="210"/>
    </row>
    <row r="4457" spans="1:5" ht="54">
      <c r="A4457" s="446">
        <v>97457</v>
      </c>
      <c r="B4457" s="447" t="s">
        <v>6063</v>
      </c>
      <c r="C4457" s="446" t="s">
        <v>34</v>
      </c>
      <c r="D4457" s="448">
        <v>549.39</v>
      </c>
      <c r="E4457" s="210"/>
    </row>
    <row r="4458" spans="1:5" ht="40.5">
      <c r="A4458" s="446">
        <v>97458</v>
      </c>
      <c r="B4458" s="447" t="s">
        <v>6064</v>
      </c>
      <c r="C4458" s="446" t="s">
        <v>34</v>
      </c>
      <c r="D4458" s="448">
        <v>240.74</v>
      </c>
      <c r="E4458" s="210"/>
    </row>
    <row r="4459" spans="1:5" ht="40.5">
      <c r="A4459" s="446">
        <v>97459</v>
      </c>
      <c r="B4459" s="447" t="s">
        <v>6065</v>
      </c>
      <c r="C4459" s="446" t="s">
        <v>34</v>
      </c>
      <c r="D4459" s="448">
        <v>427.12</v>
      </c>
      <c r="E4459" s="210"/>
    </row>
    <row r="4460" spans="1:5" ht="40.5">
      <c r="A4460" s="446">
        <v>97460</v>
      </c>
      <c r="B4460" s="447" t="s">
        <v>6066</v>
      </c>
      <c r="C4460" s="446" t="s">
        <v>34</v>
      </c>
      <c r="D4460" s="448">
        <v>667.96</v>
      </c>
      <c r="E4460" s="210"/>
    </row>
    <row r="4461" spans="1:5" ht="54">
      <c r="A4461" s="446">
        <v>97461</v>
      </c>
      <c r="B4461" s="447" t="s">
        <v>6067</v>
      </c>
      <c r="C4461" s="446" t="s">
        <v>34</v>
      </c>
      <c r="D4461" s="448">
        <v>28.5</v>
      </c>
      <c r="E4461" s="210"/>
    </row>
    <row r="4462" spans="1:5" ht="67.5">
      <c r="A4462" s="446">
        <v>97462</v>
      </c>
      <c r="B4462" s="447" t="s">
        <v>6068</v>
      </c>
      <c r="C4462" s="446" t="s">
        <v>34</v>
      </c>
      <c r="D4462" s="448">
        <v>23.22</v>
      </c>
      <c r="E4462" s="210"/>
    </row>
    <row r="4463" spans="1:5" ht="54">
      <c r="A4463" s="446">
        <v>97464</v>
      </c>
      <c r="B4463" s="447" t="s">
        <v>6069</v>
      </c>
      <c r="C4463" s="446" t="s">
        <v>34</v>
      </c>
      <c r="D4463" s="448">
        <v>41.6</v>
      </c>
      <c r="E4463" s="210"/>
    </row>
    <row r="4464" spans="1:5" ht="67.5">
      <c r="A4464" s="446">
        <v>97465</v>
      </c>
      <c r="B4464" s="447" t="s">
        <v>6070</v>
      </c>
      <c r="C4464" s="446" t="s">
        <v>34</v>
      </c>
      <c r="D4464" s="448">
        <v>50.51</v>
      </c>
      <c r="E4464" s="210"/>
    </row>
    <row r="4465" spans="1:5" ht="54">
      <c r="A4465" s="446">
        <v>97467</v>
      </c>
      <c r="B4465" s="447" t="s">
        <v>6071</v>
      </c>
      <c r="C4465" s="446" t="s">
        <v>34</v>
      </c>
      <c r="D4465" s="448">
        <v>52.88</v>
      </c>
      <c r="E4465" s="210"/>
    </row>
    <row r="4466" spans="1:5" ht="67.5">
      <c r="A4466" s="446">
        <v>97468</v>
      </c>
      <c r="B4466" s="447" t="s">
        <v>6072</v>
      </c>
      <c r="C4466" s="446" t="s">
        <v>34</v>
      </c>
      <c r="D4466" s="448">
        <v>64.28</v>
      </c>
      <c r="E4466" s="210"/>
    </row>
    <row r="4467" spans="1:5" ht="54">
      <c r="A4467" s="446">
        <v>97470</v>
      </c>
      <c r="B4467" s="447" t="s">
        <v>6073</v>
      </c>
      <c r="C4467" s="446" t="s">
        <v>34</v>
      </c>
      <c r="D4467" s="448">
        <v>79.349999999999994</v>
      </c>
      <c r="E4467" s="210"/>
    </row>
    <row r="4468" spans="1:5" ht="67.5">
      <c r="A4468" s="446">
        <v>97471</v>
      </c>
      <c r="B4468" s="447" t="s">
        <v>6074</v>
      </c>
      <c r="C4468" s="446" t="s">
        <v>34</v>
      </c>
      <c r="D4468" s="448">
        <v>97.38</v>
      </c>
      <c r="E4468" s="210"/>
    </row>
    <row r="4469" spans="1:5" ht="54">
      <c r="A4469" s="446">
        <v>97474</v>
      </c>
      <c r="B4469" s="447" t="s">
        <v>6075</v>
      </c>
      <c r="C4469" s="446" t="s">
        <v>34</v>
      </c>
      <c r="D4469" s="448">
        <v>148.69999999999999</v>
      </c>
      <c r="E4469" s="210"/>
    </row>
    <row r="4470" spans="1:5" ht="67.5">
      <c r="A4470" s="446">
        <v>97475</v>
      </c>
      <c r="B4470" s="447" t="s">
        <v>6076</v>
      </c>
      <c r="C4470" s="446" t="s">
        <v>34</v>
      </c>
      <c r="D4470" s="448">
        <v>185.14</v>
      </c>
      <c r="E4470" s="210"/>
    </row>
    <row r="4471" spans="1:5" ht="54">
      <c r="A4471" s="446">
        <v>97477</v>
      </c>
      <c r="B4471" s="447" t="s">
        <v>6077</v>
      </c>
      <c r="C4471" s="446" t="s">
        <v>34</v>
      </c>
      <c r="D4471" s="448">
        <v>198.95</v>
      </c>
      <c r="E4471" s="210"/>
    </row>
    <row r="4472" spans="1:5" ht="67.5">
      <c r="A4472" s="446">
        <v>97478</v>
      </c>
      <c r="B4472" s="447" t="s">
        <v>6078</v>
      </c>
      <c r="C4472" s="446" t="s">
        <v>34</v>
      </c>
      <c r="D4472" s="448">
        <v>248.05</v>
      </c>
      <c r="E4472" s="210"/>
    </row>
    <row r="4473" spans="1:5" ht="54">
      <c r="A4473" s="446">
        <v>97479</v>
      </c>
      <c r="B4473" s="447" t="s">
        <v>6079</v>
      </c>
      <c r="C4473" s="446" t="s">
        <v>34</v>
      </c>
      <c r="D4473" s="448">
        <v>46.44</v>
      </c>
      <c r="E4473" s="210"/>
    </row>
    <row r="4474" spans="1:5" ht="54">
      <c r="A4474" s="446">
        <v>97480</v>
      </c>
      <c r="B4474" s="447" t="s">
        <v>6080</v>
      </c>
      <c r="C4474" s="446" t="s">
        <v>34</v>
      </c>
      <c r="D4474" s="448">
        <v>46.44</v>
      </c>
      <c r="E4474" s="210"/>
    </row>
    <row r="4475" spans="1:5" ht="54">
      <c r="A4475" s="446">
        <v>97481</v>
      </c>
      <c r="B4475" s="447" t="s">
        <v>6081</v>
      </c>
      <c r="C4475" s="446" t="s">
        <v>34</v>
      </c>
      <c r="D4475" s="448">
        <v>68.150000000000006</v>
      </c>
      <c r="E4475" s="210"/>
    </row>
    <row r="4476" spans="1:5" ht="54">
      <c r="A4476" s="446">
        <v>97482</v>
      </c>
      <c r="B4476" s="447" t="s">
        <v>6082</v>
      </c>
      <c r="C4476" s="446" t="s">
        <v>34</v>
      </c>
      <c r="D4476" s="448">
        <v>68.150000000000006</v>
      </c>
      <c r="E4476" s="210"/>
    </row>
    <row r="4477" spans="1:5" ht="54">
      <c r="A4477" s="446">
        <v>97483</v>
      </c>
      <c r="B4477" s="447" t="s">
        <v>6083</v>
      </c>
      <c r="C4477" s="446" t="s">
        <v>34</v>
      </c>
      <c r="D4477" s="448">
        <v>96.42</v>
      </c>
      <c r="E4477" s="210"/>
    </row>
    <row r="4478" spans="1:5" ht="54">
      <c r="A4478" s="446">
        <v>97484</v>
      </c>
      <c r="B4478" s="447" t="s">
        <v>6084</v>
      </c>
      <c r="C4478" s="446" t="s">
        <v>34</v>
      </c>
      <c r="D4478" s="448">
        <v>96.42</v>
      </c>
      <c r="E4478" s="210"/>
    </row>
    <row r="4479" spans="1:5" ht="54">
      <c r="A4479" s="446">
        <v>97485</v>
      </c>
      <c r="B4479" s="447" t="s">
        <v>6085</v>
      </c>
      <c r="C4479" s="446" t="s">
        <v>34</v>
      </c>
      <c r="D4479" s="448">
        <v>133.99</v>
      </c>
      <c r="E4479" s="210"/>
    </row>
    <row r="4480" spans="1:5" ht="54">
      <c r="A4480" s="446">
        <v>97486</v>
      </c>
      <c r="B4480" s="447" t="s">
        <v>6086</v>
      </c>
      <c r="C4480" s="446" t="s">
        <v>34</v>
      </c>
      <c r="D4480" s="448">
        <v>144.28</v>
      </c>
      <c r="E4480" s="210"/>
    </row>
    <row r="4481" spans="1:5" ht="54">
      <c r="A4481" s="446">
        <v>97487</v>
      </c>
      <c r="B4481" s="447" t="s">
        <v>6087</v>
      </c>
      <c r="C4481" s="446" t="s">
        <v>34</v>
      </c>
      <c r="D4481" s="448">
        <v>252.03</v>
      </c>
      <c r="E4481" s="210"/>
    </row>
    <row r="4482" spans="1:5" ht="54">
      <c r="A4482" s="446">
        <v>97488</v>
      </c>
      <c r="B4482" s="447" t="s">
        <v>6088</v>
      </c>
      <c r="C4482" s="446" t="s">
        <v>34</v>
      </c>
      <c r="D4482" s="448">
        <v>268.49</v>
      </c>
      <c r="E4482" s="210"/>
    </row>
    <row r="4483" spans="1:5" ht="54">
      <c r="A4483" s="446">
        <v>97489</v>
      </c>
      <c r="B4483" s="447" t="s">
        <v>6089</v>
      </c>
      <c r="C4483" s="446" t="s">
        <v>34</v>
      </c>
      <c r="D4483" s="448">
        <v>612.91</v>
      </c>
      <c r="E4483" s="210"/>
    </row>
    <row r="4484" spans="1:5" ht="54">
      <c r="A4484" s="446">
        <v>97490</v>
      </c>
      <c r="B4484" s="447" t="s">
        <v>6090</v>
      </c>
      <c r="C4484" s="446" t="s">
        <v>34</v>
      </c>
      <c r="D4484" s="448">
        <v>539.07000000000005</v>
      </c>
      <c r="E4484" s="210"/>
    </row>
    <row r="4485" spans="1:5" ht="54">
      <c r="A4485" s="446">
        <v>97491</v>
      </c>
      <c r="B4485" s="447" t="s">
        <v>6091</v>
      </c>
      <c r="C4485" s="446" t="s">
        <v>34</v>
      </c>
      <c r="D4485" s="448">
        <v>72.819999999999993</v>
      </c>
      <c r="E4485" s="210"/>
    </row>
    <row r="4486" spans="1:5" ht="54">
      <c r="A4486" s="446">
        <v>97492</v>
      </c>
      <c r="B4486" s="447" t="s">
        <v>6092</v>
      </c>
      <c r="C4486" s="446" t="s">
        <v>34</v>
      </c>
      <c r="D4486" s="448">
        <v>108.04</v>
      </c>
      <c r="E4486" s="210"/>
    </row>
    <row r="4487" spans="1:5" ht="54">
      <c r="A4487" s="446">
        <v>97493</v>
      </c>
      <c r="B4487" s="447" t="s">
        <v>6093</v>
      </c>
      <c r="C4487" s="446" t="s">
        <v>34</v>
      </c>
      <c r="D4487" s="448">
        <v>139.68</v>
      </c>
      <c r="E4487" s="210"/>
    </row>
    <row r="4488" spans="1:5" ht="54">
      <c r="A4488" s="446">
        <v>97494</v>
      </c>
      <c r="B4488" s="447" t="s">
        <v>6094</v>
      </c>
      <c r="C4488" s="446" t="s">
        <v>34</v>
      </c>
      <c r="D4488" s="448">
        <v>219.9</v>
      </c>
      <c r="E4488" s="210"/>
    </row>
    <row r="4489" spans="1:5" ht="54">
      <c r="A4489" s="446">
        <v>97495</v>
      </c>
      <c r="B4489" s="447" t="s">
        <v>6095</v>
      </c>
      <c r="C4489" s="446" t="s">
        <v>34</v>
      </c>
      <c r="D4489" s="448">
        <v>409.84</v>
      </c>
      <c r="E4489" s="210"/>
    </row>
    <row r="4490" spans="1:5" ht="54">
      <c r="A4490" s="446">
        <v>97496</v>
      </c>
      <c r="B4490" s="447" t="s">
        <v>6096</v>
      </c>
      <c r="C4490" s="446" t="s">
        <v>34</v>
      </c>
      <c r="D4490" s="448">
        <v>654.23</v>
      </c>
      <c r="E4490" s="210"/>
    </row>
    <row r="4491" spans="1:5" ht="54">
      <c r="A4491" s="446">
        <v>97499</v>
      </c>
      <c r="B4491" s="447" t="s">
        <v>6097</v>
      </c>
      <c r="C4491" s="446" t="s">
        <v>34</v>
      </c>
      <c r="D4491" s="448">
        <v>26.82</v>
      </c>
      <c r="E4491" s="210"/>
    </row>
    <row r="4492" spans="1:5" ht="67.5">
      <c r="A4492" s="446">
        <v>97500</v>
      </c>
      <c r="B4492" s="447" t="s">
        <v>6098</v>
      </c>
      <c r="C4492" s="446" t="s">
        <v>34</v>
      </c>
      <c r="D4492" s="448">
        <v>21.54</v>
      </c>
      <c r="E4492" s="210"/>
    </row>
    <row r="4493" spans="1:5" ht="54">
      <c r="A4493" s="446">
        <v>97502</v>
      </c>
      <c r="B4493" s="447" t="s">
        <v>6099</v>
      </c>
      <c r="C4493" s="446" t="s">
        <v>34</v>
      </c>
      <c r="D4493" s="448">
        <v>38.47</v>
      </c>
      <c r="E4493" s="210"/>
    </row>
    <row r="4494" spans="1:5" ht="67.5">
      <c r="A4494" s="446">
        <v>97503</v>
      </c>
      <c r="B4494" s="447" t="s">
        <v>6100</v>
      </c>
      <c r="C4494" s="446" t="s">
        <v>34</v>
      </c>
      <c r="D4494" s="448">
        <v>47.54</v>
      </c>
      <c r="E4494" s="210"/>
    </row>
    <row r="4495" spans="1:5" ht="54">
      <c r="A4495" s="446">
        <v>97505</v>
      </c>
      <c r="B4495" s="447" t="s">
        <v>6101</v>
      </c>
      <c r="C4495" s="446" t="s">
        <v>34</v>
      </c>
      <c r="D4495" s="448">
        <v>48.49</v>
      </c>
      <c r="E4495" s="210"/>
    </row>
    <row r="4496" spans="1:5" ht="67.5">
      <c r="A4496" s="446">
        <v>97506</v>
      </c>
      <c r="B4496" s="447" t="s">
        <v>6102</v>
      </c>
      <c r="C4496" s="446" t="s">
        <v>34</v>
      </c>
      <c r="D4496" s="448">
        <v>59.89</v>
      </c>
      <c r="E4496" s="210"/>
    </row>
    <row r="4497" spans="1:5" ht="54">
      <c r="A4497" s="446">
        <v>97508</v>
      </c>
      <c r="B4497" s="447" t="s">
        <v>6103</v>
      </c>
      <c r="C4497" s="446" t="s">
        <v>34</v>
      </c>
      <c r="D4497" s="448">
        <v>73.13</v>
      </c>
      <c r="E4497" s="210"/>
    </row>
    <row r="4498" spans="1:5" ht="67.5">
      <c r="A4498" s="446">
        <v>97509</v>
      </c>
      <c r="B4498" s="447" t="s">
        <v>6104</v>
      </c>
      <c r="C4498" s="446" t="s">
        <v>34</v>
      </c>
      <c r="D4498" s="448">
        <v>91.16</v>
      </c>
      <c r="E4498" s="210"/>
    </row>
    <row r="4499" spans="1:5" ht="54">
      <c r="A4499" s="446">
        <v>97511</v>
      </c>
      <c r="B4499" s="447" t="s">
        <v>6105</v>
      </c>
      <c r="C4499" s="446" t="s">
        <v>34</v>
      </c>
      <c r="D4499" s="448">
        <v>139.77000000000001</v>
      </c>
      <c r="E4499" s="210"/>
    </row>
    <row r="4500" spans="1:5" ht="67.5">
      <c r="A4500" s="446">
        <v>97512</v>
      </c>
      <c r="B4500" s="447" t="s">
        <v>6106</v>
      </c>
      <c r="C4500" s="446" t="s">
        <v>34</v>
      </c>
      <c r="D4500" s="448">
        <v>176.21</v>
      </c>
      <c r="E4500" s="210"/>
    </row>
    <row r="4501" spans="1:5" ht="54">
      <c r="A4501" s="446">
        <v>97514</v>
      </c>
      <c r="B4501" s="447" t="s">
        <v>6107</v>
      </c>
      <c r="C4501" s="446" t="s">
        <v>34</v>
      </c>
      <c r="D4501" s="448">
        <v>187.2</v>
      </c>
      <c r="E4501" s="210"/>
    </row>
    <row r="4502" spans="1:5" ht="67.5">
      <c r="A4502" s="446">
        <v>97515</v>
      </c>
      <c r="B4502" s="447" t="s">
        <v>6108</v>
      </c>
      <c r="C4502" s="446" t="s">
        <v>34</v>
      </c>
      <c r="D4502" s="448">
        <v>236.3</v>
      </c>
      <c r="E4502" s="210"/>
    </row>
    <row r="4503" spans="1:5" ht="54">
      <c r="A4503" s="446">
        <v>97517</v>
      </c>
      <c r="B4503" s="447" t="s">
        <v>6109</v>
      </c>
      <c r="C4503" s="446" t="s">
        <v>34</v>
      </c>
      <c r="D4503" s="448">
        <v>43.92</v>
      </c>
      <c r="E4503" s="210"/>
    </row>
    <row r="4504" spans="1:5" ht="54">
      <c r="A4504" s="446">
        <v>97518</v>
      </c>
      <c r="B4504" s="447" t="s">
        <v>6110</v>
      </c>
      <c r="C4504" s="446" t="s">
        <v>34</v>
      </c>
      <c r="D4504" s="448">
        <v>43.92</v>
      </c>
      <c r="E4504" s="210"/>
    </row>
    <row r="4505" spans="1:5" ht="54">
      <c r="A4505" s="446">
        <v>97519</v>
      </c>
      <c r="B4505" s="447" t="s">
        <v>6111</v>
      </c>
      <c r="C4505" s="446" t="s">
        <v>34</v>
      </c>
      <c r="D4505" s="448">
        <v>63.7</v>
      </c>
      <c r="E4505" s="210"/>
    </row>
    <row r="4506" spans="1:5" ht="54">
      <c r="A4506" s="446">
        <v>97520</v>
      </c>
      <c r="B4506" s="447" t="s">
        <v>6112</v>
      </c>
      <c r="C4506" s="446" t="s">
        <v>34</v>
      </c>
      <c r="D4506" s="448">
        <v>63.7</v>
      </c>
      <c r="E4506" s="210"/>
    </row>
    <row r="4507" spans="1:5" ht="54">
      <c r="A4507" s="446">
        <v>97521</v>
      </c>
      <c r="B4507" s="447" t="s">
        <v>6113</v>
      </c>
      <c r="C4507" s="446" t="s">
        <v>34</v>
      </c>
      <c r="D4507" s="448">
        <v>89.81</v>
      </c>
      <c r="E4507" s="210"/>
    </row>
    <row r="4508" spans="1:5" ht="54">
      <c r="A4508" s="446">
        <v>97522</v>
      </c>
      <c r="B4508" s="447" t="s">
        <v>6114</v>
      </c>
      <c r="C4508" s="446" t="s">
        <v>34</v>
      </c>
      <c r="D4508" s="448">
        <v>89.81</v>
      </c>
      <c r="E4508" s="210"/>
    </row>
    <row r="4509" spans="1:5" ht="54">
      <c r="A4509" s="446">
        <v>97523</v>
      </c>
      <c r="B4509" s="447" t="s">
        <v>6115</v>
      </c>
      <c r="C4509" s="446" t="s">
        <v>34</v>
      </c>
      <c r="D4509" s="448">
        <v>124.66</v>
      </c>
      <c r="E4509" s="210"/>
    </row>
    <row r="4510" spans="1:5" ht="54">
      <c r="A4510" s="446">
        <v>97524</v>
      </c>
      <c r="B4510" s="447" t="s">
        <v>6116</v>
      </c>
      <c r="C4510" s="446" t="s">
        <v>34</v>
      </c>
      <c r="D4510" s="448">
        <v>134.94999999999999</v>
      </c>
      <c r="E4510" s="210"/>
    </row>
    <row r="4511" spans="1:5" ht="54">
      <c r="A4511" s="446">
        <v>97525</v>
      </c>
      <c r="B4511" s="447" t="s">
        <v>6117</v>
      </c>
      <c r="C4511" s="446" t="s">
        <v>34</v>
      </c>
      <c r="D4511" s="448">
        <v>238.55</v>
      </c>
      <c r="E4511" s="210"/>
    </row>
    <row r="4512" spans="1:5" ht="54">
      <c r="A4512" s="446">
        <v>97526</v>
      </c>
      <c r="B4512" s="447" t="s">
        <v>6118</v>
      </c>
      <c r="C4512" s="446" t="s">
        <v>34</v>
      </c>
      <c r="D4512" s="448">
        <v>255.01</v>
      </c>
      <c r="E4512" s="210"/>
    </row>
    <row r="4513" spans="1:5" ht="54">
      <c r="A4513" s="446">
        <v>97527</v>
      </c>
      <c r="B4513" s="447" t="s">
        <v>6119</v>
      </c>
      <c r="C4513" s="446" t="s">
        <v>34</v>
      </c>
      <c r="D4513" s="448">
        <v>595.33000000000004</v>
      </c>
      <c r="E4513" s="210"/>
    </row>
    <row r="4514" spans="1:5" ht="54">
      <c r="A4514" s="446">
        <v>97528</v>
      </c>
      <c r="B4514" s="447" t="s">
        <v>6120</v>
      </c>
      <c r="C4514" s="446" t="s">
        <v>34</v>
      </c>
      <c r="D4514" s="448">
        <v>521.49</v>
      </c>
      <c r="E4514" s="210"/>
    </row>
    <row r="4515" spans="1:5" ht="54">
      <c r="A4515" s="446">
        <v>97529</v>
      </c>
      <c r="B4515" s="447" t="s">
        <v>6121</v>
      </c>
      <c r="C4515" s="446" t="s">
        <v>34</v>
      </c>
      <c r="D4515" s="448">
        <v>69.5</v>
      </c>
      <c r="E4515" s="210"/>
    </row>
    <row r="4516" spans="1:5" ht="54">
      <c r="A4516" s="446">
        <v>97530</v>
      </c>
      <c r="B4516" s="447" t="s">
        <v>6122</v>
      </c>
      <c r="C4516" s="446" t="s">
        <v>34</v>
      </c>
      <c r="D4516" s="448">
        <v>102.11</v>
      </c>
      <c r="E4516" s="210"/>
    </row>
    <row r="4517" spans="1:5" ht="54">
      <c r="A4517" s="446">
        <v>97531</v>
      </c>
      <c r="B4517" s="447" t="s">
        <v>6123</v>
      </c>
      <c r="C4517" s="446" t="s">
        <v>34</v>
      </c>
      <c r="D4517" s="448">
        <v>130.84</v>
      </c>
      <c r="E4517" s="210"/>
    </row>
    <row r="4518" spans="1:5" ht="54">
      <c r="A4518" s="446">
        <v>97532</v>
      </c>
      <c r="B4518" s="447" t="s">
        <v>6124</v>
      </c>
      <c r="C4518" s="446" t="s">
        <v>34</v>
      </c>
      <c r="D4518" s="448">
        <v>207.46</v>
      </c>
      <c r="E4518" s="210"/>
    </row>
    <row r="4519" spans="1:5" ht="54">
      <c r="A4519" s="446">
        <v>97533</v>
      </c>
      <c r="B4519" s="447" t="s">
        <v>6125</v>
      </c>
      <c r="C4519" s="446" t="s">
        <v>34</v>
      </c>
      <c r="D4519" s="448">
        <v>394.53</v>
      </c>
      <c r="E4519" s="210"/>
    </row>
    <row r="4520" spans="1:5" ht="54">
      <c r="A4520" s="446">
        <v>97534</v>
      </c>
      <c r="B4520" s="447" t="s">
        <v>6126</v>
      </c>
      <c r="C4520" s="446" t="s">
        <v>34</v>
      </c>
      <c r="D4520" s="448">
        <v>630.79</v>
      </c>
      <c r="E4520" s="210"/>
    </row>
    <row r="4521" spans="1:5" ht="54">
      <c r="A4521" s="446">
        <v>97537</v>
      </c>
      <c r="B4521" s="447" t="s">
        <v>6127</v>
      </c>
      <c r="C4521" s="446" t="s">
        <v>34</v>
      </c>
      <c r="D4521" s="448">
        <v>19.57</v>
      </c>
      <c r="E4521" s="210"/>
    </row>
    <row r="4522" spans="1:5" ht="54">
      <c r="A4522" s="446">
        <v>97540</v>
      </c>
      <c r="B4522" s="447" t="s">
        <v>6128</v>
      </c>
      <c r="C4522" s="446" t="s">
        <v>34</v>
      </c>
      <c r="D4522" s="448">
        <v>25.37</v>
      </c>
      <c r="E4522" s="210"/>
    </row>
    <row r="4523" spans="1:5" ht="54">
      <c r="A4523" s="446">
        <v>97541</v>
      </c>
      <c r="B4523" s="447" t="s">
        <v>6129</v>
      </c>
      <c r="C4523" s="446" t="s">
        <v>34</v>
      </c>
      <c r="D4523" s="448">
        <v>20.99</v>
      </c>
      <c r="E4523" s="210"/>
    </row>
    <row r="4524" spans="1:5" ht="54">
      <c r="A4524" s="446">
        <v>97543</v>
      </c>
      <c r="B4524" s="447" t="s">
        <v>6130</v>
      </c>
      <c r="C4524" s="446" t="s">
        <v>34</v>
      </c>
      <c r="D4524" s="448">
        <v>39.9</v>
      </c>
      <c r="E4524" s="210"/>
    </row>
    <row r="4525" spans="1:5" ht="54">
      <c r="A4525" s="446">
        <v>97544</v>
      </c>
      <c r="B4525" s="447" t="s">
        <v>6131</v>
      </c>
      <c r="C4525" s="446" t="s">
        <v>34</v>
      </c>
      <c r="D4525" s="448">
        <v>34.619999999999997</v>
      </c>
      <c r="E4525" s="210"/>
    </row>
    <row r="4526" spans="1:5" ht="54">
      <c r="A4526" s="446">
        <v>97546</v>
      </c>
      <c r="B4526" s="447" t="s">
        <v>6132</v>
      </c>
      <c r="C4526" s="446" t="s">
        <v>34</v>
      </c>
      <c r="D4526" s="448">
        <v>27.13</v>
      </c>
      <c r="E4526" s="210"/>
    </row>
    <row r="4527" spans="1:5" ht="54">
      <c r="A4527" s="446">
        <v>97547</v>
      </c>
      <c r="B4527" s="447" t="s">
        <v>6133</v>
      </c>
      <c r="C4527" s="446" t="s">
        <v>34</v>
      </c>
      <c r="D4527" s="448">
        <v>27.13</v>
      </c>
      <c r="E4527" s="210"/>
    </row>
    <row r="4528" spans="1:5" ht="54">
      <c r="A4528" s="446">
        <v>97548</v>
      </c>
      <c r="B4528" s="447" t="s">
        <v>6134</v>
      </c>
      <c r="C4528" s="446" t="s">
        <v>34</v>
      </c>
      <c r="D4528" s="448">
        <v>39.39</v>
      </c>
      <c r="E4528" s="210"/>
    </row>
    <row r="4529" spans="1:5" ht="54">
      <c r="A4529" s="446">
        <v>97549</v>
      </c>
      <c r="B4529" s="447" t="s">
        <v>6135</v>
      </c>
      <c r="C4529" s="446" t="s">
        <v>34</v>
      </c>
      <c r="D4529" s="448">
        <v>39.39</v>
      </c>
      <c r="E4529" s="210"/>
    </row>
    <row r="4530" spans="1:5" ht="54">
      <c r="A4530" s="446">
        <v>97550</v>
      </c>
      <c r="B4530" s="447" t="s">
        <v>6136</v>
      </c>
      <c r="C4530" s="446" t="s">
        <v>34</v>
      </c>
      <c r="D4530" s="448">
        <v>63.58</v>
      </c>
      <c r="E4530" s="210"/>
    </row>
    <row r="4531" spans="1:5" ht="54">
      <c r="A4531" s="446">
        <v>97551</v>
      </c>
      <c r="B4531" s="447" t="s">
        <v>6137</v>
      </c>
      <c r="C4531" s="446" t="s">
        <v>34</v>
      </c>
      <c r="D4531" s="448">
        <v>63.58</v>
      </c>
      <c r="E4531" s="210"/>
    </row>
    <row r="4532" spans="1:5" ht="54">
      <c r="A4532" s="446">
        <v>97552</v>
      </c>
      <c r="B4532" s="447" t="s">
        <v>6138</v>
      </c>
      <c r="C4532" s="446" t="s">
        <v>34</v>
      </c>
      <c r="D4532" s="448">
        <v>39.99</v>
      </c>
      <c r="E4532" s="210"/>
    </row>
    <row r="4533" spans="1:5" ht="54">
      <c r="A4533" s="446">
        <v>97553</v>
      </c>
      <c r="B4533" s="447" t="s">
        <v>6139</v>
      </c>
      <c r="C4533" s="446" t="s">
        <v>34</v>
      </c>
      <c r="D4533" s="448">
        <v>56.33</v>
      </c>
      <c r="E4533" s="210"/>
    </row>
    <row r="4534" spans="1:5" ht="54">
      <c r="A4534" s="446">
        <v>97554</v>
      </c>
      <c r="B4534" s="447" t="s">
        <v>6140</v>
      </c>
      <c r="C4534" s="446" t="s">
        <v>34</v>
      </c>
      <c r="D4534" s="448">
        <v>95.72</v>
      </c>
      <c r="E4534" s="210"/>
    </row>
    <row r="4535" spans="1:5" ht="54">
      <c r="A4535" s="446">
        <v>98602</v>
      </c>
      <c r="B4535" s="447" t="s">
        <v>4044</v>
      </c>
      <c r="C4535" s="446" t="s">
        <v>34</v>
      </c>
      <c r="D4535" s="448">
        <v>18.5</v>
      </c>
      <c r="E4535" s="210"/>
    </row>
    <row r="4536" spans="1:5" ht="40.5">
      <c r="A4536" s="446">
        <v>97895</v>
      </c>
      <c r="B4536" s="447" t="s">
        <v>6599</v>
      </c>
      <c r="C4536" s="446" t="s">
        <v>34</v>
      </c>
      <c r="D4536" s="448">
        <v>159.6</v>
      </c>
      <c r="E4536" s="210"/>
    </row>
    <row r="4537" spans="1:5" ht="40.5">
      <c r="A4537" s="446">
        <v>97896</v>
      </c>
      <c r="B4537" s="447" t="s">
        <v>6600</v>
      </c>
      <c r="C4537" s="446" t="s">
        <v>34</v>
      </c>
      <c r="D4537" s="448">
        <v>294.26</v>
      </c>
      <c r="E4537" s="210"/>
    </row>
    <row r="4538" spans="1:5" ht="40.5">
      <c r="A4538" s="446">
        <v>97897</v>
      </c>
      <c r="B4538" s="447" t="s">
        <v>6601</v>
      </c>
      <c r="C4538" s="446" t="s">
        <v>34</v>
      </c>
      <c r="D4538" s="448">
        <v>380.07</v>
      </c>
      <c r="E4538" s="210"/>
    </row>
    <row r="4539" spans="1:5" ht="40.5">
      <c r="A4539" s="446">
        <v>97898</v>
      </c>
      <c r="B4539" s="447" t="s">
        <v>6602</v>
      </c>
      <c r="C4539" s="446" t="s">
        <v>34</v>
      </c>
      <c r="D4539" s="448">
        <v>724.68</v>
      </c>
      <c r="E4539" s="210"/>
    </row>
    <row r="4540" spans="1:5" ht="67.5">
      <c r="A4540" s="446">
        <v>97900</v>
      </c>
      <c r="B4540" s="447" t="s">
        <v>6603</v>
      </c>
      <c r="C4540" s="446" t="s">
        <v>34</v>
      </c>
      <c r="D4540" s="448">
        <v>160.15</v>
      </c>
      <c r="E4540" s="210"/>
    </row>
    <row r="4541" spans="1:5" ht="67.5">
      <c r="A4541" s="446">
        <v>97901</v>
      </c>
      <c r="B4541" s="447" t="s">
        <v>6604</v>
      </c>
      <c r="C4541" s="446" t="s">
        <v>34</v>
      </c>
      <c r="D4541" s="448">
        <v>254.84</v>
      </c>
      <c r="E4541" s="210"/>
    </row>
    <row r="4542" spans="1:5" ht="67.5">
      <c r="A4542" s="446">
        <v>97902</v>
      </c>
      <c r="B4542" s="447" t="s">
        <v>6605</v>
      </c>
      <c r="C4542" s="446" t="s">
        <v>34</v>
      </c>
      <c r="D4542" s="448">
        <v>508.29</v>
      </c>
      <c r="E4542" s="210"/>
    </row>
    <row r="4543" spans="1:5" ht="67.5">
      <c r="A4543" s="446">
        <v>97903</v>
      </c>
      <c r="B4543" s="447" t="s">
        <v>6606</v>
      </c>
      <c r="C4543" s="446" t="s">
        <v>34</v>
      </c>
      <c r="D4543" s="448">
        <v>697.87</v>
      </c>
      <c r="E4543" s="210"/>
    </row>
    <row r="4544" spans="1:5" ht="54">
      <c r="A4544" s="446">
        <v>97904</v>
      </c>
      <c r="B4544" s="447" t="s">
        <v>6607</v>
      </c>
      <c r="C4544" s="446" t="s">
        <v>34</v>
      </c>
      <c r="D4544" s="448">
        <v>840.25</v>
      </c>
      <c r="E4544" s="210"/>
    </row>
    <row r="4545" spans="1:5" ht="54">
      <c r="A4545" s="446">
        <v>97905</v>
      </c>
      <c r="B4545" s="447" t="s">
        <v>6608</v>
      </c>
      <c r="C4545" s="446" t="s">
        <v>34</v>
      </c>
      <c r="D4545" s="448">
        <v>183.78</v>
      </c>
      <c r="E4545" s="210"/>
    </row>
    <row r="4546" spans="1:5" ht="54">
      <c r="A4546" s="446">
        <v>97906</v>
      </c>
      <c r="B4546" s="447" t="s">
        <v>6609</v>
      </c>
      <c r="C4546" s="446" t="s">
        <v>34</v>
      </c>
      <c r="D4546" s="448">
        <v>343.82</v>
      </c>
      <c r="E4546" s="210"/>
    </row>
    <row r="4547" spans="1:5" ht="54">
      <c r="A4547" s="446">
        <v>97907</v>
      </c>
      <c r="B4547" s="447" t="s">
        <v>6610</v>
      </c>
      <c r="C4547" s="446" t="s">
        <v>34</v>
      </c>
      <c r="D4547" s="448">
        <v>487.99</v>
      </c>
      <c r="E4547" s="210"/>
    </row>
    <row r="4548" spans="1:5" ht="54">
      <c r="A4548" s="446">
        <v>97908</v>
      </c>
      <c r="B4548" s="447" t="s">
        <v>6611</v>
      </c>
      <c r="C4548" s="446" t="s">
        <v>34</v>
      </c>
      <c r="D4548" s="448">
        <v>591.9</v>
      </c>
      <c r="E4548" s="210"/>
    </row>
    <row r="4549" spans="1:5" ht="54">
      <c r="A4549" s="446">
        <v>98102</v>
      </c>
      <c r="B4549" s="447" t="s">
        <v>6612</v>
      </c>
      <c r="C4549" s="446" t="s">
        <v>34</v>
      </c>
      <c r="D4549" s="448">
        <v>150.38</v>
      </c>
      <c r="E4549" s="210"/>
    </row>
    <row r="4550" spans="1:5" ht="67.5">
      <c r="A4550" s="446">
        <v>98104</v>
      </c>
      <c r="B4550" s="447" t="s">
        <v>6613</v>
      </c>
      <c r="C4550" s="446" t="s">
        <v>34</v>
      </c>
      <c r="D4550" s="448">
        <v>345.25</v>
      </c>
      <c r="E4550" s="210"/>
    </row>
    <row r="4551" spans="1:5" ht="67.5">
      <c r="A4551" s="446">
        <v>98105</v>
      </c>
      <c r="B4551" s="447" t="s">
        <v>6614</v>
      </c>
      <c r="C4551" s="446" t="s">
        <v>34</v>
      </c>
      <c r="D4551" s="448">
        <v>591.23</v>
      </c>
      <c r="E4551" s="210"/>
    </row>
    <row r="4552" spans="1:5" ht="81">
      <c r="A4552" s="446">
        <v>98106</v>
      </c>
      <c r="B4552" s="447" t="s">
        <v>6615</v>
      </c>
      <c r="C4552" s="446" t="s">
        <v>34</v>
      </c>
      <c r="D4552" s="448">
        <v>980.57</v>
      </c>
      <c r="E4552" s="210"/>
    </row>
    <row r="4553" spans="1:5" ht="67.5">
      <c r="A4553" s="446">
        <v>98107</v>
      </c>
      <c r="B4553" s="447" t="s">
        <v>6616</v>
      </c>
      <c r="C4553" s="446" t="s">
        <v>34</v>
      </c>
      <c r="D4553" s="448">
        <v>217.24</v>
      </c>
      <c r="E4553" s="210"/>
    </row>
    <row r="4554" spans="1:5" ht="67.5">
      <c r="A4554" s="446">
        <v>98108</v>
      </c>
      <c r="B4554" s="447" t="s">
        <v>6617</v>
      </c>
      <c r="C4554" s="446" t="s">
        <v>34</v>
      </c>
      <c r="D4554" s="448">
        <v>384.9</v>
      </c>
      <c r="E4554" s="210"/>
    </row>
    <row r="4555" spans="1:5" ht="67.5">
      <c r="A4555" s="446">
        <v>99250</v>
      </c>
      <c r="B4555" s="447" t="s">
        <v>6618</v>
      </c>
      <c r="C4555" s="446" t="s">
        <v>34</v>
      </c>
      <c r="D4555" s="448">
        <v>156.79</v>
      </c>
      <c r="E4555" s="210"/>
    </row>
    <row r="4556" spans="1:5" ht="67.5">
      <c r="A4556" s="446">
        <v>99251</v>
      </c>
      <c r="B4556" s="447" t="s">
        <v>6619</v>
      </c>
      <c r="C4556" s="446" t="s">
        <v>34</v>
      </c>
      <c r="D4556" s="448">
        <v>249.06</v>
      </c>
      <c r="E4556" s="210"/>
    </row>
    <row r="4557" spans="1:5" ht="67.5">
      <c r="A4557" s="446">
        <v>99253</v>
      </c>
      <c r="B4557" s="447" t="s">
        <v>6620</v>
      </c>
      <c r="C4557" s="446" t="s">
        <v>34</v>
      </c>
      <c r="D4557" s="448">
        <v>495.33</v>
      </c>
      <c r="E4557" s="210"/>
    </row>
    <row r="4558" spans="1:5" ht="67.5">
      <c r="A4558" s="446">
        <v>99255</v>
      </c>
      <c r="B4558" s="447" t="s">
        <v>6621</v>
      </c>
      <c r="C4558" s="446" t="s">
        <v>34</v>
      </c>
      <c r="D4558" s="448">
        <v>680.09</v>
      </c>
      <c r="E4558" s="210"/>
    </row>
    <row r="4559" spans="1:5" ht="54">
      <c r="A4559" s="446">
        <v>99257</v>
      </c>
      <c r="B4559" s="447" t="s">
        <v>6622</v>
      </c>
      <c r="C4559" s="446" t="s">
        <v>34</v>
      </c>
      <c r="D4559" s="448">
        <v>817.26</v>
      </c>
      <c r="E4559" s="210"/>
    </row>
    <row r="4560" spans="1:5" ht="54">
      <c r="A4560" s="446">
        <v>99258</v>
      </c>
      <c r="B4560" s="447" t="s">
        <v>6623</v>
      </c>
      <c r="C4560" s="446" t="s">
        <v>34</v>
      </c>
      <c r="D4560" s="448">
        <v>179.01</v>
      </c>
      <c r="E4560" s="210"/>
    </row>
    <row r="4561" spans="1:5" ht="54">
      <c r="A4561" s="446">
        <v>99260</v>
      </c>
      <c r="B4561" s="447" t="s">
        <v>6624</v>
      </c>
      <c r="C4561" s="446" t="s">
        <v>34</v>
      </c>
      <c r="D4561" s="448">
        <v>335.65</v>
      </c>
      <c r="E4561" s="210"/>
    </row>
    <row r="4562" spans="1:5" ht="54">
      <c r="A4562" s="446">
        <v>99262</v>
      </c>
      <c r="B4562" s="447" t="s">
        <v>6625</v>
      </c>
      <c r="C4562" s="446" t="s">
        <v>34</v>
      </c>
      <c r="D4562" s="448">
        <v>476.34</v>
      </c>
      <c r="E4562" s="210"/>
    </row>
    <row r="4563" spans="1:5" ht="54">
      <c r="A4563" s="446">
        <v>99264</v>
      </c>
      <c r="B4563" s="447" t="s">
        <v>6626</v>
      </c>
      <c r="C4563" s="446" t="s">
        <v>34</v>
      </c>
      <c r="D4563" s="448">
        <v>576.15</v>
      </c>
      <c r="E4563" s="210"/>
    </row>
    <row r="4564" spans="1:5" ht="40.5">
      <c r="A4564" s="446">
        <v>102587</v>
      </c>
      <c r="B4564" s="447" t="s">
        <v>7283</v>
      </c>
      <c r="C4564" s="446" t="s">
        <v>34</v>
      </c>
      <c r="D4564" s="448">
        <v>2.17</v>
      </c>
      <c r="E4564" s="210"/>
    </row>
    <row r="4565" spans="1:5" ht="40.5">
      <c r="A4565" s="446">
        <v>102588</v>
      </c>
      <c r="B4565" s="447" t="s">
        <v>7284</v>
      </c>
      <c r="C4565" s="446" t="s">
        <v>34</v>
      </c>
      <c r="D4565" s="448">
        <v>3.14</v>
      </c>
      <c r="E4565" s="210"/>
    </row>
    <row r="4566" spans="1:5" ht="40.5">
      <c r="A4566" s="446">
        <v>102589</v>
      </c>
      <c r="B4566" s="447" t="s">
        <v>7285</v>
      </c>
      <c r="C4566" s="446" t="s">
        <v>34</v>
      </c>
      <c r="D4566" s="448">
        <v>2.41</v>
      </c>
      <c r="E4566" s="210"/>
    </row>
    <row r="4567" spans="1:5" ht="40.5">
      <c r="A4567" s="446">
        <v>102590</v>
      </c>
      <c r="B4567" s="447" t="s">
        <v>7286</v>
      </c>
      <c r="C4567" s="446" t="s">
        <v>34</v>
      </c>
      <c r="D4567" s="448">
        <v>3.39</v>
      </c>
      <c r="E4567" s="210"/>
    </row>
    <row r="4568" spans="1:5" ht="40.5">
      <c r="A4568" s="446">
        <v>102591</v>
      </c>
      <c r="B4568" s="447" t="s">
        <v>7287</v>
      </c>
      <c r="C4568" s="446" t="s">
        <v>34</v>
      </c>
      <c r="D4568" s="448">
        <v>2.66</v>
      </c>
      <c r="E4568" s="210"/>
    </row>
    <row r="4569" spans="1:5" ht="40.5">
      <c r="A4569" s="446">
        <v>102592</v>
      </c>
      <c r="B4569" s="447" t="s">
        <v>7288</v>
      </c>
      <c r="C4569" s="446" t="s">
        <v>34</v>
      </c>
      <c r="D4569" s="448">
        <v>3.63</v>
      </c>
      <c r="E4569" s="210"/>
    </row>
    <row r="4570" spans="1:5" ht="40.5">
      <c r="A4570" s="446">
        <v>102593</v>
      </c>
      <c r="B4570" s="447" t="s">
        <v>7289</v>
      </c>
      <c r="C4570" s="446" t="s">
        <v>34</v>
      </c>
      <c r="D4570" s="448">
        <v>3</v>
      </c>
      <c r="E4570" s="210"/>
    </row>
    <row r="4571" spans="1:5" ht="40.5">
      <c r="A4571" s="446">
        <v>102594</v>
      </c>
      <c r="B4571" s="447" t="s">
        <v>7290</v>
      </c>
      <c r="C4571" s="446" t="s">
        <v>34</v>
      </c>
      <c r="D4571" s="448">
        <v>3.98</v>
      </c>
      <c r="E4571" s="210"/>
    </row>
    <row r="4572" spans="1:5" ht="40.5">
      <c r="A4572" s="446">
        <v>102595</v>
      </c>
      <c r="B4572" s="447" t="s">
        <v>7291</v>
      </c>
      <c r="C4572" s="446" t="s">
        <v>34</v>
      </c>
      <c r="D4572" s="448">
        <v>3.4</v>
      </c>
      <c r="E4572" s="210"/>
    </row>
    <row r="4573" spans="1:5" ht="40.5">
      <c r="A4573" s="446">
        <v>102596</v>
      </c>
      <c r="B4573" s="447" t="s">
        <v>7292</v>
      </c>
      <c r="C4573" s="446" t="s">
        <v>34</v>
      </c>
      <c r="D4573" s="448">
        <v>4.37</v>
      </c>
      <c r="E4573" s="210"/>
    </row>
    <row r="4574" spans="1:5" ht="40.5">
      <c r="A4574" s="446">
        <v>102597</v>
      </c>
      <c r="B4574" s="447" t="s">
        <v>7293</v>
      </c>
      <c r="C4574" s="446" t="s">
        <v>34</v>
      </c>
      <c r="D4574" s="448">
        <v>3.88</v>
      </c>
      <c r="E4574" s="210"/>
    </row>
    <row r="4575" spans="1:5" ht="40.5">
      <c r="A4575" s="446">
        <v>102598</v>
      </c>
      <c r="B4575" s="447" t="s">
        <v>7294</v>
      </c>
      <c r="C4575" s="446" t="s">
        <v>34</v>
      </c>
      <c r="D4575" s="448">
        <v>4.8600000000000003</v>
      </c>
      <c r="E4575" s="210"/>
    </row>
    <row r="4576" spans="1:5" ht="40.5">
      <c r="A4576" s="446">
        <v>102599</v>
      </c>
      <c r="B4576" s="447" t="s">
        <v>7295</v>
      </c>
      <c r="C4576" s="446" t="s">
        <v>34</v>
      </c>
      <c r="D4576" s="448">
        <v>4.37</v>
      </c>
      <c r="E4576" s="210"/>
    </row>
    <row r="4577" spans="1:5" ht="40.5">
      <c r="A4577" s="446">
        <v>102600</v>
      </c>
      <c r="B4577" s="447" t="s">
        <v>7296</v>
      </c>
      <c r="C4577" s="446" t="s">
        <v>34</v>
      </c>
      <c r="D4577" s="448">
        <v>5.34</v>
      </c>
      <c r="E4577" s="210"/>
    </row>
    <row r="4578" spans="1:5" ht="40.5">
      <c r="A4578" s="446">
        <v>102601</v>
      </c>
      <c r="B4578" s="447" t="s">
        <v>7297</v>
      </c>
      <c r="C4578" s="446" t="s">
        <v>34</v>
      </c>
      <c r="D4578" s="448">
        <v>5.1100000000000003</v>
      </c>
      <c r="E4578" s="210"/>
    </row>
    <row r="4579" spans="1:5" ht="40.5">
      <c r="A4579" s="446">
        <v>102602</v>
      </c>
      <c r="B4579" s="447" t="s">
        <v>7298</v>
      </c>
      <c r="C4579" s="446" t="s">
        <v>34</v>
      </c>
      <c r="D4579" s="448">
        <v>6.08</v>
      </c>
      <c r="E4579" s="210"/>
    </row>
    <row r="4580" spans="1:5" ht="40.5">
      <c r="A4580" s="446">
        <v>102603</v>
      </c>
      <c r="B4580" s="447" t="s">
        <v>7299</v>
      </c>
      <c r="C4580" s="446" t="s">
        <v>34</v>
      </c>
      <c r="D4580" s="448">
        <v>6.34</v>
      </c>
      <c r="E4580" s="210"/>
    </row>
    <row r="4581" spans="1:5" ht="40.5">
      <c r="A4581" s="446">
        <v>102604</v>
      </c>
      <c r="B4581" s="447" t="s">
        <v>7300</v>
      </c>
      <c r="C4581" s="446" t="s">
        <v>34</v>
      </c>
      <c r="D4581" s="448">
        <v>7.31</v>
      </c>
      <c r="E4581" s="210"/>
    </row>
    <row r="4582" spans="1:5" ht="27">
      <c r="A4582" s="446">
        <v>102605</v>
      </c>
      <c r="B4582" s="447" t="s">
        <v>7301</v>
      </c>
      <c r="C4582" s="446" t="s">
        <v>34</v>
      </c>
      <c r="D4582" s="448">
        <v>249.57</v>
      </c>
      <c r="E4582" s="210"/>
    </row>
    <row r="4583" spans="1:5" ht="27">
      <c r="A4583" s="446">
        <v>102606</v>
      </c>
      <c r="B4583" s="447" t="s">
        <v>7302</v>
      </c>
      <c r="C4583" s="446" t="s">
        <v>34</v>
      </c>
      <c r="D4583" s="448">
        <v>426.42</v>
      </c>
      <c r="E4583" s="210"/>
    </row>
    <row r="4584" spans="1:5" ht="40.5">
      <c r="A4584" s="446">
        <v>102607</v>
      </c>
      <c r="B4584" s="447" t="s">
        <v>7303</v>
      </c>
      <c r="C4584" s="446" t="s">
        <v>34</v>
      </c>
      <c r="D4584" s="448">
        <v>433.69</v>
      </c>
      <c r="E4584" s="210"/>
    </row>
    <row r="4585" spans="1:5" ht="40.5">
      <c r="A4585" s="446">
        <v>102608</v>
      </c>
      <c r="B4585" s="447" t="s">
        <v>7304</v>
      </c>
      <c r="C4585" s="446" t="s">
        <v>34</v>
      </c>
      <c r="D4585" s="448">
        <v>877.53</v>
      </c>
      <c r="E4585" s="210"/>
    </row>
    <row r="4586" spans="1:5" ht="40.5">
      <c r="A4586" s="446">
        <v>102609</v>
      </c>
      <c r="B4586" s="447" t="s">
        <v>7305</v>
      </c>
      <c r="C4586" s="446" t="s">
        <v>34</v>
      </c>
      <c r="D4586" s="448">
        <v>987.05</v>
      </c>
      <c r="E4586" s="210"/>
    </row>
    <row r="4587" spans="1:5" ht="40.5">
      <c r="A4587" s="446">
        <v>102611</v>
      </c>
      <c r="B4587" s="447" t="s">
        <v>7306</v>
      </c>
      <c r="C4587" s="446" t="s">
        <v>34</v>
      </c>
      <c r="D4587" s="448">
        <v>380.4</v>
      </c>
      <c r="E4587" s="210"/>
    </row>
    <row r="4588" spans="1:5" ht="40.5">
      <c r="A4588" s="446">
        <v>102613</v>
      </c>
      <c r="B4588" s="447" t="s">
        <v>7307</v>
      </c>
      <c r="C4588" s="446" t="s">
        <v>34</v>
      </c>
      <c r="D4588" s="448">
        <v>522.66999999999996</v>
      </c>
      <c r="E4588" s="210"/>
    </row>
    <row r="4589" spans="1:5" ht="40.5">
      <c r="A4589" s="446">
        <v>102614</v>
      </c>
      <c r="B4589" s="447" t="s">
        <v>7308</v>
      </c>
      <c r="C4589" s="446" t="s">
        <v>34</v>
      </c>
      <c r="D4589" s="448">
        <v>846.4</v>
      </c>
      <c r="E4589" s="210"/>
    </row>
    <row r="4590" spans="1:5" ht="40.5">
      <c r="A4590" s="446">
        <v>102615</v>
      </c>
      <c r="B4590" s="447" t="s">
        <v>7309</v>
      </c>
      <c r="C4590" s="446" t="s">
        <v>34</v>
      </c>
      <c r="D4590" s="448">
        <v>1090.8399999999999</v>
      </c>
      <c r="E4590" s="210"/>
    </row>
    <row r="4591" spans="1:5" ht="40.5">
      <c r="A4591" s="446">
        <v>102617</v>
      </c>
      <c r="B4591" s="447" t="s">
        <v>7310</v>
      </c>
      <c r="C4591" s="446" t="s">
        <v>34</v>
      </c>
      <c r="D4591" s="448">
        <v>2845.79</v>
      </c>
      <c r="E4591" s="210"/>
    </row>
    <row r="4592" spans="1:5" ht="40.5">
      <c r="A4592" s="446">
        <v>102619</v>
      </c>
      <c r="B4592" s="447" t="s">
        <v>7311</v>
      </c>
      <c r="C4592" s="446" t="s">
        <v>34</v>
      </c>
      <c r="D4592" s="448">
        <v>5435.64</v>
      </c>
      <c r="E4592" s="210"/>
    </row>
    <row r="4593" spans="1:5" ht="54">
      <c r="A4593" s="446">
        <v>102622</v>
      </c>
      <c r="B4593" s="447" t="s">
        <v>7312</v>
      </c>
      <c r="C4593" s="446" t="s">
        <v>34</v>
      </c>
      <c r="D4593" s="448">
        <v>499.33</v>
      </c>
      <c r="E4593" s="210"/>
    </row>
    <row r="4594" spans="1:5" ht="54">
      <c r="A4594" s="446">
        <v>102623</v>
      </c>
      <c r="B4594" s="447" t="s">
        <v>7313</v>
      </c>
      <c r="C4594" s="446" t="s">
        <v>34</v>
      </c>
      <c r="D4594" s="448">
        <v>724.95</v>
      </c>
      <c r="E4594" s="210"/>
    </row>
    <row r="4595" spans="1:5" ht="54">
      <c r="A4595" s="446">
        <v>89482</v>
      </c>
      <c r="B4595" s="447" t="s">
        <v>1391</v>
      </c>
      <c r="C4595" s="446" t="s">
        <v>34</v>
      </c>
      <c r="D4595" s="448">
        <v>25.5</v>
      </c>
      <c r="E4595" s="210"/>
    </row>
    <row r="4596" spans="1:5" ht="54">
      <c r="A4596" s="446">
        <v>89491</v>
      </c>
      <c r="B4596" s="447" t="s">
        <v>1397</v>
      </c>
      <c r="C4596" s="446" t="s">
        <v>34</v>
      </c>
      <c r="D4596" s="448">
        <v>62.67</v>
      </c>
      <c r="E4596" s="210"/>
    </row>
    <row r="4597" spans="1:5" ht="54">
      <c r="A4597" s="446">
        <v>89495</v>
      </c>
      <c r="B4597" s="447" t="s">
        <v>1398</v>
      </c>
      <c r="C4597" s="446" t="s">
        <v>34</v>
      </c>
      <c r="D4597" s="448">
        <v>9.7799999999999994</v>
      </c>
      <c r="E4597" s="210"/>
    </row>
    <row r="4598" spans="1:5" ht="54">
      <c r="A4598" s="446">
        <v>89707</v>
      </c>
      <c r="B4598" s="447" t="s">
        <v>1538</v>
      </c>
      <c r="C4598" s="446" t="s">
        <v>34</v>
      </c>
      <c r="D4598" s="448">
        <v>29.48</v>
      </c>
      <c r="E4598" s="210"/>
    </row>
    <row r="4599" spans="1:5" ht="54">
      <c r="A4599" s="446">
        <v>89708</v>
      </c>
      <c r="B4599" s="447" t="s">
        <v>1539</v>
      </c>
      <c r="C4599" s="446" t="s">
        <v>34</v>
      </c>
      <c r="D4599" s="448">
        <v>67.37</v>
      </c>
      <c r="E4599" s="210"/>
    </row>
    <row r="4600" spans="1:5" ht="54">
      <c r="A4600" s="446">
        <v>89709</v>
      </c>
      <c r="B4600" s="447" t="s">
        <v>1540</v>
      </c>
      <c r="C4600" s="446" t="s">
        <v>34</v>
      </c>
      <c r="D4600" s="448">
        <v>10.88</v>
      </c>
      <c r="E4600" s="210"/>
    </row>
    <row r="4601" spans="1:5" ht="54">
      <c r="A4601" s="446">
        <v>89710</v>
      </c>
      <c r="B4601" s="447" t="s">
        <v>309</v>
      </c>
      <c r="C4601" s="446" t="s">
        <v>34</v>
      </c>
      <c r="D4601" s="448">
        <v>10.65</v>
      </c>
      <c r="E4601" s="210"/>
    </row>
    <row r="4602" spans="1:5" ht="40.5">
      <c r="A4602" s="446">
        <v>86872</v>
      </c>
      <c r="B4602" s="447" t="s">
        <v>5089</v>
      </c>
      <c r="C4602" s="446" t="s">
        <v>34</v>
      </c>
      <c r="D4602" s="448">
        <v>545.61</v>
      </c>
      <c r="E4602" s="210"/>
    </row>
    <row r="4603" spans="1:5" ht="40.5">
      <c r="A4603" s="446">
        <v>86874</v>
      </c>
      <c r="B4603" s="447" t="s">
        <v>5090</v>
      </c>
      <c r="C4603" s="446" t="s">
        <v>34</v>
      </c>
      <c r="D4603" s="448">
        <v>384.04</v>
      </c>
      <c r="E4603" s="210"/>
    </row>
    <row r="4604" spans="1:5" ht="40.5">
      <c r="A4604" s="446">
        <v>86875</v>
      </c>
      <c r="B4604" s="447" t="s">
        <v>5091</v>
      </c>
      <c r="C4604" s="446" t="s">
        <v>34</v>
      </c>
      <c r="D4604" s="448">
        <v>418.58</v>
      </c>
      <c r="E4604" s="210"/>
    </row>
    <row r="4605" spans="1:5" ht="40.5">
      <c r="A4605" s="446">
        <v>86876</v>
      </c>
      <c r="B4605" s="447" t="s">
        <v>5092</v>
      </c>
      <c r="C4605" s="446" t="s">
        <v>34</v>
      </c>
      <c r="D4605" s="448">
        <v>236.48</v>
      </c>
      <c r="E4605" s="210"/>
    </row>
    <row r="4606" spans="1:5" ht="54">
      <c r="A4606" s="446">
        <v>86877</v>
      </c>
      <c r="B4606" s="447" t="s">
        <v>5093</v>
      </c>
      <c r="C4606" s="446" t="s">
        <v>34</v>
      </c>
      <c r="D4606" s="448">
        <v>27.57</v>
      </c>
      <c r="E4606" s="210"/>
    </row>
    <row r="4607" spans="1:5" ht="40.5">
      <c r="A4607" s="446">
        <v>86878</v>
      </c>
      <c r="B4607" s="447" t="s">
        <v>5094</v>
      </c>
      <c r="C4607" s="446" t="s">
        <v>34</v>
      </c>
      <c r="D4607" s="448">
        <v>55.29</v>
      </c>
      <c r="E4607" s="210"/>
    </row>
    <row r="4608" spans="1:5" ht="40.5">
      <c r="A4608" s="446">
        <v>86879</v>
      </c>
      <c r="B4608" s="447" t="s">
        <v>5095</v>
      </c>
      <c r="C4608" s="446" t="s">
        <v>34</v>
      </c>
      <c r="D4608" s="448">
        <v>6.08</v>
      </c>
      <c r="E4608" s="210"/>
    </row>
    <row r="4609" spans="1:5" ht="54">
      <c r="A4609" s="446">
        <v>86880</v>
      </c>
      <c r="B4609" s="447" t="s">
        <v>5096</v>
      </c>
      <c r="C4609" s="446" t="s">
        <v>34</v>
      </c>
      <c r="D4609" s="448">
        <v>18.760000000000002</v>
      </c>
      <c r="E4609" s="210"/>
    </row>
    <row r="4610" spans="1:5" ht="40.5">
      <c r="A4610" s="446">
        <v>86881</v>
      </c>
      <c r="B4610" s="447" t="s">
        <v>5097</v>
      </c>
      <c r="C4610" s="446" t="s">
        <v>34</v>
      </c>
      <c r="D4610" s="448">
        <v>156.16999999999999</v>
      </c>
      <c r="E4610" s="210"/>
    </row>
    <row r="4611" spans="1:5" ht="40.5">
      <c r="A4611" s="446">
        <v>86882</v>
      </c>
      <c r="B4611" s="447" t="s">
        <v>5098</v>
      </c>
      <c r="C4611" s="446" t="s">
        <v>34</v>
      </c>
      <c r="D4611" s="448">
        <v>19.16</v>
      </c>
      <c r="E4611" s="210"/>
    </row>
    <row r="4612" spans="1:5" ht="40.5">
      <c r="A4612" s="446">
        <v>86883</v>
      </c>
      <c r="B4612" s="447" t="s">
        <v>5099</v>
      </c>
      <c r="C4612" s="446" t="s">
        <v>34</v>
      </c>
      <c r="D4612" s="448">
        <v>10.92</v>
      </c>
      <c r="E4612" s="210"/>
    </row>
    <row r="4613" spans="1:5" ht="40.5">
      <c r="A4613" s="446">
        <v>86884</v>
      </c>
      <c r="B4613" s="447" t="s">
        <v>5100</v>
      </c>
      <c r="C4613" s="446" t="s">
        <v>34</v>
      </c>
      <c r="D4613" s="448">
        <v>7.46</v>
      </c>
      <c r="E4613" s="210"/>
    </row>
    <row r="4614" spans="1:5" ht="40.5">
      <c r="A4614" s="446">
        <v>86885</v>
      </c>
      <c r="B4614" s="447" t="s">
        <v>5101</v>
      </c>
      <c r="C4614" s="446" t="s">
        <v>34</v>
      </c>
      <c r="D4614" s="448">
        <v>10.16</v>
      </c>
      <c r="E4614" s="210"/>
    </row>
    <row r="4615" spans="1:5" ht="27">
      <c r="A4615" s="446">
        <v>86886</v>
      </c>
      <c r="B4615" s="447" t="s">
        <v>5102</v>
      </c>
      <c r="C4615" s="446" t="s">
        <v>34</v>
      </c>
      <c r="D4615" s="448">
        <v>37.85</v>
      </c>
      <c r="E4615" s="210"/>
    </row>
    <row r="4616" spans="1:5" ht="27">
      <c r="A4616" s="446">
        <v>86887</v>
      </c>
      <c r="B4616" s="447" t="s">
        <v>5103</v>
      </c>
      <c r="C4616" s="446" t="s">
        <v>34</v>
      </c>
      <c r="D4616" s="448">
        <v>41.11</v>
      </c>
      <c r="E4616" s="210"/>
    </row>
    <row r="4617" spans="1:5" ht="40.5">
      <c r="A4617" s="446">
        <v>86888</v>
      </c>
      <c r="B4617" s="447" t="s">
        <v>5104</v>
      </c>
      <c r="C4617" s="446" t="s">
        <v>34</v>
      </c>
      <c r="D4617" s="448">
        <v>369.71</v>
      </c>
      <c r="E4617" s="210"/>
    </row>
    <row r="4618" spans="1:5" ht="40.5">
      <c r="A4618" s="446">
        <v>86889</v>
      </c>
      <c r="B4618" s="447" t="s">
        <v>5105</v>
      </c>
      <c r="C4618" s="446" t="s">
        <v>34</v>
      </c>
      <c r="D4618" s="448">
        <v>540.62</v>
      </c>
      <c r="E4618" s="210"/>
    </row>
    <row r="4619" spans="1:5" ht="40.5">
      <c r="A4619" s="446">
        <v>86893</v>
      </c>
      <c r="B4619" s="447" t="s">
        <v>5106</v>
      </c>
      <c r="C4619" s="446" t="s">
        <v>34</v>
      </c>
      <c r="D4619" s="448">
        <v>573.41</v>
      </c>
      <c r="E4619" s="210"/>
    </row>
    <row r="4620" spans="1:5" ht="40.5">
      <c r="A4620" s="446">
        <v>86894</v>
      </c>
      <c r="B4620" s="447" t="s">
        <v>5107</v>
      </c>
      <c r="C4620" s="446" t="s">
        <v>34</v>
      </c>
      <c r="D4620" s="448">
        <v>261.32</v>
      </c>
      <c r="E4620" s="210"/>
    </row>
    <row r="4621" spans="1:5" ht="40.5">
      <c r="A4621" s="446">
        <v>86895</v>
      </c>
      <c r="B4621" s="447" t="s">
        <v>5108</v>
      </c>
      <c r="C4621" s="446" t="s">
        <v>34</v>
      </c>
      <c r="D4621" s="448">
        <v>268.8</v>
      </c>
      <c r="E4621" s="210"/>
    </row>
    <row r="4622" spans="1:5" ht="40.5">
      <c r="A4622" s="446">
        <v>86899</v>
      </c>
      <c r="B4622" s="447" t="s">
        <v>5109</v>
      </c>
      <c r="C4622" s="446" t="s">
        <v>34</v>
      </c>
      <c r="D4622" s="448">
        <v>281.10000000000002</v>
      </c>
      <c r="E4622" s="210"/>
    </row>
    <row r="4623" spans="1:5" ht="40.5">
      <c r="A4623" s="446">
        <v>86900</v>
      </c>
      <c r="B4623" s="447" t="s">
        <v>5110</v>
      </c>
      <c r="C4623" s="446" t="s">
        <v>34</v>
      </c>
      <c r="D4623" s="448">
        <v>194.2</v>
      </c>
      <c r="E4623" s="210"/>
    </row>
    <row r="4624" spans="1:5" ht="40.5">
      <c r="A4624" s="446">
        <v>86901</v>
      </c>
      <c r="B4624" s="447" t="s">
        <v>5111</v>
      </c>
      <c r="C4624" s="446" t="s">
        <v>34</v>
      </c>
      <c r="D4624" s="448">
        <v>116.87</v>
      </c>
      <c r="E4624" s="210"/>
    </row>
    <row r="4625" spans="1:5" ht="40.5">
      <c r="A4625" s="446">
        <v>86902</v>
      </c>
      <c r="B4625" s="447" t="s">
        <v>5112</v>
      </c>
      <c r="C4625" s="446" t="s">
        <v>34</v>
      </c>
      <c r="D4625" s="448">
        <v>227.01</v>
      </c>
      <c r="E4625" s="210"/>
    </row>
    <row r="4626" spans="1:5" ht="40.5">
      <c r="A4626" s="446">
        <v>86903</v>
      </c>
      <c r="B4626" s="447" t="s">
        <v>5113</v>
      </c>
      <c r="C4626" s="446" t="s">
        <v>34</v>
      </c>
      <c r="D4626" s="448">
        <v>257.08999999999997</v>
      </c>
      <c r="E4626" s="210"/>
    </row>
    <row r="4627" spans="1:5" ht="40.5">
      <c r="A4627" s="446">
        <v>86904</v>
      </c>
      <c r="B4627" s="447" t="s">
        <v>5114</v>
      </c>
      <c r="C4627" s="446" t="s">
        <v>34</v>
      </c>
      <c r="D4627" s="448">
        <v>109.32</v>
      </c>
      <c r="E4627" s="210"/>
    </row>
    <row r="4628" spans="1:5" ht="40.5">
      <c r="A4628" s="446">
        <v>86905</v>
      </c>
      <c r="B4628" s="447" t="s">
        <v>5115</v>
      </c>
      <c r="C4628" s="446" t="s">
        <v>34</v>
      </c>
      <c r="D4628" s="448">
        <v>231.92</v>
      </c>
      <c r="E4628" s="210"/>
    </row>
    <row r="4629" spans="1:5" ht="40.5">
      <c r="A4629" s="446">
        <v>86906</v>
      </c>
      <c r="B4629" s="447" t="s">
        <v>5116</v>
      </c>
      <c r="C4629" s="446" t="s">
        <v>34</v>
      </c>
      <c r="D4629" s="448">
        <v>54.21</v>
      </c>
      <c r="E4629" s="210"/>
    </row>
    <row r="4630" spans="1:5" ht="40.5">
      <c r="A4630" s="446">
        <v>86908</v>
      </c>
      <c r="B4630" s="447" t="s">
        <v>5117</v>
      </c>
      <c r="C4630" s="446" t="s">
        <v>34</v>
      </c>
      <c r="D4630" s="448">
        <v>279.94</v>
      </c>
      <c r="E4630" s="210"/>
    </row>
    <row r="4631" spans="1:5" ht="54">
      <c r="A4631" s="446">
        <v>86909</v>
      </c>
      <c r="B4631" s="447" t="s">
        <v>5118</v>
      </c>
      <c r="C4631" s="446" t="s">
        <v>34</v>
      </c>
      <c r="D4631" s="448">
        <v>108.62</v>
      </c>
      <c r="E4631" s="210"/>
    </row>
    <row r="4632" spans="1:5" ht="54">
      <c r="A4632" s="446">
        <v>86910</v>
      </c>
      <c r="B4632" s="447" t="s">
        <v>5119</v>
      </c>
      <c r="C4632" s="446" t="s">
        <v>34</v>
      </c>
      <c r="D4632" s="448">
        <v>102.76</v>
      </c>
      <c r="E4632" s="210"/>
    </row>
    <row r="4633" spans="1:5" ht="54">
      <c r="A4633" s="446">
        <v>86911</v>
      </c>
      <c r="B4633" s="447" t="s">
        <v>5120</v>
      </c>
      <c r="C4633" s="446" t="s">
        <v>34</v>
      </c>
      <c r="D4633" s="448">
        <v>45.72</v>
      </c>
      <c r="E4633" s="210"/>
    </row>
    <row r="4634" spans="1:5" ht="40.5">
      <c r="A4634" s="446">
        <v>86913</v>
      </c>
      <c r="B4634" s="447" t="s">
        <v>5121</v>
      </c>
      <c r="C4634" s="446" t="s">
        <v>34</v>
      </c>
      <c r="D4634" s="448">
        <v>19.91</v>
      </c>
      <c r="E4634" s="210"/>
    </row>
    <row r="4635" spans="1:5" ht="40.5">
      <c r="A4635" s="446">
        <v>86914</v>
      </c>
      <c r="B4635" s="447" t="s">
        <v>5122</v>
      </c>
      <c r="C4635" s="446" t="s">
        <v>34</v>
      </c>
      <c r="D4635" s="448">
        <v>41.45</v>
      </c>
      <c r="E4635" s="210"/>
    </row>
    <row r="4636" spans="1:5" ht="40.5">
      <c r="A4636" s="446">
        <v>86915</v>
      </c>
      <c r="B4636" s="447" t="s">
        <v>5123</v>
      </c>
      <c r="C4636" s="446" t="s">
        <v>34</v>
      </c>
      <c r="D4636" s="448">
        <v>91.67</v>
      </c>
      <c r="E4636" s="210"/>
    </row>
    <row r="4637" spans="1:5" ht="27">
      <c r="A4637" s="446">
        <v>86916</v>
      </c>
      <c r="B4637" s="447" t="s">
        <v>5124</v>
      </c>
      <c r="C4637" s="446" t="s">
        <v>34</v>
      </c>
      <c r="D4637" s="448">
        <v>33.17</v>
      </c>
      <c r="E4637" s="210"/>
    </row>
    <row r="4638" spans="1:5" ht="67.5">
      <c r="A4638" s="446">
        <v>86919</v>
      </c>
      <c r="B4638" s="447" t="s">
        <v>5125</v>
      </c>
      <c r="C4638" s="446" t="s">
        <v>34</v>
      </c>
      <c r="D4638" s="448">
        <v>625.54999999999995</v>
      </c>
      <c r="E4638" s="210"/>
    </row>
    <row r="4639" spans="1:5" ht="67.5">
      <c r="A4639" s="446">
        <v>86920</v>
      </c>
      <c r="B4639" s="447" t="s">
        <v>5126</v>
      </c>
      <c r="C4639" s="446" t="s">
        <v>34</v>
      </c>
      <c r="D4639" s="448">
        <v>582.52</v>
      </c>
      <c r="E4639" s="210"/>
    </row>
    <row r="4640" spans="1:5" ht="67.5">
      <c r="A4640" s="446">
        <v>86921</v>
      </c>
      <c r="B4640" s="447" t="s">
        <v>5127</v>
      </c>
      <c r="C4640" s="446" t="s">
        <v>34</v>
      </c>
      <c r="D4640" s="448">
        <v>595.78</v>
      </c>
      <c r="E4640" s="210"/>
    </row>
    <row r="4641" spans="1:5" ht="67.5">
      <c r="A4641" s="446">
        <v>86922</v>
      </c>
      <c r="B4641" s="447" t="s">
        <v>5128</v>
      </c>
      <c r="C4641" s="446" t="s">
        <v>34</v>
      </c>
      <c r="D4641" s="448">
        <v>609.23</v>
      </c>
      <c r="E4641" s="210"/>
    </row>
    <row r="4642" spans="1:5" ht="67.5">
      <c r="A4642" s="446">
        <v>86923</v>
      </c>
      <c r="B4642" s="447" t="s">
        <v>5129</v>
      </c>
      <c r="C4642" s="446" t="s">
        <v>34</v>
      </c>
      <c r="D4642" s="448">
        <v>429.19</v>
      </c>
      <c r="E4642" s="210"/>
    </row>
    <row r="4643" spans="1:5" ht="67.5">
      <c r="A4643" s="446">
        <v>86924</v>
      </c>
      <c r="B4643" s="447" t="s">
        <v>5130</v>
      </c>
      <c r="C4643" s="446" t="s">
        <v>34</v>
      </c>
      <c r="D4643" s="448">
        <v>442.45</v>
      </c>
      <c r="E4643" s="210"/>
    </row>
    <row r="4644" spans="1:5" ht="81">
      <c r="A4644" s="446">
        <v>86925</v>
      </c>
      <c r="B4644" s="447" t="s">
        <v>5131</v>
      </c>
      <c r="C4644" s="446" t="s">
        <v>34</v>
      </c>
      <c r="D4644" s="448">
        <v>455.49</v>
      </c>
      <c r="E4644" s="210"/>
    </row>
    <row r="4645" spans="1:5" ht="67.5">
      <c r="A4645" s="446">
        <v>86926</v>
      </c>
      <c r="B4645" s="447" t="s">
        <v>5132</v>
      </c>
      <c r="C4645" s="446" t="s">
        <v>34</v>
      </c>
      <c r="D4645" s="448">
        <v>468.75</v>
      </c>
      <c r="E4645" s="210"/>
    </row>
    <row r="4646" spans="1:5" ht="81">
      <c r="A4646" s="446">
        <v>86927</v>
      </c>
      <c r="B4646" s="447" t="s">
        <v>5133</v>
      </c>
      <c r="C4646" s="446" t="s">
        <v>34</v>
      </c>
      <c r="D4646" s="448">
        <v>281.63</v>
      </c>
      <c r="E4646" s="210"/>
    </row>
    <row r="4647" spans="1:5" ht="67.5">
      <c r="A4647" s="446">
        <v>86928</v>
      </c>
      <c r="B4647" s="447" t="s">
        <v>5134</v>
      </c>
      <c r="C4647" s="446" t="s">
        <v>34</v>
      </c>
      <c r="D4647" s="448">
        <v>294.89</v>
      </c>
      <c r="E4647" s="210"/>
    </row>
    <row r="4648" spans="1:5" ht="81">
      <c r="A4648" s="446">
        <v>86929</v>
      </c>
      <c r="B4648" s="447" t="s">
        <v>5135</v>
      </c>
      <c r="C4648" s="446" t="s">
        <v>34</v>
      </c>
      <c r="D4648" s="448">
        <v>273.39</v>
      </c>
      <c r="E4648" s="210"/>
    </row>
    <row r="4649" spans="1:5" ht="67.5">
      <c r="A4649" s="446">
        <v>86930</v>
      </c>
      <c r="B4649" s="447" t="s">
        <v>5136</v>
      </c>
      <c r="C4649" s="446" t="s">
        <v>34</v>
      </c>
      <c r="D4649" s="448">
        <v>286.64999999999998</v>
      </c>
      <c r="E4649" s="210"/>
    </row>
    <row r="4650" spans="1:5" ht="67.5">
      <c r="A4650" s="446">
        <v>86931</v>
      </c>
      <c r="B4650" s="447" t="s">
        <v>5137</v>
      </c>
      <c r="C4650" s="446" t="s">
        <v>34</v>
      </c>
      <c r="D4650" s="448">
        <v>379.87</v>
      </c>
      <c r="E4650" s="210"/>
    </row>
    <row r="4651" spans="1:5" ht="67.5">
      <c r="A4651" s="446">
        <v>86932</v>
      </c>
      <c r="B4651" s="447" t="s">
        <v>5138</v>
      </c>
      <c r="C4651" s="446" t="s">
        <v>34</v>
      </c>
      <c r="D4651" s="448">
        <v>410.82</v>
      </c>
      <c r="E4651" s="210"/>
    </row>
    <row r="4652" spans="1:5" ht="94.5">
      <c r="A4652" s="446">
        <v>86933</v>
      </c>
      <c r="B4652" s="447" t="s">
        <v>5139</v>
      </c>
      <c r="C4652" s="446" t="s">
        <v>34</v>
      </c>
      <c r="D4652" s="448">
        <v>344.96</v>
      </c>
      <c r="E4652" s="210"/>
    </row>
    <row r="4653" spans="1:5" ht="94.5">
      <c r="A4653" s="446">
        <v>86934</v>
      </c>
      <c r="B4653" s="447" t="s">
        <v>5140</v>
      </c>
      <c r="C4653" s="446" t="s">
        <v>34</v>
      </c>
      <c r="D4653" s="448">
        <v>336.72</v>
      </c>
      <c r="E4653" s="210"/>
    </row>
    <row r="4654" spans="1:5" ht="67.5">
      <c r="A4654" s="446">
        <v>86935</v>
      </c>
      <c r="B4654" s="447" t="s">
        <v>5141</v>
      </c>
      <c r="C4654" s="446" t="s">
        <v>34</v>
      </c>
      <c r="D4654" s="448">
        <v>260.41000000000003</v>
      </c>
      <c r="E4654" s="210"/>
    </row>
    <row r="4655" spans="1:5" ht="54">
      <c r="A4655" s="446">
        <v>86936</v>
      </c>
      <c r="B4655" s="447" t="s">
        <v>5142</v>
      </c>
      <c r="C4655" s="446" t="s">
        <v>34</v>
      </c>
      <c r="D4655" s="448">
        <v>405.66</v>
      </c>
      <c r="E4655" s="210"/>
    </row>
    <row r="4656" spans="1:5" ht="67.5">
      <c r="A4656" s="446">
        <v>86937</v>
      </c>
      <c r="B4656" s="447" t="s">
        <v>5143</v>
      </c>
      <c r="C4656" s="446" t="s">
        <v>34</v>
      </c>
      <c r="D4656" s="448">
        <v>155.36000000000001</v>
      </c>
      <c r="E4656" s="210"/>
    </row>
    <row r="4657" spans="1:5" ht="67.5">
      <c r="A4657" s="446">
        <v>86938</v>
      </c>
      <c r="B4657" s="447" t="s">
        <v>5144</v>
      </c>
      <c r="C4657" s="446" t="s">
        <v>34</v>
      </c>
      <c r="D4657" s="448">
        <v>300.61</v>
      </c>
      <c r="E4657" s="210"/>
    </row>
    <row r="4658" spans="1:5" ht="81">
      <c r="A4658" s="446">
        <v>86939</v>
      </c>
      <c r="B4658" s="447" t="s">
        <v>5145</v>
      </c>
      <c r="C4658" s="446" t="s">
        <v>34</v>
      </c>
      <c r="D4658" s="448">
        <v>305.68</v>
      </c>
      <c r="E4658" s="210"/>
    </row>
    <row r="4659" spans="1:5" ht="94.5">
      <c r="A4659" s="446">
        <v>86940</v>
      </c>
      <c r="B4659" s="447" t="s">
        <v>5146</v>
      </c>
      <c r="C4659" s="446" t="s">
        <v>34</v>
      </c>
      <c r="D4659" s="448">
        <v>754.97</v>
      </c>
      <c r="E4659" s="210"/>
    </row>
    <row r="4660" spans="1:5" ht="94.5">
      <c r="A4660" s="446">
        <v>86941</v>
      </c>
      <c r="B4660" s="447" t="s">
        <v>5147</v>
      </c>
      <c r="C4660" s="446" t="s">
        <v>34</v>
      </c>
      <c r="D4660" s="448">
        <v>573.61</v>
      </c>
      <c r="E4660" s="210"/>
    </row>
    <row r="4661" spans="1:5" ht="94.5">
      <c r="A4661" s="446">
        <v>86942</v>
      </c>
      <c r="B4661" s="447" t="s">
        <v>5148</v>
      </c>
      <c r="C4661" s="446" t="s">
        <v>34</v>
      </c>
      <c r="D4661" s="448">
        <v>196.23</v>
      </c>
      <c r="E4661" s="210"/>
    </row>
    <row r="4662" spans="1:5" ht="94.5">
      <c r="A4662" s="446">
        <v>86943</v>
      </c>
      <c r="B4662" s="447" t="s">
        <v>5149</v>
      </c>
      <c r="C4662" s="446" t="s">
        <v>34</v>
      </c>
      <c r="D4662" s="448">
        <v>187.99</v>
      </c>
      <c r="E4662" s="210"/>
    </row>
    <row r="4663" spans="1:5" ht="94.5">
      <c r="A4663" s="446">
        <v>86947</v>
      </c>
      <c r="B4663" s="447" t="s">
        <v>5150</v>
      </c>
      <c r="C4663" s="446" t="s">
        <v>34</v>
      </c>
      <c r="D4663" s="448">
        <v>895.85</v>
      </c>
      <c r="E4663" s="210"/>
    </row>
    <row r="4664" spans="1:5" ht="94.5">
      <c r="A4664" s="446">
        <v>93396</v>
      </c>
      <c r="B4664" s="447" t="s">
        <v>5151</v>
      </c>
      <c r="C4664" s="446" t="s">
        <v>34</v>
      </c>
      <c r="D4664" s="448">
        <v>485.83</v>
      </c>
      <c r="E4664" s="210"/>
    </row>
    <row r="4665" spans="1:5" ht="94.5">
      <c r="A4665" s="446">
        <v>93441</v>
      </c>
      <c r="B4665" s="447" t="s">
        <v>5152</v>
      </c>
      <c r="C4665" s="446" t="s">
        <v>34</v>
      </c>
      <c r="D4665" s="448">
        <v>854.21</v>
      </c>
      <c r="E4665" s="210"/>
    </row>
    <row r="4666" spans="1:5" ht="94.5">
      <c r="A4666" s="446">
        <v>93442</v>
      </c>
      <c r="B4666" s="447" t="s">
        <v>5153</v>
      </c>
      <c r="C4666" s="446" t="s">
        <v>34</v>
      </c>
      <c r="D4666" s="448">
        <v>1095.1500000000001</v>
      </c>
      <c r="E4666" s="210"/>
    </row>
    <row r="4667" spans="1:5" ht="40.5">
      <c r="A4667" s="446">
        <v>95469</v>
      </c>
      <c r="B4667" s="447" t="s">
        <v>5154</v>
      </c>
      <c r="C4667" s="446" t="s">
        <v>34</v>
      </c>
      <c r="D4667" s="448">
        <v>219.67</v>
      </c>
      <c r="E4667" s="210"/>
    </row>
    <row r="4668" spans="1:5" ht="54">
      <c r="A4668" s="446">
        <v>95470</v>
      </c>
      <c r="B4668" s="447" t="s">
        <v>2832</v>
      </c>
      <c r="C4668" s="446" t="s">
        <v>34</v>
      </c>
      <c r="D4668" s="448">
        <v>227.23</v>
      </c>
      <c r="E4668" s="210"/>
    </row>
    <row r="4669" spans="1:5" ht="54">
      <c r="A4669" s="446">
        <v>95471</v>
      </c>
      <c r="B4669" s="447" t="s">
        <v>5155</v>
      </c>
      <c r="C4669" s="446" t="s">
        <v>34</v>
      </c>
      <c r="D4669" s="448">
        <v>589.24</v>
      </c>
      <c r="E4669" s="210"/>
    </row>
    <row r="4670" spans="1:5" ht="67.5">
      <c r="A4670" s="446">
        <v>95472</v>
      </c>
      <c r="B4670" s="447" t="s">
        <v>5156</v>
      </c>
      <c r="C4670" s="446" t="s">
        <v>34</v>
      </c>
      <c r="D4670" s="448">
        <v>596.79999999999995</v>
      </c>
      <c r="E4670" s="210"/>
    </row>
    <row r="4671" spans="1:5" ht="40.5">
      <c r="A4671" s="446">
        <v>95542</v>
      </c>
      <c r="B4671" s="447" t="s">
        <v>5157</v>
      </c>
      <c r="C4671" s="446" t="s">
        <v>34</v>
      </c>
      <c r="D4671" s="448">
        <v>30.05</v>
      </c>
      <c r="E4671" s="210"/>
    </row>
    <row r="4672" spans="1:5" ht="27">
      <c r="A4672" s="446">
        <v>95543</v>
      </c>
      <c r="B4672" s="447" t="s">
        <v>5158</v>
      </c>
      <c r="C4672" s="446" t="s">
        <v>34</v>
      </c>
      <c r="D4672" s="448">
        <v>49.89</v>
      </c>
      <c r="E4672" s="210"/>
    </row>
    <row r="4673" spans="1:5" ht="27">
      <c r="A4673" s="446">
        <v>95544</v>
      </c>
      <c r="B4673" s="447" t="s">
        <v>5159</v>
      </c>
      <c r="C4673" s="446" t="s">
        <v>34</v>
      </c>
      <c r="D4673" s="448">
        <v>37.18</v>
      </c>
      <c r="E4673" s="210"/>
    </row>
    <row r="4674" spans="1:5" ht="27">
      <c r="A4674" s="446">
        <v>95545</v>
      </c>
      <c r="B4674" s="447" t="s">
        <v>5160</v>
      </c>
      <c r="C4674" s="446" t="s">
        <v>34</v>
      </c>
      <c r="D4674" s="448">
        <v>36.42</v>
      </c>
      <c r="E4674" s="210"/>
    </row>
    <row r="4675" spans="1:5" ht="40.5">
      <c r="A4675" s="446">
        <v>95546</v>
      </c>
      <c r="B4675" s="447" t="s">
        <v>5161</v>
      </c>
      <c r="C4675" s="446" t="s">
        <v>34</v>
      </c>
      <c r="D4675" s="448">
        <v>119.51</v>
      </c>
      <c r="E4675" s="210"/>
    </row>
    <row r="4676" spans="1:5" ht="54">
      <c r="A4676" s="446">
        <v>95547</v>
      </c>
      <c r="B4676" s="447" t="s">
        <v>5162</v>
      </c>
      <c r="C4676" s="446" t="s">
        <v>34</v>
      </c>
      <c r="D4676" s="448">
        <v>82.87</v>
      </c>
      <c r="E4676" s="210"/>
    </row>
    <row r="4677" spans="1:5" ht="27">
      <c r="A4677" s="446">
        <v>100848</v>
      </c>
      <c r="B4677" s="447" t="s">
        <v>5163</v>
      </c>
      <c r="C4677" s="446" t="s">
        <v>34</v>
      </c>
      <c r="D4677" s="448">
        <v>420.81</v>
      </c>
      <c r="E4677" s="210"/>
    </row>
    <row r="4678" spans="1:5" ht="27">
      <c r="A4678" s="446">
        <v>100849</v>
      </c>
      <c r="B4678" s="447" t="s">
        <v>5164</v>
      </c>
      <c r="C4678" s="446" t="s">
        <v>34</v>
      </c>
      <c r="D4678" s="448">
        <v>41.88</v>
      </c>
      <c r="E4678" s="210"/>
    </row>
    <row r="4679" spans="1:5" ht="27">
      <c r="A4679" s="446">
        <v>100851</v>
      </c>
      <c r="B4679" s="447" t="s">
        <v>5165</v>
      </c>
      <c r="C4679" s="446" t="s">
        <v>34</v>
      </c>
      <c r="D4679" s="448">
        <v>85.31</v>
      </c>
      <c r="E4679" s="210"/>
    </row>
    <row r="4680" spans="1:5" ht="40.5">
      <c r="A4680" s="446">
        <v>100852</v>
      </c>
      <c r="B4680" s="447" t="s">
        <v>5166</v>
      </c>
      <c r="C4680" s="446" t="s">
        <v>34</v>
      </c>
      <c r="D4680" s="448">
        <v>213.18</v>
      </c>
      <c r="E4680" s="210"/>
    </row>
    <row r="4681" spans="1:5" ht="27">
      <c r="A4681" s="446">
        <v>100854</v>
      </c>
      <c r="B4681" s="447" t="s">
        <v>5167</v>
      </c>
      <c r="C4681" s="446" t="s">
        <v>34</v>
      </c>
      <c r="D4681" s="448">
        <v>688.7</v>
      </c>
      <c r="E4681" s="210"/>
    </row>
    <row r="4682" spans="1:5" ht="40.5">
      <c r="A4682" s="446">
        <v>100855</v>
      </c>
      <c r="B4682" s="447" t="s">
        <v>5168</v>
      </c>
      <c r="C4682" s="446" t="s">
        <v>34</v>
      </c>
      <c r="D4682" s="448">
        <v>36.42</v>
      </c>
      <c r="E4682" s="210"/>
    </row>
    <row r="4683" spans="1:5" ht="27">
      <c r="A4683" s="446">
        <v>100856</v>
      </c>
      <c r="B4683" s="447" t="s">
        <v>5169</v>
      </c>
      <c r="C4683" s="446" t="s">
        <v>34</v>
      </c>
      <c r="D4683" s="448">
        <v>25.59</v>
      </c>
      <c r="E4683" s="210"/>
    </row>
    <row r="4684" spans="1:5" ht="27">
      <c r="A4684" s="446">
        <v>100857</v>
      </c>
      <c r="B4684" s="447" t="s">
        <v>5170</v>
      </c>
      <c r="C4684" s="446" t="s">
        <v>34</v>
      </c>
      <c r="D4684" s="448">
        <v>257.48</v>
      </c>
      <c r="E4684" s="210"/>
    </row>
    <row r="4685" spans="1:5" ht="40.5">
      <c r="A4685" s="446">
        <v>100858</v>
      </c>
      <c r="B4685" s="447" t="s">
        <v>5171</v>
      </c>
      <c r="C4685" s="446" t="s">
        <v>34</v>
      </c>
      <c r="D4685" s="448">
        <v>470.05</v>
      </c>
      <c r="E4685" s="210"/>
    </row>
    <row r="4686" spans="1:5" ht="40.5">
      <c r="A4686" s="446">
        <v>100859</v>
      </c>
      <c r="B4686" s="447" t="s">
        <v>7734</v>
      </c>
      <c r="C4686" s="446" t="s">
        <v>34</v>
      </c>
      <c r="D4686" s="448">
        <v>786.95</v>
      </c>
      <c r="E4686" s="210"/>
    </row>
    <row r="4687" spans="1:5" ht="40.5">
      <c r="A4687" s="446">
        <v>100860</v>
      </c>
      <c r="B4687" s="447" t="s">
        <v>5172</v>
      </c>
      <c r="C4687" s="446" t="s">
        <v>34</v>
      </c>
      <c r="D4687" s="448">
        <v>78.95</v>
      </c>
      <c r="E4687" s="210"/>
    </row>
    <row r="4688" spans="1:5" ht="54">
      <c r="A4688" s="446">
        <v>100861</v>
      </c>
      <c r="B4688" s="447" t="s">
        <v>5173</v>
      </c>
      <c r="C4688" s="446" t="s">
        <v>34</v>
      </c>
      <c r="D4688" s="448">
        <v>33.03</v>
      </c>
      <c r="E4688" s="210"/>
    </row>
    <row r="4689" spans="1:5" ht="54">
      <c r="A4689" s="446">
        <v>100862</v>
      </c>
      <c r="B4689" s="447" t="s">
        <v>5174</v>
      </c>
      <c r="C4689" s="446" t="s">
        <v>34</v>
      </c>
      <c r="D4689" s="448">
        <v>37.11</v>
      </c>
      <c r="E4689" s="210"/>
    </row>
    <row r="4690" spans="1:5" ht="40.5">
      <c r="A4690" s="446">
        <v>100863</v>
      </c>
      <c r="B4690" s="447" t="s">
        <v>5175</v>
      </c>
      <c r="C4690" s="446" t="s">
        <v>34</v>
      </c>
      <c r="D4690" s="448">
        <v>590.83000000000004</v>
      </c>
      <c r="E4690" s="210"/>
    </row>
    <row r="4691" spans="1:5" ht="40.5">
      <c r="A4691" s="446">
        <v>100864</v>
      </c>
      <c r="B4691" s="447" t="s">
        <v>5176</v>
      </c>
      <c r="C4691" s="446" t="s">
        <v>34</v>
      </c>
      <c r="D4691" s="448">
        <v>658.8</v>
      </c>
      <c r="E4691" s="210"/>
    </row>
    <row r="4692" spans="1:5" ht="54">
      <c r="A4692" s="446">
        <v>100865</v>
      </c>
      <c r="B4692" s="447" t="s">
        <v>5177</v>
      </c>
      <c r="C4692" s="446" t="s">
        <v>34</v>
      </c>
      <c r="D4692" s="448">
        <v>629.61</v>
      </c>
      <c r="E4692" s="210"/>
    </row>
    <row r="4693" spans="1:5" ht="54">
      <c r="A4693" s="446">
        <v>100866</v>
      </c>
      <c r="B4693" s="447" t="s">
        <v>5178</v>
      </c>
      <c r="C4693" s="446" t="s">
        <v>34</v>
      </c>
      <c r="D4693" s="448">
        <v>289.66000000000003</v>
      </c>
      <c r="E4693" s="210"/>
    </row>
    <row r="4694" spans="1:5" ht="54">
      <c r="A4694" s="446">
        <v>100867</v>
      </c>
      <c r="B4694" s="447" t="s">
        <v>5179</v>
      </c>
      <c r="C4694" s="446" t="s">
        <v>34</v>
      </c>
      <c r="D4694" s="448">
        <v>312.08</v>
      </c>
      <c r="E4694" s="210"/>
    </row>
    <row r="4695" spans="1:5" ht="54">
      <c r="A4695" s="446">
        <v>100868</v>
      </c>
      <c r="B4695" s="447" t="s">
        <v>5180</v>
      </c>
      <c r="C4695" s="446" t="s">
        <v>34</v>
      </c>
      <c r="D4695" s="448">
        <v>326.99</v>
      </c>
      <c r="E4695" s="210"/>
    </row>
    <row r="4696" spans="1:5" ht="54">
      <c r="A4696" s="446">
        <v>100869</v>
      </c>
      <c r="B4696" s="447" t="s">
        <v>5181</v>
      </c>
      <c r="C4696" s="446" t="s">
        <v>34</v>
      </c>
      <c r="D4696" s="448">
        <v>338.43</v>
      </c>
      <c r="E4696" s="210"/>
    </row>
    <row r="4697" spans="1:5" ht="40.5">
      <c r="A4697" s="446">
        <v>100870</v>
      </c>
      <c r="B4697" s="447" t="s">
        <v>5182</v>
      </c>
      <c r="C4697" s="446" t="s">
        <v>34</v>
      </c>
      <c r="D4697" s="448">
        <v>184.83</v>
      </c>
      <c r="E4697" s="210"/>
    </row>
    <row r="4698" spans="1:5" ht="40.5">
      <c r="A4698" s="446">
        <v>100871</v>
      </c>
      <c r="B4698" s="447" t="s">
        <v>5183</v>
      </c>
      <c r="C4698" s="446" t="s">
        <v>34</v>
      </c>
      <c r="D4698" s="448">
        <v>199.19</v>
      </c>
      <c r="E4698" s="210"/>
    </row>
    <row r="4699" spans="1:5" ht="40.5">
      <c r="A4699" s="446">
        <v>100872</v>
      </c>
      <c r="B4699" s="447" t="s">
        <v>5184</v>
      </c>
      <c r="C4699" s="446" t="s">
        <v>34</v>
      </c>
      <c r="D4699" s="448">
        <v>208.35</v>
      </c>
      <c r="E4699" s="210"/>
    </row>
    <row r="4700" spans="1:5" ht="40.5">
      <c r="A4700" s="446">
        <v>100873</v>
      </c>
      <c r="B4700" s="447" t="s">
        <v>5185</v>
      </c>
      <c r="C4700" s="446" t="s">
        <v>34</v>
      </c>
      <c r="D4700" s="448">
        <v>214.07</v>
      </c>
      <c r="E4700" s="210"/>
    </row>
    <row r="4701" spans="1:5" ht="27">
      <c r="A4701" s="446">
        <v>100874</v>
      </c>
      <c r="B4701" s="447" t="s">
        <v>5186</v>
      </c>
      <c r="C4701" s="446" t="s">
        <v>34</v>
      </c>
      <c r="D4701" s="448">
        <v>289.66000000000003</v>
      </c>
      <c r="E4701" s="210"/>
    </row>
    <row r="4702" spans="1:5" ht="40.5">
      <c r="A4702" s="446">
        <v>100875</v>
      </c>
      <c r="B4702" s="447" t="s">
        <v>5187</v>
      </c>
      <c r="C4702" s="446" t="s">
        <v>34</v>
      </c>
      <c r="D4702" s="448">
        <v>1155.3</v>
      </c>
      <c r="E4702" s="210"/>
    </row>
    <row r="4703" spans="1:5" ht="40.5">
      <c r="A4703" s="446">
        <v>100878</v>
      </c>
      <c r="B4703" s="447" t="s">
        <v>7735</v>
      </c>
      <c r="C4703" s="446" t="s">
        <v>34</v>
      </c>
      <c r="D4703" s="448">
        <v>500.32</v>
      </c>
      <c r="E4703" s="210"/>
    </row>
    <row r="4704" spans="1:5" ht="67.5">
      <c r="A4704" s="446">
        <v>98052</v>
      </c>
      <c r="B4704" s="447" t="s">
        <v>6627</v>
      </c>
      <c r="C4704" s="446" t="s">
        <v>34</v>
      </c>
      <c r="D4704" s="448">
        <v>1830.56</v>
      </c>
      <c r="E4704" s="210"/>
    </row>
    <row r="4705" spans="1:5" ht="67.5">
      <c r="A4705" s="446">
        <v>98053</v>
      </c>
      <c r="B4705" s="447" t="s">
        <v>6628</v>
      </c>
      <c r="C4705" s="446" t="s">
        <v>34</v>
      </c>
      <c r="D4705" s="448">
        <v>2511.04</v>
      </c>
      <c r="E4705" s="210"/>
    </row>
    <row r="4706" spans="1:5" ht="67.5">
      <c r="A4706" s="446">
        <v>98054</v>
      </c>
      <c r="B4706" s="447" t="s">
        <v>6629</v>
      </c>
      <c r="C4706" s="446" t="s">
        <v>34</v>
      </c>
      <c r="D4706" s="448">
        <v>4114.62</v>
      </c>
      <c r="E4706" s="210"/>
    </row>
    <row r="4707" spans="1:5" ht="67.5">
      <c r="A4707" s="446">
        <v>98055</v>
      </c>
      <c r="B4707" s="447" t="s">
        <v>6630</v>
      </c>
      <c r="C4707" s="446" t="s">
        <v>34</v>
      </c>
      <c r="D4707" s="448">
        <v>5575.76</v>
      </c>
      <c r="E4707" s="210"/>
    </row>
    <row r="4708" spans="1:5" ht="67.5">
      <c r="A4708" s="446">
        <v>98056</v>
      </c>
      <c r="B4708" s="447" t="s">
        <v>6631</v>
      </c>
      <c r="C4708" s="446" t="s">
        <v>34</v>
      </c>
      <c r="D4708" s="448">
        <v>6513.6</v>
      </c>
      <c r="E4708" s="210"/>
    </row>
    <row r="4709" spans="1:5" ht="67.5">
      <c r="A4709" s="446">
        <v>98057</v>
      </c>
      <c r="B4709" s="447" t="s">
        <v>6632</v>
      </c>
      <c r="C4709" s="446" t="s">
        <v>34</v>
      </c>
      <c r="D4709" s="448">
        <v>7706.18</v>
      </c>
      <c r="E4709" s="210"/>
    </row>
    <row r="4710" spans="1:5" ht="67.5">
      <c r="A4710" s="446">
        <v>98058</v>
      </c>
      <c r="B4710" s="447" t="s">
        <v>6633</v>
      </c>
      <c r="C4710" s="446" t="s">
        <v>34</v>
      </c>
      <c r="D4710" s="448">
        <v>1535.63</v>
      </c>
      <c r="E4710" s="210"/>
    </row>
    <row r="4711" spans="1:5" ht="67.5">
      <c r="A4711" s="446">
        <v>98059</v>
      </c>
      <c r="B4711" s="447" t="s">
        <v>6634</v>
      </c>
      <c r="C4711" s="446" t="s">
        <v>34</v>
      </c>
      <c r="D4711" s="448">
        <v>3353.66</v>
      </c>
      <c r="E4711" s="210"/>
    </row>
    <row r="4712" spans="1:5" ht="67.5">
      <c r="A4712" s="446">
        <v>98060</v>
      </c>
      <c r="B4712" s="447" t="s">
        <v>6635</v>
      </c>
      <c r="C4712" s="446" t="s">
        <v>34</v>
      </c>
      <c r="D4712" s="448">
        <v>4658.66</v>
      </c>
      <c r="E4712" s="210"/>
    </row>
    <row r="4713" spans="1:5" ht="67.5">
      <c r="A4713" s="446">
        <v>98061</v>
      </c>
      <c r="B4713" s="447" t="s">
        <v>6636</v>
      </c>
      <c r="C4713" s="446" t="s">
        <v>34</v>
      </c>
      <c r="D4713" s="448">
        <v>6462.74</v>
      </c>
      <c r="E4713" s="210"/>
    </row>
    <row r="4714" spans="1:5" ht="67.5">
      <c r="A4714" s="446">
        <v>98062</v>
      </c>
      <c r="B4714" s="447" t="s">
        <v>6637</v>
      </c>
      <c r="C4714" s="446" t="s">
        <v>34</v>
      </c>
      <c r="D4714" s="448">
        <v>2612.3000000000002</v>
      </c>
      <c r="E4714" s="210"/>
    </row>
    <row r="4715" spans="1:5" ht="67.5">
      <c r="A4715" s="446">
        <v>98063</v>
      </c>
      <c r="B4715" s="447" t="s">
        <v>6638</v>
      </c>
      <c r="C4715" s="446" t="s">
        <v>34</v>
      </c>
      <c r="D4715" s="448">
        <v>3985.25</v>
      </c>
      <c r="E4715" s="210"/>
    </row>
    <row r="4716" spans="1:5" ht="67.5">
      <c r="A4716" s="446">
        <v>98064</v>
      </c>
      <c r="B4716" s="447" t="s">
        <v>6639</v>
      </c>
      <c r="C4716" s="446" t="s">
        <v>34</v>
      </c>
      <c r="D4716" s="448">
        <v>4608.28</v>
      </c>
      <c r="E4716" s="210"/>
    </row>
    <row r="4717" spans="1:5" ht="67.5">
      <c r="A4717" s="446">
        <v>98065</v>
      </c>
      <c r="B4717" s="447" t="s">
        <v>6640</v>
      </c>
      <c r="C4717" s="446" t="s">
        <v>34</v>
      </c>
      <c r="D4717" s="448">
        <v>6402.16</v>
      </c>
      <c r="E4717" s="210"/>
    </row>
    <row r="4718" spans="1:5" ht="67.5">
      <c r="A4718" s="446">
        <v>98066</v>
      </c>
      <c r="B4718" s="447" t="s">
        <v>6641</v>
      </c>
      <c r="C4718" s="446" t="s">
        <v>34</v>
      </c>
      <c r="D4718" s="448">
        <v>4814.3900000000003</v>
      </c>
      <c r="E4718" s="210"/>
    </row>
    <row r="4719" spans="1:5" ht="67.5">
      <c r="A4719" s="446">
        <v>98067</v>
      </c>
      <c r="B4719" s="447" t="s">
        <v>6642</v>
      </c>
      <c r="C4719" s="446" t="s">
        <v>34</v>
      </c>
      <c r="D4719" s="448">
        <v>6433.11</v>
      </c>
      <c r="E4719" s="210"/>
    </row>
    <row r="4720" spans="1:5" ht="67.5">
      <c r="A4720" s="446">
        <v>98068</v>
      </c>
      <c r="B4720" s="447" t="s">
        <v>6643</v>
      </c>
      <c r="C4720" s="446" t="s">
        <v>34</v>
      </c>
      <c r="D4720" s="448">
        <v>9086.89</v>
      </c>
      <c r="E4720" s="210"/>
    </row>
    <row r="4721" spans="1:5" ht="67.5">
      <c r="A4721" s="446">
        <v>98069</v>
      </c>
      <c r="B4721" s="447" t="s">
        <v>6644</v>
      </c>
      <c r="C4721" s="446" t="s">
        <v>34</v>
      </c>
      <c r="D4721" s="448">
        <v>12119.92</v>
      </c>
      <c r="E4721" s="210"/>
    </row>
    <row r="4722" spans="1:5" ht="67.5">
      <c r="A4722" s="446">
        <v>98070</v>
      </c>
      <c r="B4722" s="447" t="s">
        <v>6645</v>
      </c>
      <c r="C4722" s="446" t="s">
        <v>34</v>
      </c>
      <c r="D4722" s="448">
        <v>13929.51</v>
      </c>
      <c r="E4722" s="210"/>
    </row>
    <row r="4723" spans="1:5" ht="67.5">
      <c r="A4723" s="446">
        <v>98071</v>
      </c>
      <c r="B4723" s="447" t="s">
        <v>6646</v>
      </c>
      <c r="C4723" s="446" t="s">
        <v>34</v>
      </c>
      <c r="D4723" s="448">
        <v>15383.19</v>
      </c>
      <c r="E4723" s="210"/>
    </row>
    <row r="4724" spans="1:5" ht="67.5">
      <c r="A4724" s="446">
        <v>98072</v>
      </c>
      <c r="B4724" s="447" t="s">
        <v>6647</v>
      </c>
      <c r="C4724" s="446" t="s">
        <v>34</v>
      </c>
      <c r="D4724" s="448">
        <v>3959.41</v>
      </c>
      <c r="E4724" s="210"/>
    </row>
    <row r="4725" spans="1:5" ht="67.5">
      <c r="A4725" s="446">
        <v>98073</v>
      </c>
      <c r="B4725" s="447" t="s">
        <v>6648</v>
      </c>
      <c r="C4725" s="446" t="s">
        <v>34</v>
      </c>
      <c r="D4725" s="448">
        <v>6104.95</v>
      </c>
      <c r="E4725" s="210"/>
    </row>
    <row r="4726" spans="1:5" ht="67.5">
      <c r="A4726" s="446">
        <v>98074</v>
      </c>
      <c r="B4726" s="447" t="s">
        <v>6649</v>
      </c>
      <c r="C4726" s="446" t="s">
        <v>34</v>
      </c>
      <c r="D4726" s="448">
        <v>9362.68</v>
      </c>
      <c r="E4726" s="210"/>
    </row>
    <row r="4727" spans="1:5" ht="67.5">
      <c r="A4727" s="446">
        <v>98075</v>
      </c>
      <c r="B4727" s="447" t="s">
        <v>6650</v>
      </c>
      <c r="C4727" s="446" t="s">
        <v>34</v>
      </c>
      <c r="D4727" s="448">
        <v>12115.11</v>
      </c>
      <c r="E4727" s="210"/>
    </row>
    <row r="4728" spans="1:5" ht="67.5">
      <c r="A4728" s="446">
        <v>98076</v>
      </c>
      <c r="B4728" s="447" t="s">
        <v>6651</v>
      </c>
      <c r="C4728" s="446" t="s">
        <v>34</v>
      </c>
      <c r="D4728" s="448">
        <v>13889.64</v>
      </c>
      <c r="E4728" s="210"/>
    </row>
    <row r="4729" spans="1:5" ht="67.5">
      <c r="A4729" s="446">
        <v>98077</v>
      </c>
      <c r="B4729" s="447" t="s">
        <v>6652</v>
      </c>
      <c r="C4729" s="446" t="s">
        <v>34</v>
      </c>
      <c r="D4729" s="448">
        <v>16310.88</v>
      </c>
      <c r="E4729" s="210"/>
    </row>
    <row r="4730" spans="1:5" ht="67.5">
      <c r="A4730" s="446">
        <v>98078</v>
      </c>
      <c r="B4730" s="447" t="s">
        <v>6653</v>
      </c>
      <c r="C4730" s="446" t="s">
        <v>34</v>
      </c>
      <c r="D4730" s="448">
        <v>4299.45</v>
      </c>
      <c r="E4730" s="210"/>
    </row>
    <row r="4731" spans="1:5" ht="67.5">
      <c r="A4731" s="446">
        <v>98079</v>
      </c>
      <c r="B4731" s="447" t="s">
        <v>6654</v>
      </c>
      <c r="C4731" s="446" t="s">
        <v>34</v>
      </c>
      <c r="D4731" s="448">
        <v>7487.39</v>
      </c>
      <c r="E4731" s="210"/>
    </row>
    <row r="4732" spans="1:5" ht="67.5">
      <c r="A4732" s="446">
        <v>98080</v>
      </c>
      <c r="B4732" s="447" t="s">
        <v>6655</v>
      </c>
      <c r="C4732" s="446" t="s">
        <v>34</v>
      </c>
      <c r="D4732" s="448">
        <v>9546.64</v>
      </c>
      <c r="E4732" s="210"/>
    </row>
    <row r="4733" spans="1:5" ht="67.5">
      <c r="A4733" s="446">
        <v>98081</v>
      </c>
      <c r="B4733" s="447" t="s">
        <v>6656</v>
      </c>
      <c r="C4733" s="446" t="s">
        <v>34</v>
      </c>
      <c r="D4733" s="448">
        <v>14079.76</v>
      </c>
      <c r="E4733" s="210"/>
    </row>
    <row r="4734" spans="1:5" ht="67.5">
      <c r="A4734" s="446">
        <v>98082</v>
      </c>
      <c r="B4734" s="447" t="s">
        <v>6657</v>
      </c>
      <c r="C4734" s="446" t="s">
        <v>34</v>
      </c>
      <c r="D4734" s="448">
        <v>3256.23</v>
      </c>
      <c r="E4734" s="210"/>
    </row>
    <row r="4735" spans="1:5" ht="67.5">
      <c r="A4735" s="446">
        <v>98083</v>
      </c>
      <c r="B4735" s="447" t="s">
        <v>6658</v>
      </c>
      <c r="C4735" s="446" t="s">
        <v>34</v>
      </c>
      <c r="D4735" s="448">
        <v>4289.72</v>
      </c>
      <c r="E4735" s="210"/>
    </row>
    <row r="4736" spans="1:5" ht="67.5">
      <c r="A4736" s="446">
        <v>98084</v>
      </c>
      <c r="B4736" s="447" t="s">
        <v>6659</v>
      </c>
      <c r="C4736" s="446" t="s">
        <v>34</v>
      </c>
      <c r="D4736" s="448">
        <v>6008.97</v>
      </c>
      <c r="E4736" s="210"/>
    </row>
    <row r="4737" spans="1:5" ht="67.5">
      <c r="A4737" s="446">
        <v>98085</v>
      </c>
      <c r="B4737" s="447" t="s">
        <v>6660</v>
      </c>
      <c r="C4737" s="446" t="s">
        <v>34</v>
      </c>
      <c r="D4737" s="448">
        <v>8146.17</v>
      </c>
      <c r="E4737" s="210"/>
    </row>
    <row r="4738" spans="1:5" ht="67.5">
      <c r="A4738" s="446">
        <v>98086</v>
      </c>
      <c r="B4738" s="447" t="s">
        <v>6661</v>
      </c>
      <c r="C4738" s="446" t="s">
        <v>34</v>
      </c>
      <c r="D4738" s="448">
        <v>9189.2000000000007</v>
      </c>
      <c r="E4738" s="210"/>
    </row>
    <row r="4739" spans="1:5" ht="67.5">
      <c r="A4739" s="446">
        <v>98087</v>
      </c>
      <c r="B4739" s="447" t="s">
        <v>6662</v>
      </c>
      <c r="C4739" s="446" t="s">
        <v>34</v>
      </c>
      <c r="D4739" s="448">
        <v>9797.75</v>
      </c>
      <c r="E4739" s="210"/>
    </row>
    <row r="4740" spans="1:5" ht="67.5">
      <c r="A4740" s="446">
        <v>98088</v>
      </c>
      <c r="B4740" s="447" t="s">
        <v>6663</v>
      </c>
      <c r="C4740" s="446" t="s">
        <v>34</v>
      </c>
      <c r="D4740" s="448">
        <v>2781.48</v>
      </c>
      <c r="E4740" s="210"/>
    </row>
    <row r="4741" spans="1:5" ht="67.5">
      <c r="A4741" s="446">
        <v>98089</v>
      </c>
      <c r="B4741" s="447" t="s">
        <v>6664</v>
      </c>
      <c r="C4741" s="446" t="s">
        <v>34</v>
      </c>
      <c r="D4741" s="448">
        <v>4381.17</v>
      </c>
      <c r="E4741" s="210"/>
    </row>
    <row r="4742" spans="1:5" ht="67.5">
      <c r="A4742" s="446">
        <v>98090</v>
      </c>
      <c r="B4742" s="447" t="s">
        <v>6665</v>
      </c>
      <c r="C4742" s="446" t="s">
        <v>34</v>
      </c>
      <c r="D4742" s="448">
        <v>6864.13</v>
      </c>
      <c r="E4742" s="210"/>
    </row>
    <row r="4743" spans="1:5" ht="67.5">
      <c r="A4743" s="446">
        <v>98091</v>
      </c>
      <c r="B4743" s="447" t="s">
        <v>6666</v>
      </c>
      <c r="C4743" s="446" t="s">
        <v>34</v>
      </c>
      <c r="D4743" s="448">
        <v>8870.73</v>
      </c>
      <c r="E4743" s="210"/>
    </row>
    <row r="4744" spans="1:5" ht="67.5">
      <c r="A4744" s="446">
        <v>98092</v>
      </c>
      <c r="B4744" s="447" t="s">
        <v>6667</v>
      </c>
      <c r="C4744" s="446" t="s">
        <v>34</v>
      </c>
      <c r="D4744" s="448">
        <v>10395.56</v>
      </c>
      <c r="E4744" s="210"/>
    </row>
    <row r="4745" spans="1:5" ht="67.5">
      <c r="A4745" s="446">
        <v>98093</v>
      </c>
      <c r="B4745" s="447" t="s">
        <v>6668</v>
      </c>
      <c r="C4745" s="446" t="s">
        <v>34</v>
      </c>
      <c r="D4745" s="448">
        <v>12264.88</v>
      </c>
      <c r="E4745" s="210"/>
    </row>
    <row r="4746" spans="1:5" ht="67.5">
      <c r="A4746" s="446">
        <v>98094</v>
      </c>
      <c r="B4746" s="447" t="s">
        <v>6669</v>
      </c>
      <c r="C4746" s="446" t="s">
        <v>34</v>
      </c>
      <c r="D4746" s="448">
        <v>2248.7600000000002</v>
      </c>
      <c r="E4746" s="210"/>
    </row>
    <row r="4747" spans="1:5" ht="67.5">
      <c r="A4747" s="446">
        <v>98099</v>
      </c>
      <c r="B4747" s="447" t="s">
        <v>6670</v>
      </c>
      <c r="C4747" s="446" t="s">
        <v>34</v>
      </c>
      <c r="D4747" s="448">
        <v>3833.92</v>
      </c>
      <c r="E4747" s="210"/>
    </row>
    <row r="4748" spans="1:5" ht="67.5">
      <c r="A4748" s="446">
        <v>98100</v>
      </c>
      <c r="B4748" s="447" t="s">
        <v>6671</v>
      </c>
      <c r="C4748" s="446" t="s">
        <v>34</v>
      </c>
      <c r="D4748" s="448">
        <v>5002.72</v>
      </c>
      <c r="E4748" s="210"/>
    </row>
    <row r="4749" spans="1:5" ht="67.5">
      <c r="A4749" s="446">
        <v>98101</v>
      </c>
      <c r="B4749" s="447" t="s">
        <v>6672</v>
      </c>
      <c r="C4749" s="446" t="s">
        <v>34</v>
      </c>
      <c r="D4749" s="448">
        <v>7380.94</v>
      </c>
      <c r="E4749" s="210"/>
    </row>
    <row r="4750" spans="1:5" ht="81">
      <c r="A4750" s="446">
        <v>98109</v>
      </c>
      <c r="B4750" s="447" t="s">
        <v>6673</v>
      </c>
      <c r="C4750" s="446" t="s">
        <v>34</v>
      </c>
      <c r="D4750" s="448">
        <v>624.54</v>
      </c>
      <c r="E4750" s="210"/>
    </row>
    <row r="4751" spans="1:5" ht="40.5">
      <c r="A4751" s="446">
        <v>98110</v>
      </c>
      <c r="B4751" s="447" t="s">
        <v>6674</v>
      </c>
      <c r="C4751" s="446" t="s">
        <v>34</v>
      </c>
      <c r="D4751" s="448">
        <v>507.4</v>
      </c>
      <c r="E4751" s="210"/>
    </row>
    <row r="4752" spans="1:5" ht="40.5">
      <c r="A4752" s="446">
        <v>98111</v>
      </c>
      <c r="B4752" s="447" t="s">
        <v>6675</v>
      </c>
      <c r="C4752" s="446" t="s">
        <v>34</v>
      </c>
      <c r="D4752" s="448">
        <v>23.64</v>
      </c>
      <c r="E4752" s="210"/>
    </row>
    <row r="4753" spans="1:5" ht="40.5">
      <c r="A4753" s="446">
        <v>98112</v>
      </c>
      <c r="B4753" s="447" t="s">
        <v>6676</v>
      </c>
      <c r="C4753" s="446" t="s">
        <v>34</v>
      </c>
      <c r="D4753" s="448">
        <v>115.7</v>
      </c>
      <c r="E4753" s="210"/>
    </row>
    <row r="4754" spans="1:5" ht="40.5">
      <c r="A4754" s="446">
        <v>98114</v>
      </c>
      <c r="B4754" s="447" t="s">
        <v>6677</v>
      </c>
      <c r="C4754" s="446" t="s">
        <v>34</v>
      </c>
      <c r="D4754" s="448">
        <v>715.08</v>
      </c>
      <c r="E4754" s="210"/>
    </row>
    <row r="4755" spans="1:5" ht="40.5">
      <c r="A4755" s="446">
        <v>98115</v>
      </c>
      <c r="B4755" s="447" t="s">
        <v>6678</v>
      </c>
      <c r="C4755" s="446" t="s">
        <v>34</v>
      </c>
      <c r="D4755" s="448">
        <v>99.83</v>
      </c>
      <c r="E4755" s="210"/>
    </row>
    <row r="4756" spans="1:5" ht="67.5">
      <c r="A4756" s="446">
        <v>89957</v>
      </c>
      <c r="B4756" s="447" t="s">
        <v>1684</v>
      </c>
      <c r="C4756" s="446" t="s">
        <v>34</v>
      </c>
      <c r="D4756" s="448">
        <v>101.18</v>
      </c>
      <c r="E4756" s="210"/>
    </row>
    <row r="4757" spans="1:5" ht="67.5">
      <c r="A4757" s="446">
        <v>89959</v>
      </c>
      <c r="B4757" s="447" t="s">
        <v>1685</v>
      </c>
      <c r="C4757" s="446" t="s">
        <v>34</v>
      </c>
      <c r="D4757" s="448">
        <v>190.87</v>
      </c>
      <c r="E4757" s="210"/>
    </row>
    <row r="4758" spans="1:5" ht="40.5">
      <c r="A4758" s="446">
        <v>89349</v>
      </c>
      <c r="B4758" s="447" t="s">
        <v>1286</v>
      </c>
      <c r="C4758" s="446" t="s">
        <v>34</v>
      </c>
      <c r="D4758" s="448">
        <v>16.760000000000002</v>
      </c>
      <c r="E4758" s="210"/>
    </row>
    <row r="4759" spans="1:5" ht="40.5">
      <c r="A4759" s="446">
        <v>89351</v>
      </c>
      <c r="B4759" s="447" t="s">
        <v>4045</v>
      </c>
      <c r="C4759" s="446" t="s">
        <v>34</v>
      </c>
      <c r="D4759" s="448">
        <v>18.760000000000002</v>
      </c>
      <c r="E4759" s="210"/>
    </row>
    <row r="4760" spans="1:5" ht="40.5">
      <c r="A4760" s="446">
        <v>89352</v>
      </c>
      <c r="B4760" s="447" t="s">
        <v>223</v>
      </c>
      <c r="C4760" s="446" t="s">
        <v>34</v>
      </c>
      <c r="D4760" s="448">
        <v>21</v>
      </c>
      <c r="E4760" s="210"/>
    </row>
    <row r="4761" spans="1:5" ht="40.5">
      <c r="A4761" s="446">
        <v>89353</v>
      </c>
      <c r="B4761" s="447" t="s">
        <v>224</v>
      </c>
      <c r="C4761" s="446" t="s">
        <v>34</v>
      </c>
      <c r="D4761" s="448">
        <v>21.79</v>
      </c>
      <c r="E4761" s="210"/>
    </row>
    <row r="4762" spans="1:5" ht="54">
      <c r="A4762" s="446">
        <v>89354</v>
      </c>
      <c r="B4762" s="447" t="s">
        <v>225</v>
      </c>
      <c r="C4762" s="446" t="s">
        <v>34</v>
      </c>
      <c r="D4762" s="448">
        <v>262.69</v>
      </c>
      <c r="E4762" s="210"/>
    </row>
    <row r="4763" spans="1:5" ht="67.5">
      <c r="A4763" s="446">
        <v>89969</v>
      </c>
      <c r="B4763" s="447" t="s">
        <v>1686</v>
      </c>
      <c r="C4763" s="446" t="s">
        <v>34</v>
      </c>
      <c r="D4763" s="448">
        <v>28.74</v>
      </c>
      <c r="E4763" s="210"/>
    </row>
    <row r="4764" spans="1:5" ht="54">
      <c r="A4764" s="446">
        <v>89970</v>
      </c>
      <c r="B4764" s="447" t="s">
        <v>1687</v>
      </c>
      <c r="C4764" s="446" t="s">
        <v>34</v>
      </c>
      <c r="D4764" s="448">
        <v>29.94</v>
      </c>
      <c r="E4764" s="210"/>
    </row>
    <row r="4765" spans="1:5" ht="54">
      <c r="A4765" s="446">
        <v>89971</v>
      </c>
      <c r="B4765" s="447" t="s">
        <v>1688</v>
      </c>
      <c r="C4765" s="446" t="s">
        <v>34</v>
      </c>
      <c r="D4765" s="448">
        <v>29.74</v>
      </c>
      <c r="E4765" s="210"/>
    </row>
    <row r="4766" spans="1:5" ht="54">
      <c r="A4766" s="446">
        <v>89972</v>
      </c>
      <c r="B4766" s="447" t="s">
        <v>1689</v>
      </c>
      <c r="C4766" s="446" t="s">
        <v>34</v>
      </c>
      <c r="D4766" s="448">
        <v>32.229999999999997</v>
      </c>
      <c r="E4766" s="210"/>
    </row>
    <row r="4767" spans="1:5" ht="54">
      <c r="A4767" s="446">
        <v>89973</v>
      </c>
      <c r="B4767" s="447" t="s">
        <v>1690</v>
      </c>
      <c r="C4767" s="446" t="s">
        <v>34</v>
      </c>
      <c r="D4767" s="448">
        <v>477.2</v>
      </c>
      <c r="E4767" s="210"/>
    </row>
    <row r="4768" spans="1:5" ht="54">
      <c r="A4768" s="446">
        <v>89974</v>
      </c>
      <c r="B4768" s="447" t="s">
        <v>1691</v>
      </c>
      <c r="C4768" s="446" t="s">
        <v>34</v>
      </c>
      <c r="D4768" s="448">
        <v>271.54000000000002</v>
      </c>
      <c r="E4768" s="210"/>
    </row>
    <row r="4769" spans="1:5" ht="54">
      <c r="A4769" s="446">
        <v>89984</v>
      </c>
      <c r="B4769" s="447" t="s">
        <v>1697</v>
      </c>
      <c r="C4769" s="446" t="s">
        <v>34</v>
      </c>
      <c r="D4769" s="448">
        <v>42.78</v>
      </c>
      <c r="E4769" s="210"/>
    </row>
    <row r="4770" spans="1:5" ht="54">
      <c r="A4770" s="446">
        <v>89985</v>
      </c>
      <c r="B4770" s="447" t="s">
        <v>1698</v>
      </c>
      <c r="C4770" s="446" t="s">
        <v>34</v>
      </c>
      <c r="D4770" s="448">
        <v>43.93</v>
      </c>
      <c r="E4770" s="210"/>
    </row>
    <row r="4771" spans="1:5" ht="54">
      <c r="A4771" s="446">
        <v>89986</v>
      </c>
      <c r="B4771" s="447" t="s">
        <v>1699</v>
      </c>
      <c r="C4771" s="446" t="s">
        <v>34</v>
      </c>
      <c r="D4771" s="448">
        <v>41.81</v>
      </c>
      <c r="E4771" s="210"/>
    </row>
    <row r="4772" spans="1:5" ht="54">
      <c r="A4772" s="446">
        <v>89987</v>
      </c>
      <c r="B4772" s="447" t="s">
        <v>1700</v>
      </c>
      <c r="C4772" s="446" t="s">
        <v>34</v>
      </c>
      <c r="D4772" s="448">
        <v>46.06</v>
      </c>
      <c r="E4772" s="210"/>
    </row>
    <row r="4773" spans="1:5" ht="40.5">
      <c r="A4773" s="446">
        <v>90371</v>
      </c>
      <c r="B4773" s="447" t="s">
        <v>1717</v>
      </c>
      <c r="C4773" s="446" t="s">
        <v>34</v>
      </c>
      <c r="D4773" s="448">
        <v>19.59</v>
      </c>
      <c r="E4773" s="210"/>
    </row>
    <row r="4774" spans="1:5" ht="67.5">
      <c r="A4774" s="446">
        <v>94489</v>
      </c>
      <c r="B4774" s="447" t="s">
        <v>2534</v>
      </c>
      <c r="C4774" s="446" t="s">
        <v>34</v>
      </c>
      <c r="D4774" s="448">
        <v>17.600000000000001</v>
      </c>
      <c r="E4774" s="210"/>
    </row>
    <row r="4775" spans="1:5" ht="67.5">
      <c r="A4775" s="446">
        <v>94490</v>
      </c>
      <c r="B4775" s="447" t="s">
        <v>2535</v>
      </c>
      <c r="C4775" s="446" t="s">
        <v>34</v>
      </c>
      <c r="D4775" s="448">
        <v>28.74</v>
      </c>
      <c r="E4775" s="210"/>
    </row>
    <row r="4776" spans="1:5" ht="67.5">
      <c r="A4776" s="446">
        <v>94491</v>
      </c>
      <c r="B4776" s="447" t="s">
        <v>2536</v>
      </c>
      <c r="C4776" s="446" t="s">
        <v>34</v>
      </c>
      <c r="D4776" s="448">
        <v>40.19</v>
      </c>
      <c r="E4776" s="210"/>
    </row>
    <row r="4777" spans="1:5" ht="67.5">
      <c r="A4777" s="446">
        <v>94492</v>
      </c>
      <c r="B4777" s="447" t="s">
        <v>2537</v>
      </c>
      <c r="C4777" s="446" t="s">
        <v>34</v>
      </c>
      <c r="D4777" s="448">
        <v>41.11</v>
      </c>
      <c r="E4777" s="210"/>
    </row>
    <row r="4778" spans="1:5" ht="67.5">
      <c r="A4778" s="446">
        <v>94493</v>
      </c>
      <c r="B4778" s="447" t="s">
        <v>2538</v>
      </c>
      <c r="C4778" s="446" t="s">
        <v>34</v>
      </c>
      <c r="D4778" s="448">
        <v>75.67</v>
      </c>
      <c r="E4778" s="210"/>
    </row>
    <row r="4779" spans="1:5" ht="67.5">
      <c r="A4779" s="446">
        <v>94494</v>
      </c>
      <c r="B4779" s="447" t="s">
        <v>2539</v>
      </c>
      <c r="C4779" s="446" t="s">
        <v>34</v>
      </c>
      <c r="D4779" s="448">
        <v>39.619999999999997</v>
      </c>
      <c r="E4779" s="210"/>
    </row>
    <row r="4780" spans="1:5" ht="67.5">
      <c r="A4780" s="446">
        <v>94495</v>
      </c>
      <c r="B4780" s="447" t="s">
        <v>2540</v>
      </c>
      <c r="C4780" s="446" t="s">
        <v>34</v>
      </c>
      <c r="D4780" s="448">
        <v>48.5</v>
      </c>
      <c r="E4780" s="210"/>
    </row>
    <row r="4781" spans="1:5" ht="81">
      <c r="A4781" s="446">
        <v>94496</v>
      </c>
      <c r="B4781" s="447" t="s">
        <v>2541</v>
      </c>
      <c r="C4781" s="446" t="s">
        <v>34</v>
      </c>
      <c r="D4781" s="448">
        <v>57.92</v>
      </c>
      <c r="E4781" s="210"/>
    </row>
    <row r="4782" spans="1:5" ht="81">
      <c r="A4782" s="446">
        <v>94497</v>
      </c>
      <c r="B4782" s="447" t="s">
        <v>2542</v>
      </c>
      <c r="C4782" s="446" t="s">
        <v>34</v>
      </c>
      <c r="D4782" s="448">
        <v>66.59</v>
      </c>
      <c r="E4782" s="210"/>
    </row>
    <row r="4783" spans="1:5" ht="67.5">
      <c r="A4783" s="446">
        <v>94498</v>
      </c>
      <c r="B4783" s="447" t="s">
        <v>2543</v>
      </c>
      <c r="C4783" s="446" t="s">
        <v>34</v>
      </c>
      <c r="D4783" s="448">
        <v>84.21</v>
      </c>
      <c r="E4783" s="210"/>
    </row>
    <row r="4784" spans="1:5" ht="81">
      <c r="A4784" s="446">
        <v>94499</v>
      </c>
      <c r="B4784" s="447" t="s">
        <v>2544</v>
      </c>
      <c r="C4784" s="446" t="s">
        <v>34</v>
      </c>
      <c r="D4784" s="448">
        <v>146.56</v>
      </c>
      <c r="E4784" s="210"/>
    </row>
    <row r="4785" spans="1:5" ht="67.5">
      <c r="A4785" s="446">
        <v>94500</v>
      </c>
      <c r="B4785" s="447" t="s">
        <v>2545</v>
      </c>
      <c r="C4785" s="446" t="s">
        <v>34</v>
      </c>
      <c r="D4785" s="448">
        <v>173.17</v>
      </c>
      <c r="E4785" s="210"/>
    </row>
    <row r="4786" spans="1:5" ht="67.5">
      <c r="A4786" s="446">
        <v>94501</v>
      </c>
      <c r="B4786" s="447" t="s">
        <v>2546</v>
      </c>
      <c r="C4786" s="446" t="s">
        <v>34</v>
      </c>
      <c r="D4786" s="448">
        <v>331.13</v>
      </c>
      <c r="E4786" s="210"/>
    </row>
    <row r="4787" spans="1:5" ht="81">
      <c r="A4787" s="446">
        <v>94792</v>
      </c>
      <c r="B4787" s="447" t="s">
        <v>2653</v>
      </c>
      <c r="C4787" s="446" t="s">
        <v>34</v>
      </c>
      <c r="D4787" s="448">
        <v>70.11</v>
      </c>
      <c r="E4787" s="210"/>
    </row>
    <row r="4788" spans="1:5" ht="94.5">
      <c r="A4788" s="446">
        <v>94793</v>
      </c>
      <c r="B4788" s="447" t="s">
        <v>2654</v>
      </c>
      <c r="C4788" s="446" t="s">
        <v>34</v>
      </c>
      <c r="D4788" s="448">
        <v>88.63</v>
      </c>
      <c r="E4788" s="210"/>
    </row>
    <row r="4789" spans="1:5" ht="94.5">
      <c r="A4789" s="446">
        <v>94794</v>
      </c>
      <c r="B4789" s="447" t="s">
        <v>2655</v>
      </c>
      <c r="C4789" s="446" t="s">
        <v>34</v>
      </c>
      <c r="D4789" s="448">
        <v>91.56</v>
      </c>
      <c r="E4789" s="210"/>
    </row>
    <row r="4790" spans="1:5" ht="40.5">
      <c r="A4790" s="446">
        <v>94795</v>
      </c>
      <c r="B4790" s="447" t="s">
        <v>4046</v>
      </c>
      <c r="C4790" s="446" t="s">
        <v>34</v>
      </c>
      <c r="D4790" s="448">
        <v>30.91</v>
      </c>
      <c r="E4790" s="210"/>
    </row>
    <row r="4791" spans="1:5" ht="40.5">
      <c r="A4791" s="446">
        <v>94796</v>
      </c>
      <c r="B4791" s="447" t="s">
        <v>4047</v>
      </c>
      <c r="C4791" s="446" t="s">
        <v>34</v>
      </c>
      <c r="D4791" s="448">
        <v>35.200000000000003</v>
      </c>
      <c r="E4791" s="210"/>
    </row>
    <row r="4792" spans="1:5" ht="40.5">
      <c r="A4792" s="446">
        <v>94797</v>
      </c>
      <c r="B4792" s="447" t="s">
        <v>4048</v>
      </c>
      <c r="C4792" s="446" t="s">
        <v>34</v>
      </c>
      <c r="D4792" s="448">
        <v>54.24</v>
      </c>
      <c r="E4792" s="210"/>
    </row>
    <row r="4793" spans="1:5" ht="40.5">
      <c r="A4793" s="446">
        <v>94798</v>
      </c>
      <c r="B4793" s="447" t="s">
        <v>4049</v>
      </c>
      <c r="C4793" s="446" t="s">
        <v>34</v>
      </c>
      <c r="D4793" s="448">
        <v>121.88</v>
      </c>
      <c r="E4793" s="210"/>
    </row>
    <row r="4794" spans="1:5" ht="40.5">
      <c r="A4794" s="446">
        <v>94799</v>
      </c>
      <c r="B4794" s="447" t="s">
        <v>4050</v>
      </c>
      <c r="C4794" s="446" t="s">
        <v>34</v>
      </c>
      <c r="D4794" s="448">
        <v>116.93</v>
      </c>
      <c r="E4794" s="210"/>
    </row>
    <row r="4795" spans="1:5" ht="40.5">
      <c r="A4795" s="446">
        <v>94800</v>
      </c>
      <c r="B4795" s="447" t="s">
        <v>4051</v>
      </c>
      <c r="C4795" s="446" t="s">
        <v>34</v>
      </c>
      <c r="D4795" s="448">
        <v>201.69</v>
      </c>
      <c r="E4795" s="210"/>
    </row>
    <row r="4796" spans="1:5" ht="81">
      <c r="A4796" s="446">
        <v>95248</v>
      </c>
      <c r="B4796" s="447" t="s">
        <v>2694</v>
      </c>
      <c r="C4796" s="446" t="s">
        <v>34</v>
      </c>
      <c r="D4796" s="448">
        <v>46.09</v>
      </c>
      <c r="E4796" s="210"/>
    </row>
    <row r="4797" spans="1:5" ht="81">
      <c r="A4797" s="446">
        <v>95249</v>
      </c>
      <c r="B4797" s="447" t="s">
        <v>2695</v>
      </c>
      <c r="C4797" s="446" t="s">
        <v>34</v>
      </c>
      <c r="D4797" s="448">
        <v>49.45</v>
      </c>
      <c r="E4797" s="210"/>
    </row>
    <row r="4798" spans="1:5" ht="67.5">
      <c r="A4798" s="446">
        <v>95250</v>
      </c>
      <c r="B4798" s="447" t="s">
        <v>2696</v>
      </c>
      <c r="C4798" s="446" t="s">
        <v>34</v>
      </c>
      <c r="D4798" s="448">
        <v>58.26</v>
      </c>
      <c r="E4798" s="210"/>
    </row>
    <row r="4799" spans="1:5" ht="81">
      <c r="A4799" s="446">
        <v>95251</v>
      </c>
      <c r="B4799" s="447" t="s">
        <v>2697</v>
      </c>
      <c r="C4799" s="446" t="s">
        <v>34</v>
      </c>
      <c r="D4799" s="448">
        <v>75.56</v>
      </c>
      <c r="E4799" s="210"/>
    </row>
    <row r="4800" spans="1:5" ht="81">
      <c r="A4800" s="446">
        <v>95252</v>
      </c>
      <c r="B4800" s="447" t="s">
        <v>2698</v>
      </c>
      <c r="C4800" s="446" t="s">
        <v>34</v>
      </c>
      <c r="D4800" s="448">
        <v>85.95</v>
      </c>
      <c r="E4800" s="210"/>
    </row>
    <row r="4801" spans="1:5" ht="67.5">
      <c r="A4801" s="446">
        <v>95253</v>
      </c>
      <c r="B4801" s="447" t="s">
        <v>2699</v>
      </c>
      <c r="C4801" s="446" t="s">
        <v>34</v>
      </c>
      <c r="D4801" s="448">
        <v>120.28</v>
      </c>
      <c r="E4801" s="210"/>
    </row>
    <row r="4802" spans="1:5" ht="40.5">
      <c r="A4802" s="446">
        <v>99619</v>
      </c>
      <c r="B4802" s="447" t="s">
        <v>4052</v>
      </c>
      <c r="C4802" s="446" t="s">
        <v>34</v>
      </c>
      <c r="D4802" s="448">
        <v>93.8</v>
      </c>
      <c r="E4802" s="210"/>
    </row>
    <row r="4803" spans="1:5" ht="40.5">
      <c r="A4803" s="446">
        <v>99620</v>
      </c>
      <c r="B4803" s="447" t="s">
        <v>4053</v>
      </c>
      <c r="C4803" s="446" t="s">
        <v>34</v>
      </c>
      <c r="D4803" s="448">
        <v>143</v>
      </c>
      <c r="E4803" s="210"/>
    </row>
    <row r="4804" spans="1:5" ht="40.5">
      <c r="A4804" s="446">
        <v>99621</v>
      </c>
      <c r="B4804" s="447" t="s">
        <v>4054</v>
      </c>
      <c r="C4804" s="446" t="s">
        <v>34</v>
      </c>
      <c r="D4804" s="448">
        <v>202.64</v>
      </c>
      <c r="E4804" s="210"/>
    </row>
    <row r="4805" spans="1:5" ht="40.5">
      <c r="A4805" s="446">
        <v>99622</v>
      </c>
      <c r="B4805" s="447" t="s">
        <v>4055</v>
      </c>
      <c r="C4805" s="446" t="s">
        <v>34</v>
      </c>
      <c r="D4805" s="448">
        <v>223.53</v>
      </c>
      <c r="E4805" s="210"/>
    </row>
    <row r="4806" spans="1:5" ht="40.5">
      <c r="A4806" s="446">
        <v>99623</v>
      </c>
      <c r="B4806" s="447" t="s">
        <v>4056</v>
      </c>
      <c r="C4806" s="446" t="s">
        <v>34</v>
      </c>
      <c r="D4806" s="448">
        <v>304.43</v>
      </c>
      <c r="E4806" s="210"/>
    </row>
    <row r="4807" spans="1:5" ht="40.5">
      <c r="A4807" s="446">
        <v>99624</v>
      </c>
      <c r="B4807" s="447" t="s">
        <v>4057</v>
      </c>
      <c r="C4807" s="446" t="s">
        <v>34</v>
      </c>
      <c r="D4807" s="448">
        <v>424.1</v>
      </c>
      <c r="E4807" s="210"/>
    </row>
    <row r="4808" spans="1:5" ht="40.5">
      <c r="A4808" s="446">
        <v>99625</v>
      </c>
      <c r="B4808" s="447" t="s">
        <v>4058</v>
      </c>
      <c r="C4808" s="446" t="s">
        <v>34</v>
      </c>
      <c r="D4808" s="448">
        <v>577.04</v>
      </c>
      <c r="E4808" s="210"/>
    </row>
    <row r="4809" spans="1:5" ht="40.5">
      <c r="A4809" s="446">
        <v>99626</v>
      </c>
      <c r="B4809" s="447" t="s">
        <v>4059</v>
      </c>
      <c r="C4809" s="446" t="s">
        <v>34</v>
      </c>
      <c r="D4809" s="448">
        <v>879.89</v>
      </c>
      <c r="E4809" s="210"/>
    </row>
    <row r="4810" spans="1:5" ht="40.5">
      <c r="A4810" s="446">
        <v>99627</v>
      </c>
      <c r="B4810" s="447" t="s">
        <v>4060</v>
      </c>
      <c r="C4810" s="446" t="s">
        <v>34</v>
      </c>
      <c r="D4810" s="448">
        <v>77.38</v>
      </c>
      <c r="E4810" s="210"/>
    </row>
    <row r="4811" spans="1:5" ht="40.5">
      <c r="A4811" s="446">
        <v>99628</v>
      </c>
      <c r="B4811" s="447" t="s">
        <v>4061</v>
      </c>
      <c r="C4811" s="446" t="s">
        <v>34</v>
      </c>
      <c r="D4811" s="448">
        <v>62.44</v>
      </c>
      <c r="E4811" s="210"/>
    </row>
    <row r="4812" spans="1:5" ht="40.5">
      <c r="A4812" s="446">
        <v>99629</v>
      </c>
      <c r="B4812" s="447" t="s">
        <v>4062</v>
      </c>
      <c r="C4812" s="446" t="s">
        <v>34</v>
      </c>
      <c r="D4812" s="448">
        <v>85.46</v>
      </c>
      <c r="E4812" s="210"/>
    </row>
    <row r="4813" spans="1:5" ht="40.5">
      <c r="A4813" s="446">
        <v>99630</v>
      </c>
      <c r="B4813" s="447" t="s">
        <v>4063</v>
      </c>
      <c r="C4813" s="446" t="s">
        <v>34</v>
      </c>
      <c r="D4813" s="448">
        <v>116.69</v>
      </c>
      <c r="E4813" s="210"/>
    </row>
    <row r="4814" spans="1:5" ht="40.5">
      <c r="A4814" s="446">
        <v>99631</v>
      </c>
      <c r="B4814" s="447" t="s">
        <v>4064</v>
      </c>
      <c r="C4814" s="446" t="s">
        <v>34</v>
      </c>
      <c r="D4814" s="448">
        <v>130.65</v>
      </c>
      <c r="E4814" s="210"/>
    </row>
    <row r="4815" spans="1:5" ht="40.5">
      <c r="A4815" s="446">
        <v>99632</v>
      </c>
      <c r="B4815" s="447" t="s">
        <v>4065</v>
      </c>
      <c r="C4815" s="446" t="s">
        <v>34</v>
      </c>
      <c r="D4815" s="448">
        <v>180.23</v>
      </c>
      <c r="E4815" s="210"/>
    </row>
    <row r="4816" spans="1:5" ht="40.5">
      <c r="A4816" s="446">
        <v>99633</v>
      </c>
      <c r="B4816" s="447" t="s">
        <v>4066</v>
      </c>
      <c r="C4816" s="446" t="s">
        <v>34</v>
      </c>
      <c r="D4816" s="448">
        <v>364.54</v>
      </c>
      <c r="E4816" s="210"/>
    </row>
    <row r="4817" spans="1:5" ht="40.5">
      <c r="A4817" s="446">
        <v>99634</v>
      </c>
      <c r="B4817" s="447" t="s">
        <v>4067</v>
      </c>
      <c r="C4817" s="446" t="s">
        <v>34</v>
      </c>
      <c r="D4817" s="448">
        <v>612.52</v>
      </c>
      <c r="E4817" s="210"/>
    </row>
    <row r="4818" spans="1:5" ht="40.5">
      <c r="A4818" s="446">
        <v>99635</v>
      </c>
      <c r="B4818" s="447" t="s">
        <v>4068</v>
      </c>
      <c r="C4818" s="446" t="s">
        <v>34</v>
      </c>
      <c r="D4818" s="448">
        <v>175.9</v>
      </c>
      <c r="E4818" s="210"/>
    </row>
    <row r="4819" spans="1:5" ht="54">
      <c r="A4819" s="446">
        <v>95634</v>
      </c>
      <c r="B4819" s="447" t="s">
        <v>4069</v>
      </c>
      <c r="C4819" s="446" t="s">
        <v>34</v>
      </c>
      <c r="D4819" s="448">
        <v>133.51</v>
      </c>
      <c r="E4819" s="210"/>
    </row>
    <row r="4820" spans="1:5" ht="54">
      <c r="A4820" s="446">
        <v>95635</v>
      </c>
      <c r="B4820" s="447" t="s">
        <v>4070</v>
      </c>
      <c r="C4820" s="446" t="s">
        <v>34</v>
      </c>
      <c r="D4820" s="448">
        <v>143.33000000000001</v>
      </c>
      <c r="E4820" s="210"/>
    </row>
    <row r="4821" spans="1:5" ht="54">
      <c r="A4821" s="446">
        <v>95636</v>
      </c>
      <c r="B4821" s="447" t="s">
        <v>6777</v>
      </c>
      <c r="C4821" s="446" t="s">
        <v>34</v>
      </c>
      <c r="D4821" s="448">
        <v>268.38</v>
      </c>
      <c r="E4821" s="210"/>
    </row>
    <row r="4822" spans="1:5" ht="54">
      <c r="A4822" s="446">
        <v>95637</v>
      </c>
      <c r="B4822" s="447" t="s">
        <v>2868</v>
      </c>
      <c r="C4822" s="446" t="s">
        <v>34</v>
      </c>
      <c r="D4822" s="448">
        <v>409.25</v>
      </c>
      <c r="E4822" s="210"/>
    </row>
    <row r="4823" spans="1:5" ht="54">
      <c r="A4823" s="446">
        <v>95638</v>
      </c>
      <c r="B4823" s="447" t="s">
        <v>2869</v>
      </c>
      <c r="C4823" s="446" t="s">
        <v>34</v>
      </c>
      <c r="D4823" s="448">
        <v>496.49</v>
      </c>
      <c r="E4823" s="210"/>
    </row>
    <row r="4824" spans="1:5" ht="54">
      <c r="A4824" s="446">
        <v>95639</v>
      </c>
      <c r="B4824" s="447" t="s">
        <v>2870</v>
      </c>
      <c r="C4824" s="446" t="s">
        <v>34</v>
      </c>
      <c r="D4824" s="448">
        <v>647.16999999999996</v>
      </c>
      <c r="E4824" s="210"/>
    </row>
    <row r="4825" spans="1:5" ht="67.5">
      <c r="A4825" s="446">
        <v>95641</v>
      </c>
      <c r="B4825" s="447" t="s">
        <v>2871</v>
      </c>
      <c r="C4825" s="446" t="s">
        <v>34</v>
      </c>
      <c r="D4825" s="448">
        <v>219.29</v>
      </c>
      <c r="E4825" s="210"/>
    </row>
    <row r="4826" spans="1:5" ht="67.5">
      <c r="A4826" s="446">
        <v>95642</v>
      </c>
      <c r="B4826" s="447" t="s">
        <v>2872</v>
      </c>
      <c r="C4826" s="446" t="s">
        <v>34</v>
      </c>
      <c r="D4826" s="448">
        <v>323.52999999999997</v>
      </c>
      <c r="E4826" s="210"/>
    </row>
    <row r="4827" spans="1:5" ht="67.5">
      <c r="A4827" s="446">
        <v>95643</v>
      </c>
      <c r="B4827" s="447" t="s">
        <v>2873</v>
      </c>
      <c r="C4827" s="446" t="s">
        <v>34</v>
      </c>
      <c r="D4827" s="448">
        <v>422.97</v>
      </c>
      <c r="E4827" s="210"/>
    </row>
    <row r="4828" spans="1:5" ht="67.5">
      <c r="A4828" s="446">
        <v>95644</v>
      </c>
      <c r="B4828" s="447" t="s">
        <v>2874</v>
      </c>
      <c r="C4828" s="446" t="s">
        <v>34</v>
      </c>
      <c r="D4828" s="448">
        <v>160</v>
      </c>
      <c r="E4828" s="210"/>
    </row>
    <row r="4829" spans="1:5" ht="67.5">
      <c r="A4829" s="446">
        <v>95645</v>
      </c>
      <c r="B4829" s="447" t="s">
        <v>2875</v>
      </c>
      <c r="C4829" s="446" t="s">
        <v>34</v>
      </c>
      <c r="D4829" s="448">
        <v>291.37</v>
      </c>
      <c r="E4829" s="210"/>
    </row>
    <row r="4830" spans="1:5" ht="67.5">
      <c r="A4830" s="446">
        <v>95646</v>
      </c>
      <c r="B4830" s="447" t="s">
        <v>2876</v>
      </c>
      <c r="C4830" s="446" t="s">
        <v>34</v>
      </c>
      <c r="D4830" s="448">
        <v>433.82</v>
      </c>
      <c r="E4830" s="210"/>
    </row>
    <row r="4831" spans="1:5" ht="67.5">
      <c r="A4831" s="446">
        <v>95647</v>
      </c>
      <c r="B4831" s="447" t="s">
        <v>2877</v>
      </c>
      <c r="C4831" s="446" t="s">
        <v>34</v>
      </c>
      <c r="D4831" s="448">
        <v>568.29999999999995</v>
      </c>
      <c r="E4831" s="210"/>
    </row>
    <row r="4832" spans="1:5" ht="27">
      <c r="A4832" s="446">
        <v>95673</v>
      </c>
      <c r="B4832" s="447" t="s">
        <v>2878</v>
      </c>
      <c r="C4832" s="446" t="s">
        <v>34</v>
      </c>
      <c r="D4832" s="448">
        <v>106.93</v>
      </c>
      <c r="E4832" s="210"/>
    </row>
    <row r="4833" spans="1:5" ht="27">
      <c r="A4833" s="446">
        <v>95674</v>
      </c>
      <c r="B4833" s="447" t="s">
        <v>2879</v>
      </c>
      <c r="C4833" s="446" t="s">
        <v>34</v>
      </c>
      <c r="D4833" s="448">
        <v>113.73</v>
      </c>
      <c r="E4833" s="210"/>
    </row>
    <row r="4834" spans="1:5" ht="27">
      <c r="A4834" s="446">
        <v>95675</v>
      </c>
      <c r="B4834" s="447" t="s">
        <v>551</v>
      </c>
      <c r="C4834" s="446" t="s">
        <v>34</v>
      </c>
      <c r="D4834" s="448">
        <v>139.13999999999999</v>
      </c>
      <c r="E4834" s="210"/>
    </row>
    <row r="4835" spans="1:5" ht="40.5">
      <c r="A4835" s="446">
        <v>95676</v>
      </c>
      <c r="B4835" s="447" t="s">
        <v>2880</v>
      </c>
      <c r="C4835" s="446" t="s">
        <v>34</v>
      </c>
      <c r="D4835" s="448">
        <v>108.75</v>
      </c>
      <c r="E4835" s="210"/>
    </row>
    <row r="4836" spans="1:5" ht="67.5">
      <c r="A4836" s="446">
        <v>97741</v>
      </c>
      <c r="B4836" s="447" t="s">
        <v>3501</v>
      </c>
      <c r="C4836" s="446" t="s">
        <v>34</v>
      </c>
      <c r="D4836" s="448">
        <v>123.53</v>
      </c>
      <c r="E4836" s="210"/>
    </row>
    <row r="4837" spans="1:5" ht="27">
      <c r="A4837" s="446">
        <v>90436</v>
      </c>
      <c r="B4837" s="447" t="s">
        <v>338</v>
      </c>
      <c r="C4837" s="446" t="s">
        <v>34</v>
      </c>
      <c r="D4837" s="448">
        <v>9.75</v>
      </c>
      <c r="E4837" s="210"/>
    </row>
    <row r="4838" spans="1:5" ht="40.5">
      <c r="A4838" s="446">
        <v>90437</v>
      </c>
      <c r="B4838" s="447" t="s">
        <v>339</v>
      </c>
      <c r="C4838" s="446" t="s">
        <v>34</v>
      </c>
      <c r="D4838" s="448">
        <v>23.71</v>
      </c>
      <c r="E4838" s="210"/>
    </row>
    <row r="4839" spans="1:5" ht="27">
      <c r="A4839" s="446">
        <v>90438</v>
      </c>
      <c r="B4839" s="447" t="s">
        <v>340</v>
      </c>
      <c r="C4839" s="446" t="s">
        <v>34</v>
      </c>
      <c r="D4839" s="448">
        <v>33.97</v>
      </c>
      <c r="E4839" s="210"/>
    </row>
    <row r="4840" spans="1:5" ht="27">
      <c r="A4840" s="446">
        <v>90439</v>
      </c>
      <c r="B4840" s="447" t="s">
        <v>341</v>
      </c>
      <c r="C4840" s="446" t="s">
        <v>34</v>
      </c>
      <c r="D4840" s="448">
        <v>38.99</v>
      </c>
      <c r="E4840" s="210"/>
    </row>
    <row r="4841" spans="1:5" ht="40.5">
      <c r="A4841" s="446">
        <v>90440</v>
      </c>
      <c r="B4841" s="447" t="s">
        <v>342</v>
      </c>
      <c r="C4841" s="446" t="s">
        <v>34</v>
      </c>
      <c r="D4841" s="448">
        <v>62.45</v>
      </c>
      <c r="E4841" s="210"/>
    </row>
    <row r="4842" spans="1:5" ht="27">
      <c r="A4842" s="446">
        <v>90441</v>
      </c>
      <c r="B4842" s="447" t="s">
        <v>343</v>
      </c>
      <c r="C4842" s="446" t="s">
        <v>34</v>
      </c>
      <c r="D4842" s="448">
        <v>79.790000000000006</v>
      </c>
      <c r="E4842" s="210"/>
    </row>
    <row r="4843" spans="1:5" ht="40.5">
      <c r="A4843" s="446">
        <v>90443</v>
      </c>
      <c r="B4843" s="447" t="s">
        <v>344</v>
      </c>
      <c r="C4843" s="446" t="s">
        <v>14</v>
      </c>
      <c r="D4843" s="448">
        <v>8.86</v>
      </c>
      <c r="E4843" s="210"/>
    </row>
    <row r="4844" spans="1:5" ht="40.5">
      <c r="A4844" s="446">
        <v>90444</v>
      </c>
      <c r="B4844" s="447" t="s">
        <v>345</v>
      </c>
      <c r="C4844" s="446" t="s">
        <v>14</v>
      </c>
      <c r="D4844" s="448">
        <v>16.73</v>
      </c>
      <c r="E4844" s="210"/>
    </row>
    <row r="4845" spans="1:5" ht="54">
      <c r="A4845" s="446">
        <v>90445</v>
      </c>
      <c r="B4845" s="447" t="s">
        <v>1724</v>
      </c>
      <c r="C4845" s="446" t="s">
        <v>14</v>
      </c>
      <c r="D4845" s="448">
        <v>17.86</v>
      </c>
      <c r="E4845" s="210"/>
    </row>
    <row r="4846" spans="1:5" ht="40.5">
      <c r="A4846" s="446">
        <v>90446</v>
      </c>
      <c r="B4846" s="447" t="s">
        <v>1725</v>
      </c>
      <c r="C4846" s="446" t="s">
        <v>14</v>
      </c>
      <c r="D4846" s="448">
        <v>19.399999999999999</v>
      </c>
      <c r="E4846" s="210"/>
    </row>
    <row r="4847" spans="1:5" ht="40.5">
      <c r="A4847" s="446">
        <v>90447</v>
      </c>
      <c r="B4847" s="447" t="s">
        <v>346</v>
      </c>
      <c r="C4847" s="446" t="s">
        <v>14</v>
      </c>
      <c r="D4847" s="448">
        <v>4.42</v>
      </c>
      <c r="E4847" s="210"/>
    </row>
    <row r="4848" spans="1:5" ht="40.5">
      <c r="A4848" s="446">
        <v>90451</v>
      </c>
      <c r="B4848" s="447" t="s">
        <v>1726</v>
      </c>
      <c r="C4848" s="446" t="s">
        <v>34</v>
      </c>
      <c r="D4848" s="448">
        <v>3.39</v>
      </c>
      <c r="E4848" s="210"/>
    </row>
    <row r="4849" spans="1:5" ht="40.5">
      <c r="A4849" s="446">
        <v>90452</v>
      </c>
      <c r="B4849" s="447" t="s">
        <v>347</v>
      </c>
      <c r="C4849" s="446" t="s">
        <v>34</v>
      </c>
      <c r="D4849" s="448">
        <v>18.23</v>
      </c>
      <c r="E4849" s="210"/>
    </row>
    <row r="4850" spans="1:5" ht="40.5">
      <c r="A4850" s="446">
        <v>90453</v>
      </c>
      <c r="B4850" s="447" t="s">
        <v>348</v>
      </c>
      <c r="C4850" s="446" t="s">
        <v>34</v>
      </c>
      <c r="D4850" s="448">
        <v>2.1</v>
      </c>
      <c r="E4850" s="210"/>
    </row>
    <row r="4851" spans="1:5" ht="40.5">
      <c r="A4851" s="446">
        <v>90454</v>
      </c>
      <c r="B4851" s="447" t="s">
        <v>349</v>
      </c>
      <c r="C4851" s="446" t="s">
        <v>34</v>
      </c>
      <c r="D4851" s="448">
        <v>3.85</v>
      </c>
      <c r="E4851" s="210"/>
    </row>
    <row r="4852" spans="1:5" ht="27">
      <c r="A4852" s="446">
        <v>90455</v>
      </c>
      <c r="B4852" s="447" t="s">
        <v>1727</v>
      </c>
      <c r="C4852" s="446" t="s">
        <v>34</v>
      </c>
      <c r="D4852" s="448">
        <v>4.9800000000000004</v>
      </c>
      <c r="E4852" s="210"/>
    </row>
    <row r="4853" spans="1:5" ht="40.5">
      <c r="A4853" s="446">
        <v>90456</v>
      </c>
      <c r="B4853" s="447" t="s">
        <v>1728</v>
      </c>
      <c r="C4853" s="446" t="s">
        <v>34</v>
      </c>
      <c r="D4853" s="448">
        <v>2.85</v>
      </c>
      <c r="E4853" s="210"/>
    </row>
    <row r="4854" spans="1:5" ht="40.5">
      <c r="A4854" s="446">
        <v>90457</v>
      </c>
      <c r="B4854" s="447" t="s">
        <v>1729</v>
      </c>
      <c r="C4854" s="446" t="s">
        <v>34</v>
      </c>
      <c r="D4854" s="448">
        <v>6.49</v>
      </c>
      <c r="E4854" s="210"/>
    </row>
    <row r="4855" spans="1:5" ht="40.5">
      <c r="A4855" s="446">
        <v>90458</v>
      </c>
      <c r="B4855" s="447" t="s">
        <v>1730</v>
      </c>
      <c r="C4855" s="446" t="s">
        <v>34</v>
      </c>
      <c r="D4855" s="448">
        <v>18.41</v>
      </c>
      <c r="E4855" s="210"/>
    </row>
    <row r="4856" spans="1:5" ht="40.5">
      <c r="A4856" s="446">
        <v>90459</v>
      </c>
      <c r="B4856" s="447" t="s">
        <v>1731</v>
      </c>
      <c r="C4856" s="446" t="s">
        <v>34</v>
      </c>
      <c r="D4856" s="448">
        <v>25.98</v>
      </c>
      <c r="E4856" s="210"/>
    </row>
    <row r="4857" spans="1:5" ht="54">
      <c r="A4857" s="446">
        <v>90460</v>
      </c>
      <c r="B4857" s="447" t="s">
        <v>5188</v>
      </c>
      <c r="C4857" s="446" t="s">
        <v>14</v>
      </c>
      <c r="D4857" s="448">
        <v>8.7799999999999994</v>
      </c>
      <c r="E4857" s="210"/>
    </row>
    <row r="4858" spans="1:5" ht="54">
      <c r="A4858" s="446">
        <v>90461</v>
      </c>
      <c r="B4858" s="447" t="s">
        <v>5189</v>
      </c>
      <c r="C4858" s="446" t="s">
        <v>14</v>
      </c>
      <c r="D4858" s="448">
        <v>5.62</v>
      </c>
      <c r="E4858" s="210"/>
    </row>
    <row r="4859" spans="1:5" ht="54">
      <c r="A4859" s="446">
        <v>90462</v>
      </c>
      <c r="B4859" s="447" t="s">
        <v>5190</v>
      </c>
      <c r="C4859" s="446" t="s">
        <v>14</v>
      </c>
      <c r="D4859" s="448">
        <v>1.1399999999999999</v>
      </c>
      <c r="E4859" s="210"/>
    </row>
    <row r="4860" spans="1:5" ht="54">
      <c r="A4860" s="446">
        <v>90463</v>
      </c>
      <c r="B4860" s="447" t="s">
        <v>5191</v>
      </c>
      <c r="C4860" s="446" t="s">
        <v>14</v>
      </c>
      <c r="D4860" s="448">
        <v>0.99</v>
      </c>
      <c r="E4860" s="210"/>
    </row>
    <row r="4861" spans="1:5" ht="40.5">
      <c r="A4861" s="446">
        <v>90466</v>
      </c>
      <c r="B4861" s="447" t="s">
        <v>350</v>
      </c>
      <c r="C4861" s="446" t="s">
        <v>14</v>
      </c>
      <c r="D4861" s="448">
        <v>9.16</v>
      </c>
      <c r="E4861" s="210"/>
    </row>
    <row r="4862" spans="1:5" ht="54">
      <c r="A4862" s="446">
        <v>90467</v>
      </c>
      <c r="B4862" s="447" t="s">
        <v>351</v>
      </c>
      <c r="C4862" s="446" t="s">
        <v>14</v>
      </c>
      <c r="D4862" s="448">
        <v>14.51</v>
      </c>
      <c r="E4862" s="210"/>
    </row>
    <row r="4863" spans="1:5" ht="40.5">
      <c r="A4863" s="446">
        <v>90468</v>
      </c>
      <c r="B4863" s="447" t="s">
        <v>1732</v>
      </c>
      <c r="C4863" s="446" t="s">
        <v>14</v>
      </c>
      <c r="D4863" s="448">
        <v>4.18</v>
      </c>
      <c r="E4863" s="210"/>
    </row>
    <row r="4864" spans="1:5" ht="54">
      <c r="A4864" s="446">
        <v>90469</v>
      </c>
      <c r="B4864" s="447" t="s">
        <v>1733</v>
      </c>
      <c r="C4864" s="446" t="s">
        <v>14</v>
      </c>
      <c r="D4864" s="448">
        <v>6.73</v>
      </c>
      <c r="E4864" s="210"/>
    </row>
    <row r="4865" spans="1:5" ht="40.5">
      <c r="A4865" s="446">
        <v>90470</v>
      </c>
      <c r="B4865" s="447" t="s">
        <v>1734</v>
      </c>
      <c r="C4865" s="446" t="s">
        <v>14</v>
      </c>
      <c r="D4865" s="448">
        <v>9.3800000000000008</v>
      </c>
      <c r="E4865" s="210"/>
    </row>
    <row r="4866" spans="1:5" ht="54">
      <c r="A4866" s="446">
        <v>91166</v>
      </c>
      <c r="B4866" s="447" t="s">
        <v>1836</v>
      </c>
      <c r="C4866" s="446" t="s">
        <v>14</v>
      </c>
      <c r="D4866" s="448">
        <v>3.29</v>
      </c>
      <c r="E4866" s="210"/>
    </row>
    <row r="4867" spans="1:5" ht="67.5">
      <c r="A4867" s="446">
        <v>91167</v>
      </c>
      <c r="B4867" s="447" t="s">
        <v>1837</v>
      </c>
      <c r="C4867" s="446" t="s">
        <v>14</v>
      </c>
      <c r="D4867" s="448">
        <v>9.82</v>
      </c>
      <c r="E4867" s="210"/>
    </row>
    <row r="4868" spans="1:5" ht="67.5">
      <c r="A4868" s="446">
        <v>91168</v>
      </c>
      <c r="B4868" s="447" t="s">
        <v>1838</v>
      </c>
      <c r="C4868" s="446" t="s">
        <v>14</v>
      </c>
      <c r="D4868" s="448">
        <v>7.49</v>
      </c>
      <c r="E4868" s="210"/>
    </row>
    <row r="4869" spans="1:5" ht="54">
      <c r="A4869" s="446">
        <v>91169</v>
      </c>
      <c r="B4869" s="447" t="s">
        <v>1839</v>
      </c>
      <c r="C4869" s="446" t="s">
        <v>14</v>
      </c>
      <c r="D4869" s="448">
        <v>8.86</v>
      </c>
      <c r="E4869" s="210"/>
    </row>
    <row r="4870" spans="1:5" ht="81">
      <c r="A4870" s="446">
        <v>91170</v>
      </c>
      <c r="B4870" s="447" t="s">
        <v>1840</v>
      </c>
      <c r="C4870" s="446" t="s">
        <v>14</v>
      </c>
      <c r="D4870" s="448">
        <v>2.52</v>
      </c>
      <c r="E4870" s="210"/>
    </row>
    <row r="4871" spans="1:5" ht="81">
      <c r="A4871" s="446">
        <v>91171</v>
      </c>
      <c r="B4871" s="447" t="s">
        <v>1841</v>
      </c>
      <c r="C4871" s="446" t="s">
        <v>14</v>
      </c>
      <c r="D4871" s="448">
        <v>3.19</v>
      </c>
      <c r="E4871" s="210"/>
    </row>
    <row r="4872" spans="1:5" ht="67.5">
      <c r="A4872" s="446">
        <v>91172</v>
      </c>
      <c r="B4872" s="447" t="s">
        <v>1842</v>
      </c>
      <c r="C4872" s="446" t="s">
        <v>14</v>
      </c>
      <c r="D4872" s="448">
        <v>4.67</v>
      </c>
      <c r="E4872" s="210"/>
    </row>
    <row r="4873" spans="1:5" ht="67.5">
      <c r="A4873" s="446">
        <v>91173</v>
      </c>
      <c r="B4873" s="447" t="s">
        <v>1843</v>
      </c>
      <c r="C4873" s="446" t="s">
        <v>14</v>
      </c>
      <c r="D4873" s="448">
        <v>1.27</v>
      </c>
      <c r="E4873" s="210"/>
    </row>
    <row r="4874" spans="1:5" ht="67.5">
      <c r="A4874" s="446">
        <v>91174</v>
      </c>
      <c r="B4874" s="447" t="s">
        <v>1844</v>
      </c>
      <c r="C4874" s="446" t="s">
        <v>14</v>
      </c>
      <c r="D4874" s="448">
        <v>2.54</v>
      </c>
      <c r="E4874" s="210"/>
    </row>
    <row r="4875" spans="1:5" ht="67.5">
      <c r="A4875" s="446">
        <v>91175</v>
      </c>
      <c r="B4875" s="447" t="s">
        <v>1845</v>
      </c>
      <c r="C4875" s="446" t="s">
        <v>14</v>
      </c>
      <c r="D4875" s="448">
        <v>4.12</v>
      </c>
      <c r="E4875" s="210"/>
    </row>
    <row r="4876" spans="1:5" ht="67.5">
      <c r="A4876" s="446">
        <v>91176</v>
      </c>
      <c r="B4876" s="447" t="s">
        <v>1846</v>
      </c>
      <c r="C4876" s="446" t="s">
        <v>14</v>
      </c>
      <c r="D4876" s="448">
        <v>20.97</v>
      </c>
      <c r="E4876" s="210"/>
    </row>
    <row r="4877" spans="1:5" ht="67.5">
      <c r="A4877" s="446">
        <v>91177</v>
      </c>
      <c r="B4877" s="447" t="s">
        <v>1847</v>
      </c>
      <c r="C4877" s="446" t="s">
        <v>14</v>
      </c>
      <c r="D4877" s="448">
        <v>9.94</v>
      </c>
      <c r="E4877" s="210"/>
    </row>
    <row r="4878" spans="1:5" ht="67.5">
      <c r="A4878" s="446">
        <v>91178</v>
      </c>
      <c r="B4878" s="447" t="s">
        <v>1848</v>
      </c>
      <c r="C4878" s="446" t="s">
        <v>14</v>
      </c>
      <c r="D4878" s="448">
        <v>12.01</v>
      </c>
      <c r="E4878" s="210"/>
    </row>
    <row r="4879" spans="1:5" ht="67.5">
      <c r="A4879" s="446">
        <v>91179</v>
      </c>
      <c r="B4879" s="447" t="s">
        <v>1849</v>
      </c>
      <c r="C4879" s="446" t="s">
        <v>14</v>
      </c>
      <c r="D4879" s="448">
        <v>5.38</v>
      </c>
      <c r="E4879" s="210"/>
    </row>
    <row r="4880" spans="1:5" ht="81">
      <c r="A4880" s="446">
        <v>91180</v>
      </c>
      <c r="B4880" s="447" t="s">
        <v>1850</v>
      </c>
      <c r="C4880" s="446" t="s">
        <v>14</v>
      </c>
      <c r="D4880" s="448">
        <v>5.01</v>
      </c>
      <c r="E4880" s="210"/>
    </row>
    <row r="4881" spans="1:5" ht="67.5">
      <c r="A4881" s="446">
        <v>91181</v>
      </c>
      <c r="B4881" s="447" t="s">
        <v>1851</v>
      </c>
      <c r="C4881" s="446" t="s">
        <v>14</v>
      </c>
      <c r="D4881" s="448">
        <v>5.5</v>
      </c>
      <c r="E4881" s="210"/>
    </row>
    <row r="4882" spans="1:5" ht="54">
      <c r="A4882" s="446">
        <v>91182</v>
      </c>
      <c r="B4882" s="447" t="s">
        <v>1852</v>
      </c>
      <c r="C4882" s="446" t="s">
        <v>14</v>
      </c>
      <c r="D4882" s="448">
        <v>19.149999999999999</v>
      </c>
      <c r="E4882" s="210"/>
    </row>
    <row r="4883" spans="1:5" ht="67.5">
      <c r="A4883" s="446">
        <v>91183</v>
      </c>
      <c r="B4883" s="447" t="s">
        <v>1853</v>
      </c>
      <c r="C4883" s="446" t="s">
        <v>14</v>
      </c>
      <c r="D4883" s="448">
        <v>9.43</v>
      </c>
      <c r="E4883" s="210"/>
    </row>
    <row r="4884" spans="1:5" ht="54">
      <c r="A4884" s="446">
        <v>91184</v>
      </c>
      <c r="B4884" s="447" t="s">
        <v>1854</v>
      </c>
      <c r="C4884" s="446" t="s">
        <v>14</v>
      </c>
      <c r="D4884" s="448">
        <v>8.7899999999999991</v>
      </c>
      <c r="E4884" s="210"/>
    </row>
    <row r="4885" spans="1:5" ht="67.5">
      <c r="A4885" s="446">
        <v>91185</v>
      </c>
      <c r="B4885" s="447" t="s">
        <v>1855</v>
      </c>
      <c r="C4885" s="446" t="s">
        <v>14</v>
      </c>
      <c r="D4885" s="448">
        <v>4.91</v>
      </c>
      <c r="E4885" s="210"/>
    </row>
    <row r="4886" spans="1:5" ht="67.5">
      <c r="A4886" s="446">
        <v>91186</v>
      </c>
      <c r="B4886" s="447" t="s">
        <v>1856</v>
      </c>
      <c r="C4886" s="446" t="s">
        <v>14</v>
      </c>
      <c r="D4886" s="448">
        <v>4.03</v>
      </c>
      <c r="E4886" s="210"/>
    </row>
    <row r="4887" spans="1:5" ht="67.5">
      <c r="A4887" s="446">
        <v>91187</v>
      </c>
      <c r="B4887" s="447" t="s">
        <v>1857</v>
      </c>
      <c r="C4887" s="446" t="s">
        <v>14</v>
      </c>
      <c r="D4887" s="448">
        <v>4.63</v>
      </c>
      <c r="E4887" s="210"/>
    </row>
    <row r="4888" spans="1:5" ht="40.5">
      <c r="A4888" s="446">
        <v>91188</v>
      </c>
      <c r="B4888" s="447" t="s">
        <v>1858</v>
      </c>
      <c r="C4888" s="446" t="s">
        <v>34</v>
      </c>
      <c r="D4888" s="448">
        <v>5.17</v>
      </c>
      <c r="E4888" s="210"/>
    </row>
    <row r="4889" spans="1:5" ht="54">
      <c r="A4889" s="446">
        <v>91189</v>
      </c>
      <c r="B4889" s="447" t="s">
        <v>411</v>
      </c>
      <c r="C4889" s="446" t="s">
        <v>34</v>
      </c>
      <c r="D4889" s="448">
        <v>38.57</v>
      </c>
      <c r="E4889" s="210"/>
    </row>
    <row r="4890" spans="1:5" ht="40.5">
      <c r="A4890" s="446">
        <v>91190</v>
      </c>
      <c r="B4890" s="447" t="s">
        <v>412</v>
      </c>
      <c r="C4890" s="446" t="s">
        <v>34</v>
      </c>
      <c r="D4890" s="448">
        <v>3.52</v>
      </c>
      <c r="E4890" s="210"/>
    </row>
    <row r="4891" spans="1:5" ht="40.5">
      <c r="A4891" s="446">
        <v>91191</v>
      </c>
      <c r="B4891" s="447" t="s">
        <v>413</v>
      </c>
      <c r="C4891" s="446" t="s">
        <v>34</v>
      </c>
      <c r="D4891" s="448">
        <v>3.74</v>
      </c>
      <c r="E4891" s="210"/>
    </row>
    <row r="4892" spans="1:5" ht="40.5">
      <c r="A4892" s="446">
        <v>91192</v>
      </c>
      <c r="B4892" s="447" t="s">
        <v>414</v>
      </c>
      <c r="C4892" s="446" t="s">
        <v>34</v>
      </c>
      <c r="D4892" s="448">
        <v>4.13</v>
      </c>
      <c r="E4892" s="210"/>
    </row>
    <row r="4893" spans="1:5" ht="54">
      <c r="A4893" s="446">
        <v>91222</v>
      </c>
      <c r="B4893" s="447" t="s">
        <v>415</v>
      </c>
      <c r="C4893" s="446" t="s">
        <v>14</v>
      </c>
      <c r="D4893" s="448">
        <v>9.5399999999999991</v>
      </c>
      <c r="E4893" s="210"/>
    </row>
    <row r="4894" spans="1:5" ht="67.5">
      <c r="A4894" s="446">
        <v>94480</v>
      </c>
      <c r="B4894" s="447" t="s">
        <v>2530</v>
      </c>
      <c r="C4894" s="446" t="s">
        <v>34</v>
      </c>
      <c r="D4894" s="448">
        <v>1954.05</v>
      </c>
      <c r="E4894" s="210"/>
    </row>
    <row r="4895" spans="1:5" ht="67.5">
      <c r="A4895" s="446">
        <v>94481</v>
      </c>
      <c r="B4895" s="447" t="s">
        <v>2531</v>
      </c>
      <c r="C4895" s="446" t="s">
        <v>34</v>
      </c>
      <c r="D4895" s="448">
        <v>1370.67</v>
      </c>
      <c r="E4895" s="210"/>
    </row>
    <row r="4896" spans="1:5" ht="67.5">
      <c r="A4896" s="446">
        <v>94482</v>
      </c>
      <c r="B4896" s="447" t="s">
        <v>2532</v>
      </c>
      <c r="C4896" s="446" t="s">
        <v>34</v>
      </c>
      <c r="D4896" s="448">
        <v>1073.68</v>
      </c>
      <c r="E4896" s="210"/>
    </row>
    <row r="4897" spans="1:5" ht="67.5">
      <c r="A4897" s="446">
        <v>94483</v>
      </c>
      <c r="B4897" s="447" t="s">
        <v>2533</v>
      </c>
      <c r="C4897" s="446" t="s">
        <v>34</v>
      </c>
      <c r="D4897" s="448">
        <v>900.63</v>
      </c>
      <c r="E4897" s="210"/>
    </row>
    <row r="4898" spans="1:5" ht="27">
      <c r="A4898" s="446">
        <v>95541</v>
      </c>
      <c r="B4898" s="447" t="s">
        <v>2833</v>
      </c>
      <c r="C4898" s="446" t="s">
        <v>34</v>
      </c>
      <c r="D4898" s="448">
        <v>3.16</v>
      </c>
      <c r="E4898" s="210"/>
    </row>
    <row r="4899" spans="1:5" ht="54">
      <c r="A4899" s="446">
        <v>96559</v>
      </c>
      <c r="B4899" s="447" t="s">
        <v>5192</v>
      </c>
      <c r="C4899" s="446" t="s">
        <v>42</v>
      </c>
      <c r="D4899" s="448">
        <v>24.33</v>
      </c>
      <c r="E4899" s="210"/>
    </row>
    <row r="4900" spans="1:5" ht="54">
      <c r="A4900" s="446">
        <v>96560</v>
      </c>
      <c r="B4900" s="447" t="s">
        <v>5193</v>
      </c>
      <c r="C4900" s="446" t="s">
        <v>42</v>
      </c>
      <c r="D4900" s="448">
        <v>16.510000000000002</v>
      </c>
      <c r="E4900" s="210"/>
    </row>
    <row r="4901" spans="1:5" ht="54">
      <c r="A4901" s="446">
        <v>96561</v>
      </c>
      <c r="B4901" s="447" t="s">
        <v>5194</v>
      </c>
      <c r="C4901" s="446" t="s">
        <v>42</v>
      </c>
      <c r="D4901" s="448">
        <v>12.43</v>
      </c>
      <c r="E4901" s="210"/>
    </row>
    <row r="4902" spans="1:5" ht="81">
      <c r="A4902" s="446">
        <v>96562</v>
      </c>
      <c r="B4902" s="447" t="s">
        <v>5195</v>
      </c>
      <c r="C4902" s="446" t="s">
        <v>14</v>
      </c>
      <c r="D4902" s="448">
        <v>15.15</v>
      </c>
      <c r="E4902" s="210"/>
    </row>
    <row r="4903" spans="1:5" ht="81">
      <c r="A4903" s="446">
        <v>96563</v>
      </c>
      <c r="B4903" s="447" t="s">
        <v>5196</v>
      </c>
      <c r="C4903" s="446" t="s">
        <v>14</v>
      </c>
      <c r="D4903" s="448">
        <v>19.559999999999999</v>
      </c>
      <c r="E4903" s="210"/>
    </row>
    <row r="4904" spans="1:5" ht="67.5">
      <c r="A4904" s="446">
        <v>101802</v>
      </c>
      <c r="B4904" s="447" t="s">
        <v>6679</v>
      </c>
      <c r="C4904" s="446" t="s">
        <v>34</v>
      </c>
      <c r="D4904" s="448">
        <v>1237.07</v>
      </c>
      <c r="E4904" s="210"/>
    </row>
    <row r="4905" spans="1:5" ht="54">
      <c r="A4905" s="446">
        <v>101803</v>
      </c>
      <c r="B4905" s="447" t="s">
        <v>6680</v>
      </c>
      <c r="C4905" s="446" t="s">
        <v>34</v>
      </c>
      <c r="D4905" s="448">
        <v>750.94</v>
      </c>
      <c r="E4905" s="210"/>
    </row>
    <row r="4906" spans="1:5" ht="54">
      <c r="A4906" s="446">
        <v>101804</v>
      </c>
      <c r="B4906" s="447" t="s">
        <v>6681</v>
      </c>
      <c r="C4906" s="446" t="s">
        <v>34</v>
      </c>
      <c r="D4906" s="448">
        <v>958.79</v>
      </c>
      <c r="E4906" s="210"/>
    </row>
    <row r="4907" spans="1:5" ht="67.5">
      <c r="A4907" s="446">
        <v>101805</v>
      </c>
      <c r="B4907" s="447" t="s">
        <v>6682</v>
      </c>
      <c r="C4907" s="446" t="s">
        <v>34</v>
      </c>
      <c r="D4907" s="448">
        <v>1227.1099999999999</v>
      </c>
      <c r="E4907" s="210"/>
    </row>
    <row r="4908" spans="1:5" ht="40.5">
      <c r="A4908" s="446">
        <v>102111</v>
      </c>
      <c r="B4908" s="447" t="s">
        <v>6683</v>
      </c>
      <c r="C4908" s="446" t="s">
        <v>34</v>
      </c>
      <c r="D4908" s="448">
        <v>845.25</v>
      </c>
      <c r="E4908" s="210"/>
    </row>
    <row r="4909" spans="1:5" ht="54">
      <c r="A4909" s="446">
        <v>102112</v>
      </c>
      <c r="B4909" s="447" t="s">
        <v>6684</v>
      </c>
      <c r="C4909" s="446" t="s">
        <v>34</v>
      </c>
      <c r="D4909" s="448">
        <v>89.17</v>
      </c>
      <c r="E4909" s="210"/>
    </row>
    <row r="4910" spans="1:5" ht="40.5">
      <c r="A4910" s="446">
        <v>102113</v>
      </c>
      <c r="B4910" s="447" t="s">
        <v>6685</v>
      </c>
      <c r="C4910" s="446" t="s">
        <v>34</v>
      </c>
      <c r="D4910" s="448">
        <v>1365.92</v>
      </c>
      <c r="E4910" s="210"/>
    </row>
    <row r="4911" spans="1:5" ht="54">
      <c r="A4911" s="446">
        <v>102114</v>
      </c>
      <c r="B4911" s="447" t="s">
        <v>6686</v>
      </c>
      <c r="C4911" s="446" t="s">
        <v>34</v>
      </c>
      <c r="D4911" s="448">
        <v>91.41</v>
      </c>
      <c r="E4911" s="210"/>
    </row>
    <row r="4912" spans="1:5" ht="40.5">
      <c r="A4912" s="446">
        <v>102115</v>
      </c>
      <c r="B4912" s="447" t="s">
        <v>6687</v>
      </c>
      <c r="C4912" s="446" t="s">
        <v>34</v>
      </c>
      <c r="D4912" s="448">
        <v>2395.2600000000002</v>
      </c>
      <c r="E4912" s="210"/>
    </row>
    <row r="4913" spans="1:5" ht="54">
      <c r="A4913" s="446">
        <v>102116</v>
      </c>
      <c r="B4913" s="447" t="s">
        <v>6688</v>
      </c>
      <c r="C4913" s="446" t="s">
        <v>34</v>
      </c>
      <c r="D4913" s="448">
        <v>1460.4</v>
      </c>
      <c r="E4913" s="210"/>
    </row>
    <row r="4914" spans="1:5" ht="40.5">
      <c r="A4914" s="446">
        <v>102117</v>
      </c>
      <c r="B4914" s="447" t="s">
        <v>6689</v>
      </c>
      <c r="C4914" s="446" t="s">
        <v>34</v>
      </c>
      <c r="D4914" s="448">
        <v>94.13</v>
      </c>
      <c r="E4914" s="210"/>
    </row>
    <row r="4915" spans="1:5" ht="54">
      <c r="A4915" s="446">
        <v>102118</v>
      </c>
      <c r="B4915" s="447" t="s">
        <v>6690</v>
      </c>
      <c r="C4915" s="446" t="s">
        <v>34</v>
      </c>
      <c r="D4915" s="448">
        <v>2002.85</v>
      </c>
      <c r="E4915" s="210"/>
    </row>
    <row r="4916" spans="1:5" ht="54">
      <c r="A4916" s="446">
        <v>102119</v>
      </c>
      <c r="B4916" s="447" t="s">
        <v>6691</v>
      </c>
      <c r="C4916" s="446" t="s">
        <v>34</v>
      </c>
      <c r="D4916" s="448">
        <v>96.47</v>
      </c>
      <c r="E4916" s="210"/>
    </row>
    <row r="4917" spans="1:5" ht="40.5">
      <c r="A4917" s="446">
        <v>102121</v>
      </c>
      <c r="B4917" s="447" t="s">
        <v>6692</v>
      </c>
      <c r="C4917" s="446" t="s">
        <v>34</v>
      </c>
      <c r="D4917" s="448">
        <v>121</v>
      </c>
      <c r="E4917" s="210"/>
    </row>
    <row r="4918" spans="1:5" ht="54">
      <c r="A4918" s="446">
        <v>102122</v>
      </c>
      <c r="B4918" s="447" t="s">
        <v>6693</v>
      </c>
      <c r="C4918" s="446" t="s">
        <v>34</v>
      </c>
      <c r="D4918" s="448">
        <v>6851.5</v>
      </c>
      <c r="E4918" s="210"/>
    </row>
    <row r="4919" spans="1:5" ht="54">
      <c r="A4919" s="446">
        <v>102123</v>
      </c>
      <c r="B4919" s="447" t="s">
        <v>6694</v>
      </c>
      <c r="C4919" s="446" t="s">
        <v>34</v>
      </c>
      <c r="D4919" s="448">
        <v>127.98</v>
      </c>
      <c r="E4919" s="210"/>
    </row>
    <row r="4920" spans="1:5" ht="40.5">
      <c r="A4920" s="446">
        <v>102136</v>
      </c>
      <c r="B4920" s="447" t="s">
        <v>6695</v>
      </c>
      <c r="C4920" s="446" t="s">
        <v>34</v>
      </c>
      <c r="D4920" s="448">
        <v>46.37</v>
      </c>
      <c r="E4920" s="210"/>
    </row>
    <row r="4921" spans="1:5" ht="40.5">
      <c r="A4921" s="446">
        <v>102137</v>
      </c>
      <c r="B4921" s="447" t="s">
        <v>6696</v>
      </c>
      <c r="C4921" s="446" t="s">
        <v>34</v>
      </c>
      <c r="D4921" s="448">
        <v>64.83</v>
      </c>
      <c r="E4921" s="210"/>
    </row>
    <row r="4922" spans="1:5" ht="40.5">
      <c r="A4922" s="446">
        <v>102138</v>
      </c>
      <c r="B4922" s="447" t="s">
        <v>6697</v>
      </c>
      <c r="C4922" s="446" t="s">
        <v>34</v>
      </c>
      <c r="D4922" s="448">
        <v>139.35</v>
      </c>
      <c r="E4922" s="210"/>
    </row>
    <row r="4923" spans="1:5" ht="108">
      <c r="A4923" s="446">
        <v>93350</v>
      </c>
      <c r="B4923" s="447" t="s">
        <v>2402</v>
      </c>
      <c r="C4923" s="446" t="s">
        <v>34</v>
      </c>
      <c r="D4923" s="448">
        <v>980.02</v>
      </c>
      <c r="E4923" s="210"/>
    </row>
    <row r="4924" spans="1:5" ht="108">
      <c r="A4924" s="446">
        <v>93351</v>
      </c>
      <c r="B4924" s="447" t="s">
        <v>2403</v>
      </c>
      <c r="C4924" s="446" t="s">
        <v>34</v>
      </c>
      <c r="D4924" s="448">
        <v>804.68</v>
      </c>
      <c r="E4924" s="210"/>
    </row>
    <row r="4925" spans="1:5" ht="108">
      <c r="A4925" s="446">
        <v>93352</v>
      </c>
      <c r="B4925" s="447" t="s">
        <v>2404</v>
      </c>
      <c r="C4925" s="446" t="s">
        <v>34</v>
      </c>
      <c r="D4925" s="448">
        <v>629.41</v>
      </c>
      <c r="E4925" s="210"/>
    </row>
    <row r="4926" spans="1:5" ht="108">
      <c r="A4926" s="446">
        <v>93353</v>
      </c>
      <c r="B4926" s="447" t="s">
        <v>2405</v>
      </c>
      <c r="C4926" s="446" t="s">
        <v>34</v>
      </c>
      <c r="D4926" s="448">
        <v>457.98</v>
      </c>
      <c r="E4926" s="210"/>
    </row>
    <row r="4927" spans="1:5" ht="108">
      <c r="A4927" s="446">
        <v>93354</v>
      </c>
      <c r="B4927" s="447" t="s">
        <v>2406</v>
      </c>
      <c r="C4927" s="446" t="s">
        <v>34</v>
      </c>
      <c r="D4927" s="448">
        <v>739.9</v>
      </c>
      <c r="E4927" s="210"/>
    </row>
    <row r="4928" spans="1:5" ht="108">
      <c r="A4928" s="446">
        <v>93355</v>
      </c>
      <c r="B4928" s="447" t="s">
        <v>2407</v>
      </c>
      <c r="C4928" s="446" t="s">
        <v>34</v>
      </c>
      <c r="D4928" s="448">
        <v>615.41</v>
      </c>
      <c r="E4928" s="210"/>
    </row>
    <row r="4929" spans="1:5" ht="108">
      <c r="A4929" s="446">
        <v>93356</v>
      </c>
      <c r="B4929" s="447" t="s">
        <v>2408</v>
      </c>
      <c r="C4929" s="446" t="s">
        <v>34</v>
      </c>
      <c r="D4929" s="448">
        <v>489.58</v>
      </c>
      <c r="E4929" s="210"/>
    </row>
    <row r="4930" spans="1:5" ht="108">
      <c r="A4930" s="446">
        <v>93357</v>
      </c>
      <c r="B4930" s="447" t="s">
        <v>2409</v>
      </c>
      <c r="C4930" s="446" t="s">
        <v>34</v>
      </c>
      <c r="D4930" s="448">
        <v>366.19</v>
      </c>
      <c r="E4930" s="210"/>
    </row>
    <row r="4931" spans="1:5" ht="40.5">
      <c r="A4931" s="446">
        <v>96520</v>
      </c>
      <c r="B4931" s="447" t="s">
        <v>3048</v>
      </c>
      <c r="C4931" s="446" t="s">
        <v>31</v>
      </c>
      <c r="D4931" s="448">
        <v>68.69</v>
      </c>
      <c r="E4931" s="210"/>
    </row>
    <row r="4932" spans="1:5" ht="40.5">
      <c r="A4932" s="446">
        <v>96521</v>
      </c>
      <c r="B4932" s="447" t="s">
        <v>3049</v>
      </c>
      <c r="C4932" s="446" t="s">
        <v>31</v>
      </c>
      <c r="D4932" s="448">
        <v>30.5</v>
      </c>
      <c r="E4932" s="210"/>
    </row>
    <row r="4933" spans="1:5" ht="40.5">
      <c r="A4933" s="446">
        <v>96522</v>
      </c>
      <c r="B4933" s="447" t="s">
        <v>3050</v>
      </c>
      <c r="C4933" s="446" t="s">
        <v>31</v>
      </c>
      <c r="D4933" s="448">
        <v>99.85</v>
      </c>
      <c r="E4933" s="210"/>
    </row>
    <row r="4934" spans="1:5" ht="40.5">
      <c r="A4934" s="446">
        <v>96523</v>
      </c>
      <c r="B4934" s="447" t="s">
        <v>3051</v>
      </c>
      <c r="C4934" s="446" t="s">
        <v>31</v>
      </c>
      <c r="D4934" s="448">
        <v>63.8</v>
      </c>
      <c r="E4934" s="210"/>
    </row>
    <row r="4935" spans="1:5" ht="40.5">
      <c r="A4935" s="446">
        <v>96524</v>
      </c>
      <c r="B4935" s="447" t="s">
        <v>3052</v>
      </c>
      <c r="C4935" s="446" t="s">
        <v>31</v>
      </c>
      <c r="D4935" s="448">
        <v>120.09</v>
      </c>
      <c r="E4935" s="210"/>
    </row>
    <row r="4936" spans="1:5" ht="40.5">
      <c r="A4936" s="446">
        <v>96525</v>
      </c>
      <c r="B4936" s="447" t="s">
        <v>3053</v>
      </c>
      <c r="C4936" s="446" t="s">
        <v>31</v>
      </c>
      <c r="D4936" s="448">
        <v>26.53</v>
      </c>
      <c r="E4936" s="210"/>
    </row>
    <row r="4937" spans="1:5" ht="40.5">
      <c r="A4937" s="446">
        <v>96526</v>
      </c>
      <c r="B4937" s="447" t="s">
        <v>3054</v>
      </c>
      <c r="C4937" s="446" t="s">
        <v>31</v>
      </c>
      <c r="D4937" s="448">
        <v>201.54</v>
      </c>
      <c r="E4937" s="210"/>
    </row>
    <row r="4938" spans="1:5" ht="40.5">
      <c r="A4938" s="446">
        <v>96527</v>
      </c>
      <c r="B4938" s="447" t="s">
        <v>3055</v>
      </c>
      <c r="C4938" s="446" t="s">
        <v>31</v>
      </c>
      <c r="D4938" s="448">
        <v>83.79</v>
      </c>
      <c r="E4938" s="210"/>
    </row>
    <row r="4939" spans="1:5" ht="54">
      <c r="A4939" s="446">
        <v>96528</v>
      </c>
      <c r="B4939" s="447" t="s">
        <v>3056</v>
      </c>
      <c r="C4939" s="446" t="s">
        <v>42</v>
      </c>
      <c r="D4939" s="448">
        <v>135.65</v>
      </c>
      <c r="E4939" s="210"/>
    </row>
    <row r="4940" spans="1:5" ht="40.5">
      <c r="A4940" s="446">
        <v>101114</v>
      </c>
      <c r="B4940" s="447" t="s">
        <v>5197</v>
      </c>
      <c r="C4940" s="446" t="s">
        <v>31</v>
      </c>
      <c r="D4940" s="448">
        <v>2.85</v>
      </c>
      <c r="E4940" s="210"/>
    </row>
    <row r="4941" spans="1:5" ht="40.5">
      <c r="A4941" s="446">
        <v>101115</v>
      </c>
      <c r="B4941" s="447" t="s">
        <v>5198</v>
      </c>
      <c r="C4941" s="446" t="s">
        <v>31</v>
      </c>
      <c r="D4941" s="448">
        <v>2.44</v>
      </c>
      <c r="E4941" s="210"/>
    </row>
    <row r="4942" spans="1:5" ht="40.5">
      <c r="A4942" s="446">
        <v>101116</v>
      </c>
      <c r="B4942" s="447" t="s">
        <v>5199</v>
      </c>
      <c r="C4942" s="446" t="s">
        <v>31</v>
      </c>
      <c r="D4942" s="448">
        <v>1.53</v>
      </c>
      <c r="E4942" s="210"/>
    </row>
    <row r="4943" spans="1:5" ht="40.5">
      <c r="A4943" s="446">
        <v>101117</v>
      </c>
      <c r="B4943" s="447" t="s">
        <v>5200</v>
      </c>
      <c r="C4943" s="446" t="s">
        <v>31</v>
      </c>
      <c r="D4943" s="448">
        <v>2.23</v>
      </c>
      <c r="E4943" s="210"/>
    </row>
    <row r="4944" spans="1:5" ht="40.5">
      <c r="A4944" s="446">
        <v>101118</v>
      </c>
      <c r="B4944" s="447" t="s">
        <v>5201</v>
      </c>
      <c r="C4944" s="446" t="s">
        <v>31</v>
      </c>
      <c r="D4944" s="448">
        <v>2.48</v>
      </c>
      <c r="E4944" s="210"/>
    </row>
    <row r="4945" spans="1:5" ht="54">
      <c r="A4945" s="446">
        <v>101119</v>
      </c>
      <c r="B4945" s="447" t="s">
        <v>5202</v>
      </c>
      <c r="C4945" s="446" t="s">
        <v>31</v>
      </c>
      <c r="D4945" s="448">
        <v>5.44</v>
      </c>
      <c r="E4945" s="210"/>
    </row>
    <row r="4946" spans="1:5" ht="54">
      <c r="A4946" s="446">
        <v>101120</v>
      </c>
      <c r="B4946" s="447" t="s">
        <v>5203</v>
      </c>
      <c r="C4946" s="446" t="s">
        <v>31</v>
      </c>
      <c r="D4946" s="448">
        <v>4.6900000000000004</v>
      </c>
      <c r="E4946" s="210"/>
    </row>
    <row r="4947" spans="1:5" ht="54">
      <c r="A4947" s="446">
        <v>101121</v>
      </c>
      <c r="B4947" s="447" t="s">
        <v>5204</v>
      </c>
      <c r="C4947" s="446" t="s">
        <v>31</v>
      </c>
      <c r="D4947" s="448">
        <v>2.94</v>
      </c>
      <c r="E4947" s="210"/>
    </row>
    <row r="4948" spans="1:5" ht="54">
      <c r="A4948" s="446">
        <v>101122</v>
      </c>
      <c r="B4948" s="447" t="s">
        <v>5205</v>
      </c>
      <c r="C4948" s="446" t="s">
        <v>31</v>
      </c>
      <c r="D4948" s="448">
        <v>4.2699999999999996</v>
      </c>
      <c r="E4948" s="210"/>
    </row>
    <row r="4949" spans="1:5" ht="54">
      <c r="A4949" s="446">
        <v>101123</v>
      </c>
      <c r="B4949" s="447" t="s">
        <v>5206</v>
      </c>
      <c r="C4949" s="446" t="s">
        <v>31</v>
      </c>
      <c r="D4949" s="448">
        <v>4.74</v>
      </c>
      <c r="E4949" s="210"/>
    </row>
    <row r="4950" spans="1:5" ht="54">
      <c r="A4950" s="446">
        <v>101124</v>
      </c>
      <c r="B4950" s="447" t="s">
        <v>5207</v>
      </c>
      <c r="C4950" s="446" t="s">
        <v>31</v>
      </c>
      <c r="D4950" s="448">
        <v>10.27</v>
      </c>
      <c r="E4950" s="210"/>
    </row>
    <row r="4951" spans="1:5" ht="54">
      <c r="A4951" s="446">
        <v>101125</v>
      </c>
      <c r="B4951" s="447" t="s">
        <v>5208</v>
      </c>
      <c r="C4951" s="446" t="s">
        <v>31</v>
      </c>
      <c r="D4951" s="448">
        <v>9.86</v>
      </c>
      <c r="E4951" s="210"/>
    </row>
    <row r="4952" spans="1:5" ht="54">
      <c r="A4952" s="446">
        <v>101126</v>
      </c>
      <c r="B4952" s="447" t="s">
        <v>5209</v>
      </c>
      <c r="C4952" s="446" t="s">
        <v>31</v>
      </c>
      <c r="D4952" s="448">
        <v>8.9499999999999993</v>
      </c>
      <c r="E4952" s="210"/>
    </row>
    <row r="4953" spans="1:5" ht="54">
      <c r="A4953" s="446">
        <v>101127</v>
      </c>
      <c r="B4953" s="447" t="s">
        <v>5210</v>
      </c>
      <c r="C4953" s="446" t="s">
        <v>31</v>
      </c>
      <c r="D4953" s="448">
        <v>9.65</v>
      </c>
      <c r="E4953" s="210"/>
    </row>
    <row r="4954" spans="1:5" ht="54">
      <c r="A4954" s="446">
        <v>101128</v>
      </c>
      <c r="B4954" s="447" t="s">
        <v>5211</v>
      </c>
      <c r="C4954" s="446" t="s">
        <v>31</v>
      </c>
      <c r="D4954" s="448">
        <v>9.9</v>
      </c>
      <c r="E4954" s="210"/>
    </row>
    <row r="4955" spans="1:5" ht="54">
      <c r="A4955" s="446">
        <v>101129</v>
      </c>
      <c r="B4955" s="447" t="s">
        <v>5212</v>
      </c>
      <c r="C4955" s="446" t="s">
        <v>31</v>
      </c>
      <c r="D4955" s="448">
        <v>13.16</v>
      </c>
      <c r="E4955" s="210"/>
    </row>
    <row r="4956" spans="1:5" ht="54">
      <c r="A4956" s="446">
        <v>101130</v>
      </c>
      <c r="B4956" s="447" t="s">
        <v>5213</v>
      </c>
      <c r="C4956" s="446" t="s">
        <v>31</v>
      </c>
      <c r="D4956" s="448">
        <v>12.41</v>
      </c>
      <c r="E4956" s="210"/>
    </row>
    <row r="4957" spans="1:5" ht="54">
      <c r="A4957" s="446">
        <v>101131</v>
      </c>
      <c r="B4957" s="447" t="s">
        <v>5214</v>
      </c>
      <c r="C4957" s="446" t="s">
        <v>31</v>
      </c>
      <c r="D4957" s="448">
        <v>10.66</v>
      </c>
      <c r="E4957" s="210"/>
    </row>
    <row r="4958" spans="1:5" ht="54">
      <c r="A4958" s="446">
        <v>101132</v>
      </c>
      <c r="B4958" s="447" t="s">
        <v>5215</v>
      </c>
      <c r="C4958" s="446" t="s">
        <v>31</v>
      </c>
      <c r="D4958" s="448">
        <v>11.99</v>
      </c>
      <c r="E4958" s="210"/>
    </row>
    <row r="4959" spans="1:5" ht="45" customHeight="1">
      <c r="A4959" s="446">
        <v>101133</v>
      </c>
      <c r="B4959" s="447" t="s">
        <v>5216</v>
      </c>
      <c r="C4959" s="446" t="s">
        <v>31</v>
      </c>
      <c r="D4959" s="448">
        <v>12.46</v>
      </c>
      <c r="E4959" s="210"/>
    </row>
    <row r="4960" spans="1:5" ht="81">
      <c r="A4960" s="446">
        <v>101134</v>
      </c>
      <c r="B4960" s="447" t="s">
        <v>5217</v>
      </c>
      <c r="C4960" s="446" t="s">
        <v>31</v>
      </c>
      <c r="D4960" s="448">
        <v>10.73</v>
      </c>
      <c r="E4960" s="210"/>
    </row>
    <row r="4961" spans="1:5" ht="81">
      <c r="A4961" s="446">
        <v>101135</v>
      </c>
      <c r="B4961" s="447" t="s">
        <v>5218</v>
      </c>
      <c r="C4961" s="446" t="s">
        <v>31</v>
      </c>
      <c r="D4961" s="448">
        <v>10.32</v>
      </c>
      <c r="E4961" s="210"/>
    </row>
    <row r="4962" spans="1:5" ht="81">
      <c r="A4962" s="446">
        <v>101136</v>
      </c>
      <c r="B4962" s="447" t="s">
        <v>5219</v>
      </c>
      <c r="C4962" s="446" t="s">
        <v>31</v>
      </c>
      <c r="D4962" s="448">
        <v>9.41</v>
      </c>
      <c r="E4962" s="210"/>
    </row>
    <row r="4963" spans="1:5" ht="81">
      <c r="A4963" s="446">
        <v>101137</v>
      </c>
      <c r="B4963" s="447" t="s">
        <v>5220</v>
      </c>
      <c r="C4963" s="446" t="s">
        <v>31</v>
      </c>
      <c r="D4963" s="448">
        <v>10.11</v>
      </c>
      <c r="E4963" s="210"/>
    </row>
    <row r="4964" spans="1:5" ht="81">
      <c r="A4964" s="446">
        <v>101138</v>
      </c>
      <c r="B4964" s="447" t="s">
        <v>5221</v>
      </c>
      <c r="C4964" s="446" t="s">
        <v>31</v>
      </c>
      <c r="D4964" s="448">
        <v>10.36</v>
      </c>
      <c r="E4964" s="210"/>
    </row>
    <row r="4965" spans="1:5" ht="81">
      <c r="A4965" s="446">
        <v>101139</v>
      </c>
      <c r="B4965" s="447" t="s">
        <v>5222</v>
      </c>
      <c r="C4965" s="446" t="s">
        <v>31</v>
      </c>
      <c r="D4965" s="448">
        <v>13.64</v>
      </c>
      <c r="E4965" s="210"/>
    </row>
    <row r="4966" spans="1:5" ht="81">
      <c r="A4966" s="446">
        <v>101140</v>
      </c>
      <c r="B4966" s="447" t="s">
        <v>5223</v>
      </c>
      <c r="C4966" s="446" t="s">
        <v>31</v>
      </c>
      <c r="D4966" s="448">
        <v>12.89</v>
      </c>
      <c r="E4966" s="210"/>
    </row>
    <row r="4967" spans="1:5" ht="81">
      <c r="A4967" s="446">
        <v>101141</v>
      </c>
      <c r="B4967" s="447" t="s">
        <v>5224</v>
      </c>
      <c r="C4967" s="446" t="s">
        <v>31</v>
      </c>
      <c r="D4967" s="448">
        <v>11.14</v>
      </c>
      <c r="E4967" s="210"/>
    </row>
    <row r="4968" spans="1:5" ht="81">
      <c r="A4968" s="446">
        <v>101142</v>
      </c>
      <c r="B4968" s="447" t="s">
        <v>5225</v>
      </c>
      <c r="C4968" s="446" t="s">
        <v>31</v>
      </c>
      <c r="D4968" s="448">
        <v>12.47</v>
      </c>
      <c r="E4968" s="210"/>
    </row>
    <row r="4969" spans="1:5" ht="81">
      <c r="A4969" s="446">
        <v>101143</v>
      </c>
      <c r="B4969" s="447" t="s">
        <v>5226</v>
      </c>
      <c r="C4969" s="446" t="s">
        <v>31</v>
      </c>
      <c r="D4969" s="448">
        <v>12.94</v>
      </c>
      <c r="E4969" s="210"/>
    </row>
    <row r="4970" spans="1:5" ht="81">
      <c r="A4970" s="446">
        <v>101144</v>
      </c>
      <c r="B4970" s="447" t="s">
        <v>5227</v>
      </c>
      <c r="C4970" s="446" t="s">
        <v>31</v>
      </c>
      <c r="D4970" s="448">
        <v>11.09</v>
      </c>
      <c r="E4970" s="210"/>
    </row>
    <row r="4971" spans="1:5" ht="81">
      <c r="A4971" s="446">
        <v>101145</v>
      </c>
      <c r="B4971" s="447" t="s">
        <v>5228</v>
      </c>
      <c r="C4971" s="446" t="s">
        <v>31</v>
      </c>
      <c r="D4971" s="448">
        <v>10.68</v>
      </c>
      <c r="E4971" s="210"/>
    </row>
    <row r="4972" spans="1:5" ht="81">
      <c r="A4972" s="446">
        <v>101146</v>
      </c>
      <c r="B4972" s="447" t="s">
        <v>5229</v>
      </c>
      <c r="C4972" s="446" t="s">
        <v>31</v>
      </c>
      <c r="D4972" s="448">
        <v>9.77</v>
      </c>
      <c r="E4972" s="210"/>
    </row>
    <row r="4973" spans="1:5" ht="81">
      <c r="A4973" s="446">
        <v>101147</v>
      </c>
      <c r="B4973" s="447" t="s">
        <v>5230</v>
      </c>
      <c r="C4973" s="446" t="s">
        <v>31</v>
      </c>
      <c r="D4973" s="448">
        <v>10.47</v>
      </c>
      <c r="E4973" s="210"/>
    </row>
    <row r="4974" spans="1:5" ht="81">
      <c r="A4974" s="446">
        <v>101148</v>
      </c>
      <c r="B4974" s="447" t="s">
        <v>5231</v>
      </c>
      <c r="C4974" s="446" t="s">
        <v>31</v>
      </c>
      <c r="D4974" s="448">
        <v>10.72</v>
      </c>
      <c r="E4974" s="210"/>
    </row>
    <row r="4975" spans="1:5" ht="81">
      <c r="A4975" s="446">
        <v>101149</v>
      </c>
      <c r="B4975" s="447" t="s">
        <v>5232</v>
      </c>
      <c r="C4975" s="446" t="s">
        <v>31</v>
      </c>
      <c r="D4975" s="448">
        <v>14</v>
      </c>
      <c r="E4975" s="210"/>
    </row>
    <row r="4976" spans="1:5" ht="81">
      <c r="A4976" s="446">
        <v>101150</v>
      </c>
      <c r="B4976" s="447" t="s">
        <v>5233</v>
      </c>
      <c r="C4976" s="446" t="s">
        <v>31</v>
      </c>
      <c r="D4976" s="448">
        <v>13.25</v>
      </c>
      <c r="E4976" s="210"/>
    </row>
    <row r="4977" spans="1:5" ht="81">
      <c r="A4977" s="446">
        <v>101151</v>
      </c>
      <c r="B4977" s="447" t="s">
        <v>5234</v>
      </c>
      <c r="C4977" s="446" t="s">
        <v>31</v>
      </c>
      <c r="D4977" s="448">
        <v>11.5</v>
      </c>
      <c r="E4977" s="210"/>
    </row>
    <row r="4978" spans="1:5" ht="81">
      <c r="A4978" s="446">
        <v>101152</v>
      </c>
      <c r="B4978" s="447" t="s">
        <v>5235</v>
      </c>
      <c r="C4978" s="446" t="s">
        <v>31</v>
      </c>
      <c r="D4978" s="448">
        <v>12.83</v>
      </c>
      <c r="E4978" s="210"/>
    </row>
    <row r="4979" spans="1:5" ht="81">
      <c r="A4979" s="446">
        <v>101153</v>
      </c>
      <c r="B4979" s="447" t="s">
        <v>5236</v>
      </c>
      <c r="C4979" s="446" t="s">
        <v>31</v>
      </c>
      <c r="D4979" s="448">
        <v>13.3</v>
      </c>
      <c r="E4979" s="210"/>
    </row>
    <row r="4980" spans="1:5" ht="108">
      <c r="A4980" s="446">
        <v>101206</v>
      </c>
      <c r="B4980" s="447" t="s">
        <v>5237</v>
      </c>
      <c r="C4980" s="446" t="s">
        <v>31</v>
      </c>
      <c r="D4980" s="448">
        <v>8.9700000000000006</v>
      </c>
      <c r="E4980" s="210"/>
    </row>
    <row r="4981" spans="1:5" ht="108">
      <c r="A4981" s="446">
        <v>101207</v>
      </c>
      <c r="B4981" s="447" t="s">
        <v>5238</v>
      </c>
      <c r="C4981" s="446" t="s">
        <v>31</v>
      </c>
      <c r="D4981" s="448">
        <v>7.91</v>
      </c>
      <c r="E4981" s="210"/>
    </row>
    <row r="4982" spans="1:5" ht="108">
      <c r="A4982" s="446">
        <v>101208</v>
      </c>
      <c r="B4982" s="447" t="s">
        <v>5239</v>
      </c>
      <c r="C4982" s="446" t="s">
        <v>31</v>
      </c>
      <c r="D4982" s="448">
        <v>7.67</v>
      </c>
      <c r="E4982" s="210"/>
    </row>
    <row r="4983" spans="1:5" ht="108">
      <c r="A4983" s="446">
        <v>101209</v>
      </c>
      <c r="B4983" s="447" t="s">
        <v>5240</v>
      </c>
      <c r="C4983" s="446" t="s">
        <v>31</v>
      </c>
      <c r="D4983" s="448">
        <v>7.12</v>
      </c>
      <c r="E4983" s="210"/>
    </row>
    <row r="4984" spans="1:5" ht="108">
      <c r="A4984" s="446">
        <v>101210</v>
      </c>
      <c r="B4984" s="447" t="s">
        <v>5241</v>
      </c>
      <c r="C4984" s="446" t="s">
        <v>31</v>
      </c>
      <c r="D4984" s="448">
        <v>12.85</v>
      </c>
      <c r="E4984" s="210"/>
    </row>
    <row r="4985" spans="1:5" ht="108">
      <c r="A4985" s="446">
        <v>101211</v>
      </c>
      <c r="B4985" s="447" t="s">
        <v>5242</v>
      </c>
      <c r="C4985" s="446" t="s">
        <v>31</v>
      </c>
      <c r="D4985" s="448">
        <v>13.81</v>
      </c>
      <c r="E4985" s="210"/>
    </row>
    <row r="4986" spans="1:5" ht="108">
      <c r="A4986" s="446">
        <v>101212</v>
      </c>
      <c r="B4986" s="447" t="s">
        <v>5243</v>
      </c>
      <c r="C4986" s="446" t="s">
        <v>31</v>
      </c>
      <c r="D4986" s="448">
        <v>16.100000000000001</v>
      </c>
      <c r="E4986" s="210"/>
    </row>
    <row r="4987" spans="1:5" ht="108">
      <c r="A4987" s="446">
        <v>101213</v>
      </c>
      <c r="B4987" s="447" t="s">
        <v>5244</v>
      </c>
      <c r="C4987" s="446" t="s">
        <v>31</v>
      </c>
      <c r="D4987" s="448">
        <v>17.920000000000002</v>
      </c>
      <c r="E4987" s="210"/>
    </row>
    <row r="4988" spans="1:5" ht="108">
      <c r="A4988" s="446">
        <v>101214</v>
      </c>
      <c r="B4988" s="447" t="s">
        <v>5245</v>
      </c>
      <c r="C4988" s="446" t="s">
        <v>31</v>
      </c>
      <c r="D4988" s="448">
        <v>21.82</v>
      </c>
      <c r="E4988" s="210"/>
    </row>
    <row r="4989" spans="1:5" ht="108">
      <c r="A4989" s="446">
        <v>101215</v>
      </c>
      <c r="B4989" s="447" t="s">
        <v>5246</v>
      </c>
      <c r="C4989" s="446" t="s">
        <v>31</v>
      </c>
      <c r="D4989" s="448">
        <v>12.25</v>
      </c>
      <c r="E4989" s="210"/>
    </row>
    <row r="4990" spans="1:5" ht="108">
      <c r="A4990" s="446">
        <v>101216</v>
      </c>
      <c r="B4990" s="447" t="s">
        <v>5247</v>
      </c>
      <c r="C4990" s="446" t="s">
        <v>31</v>
      </c>
      <c r="D4990" s="448">
        <v>12.92</v>
      </c>
      <c r="E4990" s="210"/>
    </row>
    <row r="4991" spans="1:5" ht="108">
      <c r="A4991" s="446">
        <v>101217</v>
      </c>
      <c r="B4991" s="447" t="s">
        <v>5248</v>
      </c>
      <c r="C4991" s="446" t="s">
        <v>31</v>
      </c>
      <c r="D4991" s="448">
        <v>15.01</v>
      </c>
      <c r="E4991" s="210"/>
    </row>
    <row r="4992" spans="1:5" ht="108">
      <c r="A4992" s="446">
        <v>101218</v>
      </c>
      <c r="B4992" s="447" t="s">
        <v>5249</v>
      </c>
      <c r="C4992" s="446" t="s">
        <v>31</v>
      </c>
      <c r="D4992" s="448">
        <v>16</v>
      </c>
      <c r="E4992" s="210"/>
    </row>
    <row r="4993" spans="1:5" ht="108">
      <c r="A4993" s="446">
        <v>101219</v>
      </c>
      <c r="B4993" s="447" t="s">
        <v>5250</v>
      </c>
      <c r="C4993" s="446" t="s">
        <v>31</v>
      </c>
      <c r="D4993" s="448">
        <v>19.5</v>
      </c>
      <c r="E4993" s="210"/>
    </row>
    <row r="4994" spans="1:5" ht="108">
      <c r="A4994" s="446">
        <v>101220</v>
      </c>
      <c r="B4994" s="447" t="s">
        <v>5251</v>
      </c>
      <c r="C4994" s="446" t="s">
        <v>31</v>
      </c>
      <c r="D4994" s="448">
        <v>12.09</v>
      </c>
      <c r="E4994" s="210"/>
    </row>
    <row r="4995" spans="1:5" ht="108">
      <c r="A4995" s="446">
        <v>101221</v>
      </c>
      <c r="B4995" s="447" t="s">
        <v>5252</v>
      </c>
      <c r="C4995" s="446" t="s">
        <v>31</v>
      </c>
      <c r="D4995" s="448">
        <v>12.86</v>
      </c>
      <c r="E4995" s="210"/>
    </row>
    <row r="4996" spans="1:5" ht="108">
      <c r="A4996" s="446">
        <v>101222</v>
      </c>
      <c r="B4996" s="447" t="s">
        <v>5253</v>
      </c>
      <c r="C4996" s="446" t="s">
        <v>31</v>
      </c>
      <c r="D4996" s="448">
        <v>14.96</v>
      </c>
      <c r="E4996" s="210"/>
    </row>
    <row r="4997" spans="1:5" ht="108">
      <c r="A4997" s="446">
        <v>101223</v>
      </c>
      <c r="B4997" s="447" t="s">
        <v>5254</v>
      </c>
      <c r="C4997" s="446" t="s">
        <v>31</v>
      </c>
      <c r="D4997" s="448">
        <v>16.62</v>
      </c>
      <c r="E4997" s="210"/>
    </row>
    <row r="4998" spans="1:5" ht="108">
      <c r="A4998" s="446">
        <v>101224</v>
      </c>
      <c r="B4998" s="447" t="s">
        <v>5255</v>
      </c>
      <c r="C4998" s="446" t="s">
        <v>31</v>
      </c>
      <c r="D4998" s="448">
        <v>20.88</v>
      </c>
      <c r="E4998" s="210"/>
    </row>
    <row r="4999" spans="1:5" ht="108">
      <c r="A4999" s="446">
        <v>101225</v>
      </c>
      <c r="B4999" s="447" t="s">
        <v>5256</v>
      </c>
      <c r="C4999" s="446" t="s">
        <v>31</v>
      </c>
      <c r="D4999" s="448">
        <v>11.07</v>
      </c>
      <c r="E4999" s="210"/>
    </row>
    <row r="5000" spans="1:5" ht="108">
      <c r="A5000" s="446">
        <v>101226</v>
      </c>
      <c r="B5000" s="447" t="s">
        <v>5257</v>
      </c>
      <c r="C5000" s="446" t="s">
        <v>31</v>
      </c>
      <c r="D5000" s="448">
        <v>11.76</v>
      </c>
      <c r="E5000" s="210"/>
    </row>
    <row r="5001" spans="1:5" ht="108">
      <c r="A5001" s="446">
        <v>101227</v>
      </c>
      <c r="B5001" s="447" t="s">
        <v>5258</v>
      </c>
      <c r="C5001" s="446" t="s">
        <v>31</v>
      </c>
      <c r="D5001" s="448">
        <v>13.63</v>
      </c>
      <c r="E5001" s="210"/>
    </row>
    <row r="5002" spans="1:5" ht="108">
      <c r="A5002" s="446">
        <v>101228</v>
      </c>
      <c r="B5002" s="447" t="s">
        <v>5259</v>
      </c>
      <c r="C5002" s="446" t="s">
        <v>31</v>
      </c>
      <c r="D5002" s="448">
        <v>14.65</v>
      </c>
      <c r="E5002" s="210"/>
    </row>
    <row r="5003" spans="1:5" ht="108">
      <c r="A5003" s="446">
        <v>101229</v>
      </c>
      <c r="B5003" s="447" t="s">
        <v>5260</v>
      </c>
      <c r="C5003" s="446" t="s">
        <v>31</v>
      </c>
      <c r="D5003" s="448">
        <v>18.46</v>
      </c>
      <c r="E5003" s="210"/>
    </row>
    <row r="5004" spans="1:5" ht="108">
      <c r="A5004" s="446">
        <v>101230</v>
      </c>
      <c r="B5004" s="447" t="s">
        <v>5261</v>
      </c>
      <c r="C5004" s="446" t="s">
        <v>31</v>
      </c>
      <c r="D5004" s="448">
        <v>7.94</v>
      </c>
      <c r="E5004" s="210"/>
    </row>
    <row r="5005" spans="1:5" ht="108">
      <c r="A5005" s="446">
        <v>101231</v>
      </c>
      <c r="B5005" s="447" t="s">
        <v>5262</v>
      </c>
      <c r="C5005" s="446" t="s">
        <v>31</v>
      </c>
      <c r="D5005" s="448">
        <v>7.56</v>
      </c>
      <c r="E5005" s="210"/>
    </row>
    <row r="5006" spans="1:5" ht="108">
      <c r="A5006" s="446">
        <v>101232</v>
      </c>
      <c r="B5006" s="447" t="s">
        <v>5263</v>
      </c>
      <c r="C5006" s="446" t="s">
        <v>31</v>
      </c>
      <c r="D5006" s="448">
        <v>6.89</v>
      </c>
      <c r="E5006" s="210"/>
    </row>
    <row r="5007" spans="1:5" ht="108">
      <c r="A5007" s="446">
        <v>101233</v>
      </c>
      <c r="B5007" s="447" t="s">
        <v>5264</v>
      </c>
      <c r="C5007" s="446" t="s">
        <v>31</v>
      </c>
      <c r="D5007" s="448">
        <v>6.36</v>
      </c>
      <c r="E5007" s="210"/>
    </row>
    <row r="5008" spans="1:5" ht="108">
      <c r="A5008" s="446">
        <v>101234</v>
      </c>
      <c r="B5008" s="447" t="s">
        <v>5265</v>
      </c>
      <c r="C5008" s="446" t="s">
        <v>31</v>
      </c>
      <c r="D5008" s="448">
        <v>12.48</v>
      </c>
      <c r="E5008" s="210"/>
    </row>
    <row r="5009" spans="1:5" ht="108">
      <c r="A5009" s="446">
        <v>101235</v>
      </c>
      <c r="B5009" s="447" t="s">
        <v>5266</v>
      </c>
      <c r="C5009" s="446" t="s">
        <v>31</v>
      </c>
      <c r="D5009" s="448">
        <v>13.24</v>
      </c>
      <c r="E5009" s="210"/>
    </row>
    <row r="5010" spans="1:5" ht="108">
      <c r="A5010" s="446">
        <v>101236</v>
      </c>
      <c r="B5010" s="447" t="s">
        <v>5267</v>
      </c>
      <c r="C5010" s="446" t="s">
        <v>31</v>
      </c>
      <c r="D5010" s="448">
        <v>15.42</v>
      </c>
      <c r="E5010" s="210"/>
    </row>
    <row r="5011" spans="1:5" ht="108">
      <c r="A5011" s="446">
        <v>101237</v>
      </c>
      <c r="B5011" s="447" t="s">
        <v>5268</v>
      </c>
      <c r="C5011" s="446" t="s">
        <v>31</v>
      </c>
      <c r="D5011" s="448">
        <v>16.55</v>
      </c>
      <c r="E5011" s="210"/>
    </row>
    <row r="5012" spans="1:5" ht="108">
      <c r="A5012" s="446">
        <v>101238</v>
      </c>
      <c r="B5012" s="447" t="s">
        <v>5269</v>
      </c>
      <c r="C5012" s="446" t="s">
        <v>31</v>
      </c>
      <c r="D5012" s="448">
        <v>20.94</v>
      </c>
      <c r="E5012" s="210"/>
    </row>
    <row r="5013" spans="1:5" ht="108">
      <c r="A5013" s="446">
        <v>101239</v>
      </c>
      <c r="B5013" s="447" t="s">
        <v>5270</v>
      </c>
      <c r="C5013" s="446" t="s">
        <v>31</v>
      </c>
      <c r="D5013" s="448">
        <v>11.08</v>
      </c>
      <c r="E5013" s="210"/>
    </row>
    <row r="5014" spans="1:5" ht="108">
      <c r="A5014" s="446">
        <v>101240</v>
      </c>
      <c r="B5014" s="447" t="s">
        <v>5271</v>
      </c>
      <c r="C5014" s="446" t="s">
        <v>31</v>
      </c>
      <c r="D5014" s="448">
        <v>11.77</v>
      </c>
      <c r="E5014" s="210"/>
    </row>
    <row r="5015" spans="1:5" ht="108">
      <c r="A5015" s="446">
        <v>101241</v>
      </c>
      <c r="B5015" s="447" t="s">
        <v>5272</v>
      </c>
      <c r="C5015" s="446" t="s">
        <v>31</v>
      </c>
      <c r="D5015" s="448">
        <v>13.73</v>
      </c>
      <c r="E5015" s="210"/>
    </row>
    <row r="5016" spans="1:5" ht="108">
      <c r="A5016" s="446">
        <v>101242</v>
      </c>
      <c r="B5016" s="447" t="s">
        <v>5273</v>
      </c>
      <c r="C5016" s="446" t="s">
        <v>31</v>
      </c>
      <c r="D5016" s="448">
        <v>15.29</v>
      </c>
      <c r="E5016" s="210"/>
    </row>
    <row r="5017" spans="1:5" ht="108">
      <c r="A5017" s="446">
        <v>101243</v>
      </c>
      <c r="B5017" s="447" t="s">
        <v>5274</v>
      </c>
      <c r="C5017" s="446" t="s">
        <v>31</v>
      </c>
      <c r="D5017" s="448">
        <v>18.670000000000002</v>
      </c>
      <c r="E5017" s="210"/>
    </row>
    <row r="5018" spans="1:5" ht="108">
      <c r="A5018" s="446">
        <v>101244</v>
      </c>
      <c r="B5018" s="447" t="s">
        <v>5275</v>
      </c>
      <c r="C5018" s="446" t="s">
        <v>31</v>
      </c>
      <c r="D5018" s="448">
        <v>11.59</v>
      </c>
      <c r="E5018" s="210"/>
    </row>
    <row r="5019" spans="1:5" ht="108">
      <c r="A5019" s="446">
        <v>101245</v>
      </c>
      <c r="B5019" s="447" t="s">
        <v>5276</v>
      </c>
      <c r="C5019" s="446" t="s">
        <v>31</v>
      </c>
      <c r="D5019" s="448">
        <v>12.36</v>
      </c>
      <c r="E5019" s="210"/>
    </row>
    <row r="5020" spans="1:5" ht="108">
      <c r="A5020" s="446">
        <v>101246</v>
      </c>
      <c r="B5020" s="447" t="s">
        <v>5277</v>
      </c>
      <c r="C5020" s="446" t="s">
        <v>31</v>
      </c>
      <c r="D5020" s="448">
        <v>14.39</v>
      </c>
      <c r="E5020" s="210"/>
    </row>
    <row r="5021" spans="1:5" ht="108">
      <c r="A5021" s="446">
        <v>101247</v>
      </c>
      <c r="B5021" s="447" t="s">
        <v>5278</v>
      </c>
      <c r="C5021" s="446" t="s">
        <v>31</v>
      </c>
      <c r="D5021" s="448">
        <v>15.97</v>
      </c>
      <c r="E5021" s="210"/>
    </row>
    <row r="5022" spans="1:5" ht="108">
      <c r="A5022" s="446">
        <v>101248</v>
      </c>
      <c r="B5022" s="447" t="s">
        <v>5279</v>
      </c>
      <c r="C5022" s="446" t="s">
        <v>31</v>
      </c>
      <c r="D5022" s="448">
        <v>20.059999999999999</v>
      </c>
      <c r="E5022" s="210"/>
    </row>
    <row r="5023" spans="1:5" ht="108">
      <c r="A5023" s="446">
        <v>101249</v>
      </c>
      <c r="B5023" s="447" t="s">
        <v>5280</v>
      </c>
      <c r="C5023" s="446" t="s">
        <v>31</v>
      </c>
      <c r="D5023" s="448">
        <v>10.18</v>
      </c>
      <c r="E5023" s="210"/>
    </row>
    <row r="5024" spans="1:5" ht="108">
      <c r="A5024" s="446">
        <v>101250</v>
      </c>
      <c r="B5024" s="447" t="s">
        <v>5281</v>
      </c>
      <c r="C5024" s="446" t="s">
        <v>31</v>
      </c>
      <c r="D5024" s="448">
        <v>11.26</v>
      </c>
      <c r="E5024" s="210"/>
    </row>
    <row r="5025" spans="1:5" ht="108">
      <c r="A5025" s="446">
        <v>101251</v>
      </c>
      <c r="B5025" s="447" t="s">
        <v>5282</v>
      </c>
      <c r="C5025" s="446" t="s">
        <v>31</v>
      </c>
      <c r="D5025" s="448">
        <v>12.9</v>
      </c>
      <c r="E5025" s="210"/>
    </row>
    <row r="5026" spans="1:5" ht="108">
      <c r="A5026" s="446">
        <v>101252</v>
      </c>
      <c r="B5026" s="447" t="s">
        <v>5283</v>
      </c>
      <c r="C5026" s="446" t="s">
        <v>31</v>
      </c>
      <c r="D5026" s="448">
        <v>14.05</v>
      </c>
      <c r="E5026" s="210"/>
    </row>
    <row r="5027" spans="1:5" ht="108">
      <c r="A5027" s="446">
        <v>101253</v>
      </c>
      <c r="B5027" s="447" t="s">
        <v>5284</v>
      </c>
      <c r="C5027" s="446" t="s">
        <v>31</v>
      </c>
      <c r="D5027" s="448">
        <v>17.739999999999998</v>
      </c>
      <c r="E5027" s="210"/>
    </row>
    <row r="5028" spans="1:5" ht="108">
      <c r="A5028" s="446">
        <v>101254</v>
      </c>
      <c r="B5028" s="447" t="s">
        <v>5285</v>
      </c>
      <c r="C5028" s="446" t="s">
        <v>31</v>
      </c>
      <c r="D5028" s="448">
        <v>8.81</v>
      </c>
      <c r="E5028" s="210"/>
    </row>
    <row r="5029" spans="1:5" ht="108">
      <c r="A5029" s="446">
        <v>101255</v>
      </c>
      <c r="B5029" s="447" t="s">
        <v>5286</v>
      </c>
      <c r="C5029" s="446" t="s">
        <v>31</v>
      </c>
      <c r="D5029" s="448">
        <v>7.87</v>
      </c>
      <c r="E5029" s="210"/>
    </row>
    <row r="5030" spans="1:5" ht="108">
      <c r="A5030" s="446">
        <v>101256</v>
      </c>
      <c r="B5030" s="447" t="s">
        <v>5287</v>
      </c>
      <c r="C5030" s="446" t="s">
        <v>31</v>
      </c>
      <c r="D5030" s="448">
        <v>13.68</v>
      </c>
      <c r="E5030" s="210"/>
    </row>
    <row r="5031" spans="1:5" ht="108">
      <c r="A5031" s="446">
        <v>101257</v>
      </c>
      <c r="B5031" s="447" t="s">
        <v>5288</v>
      </c>
      <c r="C5031" s="446" t="s">
        <v>31</v>
      </c>
      <c r="D5031" s="448">
        <v>14.52</v>
      </c>
      <c r="E5031" s="210"/>
    </row>
    <row r="5032" spans="1:5" ht="108">
      <c r="A5032" s="446">
        <v>101258</v>
      </c>
      <c r="B5032" s="447" t="s">
        <v>5289</v>
      </c>
      <c r="C5032" s="446" t="s">
        <v>31</v>
      </c>
      <c r="D5032" s="448">
        <v>16.84</v>
      </c>
      <c r="E5032" s="210"/>
    </row>
    <row r="5033" spans="1:5" ht="108">
      <c r="A5033" s="446">
        <v>101259</v>
      </c>
      <c r="B5033" s="447" t="s">
        <v>5290</v>
      </c>
      <c r="C5033" s="446" t="s">
        <v>31</v>
      </c>
      <c r="D5033" s="448">
        <v>18.649999999999999</v>
      </c>
      <c r="E5033" s="210"/>
    </row>
    <row r="5034" spans="1:5" ht="108">
      <c r="A5034" s="446">
        <v>101260</v>
      </c>
      <c r="B5034" s="447" t="s">
        <v>5291</v>
      </c>
      <c r="C5034" s="446" t="s">
        <v>31</v>
      </c>
      <c r="D5034" s="448">
        <v>23.33</v>
      </c>
      <c r="E5034" s="210"/>
    </row>
    <row r="5035" spans="1:5" ht="108">
      <c r="A5035" s="446">
        <v>101261</v>
      </c>
      <c r="B5035" s="447" t="s">
        <v>5292</v>
      </c>
      <c r="C5035" s="446" t="s">
        <v>31</v>
      </c>
      <c r="D5035" s="448">
        <v>12.97</v>
      </c>
      <c r="E5035" s="210"/>
    </row>
    <row r="5036" spans="1:5" ht="108">
      <c r="A5036" s="446">
        <v>101262</v>
      </c>
      <c r="B5036" s="447" t="s">
        <v>5293</v>
      </c>
      <c r="C5036" s="446" t="s">
        <v>31</v>
      </c>
      <c r="D5036" s="448">
        <v>13.8</v>
      </c>
      <c r="E5036" s="210"/>
    </row>
    <row r="5037" spans="1:5" ht="108">
      <c r="A5037" s="446">
        <v>101263</v>
      </c>
      <c r="B5037" s="447" t="s">
        <v>5294</v>
      </c>
      <c r="C5037" s="446" t="s">
        <v>31</v>
      </c>
      <c r="D5037" s="448">
        <v>15.99</v>
      </c>
      <c r="E5037" s="210"/>
    </row>
    <row r="5038" spans="1:5" ht="108">
      <c r="A5038" s="446">
        <v>101264</v>
      </c>
      <c r="B5038" s="447" t="s">
        <v>5295</v>
      </c>
      <c r="C5038" s="446" t="s">
        <v>31</v>
      </c>
      <c r="D5038" s="448">
        <v>17.7</v>
      </c>
      <c r="E5038" s="210"/>
    </row>
    <row r="5039" spans="1:5" ht="108">
      <c r="A5039" s="446">
        <v>101265</v>
      </c>
      <c r="B5039" s="447" t="s">
        <v>5296</v>
      </c>
      <c r="C5039" s="446" t="s">
        <v>31</v>
      </c>
      <c r="D5039" s="448">
        <v>22.13</v>
      </c>
      <c r="E5039" s="210"/>
    </row>
    <row r="5040" spans="1:5" ht="108">
      <c r="A5040" s="446">
        <v>101266</v>
      </c>
      <c r="B5040" s="447" t="s">
        <v>5297</v>
      </c>
      <c r="C5040" s="446" t="s">
        <v>31</v>
      </c>
      <c r="D5040" s="448">
        <v>7.88</v>
      </c>
      <c r="E5040" s="210"/>
    </row>
    <row r="5041" spans="1:5" ht="108">
      <c r="A5041" s="446">
        <v>101267</v>
      </c>
      <c r="B5041" s="447" t="s">
        <v>5298</v>
      </c>
      <c r="C5041" s="446" t="s">
        <v>31</v>
      </c>
      <c r="D5041" s="448">
        <v>7.54</v>
      </c>
      <c r="E5041" s="210"/>
    </row>
    <row r="5042" spans="1:5" ht="108">
      <c r="A5042" s="446">
        <v>101268</v>
      </c>
      <c r="B5042" s="447" t="s">
        <v>5299</v>
      </c>
      <c r="C5042" s="446" t="s">
        <v>31</v>
      </c>
      <c r="D5042" s="448">
        <v>12.54</v>
      </c>
      <c r="E5042" s="210"/>
    </row>
    <row r="5043" spans="1:5" ht="108">
      <c r="A5043" s="446">
        <v>101269</v>
      </c>
      <c r="B5043" s="447" t="s">
        <v>5300</v>
      </c>
      <c r="C5043" s="446" t="s">
        <v>31</v>
      </c>
      <c r="D5043" s="448">
        <v>13.89</v>
      </c>
      <c r="E5043" s="210"/>
    </row>
    <row r="5044" spans="1:5" ht="108">
      <c r="A5044" s="446">
        <v>101270</v>
      </c>
      <c r="B5044" s="447" t="s">
        <v>5301</v>
      </c>
      <c r="C5044" s="446" t="s">
        <v>31</v>
      </c>
      <c r="D5044" s="448">
        <v>16.12</v>
      </c>
      <c r="E5044" s="210"/>
    </row>
    <row r="5045" spans="1:5" ht="108">
      <c r="A5045" s="446">
        <v>101271</v>
      </c>
      <c r="B5045" s="447" t="s">
        <v>5302</v>
      </c>
      <c r="C5045" s="446" t="s">
        <v>31</v>
      </c>
      <c r="D5045" s="448">
        <v>17.850000000000001</v>
      </c>
      <c r="E5045" s="210"/>
    </row>
    <row r="5046" spans="1:5" ht="108">
      <c r="A5046" s="446">
        <v>101272</v>
      </c>
      <c r="B5046" s="447" t="s">
        <v>5303</v>
      </c>
      <c r="C5046" s="446" t="s">
        <v>31</v>
      </c>
      <c r="D5046" s="448">
        <v>22.35</v>
      </c>
      <c r="E5046" s="210"/>
    </row>
    <row r="5047" spans="1:5" ht="108">
      <c r="A5047" s="446">
        <v>101273</v>
      </c>
      <c r="B5047" s="447" t="s">
        <v>5304</v>
      </c>
      <c r="C5047" s="446" t="s">
        <v>31</v>
      </c>
      <c r="D5047" s="448">
        <v>12.02</v>
      </c>
      <c r="E5047" s="210"/>
    </row>
    <row r="5048" spans="1:5" ht="108">
      <c r="A5048" s="446">
        <v>101274</v>
      </c>
      <c r="B5048" s="447" t="s">
        <v>5305</v>
      </c>
      <c r="C5048" s="446" t="s">
        <v>31</v>
      </c>
      <c r="D5048" s="448">
        <v>13.24</v>
      </c>
      <c r="E5048" s="210"/>
    </row>
    <row r="5049" spans="1:5" ht="108">
      <c r="A5049" s="446">
        <v>101275</v>
      </c>
      <c r="B5049" s="447" t="s">
        <v>5306</v>
      </c>
      <c r="C5049" s="446" t="s">
        <v>31</v>
      </c>
      <c r="D5049" s="448">
        <v>15.39</v>
      </c>
      <c r="E5049" s="210"/>
    </row>
    <row r="5050" spans="1:5" ht="108">
      <c r="A5050" s="446">
        <v>101276</v>
      </c>
      <c r="B5050" s="447" t="s">
        <v>5307</v>
      </c>
      <c r="C5050" s="446" t="s">
        <v>31</v>
      </c>
      <c r="D5050" s="448">
        <v>17.010000000000002</v>
      </c>
      <c r="E5050" s="210"/>
    </row>
    <row r="5051" spans="1:5" ht="108">
      <c r="A5051" s="446">
        <v>101277</v>
      </c>
      <c r="B5051" s="447" t="s">
        <v>5308</v>
      </c>
      <c r="C5051" s="446" t="s">
        <v>31</v>
      </c>
      <c r="D5051" s="448">
        <v>21.71</v>
      </c>
      <c r="E5051" s="210"/>
    </row>
    <row r="5052" spans="1:5" ht="54">
      <c r="A5052" s="446">
        <v>102354</v>
      </c>
      <c r="B5052" s="447" t="s">
        <v>6778</v>
      </c>
      <c r="C5052" s="446" t="s">
        <v>31</v>
      </c>
      <c r="D5052" s="448">
        <v>102.82</v>
      </c>
      <c r="E5052" s="210"/>
    </row>
    <row r="5053" spans="1:5" ht="67.5">
      <c r="A5053" s="446">
        <v>102355</v>
      </c>
      <c r="B5053" s="447" t="s">
        <v>6779</v>
      </c>
      <c r="C5053" s="446" t="s">
        <v>31</v>
      </c>
      <c r="D5053" s="448">
        <v>116.97</v>
      </c>
      <c r="E5053" s="210"/>
    </row>
    <row r="5054" spans="1:5" ht="54">
      <c r="A5054" s="446">
        <v>102360</v>
      </c>
      <c r="B5054" s="447" t="s">
        <v>6780</v>
      </c>
      <c r="C5054" s="446" t="s">
        <v>31</v>
      </c>
      <c r="D5054" s="448">
        <v>15.06</v>
      </c>
      <c r="E5054" s="210"/>
    </row>
    <row r="5055" spans="1:5" ht="54">
      <c r="A5055" s="446">
        <v>102361</v>
      </c>
      <c r="B5055" s="447" t="s">
        <v>6781</v>
      </c>
      <c r="C5055" s="446" t="s">
        <v>31</v>
      </c>
      <c r="D5055" s="448">
        <v>22</v>
      </c>
      <c r="E5055" s="210"/>
    </row>
    <row r="5056" spans="1:5" ht="94.5">
      <c r="A5056" s="446">
        <v>90082</v>
      </c>
      <c r="B5056" s="447" t="s">
        <v>6782</v>
      </c>
      <c r="C5056" s="446" t="s">
        <v>31</v>
      </c>
      <c r="D5056" s="448">
        <v>7.52</v>
      </c>
      <c r="E5056" s="210"/>
    </row>
    <row r="5057" spans="1:5" ht="94.5">
      <c r="A5057" s="446">
        <v>90084</v>
      </c>
      <c r="B5057" s="447" t="s">
        <v>6783</v>
      </c>
      <c r="C5057" s="446" t="s">
        <v>31</v>
      </c>
      <c r="D5057" s="448">
        <v>7.28</v>
      </c>
      <c r="E5057" s="210"/>
    </row>
    <row r="5058" spans="1:5" ht="94.5">
      <c r="A5058" s="446">
        <v>90086</v>
      </c>
      <c r="B5058" s="447" t="s">
        <v>6784</v>
      </c>
      <c r="C5058" s="446" t="s">
        <v>31</v>
      </c>
      <c r="D5058" s="448">
        <v>6.88</v>
      </c>
      <c r="E5058" s="210"/>
    </row>
    <row r="5059" spans="1:5" ht="94.5">
      <c r="A5059" s="446">
        <v>90087</v>
      </c>
      <c r="B5059" s="447" t="s">
        <v>6785</v>
      </c>
      <c r="C5059" s="446" t="s">
        <v>31</v>
      </c>
      <c r="D5059" s="448">
        <v>6.36</v>
      </c>
      <c r="E5059" s="210"/>
    </row>
    <row r="5060" spans="1:5" ht="108">
      <c r="A5060" s="446">
        <v>90090</v>
      </c>
      <c r="B5060" s="447" t="s">
        <v>6786</v>
      </c>
      <c r="C5060" s="446" t="s">
        <v>31</v>
      </c>
      <c r="D5060" s="448">
        <v>6.23</v>
      </c>
      <c r="E5060" s="210"/>
    </row>
    <row r="5061" spans="1:5" ht="94.5">
      <c r="A5061" s="446">
        <v>90091</v>
      </c>
      <c r="B5061" s="447" t="s">
        <v>6787</v>
      </c>
      <c r="C5061" s="446" t="s">
        <v>31</v>
      </c>
      <c r="D5061" s="448">
        <v>4.0599999999999996</v>
      </c>
      <c r="E5061" s="210"/>
    </row>
    <row r="5062" spans="1:5" ht="108">
      <c r="A5062" s="446">
        <v>90092</v>
      </c>
      <c r="B5062" s="447" t="s">
        <v>6788</v>
      </c>
      <c r="C5062" s="446" t="s">
        <v>31</v>
      </c>
      <c r="D5062" s="448">
        <v>4.01</v>
      </c>
      <c r="E5062" s="210"/>
    </row>
    <row r="5063" spans="1:5" ht="108">
      <c r="A5063" s="446">
        <v>90094</v>
      </c>
      <c r="B5063" s="447" t="s">
        <v>6789</v>
      </c>
      <c r="C5063" s="446" t="s">
        <v>31</v>
      </c>
      <c r="D5063" s="448">
        <v>3.79</v>
      </c>
      <c r="E5063" s="210"/>
    </row>
    <row r="5064" spans="1:5" ht="108">
      <c r="A5064" s="446">
        <v>90095</v>
      </c>
      <c r="B5064" s="447" t="s">
        <v>6790</v>
      </c>
      <c r="C5064" s="446" t="s">
        <v>31</v>
      </c>
      <c r="D5064" s="448">
        <v>3.5</v>
      </c>
      <c r="E5064" s="210"/>
    </row>
    <row r="5065" spans="1:5" ht="108">
      <c r="A5065" s="446">
        <v>90098</v>
      </c>
      <c r="B5065" s="447" t="s">
        <v>6791</v>
      </c>
      <c r="C5065" s="446" t="s">
        <v>31</v>
      </c>
      <c r="D5065" s="448">
        <v>3.44</v>
      </c>
      <c r="E5065" s="210"/>
    </row>
    <row r="5066" spans="1:5" ht="94.5">
      <c r="A5066" s="446">
        <v>90099</v>
      </c>
      <c r="B5066" s="447" t="s">
        <v>6792</v>
      </c>
      <c r="C5066" s="446" t="s">
        <v>31</v>
      </c>
      <c r="D5066" s="448">
        <v>10.38</v>
      </c>
      <c r="E5066" s="210"/>
    </row>
    <row r="5067" spans="1:5" ht="94.5">
      <c r="A5067" s="446">
        <v>90100</v>
      </c>
      <c r="B5067" s="447" t="s">
        <v>6793</v>
      </c>
      <c r="C5067" s="446" t="s">
        <v>31</v>
      </c>
      <c r="D5067" s="448">
        <v>8.81</v>
      </c>
      <c r="E5067" s="210"/>
    </row>
    <row r="5068" spans="1:5" ht="94.5">
      <c r="A5068" s="446">
        <v>90101</v>
      </c>
      <c r="B5068" s="447" t="s">
        <v>6794</v>
      </c>
      <c r="C5068" s="446" t="s">
        <v>31</v>
      </c>
      <c r="D5068" s="448">
        <v>8.6999999999999993</v>
      </c>
      <c r="E5068" s="210"/>
    </row>
    <row r="5069" spans="1:5" ht="108">
      <c r="A5069" s="446">
        <v>90102</v>
      </c>
      <c r="B5069" s="447" t="s">
        <v>6795</v>
      </c>
      <c r="C5069" s="446" t="s">
        <v>31</v>
      </c>
      <c r="D5069" s="448">
        <v>7.91</v>
      </c>
      <c r="E5069" s="210"/>
    </row>
    <row r="5070" spans="1:5" ht="121.5">
      <c r="A5070" s="446">
        <v>90105</v>
      </c>
      <c r="B5070" s="447" t="s">
        <v>6796</v>
      </c>
      <c r="C5070" s="446" t="s">
        <v>31</v>
      </c>
      <c r="D5070" s="448">
        <v>5.72</v>
      </c>
      <c r="E5070" s="210"/>
    </row>
    <row r="5071" spans="1:5" ht="121.5">
      <c r="A5071" s="446">
        <v>90106</v>
      </c>
      <c r="B5071" s="447" t="s">
        <v>6797</v>
      </c>
      <c r="C5071" s="446" t="s">
        <v>31</v>
      </c>
      <c r="D5071" s="448">
        <v>4.87</v>
      </c>
      <c r="E5071" s="210"/>
    </row>
    <row r="5072" spans="1:5" ht="121.5">
      <c r="A5072" s="446">
        <v>90107</v>
      </c>
      <c r="B5072" s="447" t="s">
        <v>6798</v>
      </c>
      <c r="C5072" s="446" t="s">
        <v>31</v>
      </c>
      <c r="D5072" s="448">
        <v>4.8</v>
      </c>
      <c r="E5072" s="210"/>
    </row>
    <row r="5073" spans="1:7" ht="121.5">
      <c r="A5073" s="446">
        <v>90108</v>
      </c>
      <c r="B5073" s="447" t="s">
        <v>6799</v>
      </c>
      <c r="C5073" s="446" t="s">
        <v>31</v>
      </c>
      <c r="D5073" s="448">
        <v>4.3600000000000003</v>
      </c>
      <c r="E5073" s="210"/>
    </row>
    <row r="5074" spans="1:7" ht="40.5">
      <c r="A5074" s="446">
        <v>93358</v>
      </c>
      <c r="B5074" s="447" t="s">
        <v>6800</v>
      </c>
      <c r="C5074" s="446" t="s">
        <v>31</v>
      </c>
      <c r="D5074" s="448">
        <v>55.46</v>
      </c>
      <c r="E5074" s="210"/>
    </row>
    <row r="5075" spans="1:7" ht="94.5">
      <c r="A5075" s="446">
        <v>102276</v>
      </c>
      <c r="B5075" s="447" t="s">
        <v>6801</v>
      </c>
      <c r="C5075" s="446" t="s">
        <v>31</v>
      </c>
      <c r="D5075" s="448">
        <v>8.44</v>
      </c>
      <c r="E5075" s="210"/>
      <c r="G5075">
        <f>64*0.2</f>
        <v>12.8</v>
      </c>
    </row>
    <row r="5076" spans="1:7" ht="108">
      <c r="A5076" s="446">
        <v>102277</v>
      </c>
      <c r="B5076" s="447" t="s">
        <v>6802</v>
      </c>
      <c r="C5076" s="446" t="s">
        <v>31</v>
      </c>
      <c r="D5076" s="448">
        <v>6.67</v>
      </c>
      <c r="E5076" s="210"/>
      <c r="G5076">
        <f>G5075*D5076</f>
        <v>85.376000000000005</v>
      </c>
    </row>
    <row r="5077" spans="1:7" ht="108">
      <c r="A5077" s="446">
        <v>102278</v>
      </c>
      <c r="B5077" s="447" t="s">
        <v>6803</v>
      </c>
      <c r="C5077" s="446" t="s">
        <v>31</v>
      </c>
      <c r="D5077" s="448">
        <v>6.63</v>
      </c>
      <c r="E5077" s="210"/>
    </row>
    <row r="5078" spans="1:7" ht="94.5">
      <c r="A5078" s="446">
        <v>102279</v>
      </c>
      <c r="B5078" s="447" t="s">
        <v>6804</v>
      </c>
      <c r="C5078" s="446" t="s">
        <v>31</v>
      </c>
      <c r="D5078" s="448">
        <v>4.66</v>
      </c>
      <c r="E5078" s="210"/>
    </row>
    <row r="5079" spans="1:7" ht="94.5">
      <c r="A5079" s="446">
        <v>102280</v>
      </c>
      <c r="B5079" s="447" t="s">
        <v>6805</v>
      </c>
      <c r="C5079" s="446" t="s">
        <v>31</v>
      </c>
      <c r="D5079" s="448">
        <v>3.68</v>
      </c>
      <c r="E5079" s="210"/>
    </row>
    <row r="5080" spans="1:7" ht="94.5">
      <c r="A5080" s="446">
        <v>102281</v>
      </c>
      <c r="B5080" s="447" t="s">
        <v>6806</v>
      </c>
      <c r="C5080" s="446" t="s">
        <v>31</v>
      </c>
      <c r="D5080" s="448">
        <v>3.66</v>
      </c>
      <c r="E5080" s="210"/>
    </row>
    <row r="5081" spans="1:7" ht="94.5">
      <c r="A5081" s="446">
        <v>102282</v>
      </c>
      <c r="B5081" s="447" t="s">
        <v>6807</v>
      </c>
      <c r="C5081" s="446" t="s">
        <v>31</v>
      </c>
      <c r="D5081" s="448">
        <v>9.3800000000000008</v>
      </c>
      <c r="E5081" s="210"/>
    </row>
    <row r="5082" spans="1:7" ht="94.5">
      <c r="A5082" s="446">
        <v>102283</v>
      </c>
      <c r="B5082" s="447" t="s">
        <v>6808</v>
      </c>
      <c r="C5082" s="446" t="s">
        <v>31</v>
      </c>
      <c r="D5082" s="448">
        <v>8.34</v>
      </c>
      <c r="E5082" s="210"/>
    </row>
    <row r="5083" spans="1:7" ht="94.5">
      <c r="A5083" s="446">
        <v>102284</v>
      </c>
      <c r="B5083" s="447" t="s">
        <v>6809</v>
      </c>
      <c r="C5083" s="446" t="s">
        <v>31</v>
      </c>
      <c r="D5083" s="448">
        <v>8.08</v>
      </c>
      <c r="E5083" s="210"/>
    </row>
    <row r="5084" spans="1:7" ht="94.5">
      <c r="A5084" s="446">
        <v>102285</v>
      </c>
      <c r="B5084" s="447" t="s">
        <v>6810</v>
      </c>
      <c r="C5084" s="446" t="s">
        <v>31</v>
      </c>
      <c r="D5084" s="448">
        <v>7.63</v>
      </c>
      <c r="E5084" s="210"/>
    </row>
    <row r="5085" spans="1:7" ht="94.5">
      <c r="A5085" s="446">
        <v>102286</v>
      </c>
      <c r="B5085" s="447" t="s">
        <v>6811</v>
      </c>
      <c r="C5085" s="446" t="s">
        <v>31</v>
      </c>
      <c r="D5085" s="448">
        <v>7.43</v>
      </c>
      <c r="E5085" s="210"/>
    </row>
    <row r="5086" spans="1:7" ht="94.5">
      <c r="A5086" s="446">
        <v>102287</v>
      </c>
      <c r="B5086" s="447" t="s">
        <v>6812</v>
      </c>
      <c r="C5086" s="446" t="s">
        <v>31</v>
      </c>
      <c r="D5086" s="448">
        <v>7.38</v>
      </c>
      <c r="E5086" s="210"/>
    </row>
    <row r="5087" spans="1:7" ht="94.5">
      <c r="A5087" s="446">
        <v>102288</v>
      </c>
      <c r="B5087" s="447" t="s">
        <v>6813</v>
      </c>
      <c r="C5087" s="446" t="s">
        <v>31</v>
      </c>
      <c r="D5087" s="448">
        <v>7.09</v>
      </c>
      <c r="E5087" s="210"/>
    </row>
    <row r="5088" spans="1:7" ht="94.5">
      <c r="A5088" s="446">
        <v>102289</v>
      </c>
      <c r="B5088" s="447" t="s">
        <v>6814</v>
      </c>
      <c r="C5088" s="446" t="s">
        <v>31</v>
      </c>
      <c r="D5088" s="448">
        <v>6.92</v>
      </c>
      <c r="E5088" s="210"/>
    </row>
    <row r="5089" spans="1:5" ht="94.5">
      <c r="A5089" s="446">
        <v>102290</v>
      </c>
      <c r="B5089" s="447" t="s">
        <v>6815</v>
      </c>
      <c r="C5089" s="446" t="s">
        <v>31</v>
      </c>
      <c r="D5089" s="448">
        <v>5.18</v>
      </c>
      <c r="E5089" s="210"/>
    </row>
    <row r="5090" spans="1:5" ht="94.5">
      <c r="A5090" s="446">
        <v>102291</v>
      </c>
      <c r="B5090" s="447" t="s">
        <v>6816</v>
      </c>
      <c r="C5090" s="446" t="s">
        <v>31</v>
      </c>
      <c r="D5090" s="448">
        <v>4.59</v>
      </c>
      <c r="E5090" s="210"/>
    </row>
    <row r="5091" spans="1:5" ht="94.5">
      <c r="A5091" s="446">
        <v>102292</v>
      </c>
      <c r="B5091" s="447" t="s">
        <v>6817</v>
      </c>
      <c r="C5091" s="446" t="s">
        <v>31</v>
      </c>
      <c r="D5091" s="448">
        <v>4.45</v>
      </c>
      <c r="E5091" s="210"/>
    </row>
    <row r="5092" spans="1:5" ht="94.5">
      <c r="A5092" s="446">
        <v>102293</v>
      </c>
      <c r="B5092" s="447" t="s">
        <v>6818</v>
      </c>
      <c r="C5092" s="446" t="s">
        <v>31</v>
      </c>
      <c r="D5092" s="448">
        <v>4.21</v>
      </c>
      <c r="E5092" s="210"/>
    </row>
    <row r="5093" spans="1:5" ht="94.5">
      <c r="A5093" s="446">
        <v>102294</v>
      </c>
      <c r="B5093" s="447" t="s">
        <v>6819</v>
      </c>
      <c r="C5093" s="446" t="s">
        <v>31</v>
      </c>
      <c r="D5093" s="448">
        <v>4.0999999999999996</v>
      </c>
      <c r="E5093" s="210"/>
    </row>
    <row r="5094" spans="1:5" ht="94.5">
      <c r="A5094" s="446">
        <v>102295</v>
      </c>
      <c r="B5094" s="447" t="s">
        <v>6820</v>
      </c>
      <c r="C5094" s="446" t="s">
        <v>31</v>
      </c>
      <c r="D5094" s="448">
        <v>4.0599999999999996</v>
      </c>
      <c r="E5094" s="210"/>
    </row>
    <row r="5095" spans="1:5" ht="94.5">
      <c r="A5095" s="446">
        <v>102296</v>
      </c>
      <c r="B5095" s="447" t="s">
        <v>6821</v>
      </c>
      <c r="C5095" s="446" t="s">
        <v>31</v>
      </c>
      <c r="D5095" s="448">
        <v>3.9</v>
      </c>
      <c r="E5095" s="210"/>
    </row>
    <row r="5096" spans="1:5" ht="94.5">
      <c r="A5096" s="446">
        <v>102297</v>
      </c>
      <c r="B5096" s="447" t="s">
        <v>6822</v>
      </c>
      <c r="C5096" s="446" t="s">
        <v>31</v>
      </c>
      <c r="D5096" s="448">
        <v>3.81</v>
      </c>
      <c r="E5096" s="210"/>
    </row>
    <row r="5097" spans="1:5" ht="94.5">
      <c r="A5097" s="446">
        <v>102298</v>
      </c>
      <c r="B5097" s="447" t="s">
        <v>6823</v>
      </c>
      <c r="C5097" s="446" t="s">
        <v>31</v>
      </c>
      <c r="D5097" s="448">
        <v>11.53</v>
      </c>
      <c r="E5097" s="210"/>
    </row>
    <row r="5098" spans="1:5" ht="94.5">
      <c r="A5098" s="446">
        <v>102299</v>
      </c>
      <c r="B5098" s="447" t="s">
        <v>6824</v>
      </c>
      <c r="C5098" s="446" t="s">
        <v>31</v>
      </c>
      <c r="D5098" s="448">
        <v>9.7899999999999991</v>
      </c>
      <c r="E5098" s="210"/>
    </row>
    <row r="5099" spans="1:5" ht="94.5">
      <c r="A5099" s="446">
        <v>102300</v>
      </c>
      <c r="B5099" s="447" t="s">
        <v>6825</v>
      </c>
      <c r="C5099" s="446" t="s">
        <v>31</v>
      </c>
      <c r="D5099" s="448">
        <v>9.67</v>
      </c>
      <c r="E5099" s="210"/>
    </row>
    <row r="5100" spans="1:5" ht="94.5">
      <c r="A5100" s="446">
        <v>102301</v>
      </c>
      <c r="B5100" s="447" t="s">
        <v>6826</v>
      </c>
      <c r="C5100" s="446" t="s">
        <v>31</v>
      </c>
      <c r="D5100" s="448">
        <v>8.7899999999999991</v>
      </c>
      <c r="E5100" s="210"/>
    </row>
    <row r="5101" spans="1:5" ht="94.5">
      <c r="A5101" s="446">
        <v>102302</v>
      </c>
      <c r="B5101" s="447" t="s">
        <v>6827</v>
      </c>
      <c r="C5101" s="446" t="s">
        <v>31</v>
      </c>
      <c r="D5101" s="448">
        <v>6.36</v>
      </c>
      <c r="E5101" s="210"/>
    </row>
    <row r="5102" spans="1:5" ht="94.5">
      <c r="A5102" s="446">
        <v>102303</v>
      </c>
      <c r="B5102" s="447" t="s">
        <v>6828</v>
      </c>
      <c r="C5102" s="446" t="s">
        <v>31</v>
      </c>
      <c r="D5102" s="448">
        <v>5.39</v>
      </c>
      <c r="E5102" s="210"/>
    </row>
    <row r="5103" spans="1:5" ht="94.5">
      <c r="A5103" s="446">
        <v>102304</v>
      </c>
      <c r="B5103" s="447" t="s">
        <v>6829</v>
      </c>
      <c r="C5103" s="446" t="s">
        <v>31</v>
      </c>
      <c r="D5103" s="448">
        <v>5.32</v>
      </c>
      <c r="E5103" s="210"/>
    </row>
    <row r="5104" spans="1:5" ht="94.5">
      <c r="A5104" s="446">
        <v>102305</v>
      </c>
      <c r="B5104" s="447" t="s">
        <v>6830</v>
      </c>
      <c r="C5104" s="446" t="s">
        <v>31</v>
      </c>
      <c r="D5104" s="448">
        <v>4.8600000000000003</v>
      </c>
      <c r="E5104" s="210"/>
    </row>
    <row r="5105" spans="1:5" ht="94.5">
      <c r="A5105" s="446">
        <v>102306</v>
      </c>
      <c r="B5105" s="447" t="s">
        <v>6831</v>
      </c>
      <c r="C5105" s="446" t="s">
        <v>31</v>
      </c>
      <c r="D5105" s="448">
        <v>10.58</v>
      </c>
      <c r="E5105" s="210"/>
    </row>
    <row r="5106" spans="1:5" ht="94.5">
      <c r="A5106" s="446">
        <v>102307</v>
      </c>
      <c r="B5106" s="447" t="s">
        <v>6832</v>
      </c>
      <c r="C5106" s="446" t="s">
        <v>31</v>
      </c>
      <c r="D5106" s="448">
        <v>9.3800000000000008</v>
      </c>
      <c r="E5106" s="210"/>
    </row>
    <row r="5107" spans="1:5" ht="94.5">
      <c r="A5107" s="446">
        <v>102308</v>
      </c>
      <c r="B5107" s="447" t="s">
        <v>6833</v>
      </c>
      <c r="C5107" s="446" t="s">
        <v>31</v>
      </c>
      <c r="D5107" s="448">
        <v>9.09</v>
      </c>
      <c r="E5107" s="210"/>
    </row>
    <row r="5108" spans="1:5" ht="108">
      <c r="A5108" s="446">
        <v>102309</v>
      </c>
      <c r="B5108" s="447" t="s">
        <v>6834</v>
      </c>
      <c r="C5108" s="446" t="s">
        <v>31</v>
      </c>
      <c r="D5108" s="448">
        <v>8.6</v>
      </c>
      <c r="E5108" s="210"/>
    </row>
    <row r="5109" spans="1:5" ht="94.5">
      <c r="A5109" s="446">
        <v>102310</v>
      </c>
      <c r="B5109" s="447" t="s">
        <v>6835</v>
      </c>
      <c r="C5109" s="446" t="s">
        <v>31</v>
      </c>
      <c r="D5109" s="448">
        <v>8.35</v>
      </c>
      <c r="E5109" s="210"/>
    </row>
    <row r="5110" spans="1:5" ht="108">
      <c r="A5110" s="446">
        <v>102311</v>
      </c>
      <c r="B5110" s="447" t="s">
        <v>6836</v>
      </c>
      <c r="C5110" s="446" t="s">
        <v>31</v>
      </c>
      <c r="D5110" s="448">
        <v>8.2899999999999991</v>
      </c>
      <c r="E5110" s="210"/>
    </row>
    <row r="5111" spans="1:5" ht="108">
      <c r="A5111" s="446">
        <v>102312</v>
      </c>
      <c r="B5111" s="447" t="s">
        <v>6837</v>
      </c>
      <c r="C5111" s="446" t="s">
        <v>31</v>
      </c>
      <c r="D5111" s="448">
        <v>7.97</v>
      </c>
      <c r="E5111" s="210"/>
    </row>
    <row r="5112" spans="1:5" ht="108">
      <c r="A5112" s="446">
        <v>102313</v>
      </c>
      <c r="B5112" s="447" t="s">
        <v>6838</v>
      </c>
      <c r="C5112" s="446" t="s">
        <v>31</v>
      </c>
      <c r="D5112" s="448">
        <v>7.78</v>
      </c>
      <c r="E5112" s="210"/>
    </row>
    <row r="5113" spans="1:5" ht="94.5">
      <c r="A5113" s="446">
        <v>102314</v>
      </c>
      <c r="B5113" s="447" t="s">
        <v>6839</v>
      </c>
      <c r="C5113" s="446" t="s">
        <v>31</v>
      </c>
      <c r="D5113" s="448">
        <v>5.83</v>
      </c>
      <c r="E5113" s="210"/>
    </row>
    <row r="5114" spans="1:5" ht="94.5">
      <c r="A5114" s="446">
        <v>102315</v>
      </c>
      <c r="B5114" s="447" t="s">
        <v>6840</v>
      </c>
      <c r="C5114" s="446" t="s">
        <v>31</v>
      </c>
      <c r="D5114" s="448">
        <v>5.17</v>
      </c>
      <c r="E5114" s="210"/>
    </row>
    <row r="5115" spans="1:5" ht="108">
      <c r="A5115" s="446">
        <v>102316</v>
      </c>
      <c r="B5115" s="447" t="s">
        <v>6841</v>
      </c>
      <c r="C5115" s="446" t="s">
        <v>31</v>
      </c>
      <c r="D5115" s="448">
        <v>5.01</v>
      </c>
      <c r="E5115" s="210"/>
    </row>
    <row r="5116" spans="1:5" ht="108">
      <c r="A5116" s="446">
        <v>102317</v>
      </c>
      <c r="B5116" s="447" t="s">
        <v>6842</v>
      </c>
      <c r="C5116" s="446" t="s">
        <v>31</v>
      </c>
      <c r="D5116" s="448">
        <v>4.7300000000000004</v>
      </c>
      <c r="E5116" s="210"/>
    </row>
    <row r="5117" spans="1:5" ht="108">
      <c r="A5117" s="446">
        <v>102318</v>
      </c>
      <c r="B5117" s="447" t="s">
        <v>6843</v>
      </c>
      <c r="C5117" s="446" t="s">
        <v>31</v>
      </c>
      <c r="D5117" s="448">
        <v>4.6100000000000003</v>
      </c>
      <c r="E5117" s="210"/>
    </row>
    <row r="5118" spans="1:5" ht="94.5">
      <c r="A5118" s="446">
        <v>102319</v>
      </c>
      <c r="B5118" s="447" t="s">
        <v>6844</v>
      </c>
      <c r="C5118" s="446" t="s">
        <v>31</v>
      </c>
      <c r="D5118" s="448">
        <v>4.57</v>
      </c>
      <c r="E5118" s="210"/>
    </row>
    <row r="5119" spans="1:5" ht="108">
      <c r="A5119" s="446">
        <v>102320</v>
      </c>
      <c r="B5119" s="447" t="s">
        <v>6845</v>
      </c>
      <c r="C5119" s="446" t="s">
        <v>31</v>
      </c>
      <c r="D5119" s="448">
        <v>4.3899999999999997</v>
      </c>
      <c r="E5119" s="210"/>
    </row>
    <row r="5120" spans="1:5" ht="108">
      <c r="A5120" s="446">
        <v>102321</v>
      </c>
      <c r="B5120" s="447" t="s">
        <v>6846</v>
      </c>
      <c r="C5120" s="446" t="s">
        <v>31</v>
      </c>
      <c r="D5120" s="448">
        <v>4.3</v>
      </c>
      <c r="E5120" s="210"/>
    </row>
    <row r="5121" spans="1:5" ht="94.5">
      <c r="A5121" s="446">
        <v>102322</v>
      </c>
      <c r="B5121" s="447" t="s">
        <v>6847</v>
      </c>
      <c r="C5121" s="446" t="s">
        <v>31</v>
      </c>
      <c r="D5121" s="448">
        <v>12.98</v>
      </c>
      <c r="E5121" s="210"/>
    </row>
    <row r="5122" spans="1:5" ht="94.5">
      <c r="A5122" s="446">
        <v>102323</v>
      </c>
      <c r="B5122" s="447" t="s">
        <v>6848</v>
      </c>
      <c r="C5122" s="446" t="s">
        <v>31</v>
      </c>
      <c r="D5122" s="448">
        <v>11.03</v>
      </c>
      <c r="E5122" s="210"/>
    </row>
    <row r="5123" spans="1:5" ht="94.5">
      <c r="A5123" s="446">
        <v>102324</v>
      </c>
      <c r="B5123" s="447" t="s">
        <v>6849</v>
      </c>
      <c r="C5123" s="446" t="s">
        <v>31</v>
      </c>
      <c r="D5123" s="448">
        <v>10.88</v>
      </c>
      <c r="E5123" s="210"/>
    </row>
    <row r="5124" spans="1:5" ht="94.5">
      <c r="A5124" s="446">
        <v>102325</v>
      </c>
      <c r="B5124" s="447" t="s">
        <v>6850</v>
      </c>
      <c r="C5124" s="446" t="s">
        <v>31</v>
      </c>
      <c r="D5124" s="448">
        <v>9.9</v>
      </c>
      <c r="E5124" s="210"/>
    </row>
    <row r="5125" spans="1:5" ht="94.5">
      <c r="A5125" s="446">
        <v>102326</v>
      </c>
      <c r="B5125" s="447" t="s">
        <v>6851</v>
      </c>
      <c r="C5125" s="446" t="s">
        <v>31</v>
      </c>
      <c r="D5125" s="448">
        <v>7.16</v>
      </c>
      <c r="E5125" s="210"/>
    </row>
    <row r="5126" spans="1:5" ht="94.5">
      <c r="A5126" s="446">
        <v>102327</v>
      </c>
      <c r="B5126" s="447" t="s">
        <v>6852</v>
      </c>
      <c r="C5126" s="446" t="s">
        <v>31</v>
      </c>
      <c r="D5126" s="448">
        <v>6.08</v>
      </c>
      <c r="E5126" s="210"/>
    </row>
    <row r="5127" spans="1:5" ht="94.5">
      <c r="A5127" s="446">
        <v>102328</v>
      </c>
      <c r="B5127" s="447" t="s">
        <v>6853</v>
      </c>
      <c r="C5127" s="446" t="s">
        <v>31</v>
      </c>
      <c r="D5127" s="448">
        <v>6</v>
      </c>
      <c r="E5127" s="210"/>
    </row>
    <row r="5128" spans="1:5" ht="94.5">
      <c r="A5128" s="446">
        <v>102329</v>
      </c>
      <c r="B5128" s="447" t="s">
        <v>6854</v>
      </c>
      <c r="C5128" s="446" t="s">
        <v>31</v>
      </c>
      <c r="D5128" s="448">
        <v>5.46</v>
      </c>
      <c r="E5128" s="210"/>
    </row>
    <row r="5129" spans="1:5" ht="81">
      <c r="A5129" s="446">
        <v>94304</v>
      </c>
      <c r="B5129" s="447" t="s">
        <v>2491</v>
      </c>
      <c r="C5129" s="446" t="s">
        <v>31</v>
      </c>
      <c r="D5129" s="448">
        <v>25.73</v>
      </c>
      <c r="E5129" s="210"/>
    </row>
    <row r="5130" spans="1:5" ht="81">
      <c r="A5130" s="446">
        <v>94305</v>
      </c>
      <c r="B5130" s="447" t="s">
        <v>2492</v>
      </c>
      <c r="C5130" s="446" t="s">
        <v>31</v>
      </c>
      <c r="D5130" s="448">
        <v>23.25</v>
      </c>
      <c r="E5130" s="210"/>
    </row>
    <row r="5131" spans="1:5" ht="81">
      <c r="A5131" s="446">
        <v>94306</v>
      </c>
      <c r="B5131" s="447" t="s">
        <v>2493</v>
      </c>
      <c r="C5131" s="446" t="s">
        <v>31</v>
      </c>
      <c r="D5131" s="448">
        <v>20.149999999999999</v>
      </c>
      <c r="E5131" s="210"/>
    </row>
    <row r="5132" spans="1:5" ht="81">
      <c r="A5132" s="446">
        <v>94307</v>
      </c>
      <c r="B5132" s="447" t="s">
        <v>2494</v>
      </c>
      <c r="C5132" s="446" t="s">
        <v>31</v>
      </c>
      <c r="D5132" s="448">
        <v>20.87</v>
      </c>
      <c r="E5132" s="210"/>
    </row>
    <row r="5133" spans="1:5" ht="81">
      <c r="A5133" s="446">
        <v>94308</v>
      </c>
      <c r="B5133" s="447" t="s">
        <v>2495</v>
      </c>
      <c r="C5133" s="446" t="s">
        <v>31</v>
      </c>
      <c r="D5133" s="448">
        <v>18.899999999999999</v>
      </c>
      <c r="E5133" s="210"/>
    </row>
    <row r="5134" spans="1:5" ht="81">
      <c r="A5134" s="446">
        <v>94309</v>
      </c>
      <c r="B5134" s="447" t="s">
        <v>2496</v>
      </c>
      <c r="C5134" s="446" t="s">
        <v>31</v>
      </c>
      <c r="D5134" s="448">
        <v>19.8</v>
      </c>
      <c r="E5134" s="210"/>
    </row>
    <row r="5135" spans="1:5" ht="81">
      <c r="A5135" s="446">
        <v>94310</v>
      </c>
      <c r="B5135" s="447" t="s">
        <v>2497</v>
      </c>
      <c r="C5135" s="446" t="s">
        <v>31</v>
      </c>
      <c r="D5135" s="448">
        <v>18.260000000000002</v>
      </c>
      <c r="E5135" s="210"/>
    </row>
    <row r="5136" spans="1:5" ht="67.5">
      <c r="A5136" s="446">
        <v>94315</v>
      </c>
      <c r="B5136" s="447" t="s">
        <v>523</v>
      </c>
      <c r="C5136" s="446" t="s">
        <v>31</v>
      </c>
      <c r="D5136" s="448">
        <v>29.64</v>
      </c>
      <c r="E5136" s="210"/>
    </row>
    <row r="5137" spans="1:5" ht="81">
      <c r="A5137" s="446">
        <v>94316</v>
      </c>
      <c r="B5137" s="447" t="s">
        <v>2498</v>
      </c>
      <c r="C5137" s="446" t="s">
        <v>31</v>
      </c>
      <c r="D5137" s="448">
        <v>24.17</v>
      </c>
      <c r="E5137" s="210"/>
    </row>
    <row r="5138" spans="1:5" ht="81">
      <c r="A5138" s="446">
        <v>94317</v>
      </c>
      <c r="B5138" s="447" t="s">
        <v>524</v>
      </c>
      <c r="C5138" s="446" t="s">
        <v>31</v>
      </c>
      <c r="D5138" s="448">
        <v>21.76</v>
      </c>
      <c r="E5138" s="210"/>
    </row>
    <row r="5139" spans="1:5" ht="81">
      <c r="A5139" s="446">
        <v>94318</v>
      </c>
      <c r="B5139" s="447" t="s">
        <v>2499</v>
      </c>
      <c r="C5139" s="446" t="s">
        <v>31</v>
      </c>
      <c r="D5139" s="448">
        <v>18.649999999999999</v>
      </c>
      <c r="E5139" s="210"/>
    </row>
    <row r="5140" spans="1:5" ht="40.5">
      <c r="A5140" s="446">
        <v>94319</v>
      </c>
      <c r="B5140" s="447" t="s">
        <v>2500</v>
      </c>
      <c r="C5140" s="446" t="s">
        <v>31</v>
      </c>
      <c r="D5140" s="448">
        <v>32.020000000000003</v>
      </c>
      <c r="E5140" s="210"/>
    </row>
    <row r="5141" spans="1:5" ht="81">
      <c r="A5141" s="446">
        <v>94327</v>
      </c>
      <c r="B5141" s="447" t="s">
        <v>2501</v>
      </c>
      <c r="C5141" s="446" t="s">
        <v>31</v>
      </c>
      <c r="D5141" s="448">
        <v>85.47</v>
      </c>
      <c r="E5141" s="210"/>
    </row>
    <row r="5142" spans="1:5" ht="81">
      <c r="A5142" s="446">
        <v>94328</v>
      </c>
      <c r="B5142" s="447" t="s">
        <v>2502</v>
      </c>
      <c r="C5142" s="446" t="s">
        <v>31</v>
      </c>
      <c r="D5142" s="448">
        <v>82.99</v>
      </c>
      <c r="E5142" s="210"/>
    </row>
    <row r="5143" spans="1:5" ht="81">
      <c r="A5143" s="446">
        <v>94329</v>
      </c>
      <c r="B5143" s="447" t="s">
        <v>2503</v>
      </c>
      <c r="C5143" s="446" t="s">
        <v>31</v>
      </c>
      <c r="D5143" s="448">
        <v>79.89</v>
      </c>
      <c r="E5143" s="210"/>
    </row>
    <row r="5144" spans="1:5" ht="81">
      <c r="A5144" s="446">
        <v>94330</v>
      </c>
      <c r="B5144" s="447" t="s">
        <v>2504</v>
      </c>
      <c r="C5144" s="446" t="s">
        <v>31</v>
      </c>
      <c r="D5144" s="448">
        <v>80.61</v>
      </c>
      <c r="E5144" s="210"/>
    </row>
    <row r="5145" spans="1:5" ht="81">
      <c r="A5145" s="446">
        <v>94331</v>
      </c>
      <c r="B5145" s="447" t="s">
        <v>2505</v>
      </c>
      <c r="C5145" s="446" t="s">
        <v>31</v>
      </c>
      <c r="D5145" s="448">
        <v>78.64</v>
      </c>
      <c r="E5145" s="210"/>
    </row>
    <row r="5146" spans="1:5" ht="81">
      <c r="A5146" s="446">
        <v>94332</v>
      </c>
      <c r="B5146" s="447" t="s">
        <v>2506</v>
      </c>
      <c r="C5146" s="446" t="s">
        <v>31</v>
      </c>
      <c r="D5146" s="448">
        <v>79.540000000000006</v>
      </c>
      <c r="E5146" s="210"/>
    </row>
    <row r="5147" spans="1:5" ht="81">
      <c r="A5147" s="446">
        <v>94333</v>
      </c>
      <c r="B5147" s="447" t="s">
        <v>2507</v>
      </c>
      <c r="C5147" s="446" t="s">
        <v>31</v>
      </c>
      <c r="D5147" s="448">
        <v>78</v>
      </c>
      <c r="E5147" s="210"/>
    </row>
    <row r="5148" spans="1:5" ht="67.5">
      <c r="A5148" s="446">
        <v>94338</v>
      </c>
      <c r="B5148" s="447" t="s">
        <v>525</v>
      </c>
      <c r="C5148" s="446" t="s">
        <v>31</v>
      </c>
      <c r="D5148" s="448">
        <v>89.38</v>
      </c>
      <c r="E5148" s="210"/>
    </row>
    <row r="5149" spans="1:5" ht="81">
      <c r="A5149" s="446">
        <v>94339</v>
      </c>
      <c r="B5149" s="447" t="s">
        <v>2508</v>
      </c>
      <c r="C5149" s="446" t="s">
        <v>31</v>
      </c>
      <c r="D5149" s="448">
        <v>83.91</v>
      </c>
      <c r="E5149" s="210"/>
    </row>
    <row r="5150" spans="1:5" ht="81">
      <c r="A5150" s="446">
        <v>94340</v>
      </c>
      <c r="B5150" s="447" t="s">
        <v>526</v>
      </c>
      <c r="C5150" s="446" t="s">
        <v>31</v>
      </c>
      <c r="D5150" s="448">
        <v>81.5</v>
      </c>
      <c r="E5150" s="210"/>
    </row>
    <row r="5151" spans="1:5" ht="81">
      <c r="A5151" s="446">
        <v>94341</v>
      </c>
      <c r="B5151" s="447" t="s">
        <v>2509</v>
      </c>
      <c r="C5151" s="446" t="s">
        <v>31</v>
      </c>
      <c r="D5151" s="448">
        <v>78.39</v>
      </c>
      <c r="E5151" s="210"/>
    </row>
    <row r="5152" spans="1:5" ht="40.5">
      <c r="A5152" s="446">
        <v>94342</v>
      </c>
      <c r="B5152" s="447" t="s">
        <v>527</v>
      </c>
      <c r="C5152" s="446" t="s">
        <v>31</v>
      </c>
      <c r="D5152" s="448">
        <v>91.76</v>
      </c>
      <c r="E5152" s="210"/>
    </row>
    <row r="5153" spans="1:5" ht="54">
      <c r="A5153" s="446">
        <v>96385</v>
      </c>
      <c r="B5153" s="447" t="s">
        <v>5309</v>
      </c>
      <c r="C5153" s="446" t="s">
        <v>31</v>
      </c>
      <c r="D5153" s="448">
        <v>7.16</v>
      </c>
      <c r="E5153" s="210"/>
    </row>
    <row r="5154" spans="1:5" ht="54">
      <c r="A5154" s="446">
        <v>96386</v>
      </c>
      <c r="B5154" s="447" t="s">
        <v>5310</v>
      </c>
      <c r="C5154" s="446" t="s">
        <v>31</v>
      </c>
      <c r="D5154" s="448">
        <v>5.23</v>
      </c>
      <c r="E5154" s="210"/>
    </row>
    <row r="5155" spans="1:5" ht="94.5">
      <c r="A5155" s="446">
        <v>93360</v>
      </c>
      <c r="B5155" s="447" t="s">
        <v>4071</v>
      </c>
      <c r="C5155" s="446" t="s">
        <v>31</v>
      </c>
      <c r="D5155" s="448">
        <v>14.74</v>
      </c>
      <c r="E5155" s="210"/>
    </row>
    <row r="5156" spans="1:5" ht="94.5">
      <c r="A5156" s="446">
        <v>93361</v>
      </c>
      <c r="B5156" s="447" t="s">
        <v>4072</v>
      </c>
      <c r="C5156" s="446" t="s">
        <v>31</v>
      </c>
      <c r="D5156" s="448">
        <v>12.35</v>
      </c>
      <c r="E5156" s="210"/>
    </row>
    <row r="5157" spans="1:5" ht="94.5">
      <c r="A5157" s="446">
        <v>93362</v>
      </c>
      <c r="B5157" s="447" t="s">
        <v>4073</v>
      </c>
      <c r="C5157" s="446" t="s">
        <v>31</v>
      </c>
      <c r="D5157" s="448">
        <v>9.16</v>
      </c>
      <c r="E5157" s="210"/>
    </row>
    <row r="5158" spans="1:5" ht="94.5">
      <c r="A5158" s="446">
        <v>93363</v>
      </c>
      <c r="B5158" s="447" t="s">
        <v>4074</v>
      </c>
      <c r="C5158" s="446" t="s">
        <v>31</v>
      </c>
      <c r="D5158" s="448">
        <v>9.8699999999999992</v>
      </c>
      <c r="E5158" s="210"/>
    </row>
    <row r="5159" spans="1:5" ht="108">
      <c r="A5159" s="446">
        <v>93364</v>
      </c>
      <c r="B5159" s="447" t="s">
        <v>2410</v>
      </c>
      <c r="C5159" s="446" t="s">
        <v>31</v>
      </c>
      <c r="D5159" s="448">
        <v>7.9</v>
      </c>
      <c r="E5159" s="210"/>
    </row>
    <row r="5160" spans="1:5" ht="94.5">
      <c r="A5160" s="446">
        <v>93365</v>
      </c>
      <c r="B5160" s="447" t="s">
        <v>4075</v>
      </c>
      <c r="C5160" s="446" t="s">
        <v>31</v>
      </c>
      <c r="D5160" s="448">
        <v>8.75</v>
      </c>
      <c r="E5160" s="210"/>
    </row>
    <row r="5161" spans="1:5" ht="94.5">
      <c r="A5161" s="446">
        <v>93366</v>
      </c>
      <c r="B5161" s="447" t="s">
        <v>4076</v>
      </c>
      <c r="C5161" s="446" t="s">
        <v>31</v>
      </c>
      <c r="D5161" s="448">
        <v>7.27</v>
      </c>
      <c r="E5161" s="210"/>
    </row>
    <row r="5162" spans="1:5" ht="94.5">
      <c r="A5162" s="446">
        <v>93367</v>
      </c>
      <c r="B5162" s="447" t="s">
        <v>4077</v>
      </c>
      <c r="C5162" s="446" t="s">
        <v>31</v>
      </c>
      <c r="D5162" s="448">
        <v>13.74</v>
      </c>
      <c r="E5162" s="210"/>
    </row>
    <row r="5163" spans="1:5" ht="94.5">
      <c r="A5163" s="446">
        <v>93368</v>
      </c>
      <c r="B5163" s="447" t="s">
        <v>4078</v>
      </c>
      <c r="C5163" s="446" t="s">
        <v>31</v>
      </c>
      <c r="D5163" s="448">
        <v>11.28</v>
      </c>
      <c r="E5163" s="210"/>
    </row>
    <row r="5164" spans="1:5" ht="108">
      <c r="A5164" s="446">
        <v>93369</v>
      </c>
      <c r="B5164" s="447" t="s">
        <v>2411</v>
      </c>
      <c r="C5164" s="446" t="s">
        <v>31</v>
      </c>
      <c r="D5164" s="448">
        <v>8.18</v>
      </c>
      <c r="E5164" s="210"/>
    </row>
    <row r="5165" spans="1:5" ht="94.5">
      <c r="A5165" s="446">
        <v>93370</v>
      </c>
      <c r="B5165" s="447" t="s">
        <v>4079</v>
      </c>
      <c r="C5165" s="446" t="s">
        <v>31</v>
      </c>
      <c r="D5165" s="448">
        <v>8.89</v>
      </c>
      <c r="E5165" s="210"/>
    </row>
    <row r="5166" spans="1:5" ht="108">
      <c r="A5166" s="446">
        <v>93371</v>
      </c>
      <c r="B5166" s="447" t="s">
        <v>2412</v>
      </c>
      <c r="C5166" s="446" t="s">
        <v>31</v>
      </c>
      <c r="D5166" s="448">
        <v>6.92</v>
      </c>
      <c r="E5166" s="210"/>
    </row>
    <row r="5167" spans="1:5" ht="94.5">
      <c r="A5167" s="446">
        <v>93372</v>
      </c>
      <c r="B5167" s="447" t="s">
        <v>4080</v>
      </c>
      <c r="C5167" s="446" t="s">
        <v>31</v>
      </c>
      <c r="D5167" s="448">
        <v>7.82</v>
      </c>
      <c r="E5167" s="210"/>
    </row>
    <row r="5168" spans="1:5" ht="108">
      <c r="A5168" s="446">
        <v>93373</v>
      </c>
      <c r="B5168" s="447" t="s">
        <v>2413</v>
      </c>
      <c r="C5168" s="446" t="s">
        <v>31</v>
      </c>
      <c r="D5168" s="448">
        <v>6.3</v>
      </c>
      <c r="E5168" s="210"/>
    </row>
    <row r="5169" spans="1:5" ht="94.5">
      <c r="A5169" s="446">
        <v>93374</v>
      </c>
      <c r="B5169" s="447" t="s">
        <v>2414</v>
      </c>
      <c r="C5169" s="446" t="s">
        <v>31</v>
      </c>
      <c r="D5169" s="448">
        <v>16.420000000000002</v>
      </c>
      <c r="E5169" s="210"/>
    </row>
    <row r="5170" spans="1:5" ht="94.5">
      <c r="A5170" s="446">
        <v>93375</v>
      </c>
      <c r="B5170" s="447" t="s">
        <v>4081</v>
      </c>
      <c r="C5170" s="446" t="s">
        <v>31</v>
      </c>
      <c r="D5170" s="448">
        <v>12.68</v>
      </c>
      <c r="E5170" s="210"/>
    </row>
    <row r="5171" spans="1:5" ht="94.5">
      <c r="A5171" s="446">
        <v>93376</v>
      </c>
      <c r="B5171" s="447" t="s">
        <v>4082</v>
      </c>
      <c r="C5171" s="446" t="s">
        <v>31</v>
      </c>
      <c r="D5171" s="448">
        <v>10.44</v>
      </c>
      <c r="E5171" s="210"/>
    </row>
    <row r="5172" spans="1:5" ht="108">
      <c r="A5172" s="446">
        <v>93377</v>
      </c>
      <c r="B5172" s="447" t="s">
        <v>2415</v>
      </c>
      <c r="C5172" s="446" t="s">
        <v>31</v>
      </c>
      <c r="D5172" s="448">
        <v>7.15</v>
      </c>
      <c r="E5172" s="210"/>
    </row>
    <row r="5173" spans="1:5" ht="94.5">
      <c r="A5173" s="446">
        <v>93378</v>
      </c>
      <c r="B5173" s="447" t="s">
        <v>4083</v>
      </c>
      <c r="C5173" s="446" t="s">
        <v>31</v>
      </c>
      <c r="D5173" s="448">
        <v>15.29</v>
      </c>
      <c r="E5173" s="210"/>
    </row>
    <row r="5174" spans="1:5" ht="94.5">
      <c r="A5174" s="446">
        <v>93379</v>
      </c>
      <c r="B5174" s="447" t="s">
        <v>4084</v>
      </c>
      <c r="C5174" s="446" t="s">
        <v>31</v>
      </c>
      <c r="D5174" s="448">
        <v>11.83</v>
      </c>
      <c r="E5174" s="210"/>
    </row>
    <row r="5175" spans="1:5" ht="94.5">
      <c r="A5175" s="446">
        <v>93380</v>
      </c>
      <c r="B5175" s="447" t="s">
        <v>4085</v>
      </c>
      <c r="C5175" s="446" t="s">
        <v>31</v>
      </c>
      <c r="D5175" s="448">
        <v>9.77</v>
      </c>
      <c r="E5175" s="210"/>
    </row>
    <row r="5176" spans="1:5" ht="108">
      <c r="A5176" s="446">
        <v>93381</v>
      </c>
      <c r="B5176" s="447" t="s">
        <v>2416</v>
      </c>
      <c r="C5176" s="446" t="s">
        <v>31</v>
      </c>
      <c r="D5176" s="448">
        <v>6.67</v>
      </c>
      <c r="E5176" s="210"/>
    </row>
    <row r="5177" spans="1:5" ht="27">
      <c r="A5177" s="446">
        <v>93382</v>
      </c>
      <c r="B5177" s="447" t="s">
        <v>506</v>
      </c>
      <c r="C5177" s="446" t="s">
        <v>31</v>
      </c>
      <c r="D5177" s="448">
        <v>20.05</v>
      </c>
      <c r="E5177" s="210"/>
    </row>
    <row r="5178" spans="1:5" ht="27">
      <c r="A5178" s="446">
        <v>96995</v>
      </c>
      <c r="B5178" s="447" t="s">
        <v>3333</v>
      </c>
      <c r="C5178" s="446" t="s">
        <v>31</v>
      </c>
      <c r="D5178" s="448">
        <v>33.619999999999997</v>
      </c>
      <c r="E5178" s="210"/>
    </row>
    <row r="5179" spans="1:5" ht="40.5">
      <c r="A5179" s="446">
        <v>97916</v>
      </c>
      <c r="B5179" s="447" t="s">
        <v>5311</v>
      </c>
      <c r="C5179" s="446" t="s">
        <v>89</v>
      </c>
      <c r="D5179" s="448">
        <v>1.71</v>
      </c>
      <c r="E5179" s="210"/>
    </row>
    <row r="5180" spans="1:5" ht="40.5">
      <c r="A5180" s="446">
        <v>97917</v>
      </c>
      <c r="B5180" s="447" t="s">
        <v>5312</v>
      </c>
      <c r="C5180" s="446" t="s">
        <v>89</v>
      </c>
      <c r="D5180" s="448">
        <v>1.47</v>
      </c>
      <c r="E5180" s="210"/>
    </row>
    <row r="5181" spans="1:5" ht="40.5">
      <c r="A5181" s="446">
        <v>97918</v>
      </c>
      <c r="B5181" s="447" t="s">
        <v>5313</v>
      </c>
      <c r="C5181" s="446" t="s">
        <v>89</v>
      </c>
      <c r="D5181" s="448">
        <v>1.35</v>
      </c>
      <c r="E5181" s="210"/>
    </row>
    <row r="5182" spans="1:5" ht="54">
      <c r="A5182" s="446">
        <v>97919</v>
      </c>
      <c r="B5182" s="447" t="s">
        <v>5314</v>
      </c>
      <c r="C5182" s="446" t="s">
        <v>89</v>
      </c>
      <c r="D5182" s="448">
        <v>0.53</v>
      </c>
      <c r="E5182" s="210"/>
    </row>
    <row r="5183" spans="1:5" ht="40.5">
      <c r="A5183" s="446">
        <v>101616</v>
      </c>
      <c r="B5183" s="447" t="s">
        <v>5315</v>
      </c>
      <c r="C5183" s="446" t="s">
        <v>42</v>
      </c>
      <c r="D5183" s="448">
        <v>4.0599999999999996</v>
      </c>
      <c r="E5183" s="210"/>
    </row>
    <row r="5184" spans="1:5" ht="40.5">
      <c r="A5184" s="446">
        <v>101617</v>
      </c>
      <c r="B5184" s="447" t="s">
        <v>5316</v>
      </c>
      <c r="C5184" s="446" t="s">
        <v>42</v>
      </c>
      <c r="D5184" s="448">
        <v>2</v>
      </c>
      <c r="E5184" s="210"/>
    </row>
    <row r="5185" spans="1:5" ht="40.5">
      <c r="A5185" s="446">
        <v>101618</v>
      </c>
      <c r="B5185" s="447" t="s">
        <v>5317</v>
      </c>
      <c r="C5185" s="446" t="s">
        <v>31</v>
      </c>
      <c r="D5185" s="448">
        <v>162.72999999999999</v>
      </c>
      <c r="E5185" s="210"/>
    </row>
    <row r="5186" spans="1:5" ht="40.5">
      <c r="A5186" s="446">
        <v>101619</v>
      </c>
      <c r="B5186" s="447" t="s">
        <v>5318</v>
      </c>
      <c r="C5186" s="446" t="s">
        <v>31</v>
      </c>
      <c r="D5186" s="448">
        <v>199.82</v>
      </c>
      <c r="E5186" s="210"/>
    </row>
    <row r="5187" spans="1:5" ht="54">
      <c r="A5187" s="446">
        <v>101620</v>
      </c>
      <c r="B5187" s="447" t="s">
        <v>5319</v>
      </c>
      <c r="C5187" s="446" t="s">
        <v>31</v>
      </c>
      <c r="D5187" s="448">
        <v>146.5</v>
      </c>
      <c r="E5187" s="210"/>
    </row>
    <row r="5188" spans="1:5" ht="54">
      <c r="A5188" s="446">
        <v>101621</v>
      </c>
      <c r="B5188" s="447" t="s">
        <v>5320</v>
      </c>
      <c r="C5188" s="446" t="s">
        <v>31</v>
      </c>
      <c r="D5188" s="448">
        <v>183.58</v>
      </c>
      <c r="E5188" s="210"/>
    </row>
    <row r="5189" spans="1:5" ht="40.5">
      <c r="A5189" s="446">
        <v>101622</v>
      </c>
      <c r="B5189" s="447" t="s">
        <v>5321</v>
      </c>
      <c r="C5189" s="446" t="s">
        <v>31</v>
      </c>
      <c r="D5189" s="448">
        <v>142.79</v>
      </c>
      <c r="E5189" s="210"/>
    </row>
    <row r="5190" spans="1:5" ht="40.5">
      <c r="A5190" s="446">
        <v>101623</v>
      </c>
      <c r="B5190" s="447" t="s">
        <v>5322</v>
      </c>
      <c r="C5190" s="446" t="s">
        <v>31</v>
      </c>
      <c r="D5190" s="448">
        <v>175.25</v>
      </c>
      <c r="E5190" s="210"/>
    </row>
    <row r="5191" spans="1:5" ht="54">
      <c r="A5191" s="446">
        <v>101624</v>
      </c>
      <c r="B5191" s="447" t="s">
        <v>5323</v>
      </c>
      <c r="C5191" s="446" t="s">
        <v>31</v>
      </c>
      <c r="D5191" s="448">
        <v>146.61000000000001</v>
      </c>
      <c r="E5191" s="210"/>
    </row>
    <row r="5192" spans="1:5" ht="54">
      <c r="A5192" s="446">
        <v>101625</v>
      </c>
      <c r="B5192" s="447" t="s">
        <v>5324</v>
      </c>
      <c r="C5192" s="446" t="s">
        <v>31</v>
      </c>
      <c r="D5192" s="448">
        <v>117.8</v>
      </c>
      <c r="E5192" s="210"/>
    </row>
    <row r="5193" spans="1:5" ht="27">
      <c r="A5193" s="446">
        <v>95606</v>
      </c>
      <c r="B5193" s="447" t="s">
        <v>2854</v>
      </c>
      <c r="C5193" s="446" t="s">
        <v>31</v>
      </c>
      <c r="D5193" s="448">
        <v>1.57</v>
      </c>
      <c r="E5193" s="210"/>
    </row>
    <row r="5194" spans="1:5" ht="81">
      <c r="A5194" s="446">
        <v>87471</v>
      </c>
      <c r="B5194" s="447" t="s">
        <v>926</v>
      </c>
      <c r="C5194" s="446" t="s">
        <v>42</v>
      </c>
      <c r="D5194" s="448">
        <v>54.43</v>
      </c>
      <c r="E5194" s="210"/>
    </row>
    <row r="5195" spans="1:5" ht="81">
      <c r="A5195" s="446">
        <v>87472</v>
      </c>
      <c r="B5195" s="447" t="s">
        <v>927</v>
      </c>
      <c r="C5195" s="446" t="s">
        <v>42</v>
      </c>
      <c r="D5195" s="448">
        <v>55.36</v>
      </c>
      <c r="E5195" s="210"/>
    </row>
    <row r="5196" spans="1:5" ht="81">
      <c r="A5196" s="446">
        <v>87473</v>
      </c>
      <c r="B5196" s="447" t="s">
        <v>928</v>
      </c>
      <c r="C5196" s="446" t="s">
        <v>42</v>
      </c>
      <c r="D5196" s="448">
        <v>72.59</v>
      </c>
      <c r="E5196" s="210"/>
    </row>
    <row r="5197" spans="1:5" ht="81">
      <c r="A5197" s="446">
        <v>87474</v>
      </c>
      <c r="B5197" s="447" t="s">
        <v>929</v>
      </c>
      <c r="C5197" s="446" t="s">
        <v>42</v>
      </c>
      <c r="D5197" s="448">
        <v>73.64</v>
      </c>
      <c r="E5197" s="210"/>
    </row>
    <row r="5198" spans="1:5" ht="81">
      <c r="A5198" s="446">
        <v>87475</v>
      </c>
      <c r="B5198" s="447" t="s">
        <v>930</v>
      </c>
      <c r="C5198" s="446" t="s">
        <v>42</v>
      </c>
      <c r="D5198" s="448">
        <v>90.02</v>
      </c>
      <c r="E5198" s="210"/>
    </row>
    <row r="5199" spans="1:5" ht="81">
      <c r="A5199" s="446">
        <v>87476</v>
      </c>
      <c r="B5199" s="447" t="s">
        <v>931</v>
      </c>
      <c r="C5199" s="446" t="s">
        <v>42</v>
      </c>
      <c r="D5199" s="448">
        <v>91.26</v>
      </c>
      <c r="E5199" s="210"/>
    </row>
    <row r="5200" spans="1:5" ht="81">
      <c r="A5200" s="446">
        <v>87477</v>
      </c>
      <c r="B5200" s="447" t="s">
        <v>932</v>
      </c>
      <c r="C5200" s="446" t="s">
        <v>42</v>
      </c>
      <c r="D5200" s="448">
        <v>49.93</v>
      </c>
      <c r="E5200" s="210"/>
    </row>
    <row r="5201" spans="1:5" ht="81">
      <c r="A5201" s="446">
        <v>87478</v>
      </c>
      <c r="B5201" s="447" t="s">
        <v>933</v>
      </c>
      <c r="C5201" s="446" t="s">
        <v>42</v>
      </c>
      <c r="D5201" s="448">
        <v>50.86</v>
      </c>
      <c r="E5201" s="210"/>
    </row>
    <row r="5202" spans="1:5" ht="81">
      <c r="A5202" s="446">
        <v>87479</v>
      </c>
      <c r="B5202" s="447" t="s">
        <v>934</v>
      </c>
      <c r="C5202" s="446" t="s">
        <v>42</v>
      </c>
      <c r="D5202" s="448">
        <v>66.98</v>
      </c>
      <c r="E5202" s="210"/>
    </row>
    <row r="5203" spans="1:5" ht="81">
      <c r="A5203" s="446">
        <v>87480</v>
      </c>
      <c r="B5203" s="447" t="s">
        <v>935</v>
      </c>
      <c r="C5203" s="446" t="s">
        <v>42</v>
      </c>
      <c r="D5203" s="448">
        <v>68.03</v>
      </c>
      <c r="E5203" s="210"/>
    </row>
    <row r="5204" spans="1:5" ht="81">
      <c r="A5204" s="446">
        <v>87481</v>
      </c>
      <c r="B5204" s="447" t="s">
        <v>936</v>
      </c>
      <c r="C5204" s="446" t="s">
        <v>42</v>
      </c>
      <c r="D5204" s="448">
        <v>82.77</v>
      </c>
      <c r="E5204" s="210"/>
    </row>
    <row r="5205" spans="1:5" ht="81">
      <c r="A5205" s="446">
        <v>87482</v>
      </c>
      <c r="B5205" s="447" t="s">
        <v>937</v>
      </c>
      <c r="C5205" s="446" t="s">
        <v>42</v>
      </c>
      <c r="D5205" s="448">
        <v>84.01</v>
      </c>
      <c r="E5205" s="210"/>
    </row>
    <row r="5206" spans="1:5" ht="81">
      <c r="A5206" s="446">
        <v>87483</v>
      </c>
      <c r="B5206" s="447" t="s">
        <v>938</v>
      </c>
      <c r="C5206" s="446" t="s">
        <v>42</v>
      </c>
      <c r="D5206" s="448">
        <v>59.95</v>
      </c>
      <c r="E5206" s="210"/>
    </row>
    <row r="5207" spans="1:5" ht="81">
      <c r="A5207" s="446">
        <v>87484</v>
      </c>
      <c r="B5207" s="447" t="s">
        <v>939</v>
      </c>
      <c r="C5207" s="446" t="s">
        <v>42</v>
      </c>
      <c r="D5207" s="448">
        <v>60.88</v>
      </c>
      <c r="E5207" s="210"/>
    </row>
    <row r="5208" spans="1:5" ht="81">
      <c r="A5208" s="446">
        <v>87485</v>
      </c>
      <c r="B5208" s="447" t="s">
        <v>940</v>
      </c>
      <c r="C5208" s="446" t="s">
        <v>42</v>
      </c>
      <c r="D5208" s="448">
        <v>78.3</v>
      </c>
      <c r="E5208" s="210"/>
    </row>
    <row r="5209" spans="1:5" ht="81">
      <c r="A5209" s="446">
        <v>87487</v>
      </c>
      <c r="B5209" s="447" t="s">
        <v>941</v>
      </c>
      <c r="C5209" s="446" t="s">
        <v>42</v>
      </c>
      <c r="D5209" s="448">
        <v>95.66</v>
      </c>
      <c r="E5209" s="210"/>
    </row>
    <row r="5210" spans="1:5" ht="81">
      <c r="A5210" s="446">
        <v>87488</v>
      </c>
      <c r="B5210" s="447" t="s">
        <v>942</v>
      </c>
      <c r="C5210" s="446" t="s">
        <v>42</v>
      </c>
      <c r="D5210" s="448">
        <v>96.9</v>
      </c>
      <c r="E5210" s="210"/>
    </row>
    <row r="5211" spans="1:5" ht="81">
      <c r="A5211" s="446">
        <v>87489</v>
      </c>
      <c r="B5211" s="447" t="s">
        <v>943</v>
      </c>
      <c r="C5211" s="446" t="s">
        <v>42</v>
      </c>
      <c r="D5211" s="448">
        <v>53.23</v>
      </c>
      <c r="E5211" s="210"/>
    </row>
    <row r="5212" spans="1:5" ht="81">
      <c r="A5212" s="446">
        <v>87490</v>
      </c>
      <c r="B5212" s="447" t="s">
        <v>944</v>
      </c>
      <c r="C5212" s="446" t="s">
        <v>42</v>
      </c>
      <c r="D5212" s="448">
        <v>54.16</v>
      </c>
      <c r="E5212" s="210"/>
    </row>
    <row r="5213" spans="1:5" ht="81">
      <c r="A5213" s="446">
        <v>87491</v>
      </c>
      <c r="B5213" s="447" t="s">
        <v>945</v>
      </c>
      <c r="C5213" s="446" t="s">
        <v>42</v>
      </c>
      <c r="D5213" s="448">
        <v>70.45</v>
      </c>
      <c r="E5213" s="210"/>
    </row>
    <row r="5214" spans="1:5" ht="81">
      <c r="A5214" s="446">
        <v>87492</v>
      </c>
      <c r="B5214" s="447" t="s">
        <v>946</v>
      </c>
      <c r="C5214" s="446" t="s">
        <v>42</v>
      </c>
      <c r="D5214" s="448">
        <v>71.5</v>
      </c>
      <c r="E5214" s="210"/>
    </row>
    <row r="5215" spans="1:5" ht="81">
      <c r="A5215" s="446">
        <v>87493</v>
      </c>
      <c r="B5215" s="447" t="s">
        <v>947</v>
      </c>
      <c r="C5215" s="446" t="s">
        <v>42</v>
      </c>
      <c r="D5215" s="448">
        <v>86.43</v>
      </c>
      <c r="E5215" s="210"/>
    </row>
    <row r="5216" spans="1:5" ht="81">
      <c r="A5216" s="446">
        <v>87494</v>
      </c>
      <c r="B5216" s="447" t="s">
        <v>948</v>
      </c>
      <c r="C5216" s="446" t="s">
        <v>42</v>
      </c>
      <c r="D5216" s="448">
        <v>87.67</v>
      </c>
      <c r="E5216" s="210"/>
    </row>
    <row r="5217" spans="1:5" ht="81">
      <c r="A5217" s="446">
        <v>87495</v>
      </c>
      <c r="B5217" s="447" t="s">
        <v>949</v>
      </c>
      <c r="C5217" s="446" t="s">
        <v>42</v>
      </c>
      <c r="D5217" s="448">
        <v>75.260000000000005</v>
      </c>
      <c r="E5217" s="210"/>
    </row>
    <row r="5218" spans="1:5" ht="81">
      <c r="A5218" s="446">
        <v>87496</v>
      </c>
      <c r="B5218" s="447" t="s">
        <v>950</v>
      </c>
      <c r="C5218" s="446" t="s">
        <v>42</v>
      </c>
      <c r="D5218" s="448">
        <v>76.13</v>
      </c>
      <c r="E5218" s="210"/>
    </row>
    <row r="5219" spans="1:5" ht="81">
      <c r="A5219" s="446">
        <v>87497</v>
      </c>
      <c r="B5219" s="447" t="s">
        <v>951</v>
      </c>
      <c r="C5219" s="446" t="s">
        <v>42</v>
      </c>
      <c r="D5219" s="448">
        <v>79.72</v>
      </c>
      <c r="E5219" s="210"/>
    </row>
    <row r="5220" spans="1:5" ht="81">
      <c r="A5220" s="446">
        <v>87498</v>
      </c>
      <c r="B5220" s="447" t="s">
        <v>952</v>
      </c>
      <c r="C5220" s="446" t="s">
        <v>42</v>
      </c>
      <c r="D5220" s="448">
        <v>80.83</v>
      </c>
      <c r="E5220" s="210"/>
    </row>
    <row r="5221" spans="1:5" ht="81">
      <c r="A5221" s="446">
        <v>87499</v>
      </c>
      <c r="B5221" s="447" t="s">
        <v>953</v>
      </c>
      <c r="C5221" s="446" t="s">
        <v>42</v>
      </c>
      <c r="D5221" s="448">
        <v>88.15</v>
      </c>
      <c r="E5221" s="210"/>
    </row>
    <row r="5222" spans="1:5" ht="81">
      <c r="A5222" s="446">
        <v>87500</v>
      </c>
      <c r="B5222" s="447" t="s">
        <v>954</v>
      </c>
      <c r="C5222" s="446" t="s">
        <v>42</v>
      </c>
      <c r="D5222" s="448">
        <v>89.09</v>
      </c>
      <c r="E5222" s="210"/>
    </row>
    <row r="5223" spans="1:5" ht="94.5">
      <c r="A5223" s="446">
        <v>87501</v>
      </c>
      <c r="B5223" s="447" t="s">
        <v>955</v>
      </c>
      <c r="C5223" s="446" t="s">
        <v>42</v>
      </c>
      <c r="D5223" s="448">
        <v>137.85</v>
      </c>
      <c r="E5223" s="210"/>
    </row>
    <row r="5224" spans="1:5" ht="94.5">
      <c r="A5224" s="446">
        <v>87502</v>
      </c>
      <c r="B5224" s="447" t="s">
        <v>956</v>
      </c>
      <c r="C5224" s="446" t="s">
        <v>42</v>
      </c>
      <c r="D5224" s="448">
        <v>139.06</v>
      </c>
      <c r="E5224" s="210"/>
    </row>
    <row r="5225" spans="1:5" ht="81">
      <c r="A5225" s="446">
        <v>87503</v>
      </c>
      <c r="B5225" s="447" t="s">
        <v>957</v>
      </c>
      <c r="C5225" s="446" t="s">
        <v>42</v>
      </c>
      <c r="D5225" s="448">
        <v>65.569999999999993</v>
      </c>
      <c r="E5225" s="210"/>
    </row>
    <row r="5226" spans="1:5" ht="81">
      <c r="A5226" s="446">
        <v>87504</v>
      </c>
      <c r="B5226" s="447" t="s">
        <v>958</v>
      </c>
      <c r="C5226" s="446" t="s">
        <v>42</v>
      </c>
      <c r="D5226" s="448">
        <v>66.44</v>
      </c>
      <c r="E5226" s="210"/>
    </row>
    <row r="5227" spans="1:5" ht="94.5">
      <c r="A5227" s="446">
        <v>87505</v>
      </c>
      <c r="B5227" s="447" t="s">
        <v>959</v>
      </c>
      <c r="C5227" s="446" t="s">
        <v>42</v>
      </c>
      <c r="D5227" s="448">
        <v>69.650000000000006</v>
      </c>
      <c r="E5227" s="210"/>
    </row>
    <row r="5228" spans="1:5" ht="94.5">
      <c r="A5228" s="446">
        <v>87506</v>
      </c>
      <c r="B5228" s="447" t="s">
        <v>960</v>
      </c>
      <c r="C5228" s="446" t="s">
        <v>42</v>
      </c>
      <c r="D5228" s="448">
        <v>70.760000000000005</v>
      </c>
      <c r="E5228" s="210"/>
    </row>
    <row r="5229" spans="1:5" ht="81">
      <c r="A5229" s="446">
        <v>87507</v>
      </c>
      <c r="B5229" s="447" t="s">
        <v>961</v>
      </c>
      <c r="C5229" s="446" t="s">
        <v>42</v>
      </c>
      <c r="D5229" s="448">
        <v>75.25</v>
      </c>
      <c r="E5229" s="210"/>
    </row>
    <row r="5230" spans="1:5" ht="81">
      <c r="A5230" s="446">
        <v>87508</v>
      </c>
      <c r="B5230" s="447" t="s">
        <v>962</v>
      </c>
      <c r="C5230" s="446" t="s">
        <v>42</v>
      </c>
      <c r="D5230" s="448">
        <v>76.19</v>
      </c>
      <c r="E5230" s="210"/>
    </row>
    <row r="5231" spans="1:5" ht="94.5">
      <c r="A5231" s="446">
        <v>87509</v>
      </c>
      <c r="B5231" s="447" t="s">
        <v>963</v>
      </c>
      <c r="C5231" s="446" t="s">
        <v>42</v>
      </c>
      <c r="D5231" s="448">
        <v>116.11</v>
      </c>
      <c r="E5231" s="210"/>
    </row>
    <row r="5232" spans="1:5" ht="94.5">
      <c r="A5232" s="446">
        <v>87510</v>
      </c>
      <c r="B5232" s="447" t="s">
        <v>964</v>
      </c>
      <c r="C5232" s="446" t="s">
        <v>42</v>
      </c>
      <c r="D5232" s="448">
        <v>117.32</v>
      </c>
      <c r="E5232" s="210"/>
    </row>
    <row r="5233" spans="1:5" ht="81">
      <c r="A5233" s="446">
        <v>87511</v>
      </c>
      <c r="B5233" s="447" t="s">
        <v>965</v>
      </c>
      <c r="C5233" s="446" t="s">
        <v>42</v>
      </c>
      <c r="D5233" s="448">
        <v>82.76</v>
      </c>
      <c r="E5233" s="210"/>
    </row>
    <row r="5234" spans="1:5" ht="81">
      <c r="A5234" s="446">
        <v>87512</v>
      </c>
      <c r="B5234" s="447" t="s">
        <v>966</v>
      </c>
      <c r="C5234" s="446" t="s">
        <v>42</v>
      </c>
      <c r="D5234" s="448">
        <v>83.63</v>
      </c>
      <c r="E5234" s="210"/>
    </row>
    <row r="5235" spans="1:5" ht="81">
      <c r="A5235" s="446">
        <v>87513</v>
      </c>
      <c r="B5235" s="447" t="s">
        <v>967</v>
      </c>
      <c r="C5235" s="446" t="s">
        <v>42</v>
      </c>
      <c r="D5235" s="448">
        <v>87.59</v>
      </c>
      <c r="E5235" s="210"/>
    </row>
    <row r="5236" spans="1:5" ht="81">
      <c r="A5236" s="446">
        <v>87514</v>
      </c>
      <c r="B5236" s="447" t="s">
        <v>968</v>
      </c>
      <c r="C5236" s="446" t="s">
        <v>42</v>
      </c>
      <c r="D5236" s="448">
        <v>88.7</v>
      </c>
      <c r="E5236" s="210"/>
    </row>
    <row r="5237" spans="1:5" ht="81">
      <c r="A5237" s="446">
        <v>87515</v>
      </c>
      <c r="B5237" s="447" t="s">
        <v>969</v>
      </c>
      <c r="C5237" s="446" t="s">
        <v>42</v>
      </c>
      <c r="D5237" s="448">
        <v>98.61</v>
      </c>
      <c r="E5237" s="210"/>
    </row>
    <row r="5238" spans="1:5" ht="81">
      <c r="A5238" s="446">
        <v>87516</v>
      </c>
      <c r="B5238" s="447" t="s">
        <v>970</v>
      </c>
      <c r="C5238" s="446" t="s">
        <v>42</v>
      </c>
      <c r="D5238" s="448">
        <v>99.55</v>
      </c>
      <c r="E5238" s="210"/>
    </row>
    <row r="5239" spans="1:5" ht="94.5">
      <c r="A5239" s="446">
        <v>87517</v>
      </c>
      <c r="B5239" s="447" t="s">
        <v>971</v>
      </c>
      <c r="C5239" s="446" t="s">
        <v>42</v>
      </c>
      <c r="D5239" s="448">
        <v>154.12</v>
      </c>
      <c r="E5239" s="210"/>
    </row>
    <row r="5240" spans="1:5" ht="94.5">
      <c r="A5240" s="446">
        <v>87518</v>
      </c>
      <c r="B5240" s="447" t="s">
        <v>972</v>
      </c>
      <c r="C5240" s="446" t="s">
        <v>42</v>
      </c>
      <c r="D5240" s="448">
        <v>155.33000000000001</v>
      </c>
      <c r="E5240" s="210"/>
    </row>
    <row r="5241" spans="1:5" ht="81">
      <c r="A5241" s="446">
        <v>87519</v>
      </c>
      <c r="B5241" s="447" t="s">
        <v>973</v>
      </c>
      <c r="C5241" s="446" t="s">
        <v>42</v>
      </c>
      <c r="D5241" s="448">
        <v>70.36</v>
      </c>
      <c r="E5241" s="210"/>
    </row>
    <row r="5242" spans="1:5" ht="81">
      <c r="A5242" s="446">
        <v>87520</v>
      </c>
      <c r="B5242" s="447" t="s">
        <v>974</v>
      </c>
      <c r="C5242" s="446" t="s">
        <v>42</v>
      </c>
      <c r="D5242" s="448">
        <v>71.23</v>
      </c>
      <c r="E5242" s="210"/>
    </row>
    <row r="5243" spans="1:5" ht="94.5">
      <c r="A5243" s="446">
        <v>87521</v>
      </c>
      <c r="B5243" s="447" t="s">
        <v>975</v>
      </c>
      <c r="C5243" s="446" t="s">
        <v>42</v>
      </c>
      <c r="D5243" s="448">
        <v>74.56</v>
      </c>
      <c r="E5243" s="210"/>
    </row>
    <row r="5244" spans="1:5" ht="94.5">
      <c r="A5244" s="446">
        <v>87522</v>
      </c>
      <c r="B5244" s="447" t="s">
        <v>976</v>
      </c>
      <c r="C5244" s="446" t="s">
        <v>42</v>
      </c>
      <c r="D5244" s="448">
        <v>75.67</v>
      </c>
      <c r="E5244" s="210"/>
    </row>
    <row r="5245" spans="1:5" ht="81">
      <c r="A5245" s="446">
        <v>87523</v>
      </c>
      <c r="B5245" s="447" t="s">
        <v>977</v>
      </c>
      <c r="C5245" s="446" t="s">
        <v>42</v>
      </c>
      <c r="D5245" s="448">
        <v>81.73</v>
      </c>
      <c r="E5245" s="210"/>
    </row>
    <row r="5246" spans="1:5" ht="81">
      <c r="A5246" s="446">
        <v>87524</v>
      </c>
      <c r="B5246" s="447" t="s">
        <v>978</v>
      </c>
      <c r="C5246" s="446" t="s">
        <v>42</v>
      </c>
      <c r="D5246" s="448">
        <v>82.67</v>
      </c>
      <c r="E5246" s="210"/>
    </row>
    <row r="5247" spans="1:5" ht="94.5">
      <c r="A5247" s="446">
        <v>87525</v>
      </c>
      <c r="B5247" s="447" t="s">
        <v>979</v>
      </c>
      <c r="C5247" s="446" t="s">
        <v>42</v>
      </c>
      <c r="D5247" s="448">
        <v>126.12</v>
      </c>
      <c r="E5247" s="210"/>
    </row>
    <row r="5248" spans="1:5" ht="94.5">
      <c r="A5248" s="446">
        <v>87526</v>
      </c>
      <c r="B5248" s="447" t="s">
        <v>980</v>
      </c>
      <c r="C5248" s="446" t="s">
        <v>42</v>
      </c>
      <c r="D5248" s="448">
        <v>127.33</v>
      </c>
      <c r="E5248" s="210"/>
    </row>
    <row r="5249" spans="1:5" ht="81">
      <c r="A5249" s="446">
        <v>89043</v>
      </c>
      <c r="B5249" s="447" t="s">
        <v>1196</v>
      </c>
      <c r="C5249" s="446" t="s">
        <v>42</v>
      </c>
      <c r="D5249" s="448">
        <v>71.709999999999994</v>
      </c>
      <c r="E5249" s="210"/>
    </row>
    <row r="5250" spans="1:5" ht="81">
      <c r="A5250" s="446">
        <v>89168</v>
      </c>
      <c r="B5250" s="447" t="s">
        <v>1204</v>
      </c>
      <c r="C5250" s="446" t="s">
        <v>42</v>
      </c>
      <c r="D5250" s="448">
        <v>73.58</v>
      </c>
      <c r="E5250" s="210"/>
    </row>
    <row r="5251" spans="1:5" ht="94.5">
      <c r="A5251" s="446">
        <v>89977</v>
      </c>
      <c r="B5251" s="447" t="s">
        <v>1692</v>
      </c>
      <c r="C5251" s="446" t="s">
        <v>42</v>
      </c>
      <c r="D5251" s="448">
        <v>133.72</v>
      </c>
      <c r="E5251" s="210"/>
    </row>
    <row r="5252" spans="1:5" ht="81">
      <c r="A5252" s="446">
        <v>90112</v>
      </c>
      <c r="B5252" s="447" t="s">
        <v>1708</v>
      </c>
      <c r="C5252" s="446" t="s">
        <v>42</v>
      </c>
      <c r="D5252" s="448">
        <v>79.349999999999994</v>
      </c>
      <c r="E5252" s="210"/>
    </row>
    <row r="5253" spans="1:5" ht="67.5">
      <c r="A5253" s="446">
        <v>101159</v>
      </c>
      <c r="B5253" s="447" t="s">
        <v>5325</v>
      </c>
      <c r="C5253" s="446" t="s">
        <v>42</v>
      </c>
      <c r="D5253" s="448">
        <v>117.41</v>
      </c>
      <c r="E5253" s="210"/>
    </row>
    <row r="5254" spans="1:5" ht="81">
      <c r="A5254" s="446">
        <v>89282</v>
      </c>
      <c r="B5254" s="447" t="s">
        <v>1254</v>
      </c>
      <c r="C5254" s="446" t="s">
        <v>42</v>
      </c>
      <c r="D5254" s="448">
        <v>72.64</v>
      </c>
      <c r="E5254" s="210"/>
    </row>
    <row r="5255" spans="1:5" ht="81">
      <c r="A5255" s="446">
        <v>89283</v>
      </c>
      <c r="B5255" s="447" t="s">
        <v>1255</v>
      </c>
      <c r="C5255" s="446" t="s">
        <v>42</v>
      </c>
      <c r="D5255" s="448">
        <v>73.73</v>
      </c>
      <c r="E5255" s="210"/>
    </row>
    <row r="5256" spans="1:5" ht="94.5">
      <c r="A5256" s="446">
        <v>89284</v>
      </c>
      <c r="B5256" s="447" t="s">
        <v>1256</v>
      </c>
      <c r="C5256" s="446" t="s">
        <v>42</v>
      </c>
      <c r="D5256" s="448">
        <v>66.23</v>
      </c>
      <c r="E5256" s="210"/>
    </row>
    <row r="5257" spans="1:5" ht="94.5">
      <c r="A5257" s="446">
        <v>89285</v>
      </c>
      <c r="B5257" s="447" t="s">
        <v>1257</v>
      </c>
      <c r="C5257" s="446" t="s">
        <v>42</v>
      </c>
      <c r="D5257" s="448">
        <v>67.319999999999993</v>
      </c>
      <c r="E5257" s="210"/>
    </row>
    <row r="5258" spans="1:5" ht="81">
      <c r="A5258" s="446">
        <v>89286</v>
      </c>
      <c r="B5258" s="447" t="s">
        <v>1258</v>
      </c>
      <c r="C5258" s="446" t="s">
        <v>42</v>
      </c>
      <c r="D5258" s="448">
        <v>76.73</v>
      </c>
      <c r="E5258" s="210"/>
    </row>
    <row r="5259" spans="1:5" ht="81">
      <c r="A5259" s="446">
        <v>89287</v>
      </c>
      <c r="B5259" s="447" t="s">
        <v>1259</v>
      </c>
      <c r="C5259" s="446" t="s">
        <v>42</v>
      </c>
      <c r="D5259" s="448">
        <v>77.819999999999993</v>
      </c>
      <c r="E5259" s="210"/>
    </row>
    <row r="5260" spans="1:5" ht="94.5">
      <c r="A5260" s="446">
        <v>89288</v>
      </c>
      <c r="B5260" s="447" t="s">
        <v>1260</v>
      </c>
      <c r="C5260" s="446" t="s">
        <v>42</v>
      </c>
      <c r="D5260" s="448">
        <v>68.55</v>
      </c>
      <c r="E5260" s="210"/>
    </row>
    <row r="5261" spans="1:5" ht="94.5">
      <c r="A5261" s="446">
        <v>89289</v>
      </c>
      <c r="B5261" s="447" t="s">
        <v>1261</v>
      </c>
      <c r="C5261" s="446" t="s">
        <v>42</v>
      </c>
      <c r="D5261" s="448">
        <v>69.64</v>
      </c>
      <c r="E5261" s="210"/>
    </row>
    <row r="5262" spans="1:5" ht="81">
      <c r="A5262" s="446">
        <v>89290</v>
      </c>
      <c r="B5262" s="447" t="s">
        <v>1262</v>
      </c>
      <c r="C5262" s="446" t="s">
        <v>42</v>
      </c>
      <c r="D5262" s="448">
        <v>80.540000000000006</v>
      </c>
      <c r="E5262" s="210"/>
    </row>
    <row r="5263" spans="1:5" ht="81">
      <c r="A5263" s="446">
        <v>89291</v>
      </c>
      <c r="B5263" s="447" t="s">
        <v>1263</v>
      </c>
      <c r="C5263" s="446" t="s">
        <v>42</v>
      </c>
      <c r="D5263" s="448">
        <v>81.75</v>
      </c>
      <c r="E5263" s="210"/>
    </row>
    <row r="5264" spans="1:5" ht="94.5">
      <c r="A5264" s="446">
        <v>89292</v>
      </c>
      <c r="B5264" s="447" t="s">
        <v>1264</v>
      </c>
      <c r="C5264" s="446" t="s">
        <v>42</v>
      </c>
      <c r="D5264" s="448">
        <v>74.08</v>
      </c>
      <c r="E5264" s="210"/>
    </row>
    <row r="5265" spans="1:5" ht="94.5">
      <c r="A5265" s="446">
        <v>89293</v>
      </c>
      <c r="B5265" s="447" t="s">
        <v>1265</v>
      </c>
      <c r="C5265" s="446" t="s">
        <v>42</v>
      </c>
      <c r="D5265" s="448">
        <v>75.290000000000006</v>
      </c>
      <c r="E5265" s="210"/>
    </row>
    <row r="5266" spans="1:5" ht="81">
      <c r="A5266" s="446">
        <v>89294</v>
      </c>
      <c r="B5266" s="447" t="s">
        <v>1266</v>
      </c>
      <c r="C5266" s="446" t="s">
        <v>42</v>
      </c>
      <c r="D5266" s="448">
        <v>86.4</v>
      </c>
      <c r="E5266" s="210"/>
    </row>
    <row r="5267" spans="1:5" ht="81">
      <c r="A5267" s="446">
        <v>89295</v>
      </c>
      <c r="B5267" s="447" t="s">
        <v>1267</v>
      </c>
      <c r="C5267" s="446" t="s">
        <v>42</v>
      </c>
      <c r="D5267" s="448">
        <v>87.61</v>
      </c>
      <c r="E5267" s="210"/>
    </row>
    <row r="5268" spans="1:5" ht="94.5">
      <c r="A5268" s="446">
        <v>89296</v>
      </c>
      <c r="B5268" s="447" t="s">
        <v>1268</v>
      </c>
      <c r="C5268" s="446" t="s">
        <v>42</v>
      </c>
      <c r="D5268" s="448">
        <v>77.22</v>
      </c>
      <c r="E5268" s="210"/>
    </row>
    <row r="5269" spans="1:5" ht="94.5">
      <c r="A5269" s="446">
        <v>89297</v>
      </c>
      <c r="B5269" s="447" t="s">
        <v>1269</v>
      </c>
      <c r="C5269" s="446" t="s">
        <v>42</v>
      </c>
      <c r="D5269" s="448">
        <v>78.430000000000007</v>
      </c>
      <c r="E5269" s="210"/>
    </row>
    <row r="5270" spans="1:5" ht="94.5">
      <c r="A5270" s="446">
        <v>89298</v>
      </c>
      <c r="B5270" s="447" t="s">
        <v>1270</v>
      </c>
      <c r="C5270" s="446" t="s">
        <v>42</v>
      </c>
      <c r="D5270" s="448">
        <v>81.94</v>
      </c>
      <c r="E5270" s="210"/>
    </row>
    <row r="5271" spans="1:5" ht="94.5">
      <c r="A5271" s="446">
        <v>89299</v>
      </c>
      <c r="B5271" s="447" t="s">
        <v>1271</v>
      </c>
      <c r="C5271" s="446" t="s">
        <v>42</v>
      </c>
      <c r="D5271" s="448">
        <v>83.49</v>
      </c>
      <c r="E5271" s="210"/>
    </row>
    <row r="5272" spans="1:5" ht="94.5">
      <c r="A5272" s="446">
        <v>89300</v>
      </c>
      <c r="B5272" s="447" t="s">
        <v>1272</v>
      </c>
      <c r="C5272" s="446" t="s">
        <v>42</v>
      </c>
      <c r="D5272" s="448">
        <v>75.540000000000006</v>
      </c>
      <c r="E5272" s="210"/>
    </row>
    <row r="5273" spans="1:5" ht="94.5">
      <c r="A5273" s="446">
        <v>89301</v>
      </c>
      <c r="B5273" s="447" t="s">
        <v>1273</v>
      </c>
      <c r="C5273" s="446" t="s">
        <v>42</v>
      </c>
      <c r="D5273" s="448">
        <v>77.09</v>
      </c>
      <c r="E5273" s="210"/>
    </row>
    <row r="5274" spans="1:5" ht="94.5">
      <c r="A5274" s="446">
        <v>89302</v>
      </c>
      <c r="B5274" s="447" t="s">
        <v>1274</v>
      </c>
      <c r="C5274" s="446" t="s">
        <v>42</v>
      </c>
      <c r="D5274" s="448">
        <v>88.65</v>
      </c>
      <c r="E5274" s="210"/>
    </row>
    <row r="5275" spans="1:5" ht="94.5">
      <c r="A5275" s="446">
        <v>89303</v>
      </c>
      <c r="B5275" s="447" t="s">
        <v>1275</v>
      </c>
      <c r="C5275" s="446" t="s">
        <v>42</v>
      </c>
      <c r="D5275" s="448">
        <v>90.2</v>
      </c>
      <c r="E5275" s="210"/>
    </row>
    <row r="5276" spans="1:5" ht="94.5">
      <c r="A5276" s="446">
        <v>89304</v>
      </c>
      <c r="B5276" s="447" t="s">
        <v>1276</v>
      </c>
      <c r="C5276" s="446" t="s">
        <v>42</v>
      </c>
      <c r="D5276" s="448">
        <v>79.48</v>
      </c>
      <c r="E5276" s="210"/>
    </row>
    <row r="5277" spans="1:5" ht="94.5">
      <c r="A5277" s="446">
        <v>89305</v>
      </c>
      <c r="B5277" s="447" t="s">
        <v>1277</v>
      </c>
      <c r="C5277" s="446" t="s">
        <v>42</v>
      </c>
      <c r="D5277" s="448">
        <v>81.03</v>
      </c>
      <c r="E5277" s="210"/>
    </row>
    <row r="5278" spans="1:5" ht="94.5">
      <c r="A5278" s="446">
        <v>89306</v>
      </c>
      <c r="B5278" s="447" t="s">
        <v>1278</v>
      </c>
      <c r="C5278" s="446" t="s">
        <v>42</v>
      </c>
      <c r="D5278" s="448">
        <v>90.11</v>
      </c>
      <c r="E5278" s="210"/>
    </row>
    <row r="5279" spans="1:5" ht="94.5">
      <c r="A5279" s="446">
        <v>89307</v>
      </c>
      <c r="B5279" s="447" t="s">
        <v>1279</v>
      </c>
      <c r="C5279" s="446" t="s">
        <v>42</v>
      </c>
      <c r="D5279" s="448">
        <v>91.83</v>
      </c>
      <c r="E5279" s="210"/>
    </row>
    <row r="5280" spans="1:5" ht="94.5">
      <c r="A5280" s="446">
        <v>89308</v>
      </c>
      <c r="B5280" s="447" t="s">
        <v>1280</v>
      </c>
      <c r="C5280" s="446" t="s">
        <v>42</v>
      </c>
      <c r="D5280" s="448">
        <v>83.64</v>
      </c>
      <c r="E5280" s="210"/>
    </row>
    <row r="5281" spans="1:5" ht="94.5">
      <c r="A5281" s="446">
        <v>89309</v>
      </c>
      <c r="B5281" s="447" t="s">
        <v>1281</v>
      </c>
      <c r="C5281" s="446" t="s">
        <v>42</v>
      </c>
      <c r="D5281" s="448">
        <v>85.36</v>
      </c>
      <c r="E5281" s="210"/>
    </row>
    <row r="5282" spans="1:5" ht="94.5">
      <c r="A5282" s="446">
        <v>89310</v>
      </c>
      <c r="B5282" s="447" t="s">
        <v>1282</v>
      </c>
      <c r="C5282" s="446" t="s">
        <v>42</v>
      </c>
      <c r="D5282" s="448">
        <v>102.47</v>
      </c>
      <c r="E5282" s="210"/>
    </row>
    <row r="5283" spans="1:5" ht="94.5">
      <c r="A5283" s="446">
        <v>89311</v>
      </c>
      <c r="B5283" s="447" t="s">
        <v>1283</v>
      </c>
      <c r="C5283" s="446" t="s">
        <v>42</v>
      </c>
      <c r="D5283" s="448">
        <v>104.19</v>
      </c>
      <c r="E5283" s="210"/>
    </row>
    <row r="5284" spans="1:5" ht="94.5">
      <c r="A5284" s="446">
        <v>89312</v>
      </c>
      <c r="B5284" s="447" t="s">
        <v>1284</v>
      </c>
      <c r="C5284" s="446" t="s">
        <v>42</v>
      </c>
      <c r="D5284" s="448">
        <v>88.4</v>
      </c>
      <c r="E5284" s="210"/>
    </row>
    <row r="5285" spans="1:5" ht="94.5">
      <c r="A5285" s="446">
        <v>89313</v>
      </c>
      <c r="B5285" s="447" t="s">
        <v>1285</v>
      </c>
      <c r="C5285" s="446" t="s">
        <v>42</v>
      </c>
      <c r="D5285" s="448">
        <v>90.12</v>
      </c>
      <c r="E5285" s="210"/>
    </row>
    <row r="5286" spans="1:5" ht="54">
      <c r="A5286" s="446">
        <v>101162</v>
      </c>
      <c r="B5286" s="447" t="s">
        <v>5326</v>
      </c>
      <c r="C5286" s="446" t="s">
        <v>42</v>
      </c>
      <c r="D5286" s="448">
        <v>132.11000000000001</v>
      </c>
      <c r="E5286" s="210"/>
    </row>
    <row r="5287" spans="1:5" ht="81">
      <c r="A5287" s="446">
        <v>87447</v>
      </c>
      <c r="B5287" s="447" t="s">
        <v>902</v>
      </c>
      <c r="C5287" s="446" t="s">
        <v>42</v>
      </c>
      <c r="D5287" s="448">
        <v>54.91</v>
      </c>
      <c r="E5287" s="210"/>
    </row>
    <row r="5288" spans="1:5" ht="81">
      <c r="A5288" s="446">
        <v>87448</v>
      </c>
      <c r="B5288" s="447" t="s">
        <v>903</v>
      </c>
      <c r="C5288" s="446" t="s">
        <v>42</v>
      </c>
      <c r="D5288" s="448">
        <v>55.3</v>
      </c>
      <c r="E5288" s="210"/>
    </row>
    <row r="5289" spans="1:5" ht="81">
      <c r="A5289" s="446">
        <v>87449</v>
      </c>
      <c r="B5289" s="447" t="s">
        <v>904</v>
      </c>
      <c r="C5289" s="446" t="s">
        <v>42</v>
      </c>
      <c r="D5289" s="448">
        <v>71.989999999999995</v>
      </c>
      <c r="E5289" s="210"/>
    </row>
    <row r="5290" spans="1:5" ht="81">
      <c r="A5290" s="446">
        <v>87450</v>
      </c>
      <c r="B5290" s="447" t="s">
        <v>905</v>
      </c>
      <c r="C5290" s="446" t="s">
        <v>42</v>
      </c>
      <c r="D5290" s="448">
        <v>72.91</v>
      </c>
      <c r="E5290" s="210"/>
    </row>
    <row r="5291" spans="1:5" ht="81">
      <c r="A5291" s="446">
        <v>87451</v>
      </c>
      <c r="B5291" s="447" t="s">
        <v>906</v>
      </c>
      <c r="C5291" s="446" t="s">
        <v>42</v>
      </c>
      <c r="D5291" s="448">
        <v>89.35</v>
      </c>
      <c r="E5291" s="210"/>
    </row>
    <row r="5292" spans="1:5" ht="81">
      <c r="A5292" s="446">
        <v>87452</v>
      </c>
      <c r="B5292" s="447" t="s">
        <v>907</v>
      </c>
      <c r="C5292" s="446" t="s">
        <v>42</v>
      </c>
      <c r="D5292" s="448">
        <v>89.86</v>
      </c>
      <c r="E5292" s="210"/>
    </row>
    <row r="5293" spans="1:5" ht="81">
      <c r="A5293" s="446">
        <v>87453</v>
      </c>
      <c r="B5293" s="447" t="s">
        <v>908</v>
      </c>
      <c r="C5293" s="446" t="s">
        <v>42</v>
      </c>
      <c r="D5293" s="448">
        <v>50.65</v>
      </c>
      <c r="E5293" s="210"/>
    </row>
    <row r="5294" spans="1:5" ht="81">
      <c r="A5294" s="446">
        <v>87454</v>
      </c>
      <c r="B5294" s="447" t="s">
        <v>909</v>
      </c>
      <c r="C5294" s="446" t="s">
        <v>42</v>
      </c>
      <c r="D5294" s="448">
        <v>51.44</v>
      </c>
      <c r="E5294" s="210"/>
    </row>
    <row r="5295" spans="1:5" ht="81">
      <c r="A5295" s="446">
        <v>87455</v>
      </c>
      <c r="B5295" s="447" t="s">
        <v>910</v>
      </c>
      <c r="C5295" s="446" t="s">
        <v>42</v>
      </c>
      <c r="D5295" s="448">
        <v>66.209999999999994</v>
      </c>
      <c r="E5295" s="210"/>
    </row>
    <row r="5296" spans="1:5" ht="81">
      <c r="A5296" s="446">
        <v>87456</v>
      </c>
      <c r="B5296" s="447" t="s">
        <v>911</v>
      </c>
      <c r="C5296" s="446" t="s">
        <v>42</v>
      </c>
      <c r="D5296" s="448">
        <v>67.540000000000006</v>
      </c>
      <c r="E5296" s="210"/>
    </row>
    <row r="5297" spans="1:5" ht="81">
      <c r="A5297" s="446">
        <v>87457</v>
      </c>
      <c r="B5297" s="447" t="s">
        <v>912</v>
      </c>
      <c r="C5297" s="446" t="s">
        <v>42</v>
      </c>
      <c r="D5297" s="448">
        <v>81.2</v>
      </c>
      <c r="E5297" s="210"/>
    </row>
    <row r="5298" spans="1:5" ht="81">
      <c r="A5298" s="446">
        <v>87458</v>
      </c>
      <c r="B5298" s="447" t="s">
        <v>913</v>
      </c>
      <c r="C5298" s="446" t="s">
        <v>42</v>
      </c>
      <c r="D5298" s="448">
        <v>82.35</v>
      </c>
      <c r="E5298" s="210"/>
    </row>
    <row r="5299" spans="1:5" ht="81">
      <c r="A5299" s="446">
        <v>87459</v>
      </c>
      <c r="B5299" s="447" t="s">
        <v>914</v>
      </c>
      <c r="C5299" s="446" t="s">
        <v>42</v>
      </c>
      <c r="D5299" s="448">
        <v>60.06</v>
      </c>
      <c r="E5299" s="210"/>
    </row>
    <row r="5300" spans="1:5" ht="81">
      <c r="A5300" s="446">
        <v>87460</v>
      </c>
      <c r="B5300" s="447" t="s">
        <v>915</v>
      </c>
      <c r="C5300" s="446" t="s">
        <v>42</v>
      </c>
      <c r="D5300" s="448">
        <v>60.85</v>
      </c>
      <c r="E5300" s="210"/>
    </row>
    <row r="5301" spans="1:5" ht="81">
      <c r="A5301" s="446">
        <v>87461</v>
      </c>
      <c r="B5301" s="447" t="s">
        <v>916</v>
      </c>
      <c r="C5301" s="446" t="s">
        <v>42</v>
      </c>
      <c r="D5301" s="448">
        <v>77.209999999999994</v>
      </c>
      <c r="E5301" s="210"/>
    </row>
    <row r="5302" spans="1:5" ht="81">
      <c r="A5302" s="446">
        <v>87462</v>
      </c>
      <c r="B5302" s="447" t="s">
        <v>917</v>
      </c>
      <c r="C5302" s="446" t="s">
        <v>42</v>
      </c>
      <c r="D5302" s="448">
        <v>78.13</v>
      </c>
      <c r="E5302" s="210"/>
    </row>
    <row r="5303" spans="1:5" ht="81">
      <c r="A5303" s="446">
        <v>87463</v>
      </c>
      <c r="B5303" s="447" t="s">
        <v>918</v>
      </c>
      <c r="C5303" s="446" t="s">
        <v>42</v>
      </c>
      <c r="D5303" s="448">
        <v>93.98</v>
      </c>
      <c r="E5303" s="210"/>
    </row>
    <row r="5304" spans="1:5" ht="81">
      <c r="A5304" s="446">
        <v>87464</v>
      </c>
      <c r="B5304" s="447" t="s">
        <v>919</v>
      </c>
      <c r="C5304" s="446" t="s">
        <v>42</v>
      </c>
      <c r="D5304" s="448">
        <v>95.13</v>
      </c>
      <c r="E5304" s="210"/>
    </row>
    <row r="5305" spans="1:5" ht="81">
      <c r="A5305" s="446">
        <v>87465</v>
      </c>
      <c r="B5305" s="447" t="s">
        <v>920</v>
      </c>
      <c r="C5305" s="446" t="s">
        <v>42</v>
      </c>
      <c r="D5305" s="448">
        <v>53.58</v>
      </c>
      <c r="E5305" s="210"/>
    </row>
    <row r="5306" spans="1:5" ht="81">
      <c r="A5306" s="446">
        <v>87466</v>
      </c>
      <c r="B5306" s="447" t="s">
        <v>921</v>
      </c>
      <c r="C5306" s="446" t="s">
        <v>42</v>
      </c>
      <c r="D5306" s="448">
        <v>54.37</v>
      </c>
      <c r="E5306" s="210"/>
    </row>
    <row r="5307" spans="1:5" ht="81">
      <c r="A5307" s="446">
        <v>87467</v>
      </c>
      <c r="B5307" s="447" t="s">
        <v>922</v>
      </c>
      <c r="C5307" s="446" t="s">
        <v>42</v>
      </c>
      <c r="D5307" s="448">
        <v>69.63</v>
      </c>
      <c r="E5307" s="210"/>
    </row>
    <row r="5308" spans="1:5" ht="81">
      <c r="A5308" s="446">
        <v>87468</v>
      </c>
      <c r="B5308" s="447" t="s">
        <v>923</v>
      </c>
      <c r="C5308" s="446" t="s">
        <v>42</v>
      </c>
      <c r="D5308" s="448">
        <v>70.55</v>
      </c>
      <c r="E5308" s="210"/>
    </row>
    <row r="5309" spans="1:5" ht="81">
      <c r="A5309" s="446">
        <v>87469</v>
      </c>
      <c r="B5309" s="447" t="s">
        <v>924</v>
      </c>
      <c r="C5309" s="446" t="s">
        <v>42</v>
      </c>
      <c r="D5309" s="448">
        <v>84.76</v>
      </c>
      <c r="E5309" s="210"/>
    </row>
    <row r="5310" spans="1:5" ht="81">
      <c r="A5310" s="446">
        <v>87470</v>
      </c>
      <c r="B5310" s="447" t="s">
        <v>925</v>
      </c>
      <c r="C5310" s="446" t="s">
        <v>42</v>
      </c>
      <c r="D5310" s="448">
        <v>85.91</v>
      </c>
      <c r="E5310" s="210"/>
    </row>
    <row r="5311" spans="1:5" ht="81">
      <c r="A5311" s="446">
        <v>89044</v>
      </c>
      <c r="B5311" s="447" t="s">
        <v>1197</v>
      </c>
      <c r="C5311" s="446" t="s">
        <v>42</v>
      </c>
      <c r="D5311" s="448">
        <v>54.01</v>
      </c>
      <c r="E5311" s="210"/>
    </row>
    <row r="5312" spans="1:5" ht="81">
      <c r="A5312" s="446">
        <v>89169</v>
      </c>
      <c r="B5312" s="447" t="s">
        <v>1205</v>
      </c>
      <c r="C5312" s="446" t="s">
        <v>42</v>
      </c>
      <c r="D5312" s="448">
        <v>54.88</v>
      </c>
      <c r="E5312" s="210"/>
    </row>
    <row r="5313" spans="1:5" ht="81">
      <c r="A5313" s="446">
        <v>89978</v>
      </c>
      <c r="B5313" s="447" t="s">
        <v>1693</v>
      </c>
      <c r="C5313" s="446" t="s">
        <v>42</v>
      </c>
      <c r="D5313" s="448">
        <v>71.34</v>
      </c>
      <c r="E5313" s="210"/>
    </row>
    <row r="5314" spans="1:5" ht="67.5">
      <c r="A5314" s="446">
        <v>89453</v>
      </c>
      <c r="B5314" s="447" t="s">
        <v>1364</v>
      </c>
      <c r="C5314" s="446" t="s">
        <v>42</v>
      </c>
      <c r="D5314" s="448">
        <v>66.25</v>
      </c>
      <c r="E5314" s="210"/>
    </row>
    <row r="5315" spans="1:5" ht="67.5">
      <c r="A5315" s="446">
        <v>89454</v>
      </c>
      <c r="B5315" s="447" t="s">
        <v>1365</v>
      </c>
      <c r="C5315" s="446" t="s">
        <v>42</v>
      </c>
      <c r="D5315" s="448">
        <v>61.77</v>
      </c>
      <c r="E5315" s="210"/>
    </row>
    <row r="5316" spans="1:5" ht="67.5">
      <c r="A5316" s="446">
        <v>89455</v>
      </c>
      <c r="B5316" s="447" t="s">
        <v>1366</v>
      </c>
      <c r="C5316" s="446" t="s">
        <v>42</v>
      </c>
      <c r="D5316" s="448">
        <v>81.61</v>
      </c>
      <c r="E5316" s="210"/>
    </row>
    <row r="5317" spans="1:5" ht="67.5">
      <c r="A5317" s="446">
        <v>89456</v>
      </c>
      <c r="B5317" s="447" t="s">
        <v>1367</v>
      </c>
      <c r="C5317" s="446" t="s">
        <v>42</v>
      </c>
      <c r="D5317" s="448">
        <v>76.739999999999995</v>
      </c>
      <c r="E5317" s="210"/>
    </row>
    <row r="5318" spans="1:5" ht="67.5">
      <c r="A5318" s="446">
        <v>89457</v>
      </c>
      <c r="B5318" s="447" t="s">
        <v>1368</v>
      </c>
      <c r="C5318" s="446" t="s">
        <v>42</v>
      </c>
      <c r="D5318" s="448">
        <v>69.680000000000007</v>
      </c>
      <c r="E5318" s="210"/>
    </row>
    <row r="5319" spans="1:5" ht="67.5">
      <c r="A5319" s="446">
        <v>89458</v>
      </c>
      <c r="B5319" s="447" t="s">
        <v>1369</v>
      </c>
      <c r="C5319" s="446" t="s">
        <v>42</v>
      </c>
      <c r="D5319" s="448">
        <v>63.76</v>
      </c>
      <c r="E5319" s="210"/>
    </row>
    <row r="5320" spans="1:5" ht="67.5">
      <c r="A5320" s="446">
        <v>89459</v>
      </c>
      <c r="B5320" s="447" t="s">
        <v>1370</v>
      </c>
      <c r="C5320" s="446" t="s">
        <v>42</v>
      </c>
      <c r="D5320" s="448">
        <v>85.36</v>
      </c>
      <c r="E5320" s="210"/>
    </row>
    <row r="5321" spans="1:5" ht="67.5">
      <c r="A5321" s="446">
        <v>89460</v>
      </c>
      <c r="B5321" s="447" t="s">
        <v>1371</v>
      </c>
      <c r="C5321" s="446" t="s">
        <v>42</v>
      </c>
      <c r="D5321" s="448">
        <v>78.98</v>
      </c>
      <c r="E5321" s="210"/>
    </row>
    <row r="5322" spans="1:5" ht="67.5">
      <c r="A5322" s="446">
        <v>89462</v>
      </c>
      <c r="B5322" s="447" t="s">
        <v>1372</v>
      </c>
      <c r="C5322" s="446" t="s">
        <v>42</v>
      </c>
      <c r="D5322" s="448">
        <v>78.78</v>
      </c>
      <c r="E5322" s="210"/>
    </row>
    <row r="5323" spans="1:5" ht="67.5">
      <c r="A5323" s="446">
        <v>89463</v>
      </c>
      <c r="B5323" s="447" t="s">
        <v>1373</v>
      </c>
      <c r="C5323" s="446" t="s">
        <v>42</v>
      </c>
      <c r="D5323" s="448">
        <v>74.27</v>
      </c>
      <c r="E5323" s="210"/>
    </row>
    <row r="5324" spans="1:5" ht="67.5">
      <c r="A5324" s="446">
        <v>89464</v>
      </c>
      <c r="B5324" s="447" t="s">
        <v>1374</v>
      </c>
      <c r="C5324" s="446" t="s">
        <v>42</v>
      </c>
      <c r="D5324" s="448">
        <v>94.29</v>
      </c>
      <c r="E5324" s="210"/>
    </row>
    <row r="5325" spans="1:5" ht="67.5">
      <c r="A5325" s="446">
        <v>89465</v>
      </c>
      <c r="B5325" s="447" t="s">
        <v>1375</v>
      </c>
      <c r="C5325" s="446" t="s">
        <v>42</v>
      </c>
      <c r="D5325" s="448">
        <v>89.49</v>
      </c>
      <c r="E5325" s="210"/>
    </row>
    <row r="5326" spans="1:5" ht="67.5">
      <c r="A5326" s="446">
        <v>89466</v>
      </c>
      <c r="B5326" s="447" t="s">
        <v>1376</v>
      </c>
      <c r="C5326" s="446" t="s">
        <v>42</v>
      </c>
      <c r="D5326" s="448">
        <v>83.62</v>
      </c>
      <c r="E5326" s="210"/>
    </row>
    <row r="5327" spans="1:5" ht="67.5">
      <c r="A5327" s="446">
        <v>89467</v>
      </c>
      <c r="B5327" s="447" t="s">
        <v>1377</v>
      </c>
      <c r="C5327" s="446" t="s">
        <v>42</v>
      </c>
      <c r="D5327" s="448">
        <v>77.11</v>
      </c>
      <c r="E5327" s="210"/>
    </row>
    <row r="5328" spans="1:5" ht="67.5">
      <c r="A5328" s="446">
        <v>89468</v>
      </c>
      <c r="B5328" s="447" t="s">
        <v>1378</v>
      </c>
      <c r="C5328" s="446" t="s">
        <v>42</v>
      </c>
      <c r="D5328" s="448">
        <v>99.35</v>
      </c>
      <c r="E5328" s="210"/>
    </row>
    <row r="5329" spans="1:5" ht="67.5">
      <c r="A5329" s="446">
        <v>89469</v>
      </c>
      <c r="B5329" s="447" t="s">
        <v>1379</v>
      </c>
      <c r="C5329" s="446" t="s">
        <v>42</v>
      </c>
      <c r="D5329" s="448">
        <v>92.54</v>
      </c>
      <c r="E5329" s="210"/>
    </row>
    <row r="5330" spans="1:5" ht="81">
      <c r="A5330" s="446">
        <v>89470</v>
      </c>
      <c r="B5330" s="447" t="s">
        <v>1380</v>
      </c>
      <c r="C5330" s="446" t="s">
        <v>42</v>
      </c>
      <c r="D5330" s="448">
        <v>76.97</v>
      </c>
      <c r="E5330" s="210"/>
    </row>
    <row r="5331" spans="1:5" ht="81">
      <c r="A5331" s="446">
        <v>89471</v>
      </c>
      <c r="B5331" s="447" t="s">
        <v>1381</v>
      </c>
      <c r="C5331" s="446" t="s">
        <v>42</v>
      </c>
      <c r="D5331" s="448">
        <v>72.489999999999995</v>
      </c>
      <c r="E5331" s="210"/>
    </row>
    <row r="5332" spans="1:5" ht="81">
      <c r="A5332" s="446">
        <v>89472</v>
      </c>
      <c r="B5332" s="447" t="s">
        <v>1382</v>
      </c>
      <c r="C5332" s="446" t="s">
        <v>42</v>
      </c>
      <c r="D5332" s="448">
        <v>92.3</v>
      </c>
      <c r="E5332" s="210"/>
    </row>
    <row r="5333" spans="1:5" ht="81">
      <c r="A5333" s="446">
        <v>89473</v>
      </c>
      <c r="B5333" s="447" t="s">
        <v>1383</v>
      </c>
      <c r="C5333" s="446" t="s">
        <v>42</v>
      </c>
      <c r="D5333" s="448">
        <v>87.61</v>
      </c>
      <c r="E5333" s="210"/>
    </row>
    <row r="5334" spans="1:5" ht="81">
      <c r="A5334" s="446">
        <v>89474</v>
      </c>
      <c r="B5334" s="447" t="s">
        <v>1384</v>
      </c>
      <c r="C5334" s="446" t="s">
        <v>42</v>
      </c>
      <c r="D5334" s="448">
        <v>83.28</v>
      </c>
      <c r="E5334" s="210"/>
    </row>
    <row r="5335" spans="1:5" ht="81">
      <c r="A5335" s="446">
        <v>89475</v>
      </c>
      <c r="B5335" s="447" t="s">
        <v>1385</v>
      </c>
      <c r="C5335" s="446" t="s">
        <v>42</v>
      </c>
      <c r="D5335" s="448">
        <v>76.06</v>
      </c>
      <c r="E5335" s="210"/>
    </row>
    <row r="5336" spans="1:5" ht="81">
      <c r="A5336" s="446">
        <v>89476</v>
      </c>
      <c r="B5336" s="447" t="s">
        <v>1386</v>
      </c>
      <c r="C5336" s="446" t="s">
        <v>42</v>
      </c>
      <c r="D5336" s="448">
        <v>99.11</v>
      </c>
      <c r="E5336" s="210"/>
    </row>
    <row r="5337" spans="1:5" ht="81">
      <c r="A5337" s="446">
        <v>89477</v>
      </c>
      <c r="B5337" s="447" t="s">
        <v>1387</v>
      </c>
      <c r="C5337" s="446" t="s">
        <v>42</v>
      </c>
      <c r="D5337" s="448">
        <v>91.61</v>
      </c>
      <c r="E5337" s="210"/>
    </row>
    <row r="5338" spans="1:5" ht="81">
      <c r="A5338" s="446">
        <v>89478</v>
      </c>
      <c r="B5338" s="447" t="s">
        <v>1388</v>
      </c>
      <c r="C5338" s="446" t="s">
        <v>42</v>
      </c>
      <c r="D5338" s="448">
        <v>89.72</v>
      </c>
      <c r="E5338" s="210"/>
    </row>
    <row r="5339" spans="1:5" ht="81">
      <c r="A5339" s="446">
        <v>89479</v>
      </c>
      <c r="B5339" s="447" t="s">
        <v>1389</v>
      </c>
      <c r="C5339" s="446" t="s">
        <v>42</v>
      </c>
      <c r="D5339" s="448">
        <v>85.21</v>
      </c>
      <c r="E5339" s="210"/>
    </row>
    <row r="5340" spans="1:5" ht="81">
      <c r="A5340" s="446">
        <v>89480</v>
      </c>
      <c r="B5340" s="447" t="s">
        <v>1390</v>
      </c>
      <c r="C5340" s="446" t="s">
        <v>42</v>
      </c>
      <c r="D5340" s="448">
        <v>105.23</v>
      </c>
      <c r="E5340" s="210"/>
    </row>
    <row r="5341" spans="1:5" ht="81">
      <c r="A5341" s="446">
        <v>89483</v>
      </c>
      <c r="B5341" s="447" t="s">
        <v>1392</v>
      </c>
      <c r="C5341" s="446" t="s">
        <v>42</v>
      </c>
      <c r="D5341" s="448">
        <v>100.6</v>
      </c>
      <c r="E5341" s="210"/>
    </row>
    <row r="5342" spans="1:5" ht="81">
      <c r="A5342" s="446">
        <v>89484</v>
      </c>
      <c r="B5342" s="447" t="s">
        <v>1393</v>
      </c>
      <c r="C5342" s="446" t="s">
        <v>42</v>
      </c>
      <c r="D5342" s="448">
        <v>97.44</v>
      </c>
      <c r="E5342" s="210"/>
    </row>
    <row r="5343" spans="1:5" ht="81">
      <c r="A5343" s="446">
        <v>89486</v>
      </c>
      <c r="B5343" s="447" t="s">
        <v>1394</v>
      </c>
      <c r="C5343" s="446" t="s">
        <v>42</v>
      </c>
      <c r="D5343" s="448">
        <v>89.81</v>
      </c>
      <c r="E5343" s="210"/>
    </row>
    <row r="5344" spans="1:5" ht="81">
      <c r="A5344" s="446">
        <v>89487</v>
      </c>
      <c r="B5344" s="447" t="s">
        <v>1395</v>
      </c>
      <c r="C5344" s="446" t="s">
        <v>42</v>
      </c>
      <c r="D5344" s="448">
        <v>113.35</v>
      </c>
      <c r="E5344" s="210"/>
    </row>
    <row r="5345" spans="1:5" ht="81">
      <c r="A5345" s="446">
        <v>89488</v>
      </c>
      <c r="B5345" s="447" t="s">
        <v>1396</v>
      </c>
      <c r="C5345" s="446" t="s">
        <v>42</v>
      </c>
      <c r="D5345" s="448">
        <v>105.41</v>
      </c>
      <c r="E5345" s="210"/>
    </row>
    <row r="5346" spans="1:5" ht="81">
      <c r="A5346" s="446">
        <v>91815</v>
      </c>
      <c r="B5346" s="447" t="s">
        <v>1943</v>
      </c>
      <c r="C5346" s="446" t="s">
        <v>42</v>
      </c>
      <c r="D5346" s="448">
        <v>65.319999999999993</v>
      </c>
      <c r="E5346" s="210"/>
    </row>
    <row r="5347" spans="1:5" ht="81">
      <c r="A5347" s="446">
        <v>91816</v>
      </c>
      <c r="B5347" s="447" t="s">
        <v>1944</v>
      </c>
      <c r="C5347" s="446" t="s">
        <v>42</v>
      </c>
      <c r="D5347" s="448">
        <v>78.319999999999993</v>
      </c>
      <c r="E5347" s="210"/>
    </row>
    <row r="5348" spans="1:5" ht="54">
      <c r="A5348" s="446">
        <v>101161</v>
      </c>
      <c r="B5348" s="447" t="s">
        <v>5327</v>
      </c>
      <c r="C5348" s="446" t="s">
        <v>42</v>
      </c>
      <c r="D5348" s="448">
        <v>157.02000000000001</v>
      </c>
      <c r="E5348" s="210"/>
    </row>
    <row r="5349" spans="1:5" ht="54">
      <c r="A5349" s="446">
        <v>101163</v>
      </c>
      <c r="B5349" s="447" t="s">
        <v>5328</v>
      </c>
      <c r="C5349" s="446" t="s">
        <v>42</v>
      </c>
      <c r="D5349" s="448">
        <v>994.34</v>
      </c>
      <c r="E5349" s="210"/>
    </row>
    <row r="5350" spans="1:5" ht="54">
      <c r="A5350" s="446">
        <v>101164</v>
      </c>
      <c r="B5350" s="447" t="s">
        <v>5329</v>
      </c>
      <c r="C5350" s="446" t="s">
        <v>42</v>
      </c>
      <c r="D5350" s="448">
        <v>708.06</v>
      </c>
      <c r="E5350" s="210"/>
    </row>
    <row r="5351" spans="1:5" ht="54">
      <c r="A5351" s="446">
        <v>96358</v>
      </c>
      <c r="B5351" s="447" t="s">
        <v>3023</v>
      </c>
      <c r="C5351" s="446" t="s">
        <v>42</v>
      </c>
      <c r="D5351" s="448">
        <v>81.569999999999993</v>
      </c>
      <c r="E5351" s="210"/>
    </row>
    <row r="5352" spans="1:5" ht="54">
      <c r="A5352" s="446">
        <v>96359</v>
      </c>
      <c r="B5352" s="447" t="s">
        <v>3024</v>
      </c>
      <c r="C5352" s="446" t="s">
        <v>42</v>
      </c>
      <c r="D5352" s="448">
        <v>92.65</v>
      </c>
      <c r="E5352" s="210"/>
    </row>
    <row r="5353" spans="1:5" ht="54">
      <c r="A5353" s="446">
        <v>96360</v>
      </c>
      <c r="B5353" s="447" t="s">
        <v>3025</v>
      </c>
      <c r="C5353" s="446" t="s">
        <v>42</v>
      </c>
      <c r="D5353" s="448">
        <v>110.95</v>
      </c>
      <c r="E5353" s="210"/>
    </row>
    <row r="5354" spans="1:5" ht="54">
      <c r="A5354" s="446">
        <v>96361</v>
      </c>
      <c r="B5354" s="447" t="s">
        <v>3026</v>
      </c>
      <c r="C5354" s="446" t="s">
        <v>42</v>
      </c>
      <c r="D5354" s="448">
        <v>132.68</v>
      </c>
      <c r="E5354" s="210"/>
    </row>
    <row r="5355" spans="1:5" ht="67.5">
      <c r="A5355" s="446">
        <v>96362</v>
      </c>
      <c r="B5355" s="447" t="s">
        <v>3027</v>
      </c>
      <c r="C5355" s="446" t="s">
        <v>42</v>
      </c>
      <c r="D5355" s="448">
        <v>104.66</v>
      </c>
      <c r="E5355" s="210"/>
    </row>
    <row r="5356" spans="1:5" ht="67.5">
      <c r="A5356" s="446">
        <v>96363</v>
      </c>
      <c r="B5356" s="447" t="s">
        <v>3028</v>
      </c>
      <c r="C5356" s="446" t="s">
        <v>42</v>
      </c>
      <c r="D5356" s="448">
        <v>115.96</v>
      </c>
      <c r="E5356" s="210"/>
    </row>
    <row r="5357" spans="1:5" ht="67.5">
      <c r="A5357" s="446">
        <v>96364</v>
      </c>
      <c r="B5357" s="447" t="s">
        <v>3029</v>
      </c>
      <c r="C5357" s="446" t="s">
        <v>42</v>
      </c>
      <c r="D5357" s="448">
        <v>134.04</v>
      </c>
      <c r="E5357" s="210"/>
    </row>
    <row r="5358" spans="1:5" ht="67.5">
      <c r="A5358" s="446">
        <v>96365</v>
      </c>
      <c r="B5358" s="447" t="s">
        <v>3030</v>
      </c>
      <c r="C5358" s="446" t="s">
        <v>42</v>
      </c>
      <c r="D5358" s="448">
        <v>155.99</v>
      </c>
      <c r="E5358" s="210"/>
    </row>
    <row r="5359" spans="1:5" ht="54">
      <c r="A5359" s="446">
        <v>96366</v>
      </c>
      <c r="B5359" s="447" t="s">
        <v>3031</v>
      </c>
      <c r="C5359" s="446" t="s">
        <v>42</v>
      </c>
      <c r="D5359" s="448">
        <v>127.74</v>
      </c>
      <c r="E5359" s="210"/>
    </row>
    <row r="5360" spans="1:5" ht="54">
      <c r="A5360" s="446">
        <v>96367</v>
      </c>
      <c r="B5360" s="447" t="s">
        <v>3032</v>
      </c>
      <c r="C5360" s="446" t="s">
        <v>42</v>
      </c>
      <c r="D5360" s="448">
        <v>139.24</v>
      </c>
      <c r="E5360" s="210"/>
    </row>
    <row r="5361" spans="1:5" ht="54">
      <c r="A5361" s="446">
        <v>96368</v>
      </c>
      <c r="B5361" s="447" t="s">
        <v>3033</v>
      </c>
      <c r="C5361" s="446" t="s">
        <v>42</v>
      </c>
      <c r="D5361" s="448">
        <v>157.12</v>
      </c>
      <c r="E5361" s="210"/>
    </row>
    <row r="5362" spans="1:5" ht="54">
      <c r="A5362" s="446">
        <v>96369</v>
      </c>
      <c r="B5362" s="447" t="s">
        <v>3034</v>
      </c>
      <c r="C5362" s="446" t="s">
        <v>42</v>
      </c>
      <c r="D5362" s="448">
        <v>179.29</v>
      </c>
      <c r="E5362" s="210"/>
    </row>
    <row r="5363" spans="1:5" ht="54">
      <c r="A5363" s="446">
        <v>96370</v>
      </c>
      <c r="B5363" s="447" t="s">
        <v>3035</v>
      </c>
      <c r="C5363" s="446" t="s">
        <v>42</v>
      </c>
      <c r="D5363" s="448">
        <v>55.81</v>
      </c>
      <c r="E5363" s="210"/>
    </row>
    <row r="5364" spans="1:5" ht="54">
      <c r="A5364" s="446">
        <v>96371</v>
      </c>
      <c r="B5364" s="447" t="s">
        <v>3036</v>
      </c>
      <c r="C5364" s="446" t="s">
        <v>42</v>
      </c>
      <c r="D5364" s="448">
        <v>66.739999999999995</v>
      </c>
      <c r="E5364" s="210"/>
    </row>
    <row r="5365" spans="1:5" ht="27">
      <c r="A5365" s="446">
        <v>96373</v>
      </c>
      <c r="B5365" s="447" t="s">
        <v>3037</v>
      </c>
      <c r="C5365" s="446" t="s">
        <v>14</v>
      </c>
      <c r="D5365" s="448">
        <v>10.34</v>
      </c>
      <c r="E5365" s="210"/>
    </row>
    <row r="5366" spans="1:5" ht="27">
      <c r="A5366" s="446">
        <v>96374</v>
      </c>
      <c r="B5366" s="447" t="s">
        <v>3038</v>
      </c>
      <c r="C5366" s="446" t="s">
        <v>14</v>
      </c>
      <c r="D5366" s="448">
        <v>16.84</v>
      </c>
      <c r="E5366" s="210"/>
    </row>
    <row r="5367" spans="1:5" ht="27">
      <c r="A5367" s="446">
        <v>102235</v>
      </c>
      <c r="B5367" s="447" t="s">
        <v>6698</v>
      </c>
      <c r="C5367" s="446" t="s">
        <v>42</v>
      </c>
      <c r="D5367" s="448">
        <v>417.13</v>
      </c>
      <c r="E5367" s="210"/>
    </row>
    <row r="5368" spans="1:5" ht="54">
      <c r="A5368" s="446">
        <v>102253</v>
      </c>
      <c r="B5368" s="447" t="s">
        <v>6699</v>
      </c>
      <c r="C5368" s="446" t="s">
        <v>42</v>
      </c>
      <c r="D5368" s="448">
        <v>566.95000000000005</v>
      </c>
      <c r="E5368" s="210"/>
    </row>
    <row r="5369" spans="1:5" ht="54">
      <c r="A5369" s="446">
        <v>102254</v>
      </c>
      <c r="B5369" s="447" t="s">
        <v>6700</v>
      </c>
      <c r="C5369" s="446" t="s">
        <v>42</v>
      </c>
      <c r="D5369" s="448">
        <v>680.89</v>
      </c>
      <c r="E5369" s="210"/>
    </row>
    <row r="5370" spans="1:5" ht="40.5">
      <c r="A5370" s="446">
        <v>102255</v>
      </c>
      <c r="B5370" s="447" t="s">
        <v>6701</v>
      </c>
      <c r="C5370" s="446" t="s">
        <v>42</v>
      </c>
      <c r="D5370" s="448">
        <v>575.78</v>
      </c>
      <c r="E5370" s="210"/>
    </row>
    <row r="5371" spans="1:5" ht="40.5">
      <c r="A5371" s="446">
        <v>102256</v>
      </c>
      <c r="B5371" s="447" t="s">
        <v>6702</v>
      </c>
      <c r="C5371" s="446" t="s">
        <v>42</v>
      </c>
      <c r="D5371" s="448">
        <v>779.84</v>
      </c>
      <c r="E5371" s="210"/>
    </row>
    <row r="5372" spans="1:5" ht="54">
      <c r="A5372" s="446">
        <v>102257</v>
      </c>
      <c r="B5372" s="447" t="s">
        <v>6703</v>
      </c>
      <c r="C5372" s="446" t="s">
        <v>42</v>
      </c>
      <c r="D5372" s="448">
        <v>246.37</v>
      </c>
      <c r="E5372" s="210"/>
    </row>
    <row r="5373" spans="1:5" ht="40.5">
      <c r="A5373" s="446">
        <v>102258</v>
      </c>
      <c r="B5373" s="447" t="s">
        <v>6704</v>
      </c>
      <c r="C5373" s="446" t="s">
        <v>42</v>
      </c>
      <c r="D5373" s="448">
        <v>265.93</v>
      </c>
      <c r="E5373" s="210"/>
    </row>
    <row r="5374" spans="1:5" ht="67.5">
      <c r="A5374" s="446">
        <v>101154</v>
      </c>
      <c r="B5374" s="447" t="s">
        <v>5330</v>
      </c>
      <c r="C5374" s="446" t="s">
        <v>42</v>
      </c>
      <c r="D5374" s="448">
        <v>91.35</v>
      </c>
      <c r="E5374" s="210"/>
    </row>
    <row r="5375" spans="1:5" ht="67.5">
      <c r="A5375" s="446">
        <v>101155</v>
      </c>
      <c r="B5375" s="447" t="s">
        <v>5331</v>
      </c>
      <c r="C5375" s="446" t="s">
        <v>42</v>
      </c>
      <c r="D5375" s="448">
        <v>128.76</v>
      </c>
      <c r="E5375" s="210"/>
    </row>
    <row r="5376" spans="1:5" ht="67.5">
      <c r="A5376" s="446">
        <v>101156</v>
      </c>
      <c r="B5376" s="447" t="s">
        <v>5332</v>
      </c>
      <c r="C5376" s="446" t="s">
        <v>42</v>
      </c>
      <c r="D5376" s="448">
        <v>189.74</v>
      </c>
      <c r="E5376" s="210"/>
    </row>
    <row r="5377" spans="1:5" ht="54">
      <c r="A5377" s="446">
        <v>101810</v>
      </c>
      <c r="B5377" s="447" t="s">
        <v>6705</v>
      </c>
      <c r="C5377" s="446" t="s">
        <v>31</v>
      </c>
      <c r="D5377" s="448">
        <v>1318.38</v>
      </c>
      <c r="E5377" s="210"/>
    </row>
    <row r="5378" spans="1:5" ht="54">
      <c r="A5378" s="446">
        <v>101811</v>
      </c>
      <c r="B5378" s="447" t="s">
        <v>6706</v>
      </c>
      <c r="C5378" s="446" t="s">
        <v>31</v>
      </c>
      <c r="D5378" s="448">
        <v>1177.5</v>
      </c>
      <c r="E5378" s="210"/>
    </row>
    <row r="5379" spans="1:5" ht="54">
      <c r="A5379" s="446">
        <v>101812</v>
      </c>
      <c r="B5379" s="447" t="s">
        <v>7035</v>
      </c>
      <c r="C5379" s="446" t="s">
        <v>31</v>
      </c>
      <c r="D5379" s="448">
        <v>1392.02</v>
      </c>
      <c r="E5379" s="210"/>
    </row>
    <row r="5380" spans="1:5" ht="54">
      <c r="A5380" s="446">
        <v>101813</v>
      </c>
      <c r="B5380" s="447" t="s">
        <v>7036</v>
      </c>
      <c r="C5380" s="446" t="s">
        <v>31</v>
      </c>
      <c r="D5380" s="448">
        <v>1251.1400000000001</v>
      </c>
      <c r="E5380" s="210"/>
    </row>
    <row r="5381" spans="1:5" ht="81">
      <c r="A5381" s="446">
        <v>101814</v>
      </c>
      <c r="B5381" s="447" t="s">
        <v>7037</v>
      </c>
      <c r="C5381" s="446" t="s">
        <v>42</v>
      </c>
      <c r="D5381" s="448">
        <v>31.84</v>
      </c>
      <c r="E5381" s="210"/>
    </row>
    <row r="5382" spans="1:5" ht="94.5">
      <c r="A5382" s="446">
        <v>101815</v>
      </c>
      <c r="B5382" s="447" t="s">
        <v>7038</v>
      </c>
      <c r="C5382" s="446" t="s">
        <v>42</v>
      </c>
      <c r="D5382" s="448">
        <v>62</v>
      </c>
      <c r="E5382" s="210"/>
    </row>
    <row r="5383" spans="1:5" ht="81">
      <c r="A5383" s="446">
        <v>101816</v>
      </c>
      <c r="B5383" s="447" t="s">
        <v>7039</v>
      </c>
      <c r="C5383" s="446" t="s">
        <v>42</v>
      </c>
      <c r="D5383" s="448">
        <v>50.57</v>
      </c>
      <c r="E5383" s="210"/>
    </row>
    <row r="5384" spans="1:5" ht="81">
      <c r="A5384" s="446">
        <v>101817</v>
      </c>
      <c r="B5384" s="447" t="s">
        <v>7040</v>
      </c>
      <c r="C5384" s="446" t="s">
        <v>42</v>
      </c>
      <c r="D5384" s="448">
        <v>34.36</v>
      </c>
      <c r="E5384" s="210"/>
    </row>
    <row r="5385" spans="1:5" ht="94.5">
      <c r="A5385" s="446">
        <v>101818</v>
      </c>
      <c r="B5385" s="447" t="s">
        <v>7041</v>
      </c>
      <c r="C5385" s="446" t="s">
        <v>42</v>
      </c>
      <c r="D5385" s="448">
        <v>49.31</v>
      </c>
      <c r="E5385" s="210"/>
    </row>
    <row r="5386" spans="1:5" ht="81">
      <c r="A5386" s="446">
        <v>101819</v>
      </c>
      <c r="B5386" s="447" t="s">
        <v>7042</v>
      </c>
      <c r="C5386" s="446" t="s">
        <v>42</v>
      </c>
      <c r="D5386" s="448">
        <v>44.58</v>
      </c>
      <c r="E5386" s="210"/>
    </row>
    <row r="5387" spans="1:5" ht="81">
      <c r="A5387" s="446">
        <v>101820</v>
      </c>
      <c r="B5387" s="447" t="s">
        <v>7043</v>
      </c>
      <c r="C5387" s="446" t="s">
        <v>42</v>
      </c>
      <c r="D5387" s="448">
        <v>27.8</v>
      </c>
      <c r="E5387" s="210"/>
    </row>
    <row r="5388" spans="1:5" ht="67.5">
      <c r="A5388" s="446">
        <v>101821</v>
      </c>
      <c r="B5388" s="447" t="s">
        <v>7044</v>
      </c>
      <c r="C5388" s="446" t="s">
        <v>31</v>
      </c>
      <c r="D5388" s="448">
        <v>36.840000000000003</v>
      </c>
      <c r="E5388" s="210"/>
    </row>
    <row r="5389" spans="1:5" ht="67.5">
      <c r="A5389" s="446">
        <v>101822</v>
      </c>
      <c r="B5389" s="447" t="s">
        <v>7045</v>
      </c>
      <c r="C5389" s="446" t="s">
        <v>31</v>
      </c>
      <c r="D5389" s="448">
        <v>75.17</v>
      </c>
      <c r="E5389" s="210"/>
    </row>
    <row r="5390" spans="1:5" ht="54">
      <c r="A5390" s="446">
        <v>101823</v>
      </c>
      <c r="B5390" s="447" t="s">
        <v>7046</v>
      </c>
      <c r="C5390" s="446" t="s">
        <v>31</v>
      </c>
      <c r="D5390" s="448">
        <v>106</v>
      </c>
      <c r="E5390" s="210"/>
    </row>
    <row r="5391" spans="1:5" ht="54">
      <c r="A5391" s="446">
        <v>101824</v>
      </c>
      <c r="B5391" s="447" t="s">
        <v>7047</v>
      </c>
      <c r="C5391" s="446" t="s">
        <v>31</v>
      </c>
      <c r="D5391" s="448">
        <v>134.69999999999999</v>
      </c>
      <c r="E5391" s="210"/>
    </row>
    <row r="5392" spans="1:5" ht="54">
      <c r="A5392" s="446">
        <v>101825</v>
      </c>
      <c r="B5392" s="447" t="s">
        <v>7048</v>
      </c>
      <c r="C5392" s="446" t="s">
        <v>31</v>
      </c>
      <c r="D5392" s="448">
        <v>162.63</v>
      </c>
      <c r="E5392" s="210"/>
    </row>
    <row r="5393" spans="1:5" ht="54">
      <c r="A5393" s="446">
        <v>101826</v>
      </c>
      <c r="B5393" s="447" t="s">
        <v>7049</v>
      </c>
      <c r="C5393" s="446" t="s">
        <v>31</v>
      </c>
      <c r="D5393" s="448">
        <v>190.19</v>
      </c>
      <c r="E5393" s="210"/>
    </row>
    <row r="5394" spans="1:5" ht="54">
      <c r="A5394" s="446">
        <v>101827</v>
      </c>
      <c r="B5394" s="447" t="s">
        <v>7050</v>
      </c>
      <c r="C5394" s="446" t="s">
        <v>31</v>
      </c>
      <c r="D5394" s="448">
        <v>140.71</v>
      </c>
      <c r="E5394" s="210"/>
    </row>
    <row r="5395" spans="1:5" ht="54">
      <c r="A5395" s="446">
        <v>101828</v>
      </c>
      <c r="B5395" s="447" t="s">
        <v>7051</v>
      </c>
      <c r="C5395" s="446" t="s">
        <v>31</v>
      </c>
      <c r="D5395" s="448">
        <v>129.79</v>
      </c>
      <c r="E5395" s="210"/>
    </row>
    <row r="5396" spans="1:5" ht="67.5">
      <c r="A5396" s="446">
        <v>101829</v>
      </c>
      <c r="B5396" s="447" t="s">
        <v>7052</v>
      </c>
      <c r="C5396" s="446" t="s">
        <v>31</v>
      </c>
      <c r="D5396" s="448">
        <v>197.62</v>
      </c>
      <c r="E5396" s="210"/>
    </row>
    <row r="5397" spans="1:5" ht="67.5">
      <c r="A5397" s="446">
        <v>101830</v>
      </c>
      <c r="B5397" s="447" t="s">
        <v>7053</v>
      </c>
      <c r="C5397" s="446" t="s">
        <v>31</v>
      </c>
      <c r="D5397" s="448">
        <v>224.24</v>
      </c>
      <c r="E5397" s="210"/>
    </row>
    <row r="5398" spans="1:5" ht="67.5">
      <c r="A5398" s="446">
        <v>101831</v>
      </c>
      <c r="B5398" s="447" t="s">
        <v>7054</v>
      </c>
      <c r="C5398" s="446" t="s">
        <v>31</v>
      </c>
      <c r="D5398" s="448">
        <v>250.49</v>
      </c>
      <c r="E5398" s="210"/>
    </row>
    <row r="5399" spans="1:5" ht="67.5">
      <c r="A5399" s="446">
        <v>101832</v>
      </c>
      <c r="B5399" s="447" t="s">
        <v>7055</v>
      </c>
      <c r="C5399" s="446" t="s">
        <v>31</v>
      </c>
      <c r="D5399" s="448">
        <v>187.13</v>
      </c>
      <c r="E5399" s="210"/>
    </row>
    <row r="5400" spans="1:5" ht="67.5">
      <c r="A5400" s="446">
        <v>101833</v>
      </c>
      <c r="B5400" s="447" t="s">
        <v>7056</v>
      </c>
      <c r="C5400" s="446" t="s">
        <v>31</v>
      </c>
      <c r="D5400" s="448">
        <v>213.97</v>
      </c>
      <c r="E5400" s="210"/>
    </row>
    <row r="5401" spans="1:5" ht="67.5">
      <c r="A5401" s="446">
        <v>101834</v>
      </c>
      <c r="B5401" s="447" t="s">
        <v>7057</v>
      </c>
      <c r="C5401" s="446" t="s">
        <v>31</v>
      </c>
      <c r="D5401" s="448">
        <v>240.44</v>
      </c>
      <c r="E5401" s="210"/>
    </row>
    <row r="5402" spans="1:5" ht="54">
      <c r="A5402" s="446">
        <v>101835</v>
      </c>
      <c r="B5402" s="447" t="s">
        <v>7058</v>
      </c>
      <c r="C5402" s="446" t="s">
        <v>31</v>
      </c>
      <c r="D5402" s="448">
        <v>200.77</v>
      </c>
      <c r="E5402" s="210"/>
    </row>
    <row r="5403" spans="1:5" ht="67.5">
      <c r="A5403" s="446">
        <v>101836</v>
      </c>
      <c r="B5403" s="447" t="s">
        <v>7059</v>
      </c>
      <c r="C5403" s="446" t="s">
        <v>31</v>
      </c>
      <c r="D5403" s="448">
        <v>16.510000000000002</v>
      </c>
      <c r="E5403" s="210"/>
    </row>
    <row r="5404" spans="1:5" ht="67.5">
      <c r="A5404" s="446">
        <v>101837</v>
      </c>
      <c r="B5404" s="447" t="s">
        <v>7060</v>
      </c>
      <c r="C5404" s="446" t="s">
        <v>31</v>
      </c>
      <c r="D5404" s="448">
        <v>47.34</v>
      </c>
      <c r="E5404" s="210"/>
    </row>
    <row r="5405" spans="1:5" ht="67.5">
      <c r="A5405" s="446">
        <v>101838</v>
      </c>
      <c r="B5405" s="447" t="s">
        <v>7061</v>
      </c>
      <c r="C5405" s="446" t="s">
        <v>31</v>
      </c>
      <c r="D5405" s="448">
        <v>76.040000000000006</v>
      </c>
      <c r="E5405" s="210"/>
    </row>
    <row r="5406" spans="1:5" ht="54">
      <c r="A5406" s="446">
        <v>101839</v>
      </c>
      <c r="B5406" s="447" t="s">
        <v>7062</v>
      </c>
      <c r="C5406" s="446" t="s">
        <v>31</v>
      </c>
      <c r="D5406" s="448">
        <v>103.97</v>
      </c>
      <c r="E5406" s="210"/>
    </row>
    <row r="5407" spans="1:5" ht="54">
      <c r="A5407" s="446">
        <v>101840</v>
      </c>
      <c r="B5407" s="447" t="s">
        <v>7063</v>
      </c>
      <c r="C5407" s="446" t="s">
        <v>31</v>
      </c>
      <c r="D5407" s="448">
        <v>159.43</v>
      </c>
      <c r="E5407" s="210"/>
    </row>
    <row r="5408" spans="1:5" ht="54">
      <c r="A5408" s="446">
        <v>101841</v>
      </c>
      <c r="B5408" s="447" t="s">
        <v>7064</v>
      </c>
      <c r="C5408" s="446" t="s">
        <v>31</v>
      </c>
      <c r="D5408" s="448">
        <v>82.05</v>
      </c>
      <c r="E5408" s="210"/>
    </row>
    <row r="5409" spans="1:5" ht="54">
      <c r="A5409" s="446">
        <v>101842</v>
      </c>
      <c r="B5409" s="447" t="s">
        <v>7065</v>
      </c>
      <c r="C5409" s="446" t="s">
        <v>31</v>
      </c>
      <c r="D5409" s="448">
        <v>71.13</v>
      </c>
      <c r="E5409" s="210"/>
    </row>
    <row r="5410" spans="1:5" ht="67.5">
      <c r="A5410" s="446">
        <v>101843</v>
      </c>
      <c r="B5410" s="447" t="s">
        <v>7066</v>
      </c>
      <c r="C5410" s="446" t="s">
        <v>31</v>
      </c>
      <c r="D5410" s="448">
        <v>138.96</v>
      </c>
      <c r="E5410" s="210"/>
    </row>
    <row r="5411" spans="1:5" ht="67.5">
      <c r="A5411" s="446">
        <v>101844</v>
      </c>
      <c r="B5411" s="447" t="s">
        <v>7067</v>
      </c>
      <c r="C5411" s="446" t="s">
        <v>31</v>
      </c>
      <c r="D5411" s="448">
        <v>165.58</v>
      </c>
      <c r="E5411" s="210"/>
    </row>
    <row r="5412" spans="1:5" ht="67.5">
      <c r="A5412" s="446">
        <v>101845</v>
      </c>
      <c r="B5412" s="447" t="s">
        <v>7068</v>
      </c>
      <c r="C5412" s="446" t="s">
        <v>31</v>
      </c>
      <c r="D5412" s="448">
        <v>191.83</v>
      </c>
      <c r="E5412" s="210"/>
    </row>
    <row r="5413" spans="1:5" ht="67.5">
      <c r="A5413" s="446">
        <v>101846</v>
      </c>
      <c r="B5413" s="447" t="s">
        <v>7069</v>
      </c>
      <c r="C5413" s="446" t="s">
        <v>31</v>
      </c>
      <c r="D5413" s="448">
        <v>128.47</v>
      </c>
      <c r="E5413" s="210"/>
    </row>
    <row r="5414" spans="1:5" ht="67.5">
      <c r="A5414" s="446">
        <v>101847</v>
      </c>
      <c r="B5414" s="447" t="s">
        <v>7070</v>
      </c>
      <c r="C5414" s="446" t="s">
        <v>31</v>
      </c>
      <c r="D5414" s="448">
        <v>155.31</v>
      </c>
      <c r="E5414" s="210"/>
    </row>
    <row r="5415" spans="1:5" ht="67.5">
      <c r="A5415" s="446">
        <v>101848</v>
      </c>
      <c r="B5415" s="447" t="s">
        <v>7071</v>
      </c>
      <c r="C5415" s="446" t="s">
        <v>31</v>
      </c>
      <c r="D5415" s="448">
        <v>181.78</v>
      </c>
      <c r="E5415" s="210"/>
    </row>
    <row r="5416" spans="1:5" ht="54">
      <c r="A5416" s="446">
        <v>101849</v>
      </c>
      <c r="B5416" s="447" t="s">
        <v>7072</v>
      </c>
      <c r="C5416" s="446" t="s">
        <v>31</v>
      </c>
      <c r="D5416" s="448">
        <v>142.11000000000001</v>
      </c>
      <c r="E5416" s="210"/>
    </row>
    <row r="5417" spans="1:5" ht="67.5">
      <c r="A5417" s="446">
        <v>101850</v>
      </c>
      <c r="B5417" s="447" t="s">
        <v>7073</v>
      </c>
      <c r="C5417" s="446" t="s">
        <v>42</v>
      </c>
      <c r="D5417" s="448">
        <v>39.97</v>
      </c>
      <c r="E5417" s="210"/>
    </row>
    <row r="5418" spans="1:5" ht="67.5">
      <c r="A5418" s="446">
        <v>101851</v>
      </c>
      <c r="B5418" s="447" t="s">
        <v>7074</v>
      </c>
      <c r="C5418" s="446" t="s">
        <v>42</v>
      </c>
      <c r="D5418" s="448">
        <v>100.62</v>
      </c>
      <c r="E5418" s="210"/>
    </row>
    <row r="5419" spans="1:5" ht="67.5">
      <c r="A5419" s="446">
        <v>101852</v>
      </c>
      <c r="B5419" s="447" t="s">
        <v>7075</v>
      </c>
      <c r="C5419" s="446" t="s">
        <v>42</v>
      </c>
      <c r="D5419" s="448">
        <v>50.42</v>
      </c>
      <c r="E5419" s="210"/>
    </row>
    <row r="5420" spans="1:5" ht="67.5">
      <c r="A5420" s="446">
        <v>101853</v>
      </c>
      <c r="B5420" s="447" t="s">
        <v>7076</v>
      </c>
      <c r="C5420" s="446" t="s">
        <v>42</v>
      </c>
      <c r="D5420" s="448">
        <v>36.29</v>
      </c>
      <c r="E5420" s="210"/>
    </row>
    <row r="5421" spans="1:5" ht="67.5">
      <c r="A5421" s="446">
        <v>101854</v>
      </c>
      <c r="B5421" s="447" t="s">
        <v>7077</v>
      </c>
      <c r="C5421" s="446" t="s">
        <v>42</v>
      </c>
      <c r="D5421" s="448">
        <v>104.28</v>
      </c>
      <c r="E5421" s="210"/>
    </row>
    <row r="5422" spans="1:5" ht="67.5">
      <c r="A5422" s="446">
        <v>101855</v>
      </c>
      <c r="B5422" s="447" t="s">
        <v>7078</v>
      </c>
      <c r="C5422" s="446" t="s">
        <v>42</v>
      </c>
      <c r="D5422" s="448">
        <v>55.16</v>
      </c>
      <c r="E5422" s="210"/>
    </row>
    <row r="5423" spans="1:5" ht="54">
      <c r="A5423" s="446">
        <v>101856</v>
      </c>
      <c r="B5423" s="447" t="s">
        <v>7079</v>
      </c>
      <c r="C5423" s="446" t="s">
        <v>42</v>
      </c>
      <c r="D5423" s="448">
        <v>17.79</v>
      </c>
      <c r="E5423" s="210"/>
    </row>
    <row r="5424" spans="1:5" ht="67.5">
      <c r="A5424" s="446">
        <v>101857</v>
      </c>
      <c r="B5424" s="447" t="s">
        <v>7080</v>
      </c>
      <c r="C5424" s="446" t="s">
        <v>42</v>
      </c>
      <c r="D5424" s="448">
        <v>22.19</v>
      </c>
      <c r="E5424" s="210"/>
    </row>
    <row r="5425" spans="1:5" ht="81">
      <c r="A5425" s="446">
        <v>101858</v>
      </c>
      <c r="B5425" s="447" t="s">
        <v>7081</v>
      </c>
      <c r="C5425" s="446" t="s">
        <v>42</v>
      </c>
      <c r="D5425" s="448">
        <v>18.16</v>
      </c>
      <c r="E5425" s="210"/>
    </row>
    <row r="5426" spans="1:5" ht="81">
      <c r="A5426" s="446">
        <v>101859</v>
      </c>
      <c r="B5426" s="447" t="s">
        <v>7082</v>
      </c>
      <c r="C5426" s="446" t="s">
        <v>42</v>
      </c>
      <c r="D5426" s="448">
        <v>20.059999999999999</v>
      </c>
      <c r="E5426" s="210"/>
    </row>
    <row r="5427" spans="1:5" ht="81">
      <c r="A5427" s="446">
        <v>101860</v>
      </c>
      <c r="B5427" s="447" t="s">
        <v>7083</v>
      </c>
      <c r="C5427" s="446" t="s">
        <v>42</v>
      </c>
      <c r="D5427" s="448">
        <v>23.04</v>
      </c>
      <c r="E5427" s="210"/>
    </row>
    <row r="5428" spans="1:5" ht="81">
      <c r="A5428" s="446">
        <v>101861</v>
      </c>
      <c r="B5428" s="447" t="s">
        <v>7084</v>
      </c>
      <c r="C5428" s="446" t="s">
        <v>42</v>
      </c>
      <c r="D5428" s="448">
        <v>21.55</v>
      </c>
      <c r="E5428" s="210"/>
    </row>
    <row r="5429" spans="1:5" ht="81">
      <c r="A5429" s="446">
        <v>101862</v>
      </c>
      <c r="B5429" s="447" t="s">
        <v>7085</v>
      </c>
      <c r="C5429" s="446" t="s">
        <v>42</v>
      </c>
      <c r="D5429" s="448">
        <v>23.47</v>
      </c>
      <c r="E5429" s="210"/>
    </row>
    <row r="5430" spans="1:5" ht="81">
      <c r="A5430" s="446">
        <v>101863</v>
      </c>
      <c r="B5430" s="447" t="s">
        <v>7086</v>
      </c>
      <c r="C5430" s="446" t="s">
        <v>42</v>
      </c>
      <c r="D5430" s="448">
        <v>18.420000000000002</v>
      </c>
      <c r="E5430" s="210"/>
    </row>
    <row r="5431" spans="1:5" ht="81">
      <c r="A5431" s="446">
        <v>101864</v>
      </c>
      <c r="B5431" s="447" t="s">
        <v>7087</v>
      </c>
      <c r="C5431" s="446" t="s">
        <v>42</v>
      </c>
      <c r="D5431" s="448">
        <v>21.42</v>
      </c>
      <c r="E5431" s="210"/>
    </row>
    <row r="5432" spans="1:5" ht="81">
      <c r="A5432" s="446">
        <v>101865</v>
      </c>
      <c r="B5432" s="447" t="s">
        <v>7088</v>
      </c>
      <c r="C5432" s="446" t="s">
        <v>42</v>
      </c>
      <c r="D5432" s="448">
        <v>24.39</v>
      </c>
      <c r="E5432" s="210"/>
    </row>
    <row r="5433" spans="1:5" ht="67.5">
      <c r="A5433" s="446">
        <v>101866</v>
      </c>
      <c r="B5433" s="447" t="s">
        <v>7089</v>
      </c>
      <c r="C5433" s="446" t="s">
        <v>42</v>
      </c>
      <c r="D5433" s="448">
        <v>21.7</v>
      </c>
      <c r="E5433" s="210"/>
    </row>
    <row r="5434" spans="1:5" ht="67.5">
      <c r="A5434" s="446">
        <v>101867</v>
      </c>
      <c r="B5434" s="447" t="s">
        <v>7090</v>
      </c>
      <c r="C5434" s="446" t="s">
        <v>42</v>
      </c>
      <c r="D5434" s="448">
        <v>24.67</v>
      </c>
      <c r="E5434" s="210"/>
    </row>
    <row r="5435" spans="1:5" ht="81">
      <c r="A5435" s="446">
        <v>101868</v>
      </c>
      <c r="B5435" s="447" t="s">
        <v>7091</v>
      </c>
      <c r="C5435" s="446" t="s">
        <v>42</v>
      </c>
      <c r="D5435" s="448">
        <v>19.62</v>
      </c>
      <c r="E5435" s="210"/>
    </row>
    <row r="5436" spans="1:5" ht="81">
      <c r="A5436" s="446">
        <v>101869</v>
      </c>
      <c r="B5436" s="447" t="s">
        <v>7092</v>
      </c>
      <c r="C5436" s="446" t="s">
        <v>42</v>
      </c>
      <c r="D5436" s="448">
        <v>22.61</v>
      </c>
      <c r="E5436" s="210"/>
    </row>
    <row r="5437" spans="1:5" ht="81">
      <c r="A5437" s="446">
        <v>101870</v>
      </c>
      <c r="B5437" s="447" t="s">
        <v>7093</v>
      </c>
      <c r="C5437" s="446" t="s">
        <v>42</v>
      </c>
      <c r="D5437" s="448">
        <v>25.58</v>
      </c>
      <c r="E5437" s="210"/>
    </row>
    <row r="5438" spans="1:5" ht="40.5">
      <c r="A5438" s="446">
        <v>102096</v>
      </c>
      <c r="B5438" s="447" t="s">
        <v>6707</v>
      </c>
      <c r="C5438" s="446" t="s">
        <v>31</v>
      </c>
      <c r="D5438" s="448">
        <v>1304.56</v>
      </c>
      <c r="E5438" s="210"/>
    </row>
    <row r="5439" spans="1:5" ht="67.5">
      <c r="A5439" s="446">
        <v>102098</v>
      </c>
      <c r="B5439" s="447" t="s">
        <v>7094</v>
      </c>
      <c r="C5439" s="446" t="s">
        <v>31</v>
      </c>
      <c r="D5439" s="448">
        <v>1378.2</v>
      </c>
      <c r="E5439" s="210"/>
    </row>
    <row r="5440" spans="1:5" ht="40.5">
      <c r="A5440" s="446">
        <v>102101</v>
      </c>
      <c r="B5440" s="447" t="s">
        <v>6708</v>
      </c>
      <c r="C5440" s="446" t="s">
        <v>42</v>
      </c>
      <c r="D5440" s="448">
        <v>2.81</v>
      </c>
      <c r="E5440" s="210"/>
    </row>
    <row r="5441" spans="1:5" ht="40.5">
      <c r="A5441" s="446">
        <v>100576</v>
      </c>
      <c r="B5441" s="447" t="s">
        <v>5333</v>
      </c>
      <c r="C5441" s="446" t="s">
        <v>42</v>
      </c>
      <c r="D5441" s="448">
        <v>1.51</v>
      </c>
      <c r="E5441" s="210"/>
    </row>
    <row r="5442" spans="1:5" ht="40.5">
      <c r="A5442" s="446">
        <v>100577</v>
      </c>
      <c r="B5442" s="447" t="s">
        <v>5334</v>
      </c>
      <c r="C5442" s="446" t="s">
        <v>42</v>
      </c>
      <c r="D5442" s="448">
        <v>0.74</v>
      </c>
      <c r="E5442" s="210"/>
    </row>
    <row r="5443" spans="1:5" ht="67.5">
      <c r="A5443" s="446">
        <v>96388</v>
      </c>
      <c r="B5443" s="447" t="s">
        <v>5335</v>
      </c>
      <c r="C5443" s="446" t="s">
        <v>31</v>
      </c>
      <c r="D5443" s="448">
        <v>7.35</v>
      </c>
      <c r="E5443" s="210"/>
    </row>
    <row r="5444" spans="1:5" ht="81">
      <c r="A5444" s="446">
        <v>96389</v>
      </c>
      <c r="B5444" s="447" t="s">
        <v>5336</v>
      </c>
      <c r="C5444" s="446" t="s">
        <v>31</v>
      </c>
      <c r="D5444" s="448">
        <v>41.87</v>
      </c>
      <c r="E5444" s="210"/>
    </row>
    <row r="5445" spans="1:5" ht="81">
      <c r="A5445" s="446">
        <v>96390</v>
      </c>
      <c r="B5445" s="447" t="s">
        <v>5337</v>
      </c>
      <c r="C5445" s="446" t="s">
        <v>31</v>
      </c>
      <c r="D5445" s="448">
        <v>69.17</v>
      </c>
      <c r="E5445" s="210"/>
    </row>
    <row r="5446" spans="1:5" ht="81">
      <c r="A5446" s="446">
        <v>96391</v>
      </c>
      <c r="B5446" s="447" t="s">
        <v>5338</v>
      </c>
      <c r="C5446" s="446" t="s">
        <v>31</v>
      </c>
      <c r="D5446" s="448">
        <v>97.63</v>
      </c>
      <c r="E5446" s="210"/>
    </row>
    <row r="5447" spans="1:5" ht="81">
      <c r="A5447" s="446">
        <v>96392</v>
      </c>
      <c r="B5447" s="447" t="s">
        <v>5339</v>
      </c>
      <c r="C5447" s="446" t="s">
        <v>31</v>
      </c>
      <c r="D5447" s="448">
        <v>125.19</v>
      </c>
      <c r="E5447" s="210"/>
    </row>
    <row r="5448" spans="1:5" ht="54">
      <c r="A5448" s="446">
        <v>96396</v>
      </c>
      <c r="B5448" s="447" t="s">
        <v>5340</v>
      </c>
      <c r="C5448" s="446" t="s">
        <v>31</v>
      </c>
      <c r="D5448" s="448">
        <v>133.72999999999999</v>
      </c>
      <c r="E5448" s="210"/>
    </row>
    <row r="5449" spans="1:5" ht="67.5">
      <c r="A5449" s="446">
        <v>96397</v>
      </c>
      <c r="B5449" s="447" t="s">
        <v>5341</v>
      </c>
      <c r="C5449" s="446" t="s">
        <v>31</v>
      </c>
      <c r="D5449" s="448">
        <v>188.51</v>
      </c>
      <c r="E5449" s="210"/>
    </row>
    <row r="5450" spans="1:5" ht="54">
      <c r="A5450" s="446">
        <v>96398</v>
      </c>
      <c r="B5450" s="447" t="s">
        <v>5342</v>
      </c>
      <c r="C5450" s="446" t="s">
        <v>31</v>
      </c>
      <c r="D5450" s="448">
        <v>261.54000000000002</v>
      </c>
      <c r="E5450" s="210"/>
    </row>
    <row r="5451" spans="1:5" ht="54">
      <c r="A5451" s="446">
        <v>96399</v>
      </c>
      <c r="B5451" s="447" t="s">
        <v>5343</v>
      </c>
      <c r="C5451" s="446" t="s">
        <v>31</v>
      </c>
      <c r="D5451" s="448">
        <v>91.36</v>
      </c>
      <c r="E5451" s="210"/>
    </row>
    <row r="5452" spans="1:5" ht="54">
      <c r="A5452" s="446">
        <v>96400</v>
      </c>
      <c r="B5452" s="447" t="s">
        <v>5344</v>
      </c>
      <c r="C5452" s="446" t="s">
        <v>31</v>
      </c>
      <c r="D5452" s="448">
        <v>118.41</v>
      </c>
      <c r="E5452" s="210"/>
    </row>
    <row r="5453" spans="1:5" ht="27">
      <c r="A5453" s="446">
        <v>96402</v>
      </c>
      <c r="B5453" s="447" t="s">
        <v>5345</v>
      </c>
      <c r="C5453" s="446" t="s">
        <v>42</v>
      </c>
      <c r="D5453" s="448">
        <v>2.13</v>
      </c>
      <c r="E5453" s="210"/>
    </row>
    <row r="5454" spans="1:5" ht="67.5">
      <c r="A5454" s="446">
        <v>100564</v>
      </c>
      <c r="B5454" s="447" t="s">
        <v>5346</v>
      </c>
      <c r="C5454" s="446" t="s">
        <v>31</v>
      </c>
      <c r="D5454" s="448">
        <v>79.98</v>
      </c>
      <c r="E5454" s="210"/>
    </row>
    <row r="5455" spans="1:5" ht="67.5">
      <c r="A5455" s="446">
        <v>100565</v>
      </c>
      <c r="B5455" s="447" t="s">
        <v>5347</v>
      </c>
      <c r="C5455" s="446" t="s">
        <v>31</v>
      </c>
      <c r="D5455" s="448">
        <v>69.099999999999994</v>
      </c>
      <c r="E5455" s="210"/>
    </row>
    <row r="5456" spans="1:5" ht="81">
      <c r="A5456" s="446">
        <v>100566</v>
      </c>
      <c r="B5456" s="447" t="s">
        <v>5348</v>
      </c>
      <c r="C5456" s="446" t="s">
        <v>31</v>
      </c>
      <c r="D5456" s="448">
        <v>136.88999999999999</v>
      </c>
      <c r="E5456" s="210"/>
    </row>
    <row r="5457" spans="1:5" ht="81">
      <c r="A5457" s="446">
        <v>100567</v>
      </c>
      <c r="B5457" s="447" t="s">
        <v>5349</v>
      </c>
      <c r="C5457" s="446" t="s">
        <v>31</v>
      </c>
      <c r="D5457" s="448">
        <v>163.55000000000001</v>
      </c>
      <c r="E5457" s="210"/>
    </row>
    <row r="5458" spans="1:5" ht="81">
      <c r="A5458" s="446">
        <v>100568</v>
      </c>
      <c r="B5458" s="447" t="s">
        <v>5350</v>
      </c>
      <c r="C5458" s="446" t="s">
        <v>31</v>
      </c>
      <c r="D5458" s="448">
        <v>189.76</v>
      </c>
      <c r="E5458" s="210"/>
    </row>
    <row r="5459" spans="1:5" ht="81">
      <c r="A5459" s="446">
        <v>100569</v>
      </c>
      <c r="B5459" s="447" t="s">
        <v>5351</v>
      </c>
      <c r="C5459" s="446" t="s">
        <v>31</v>
      </c>
      <c r="D5459" s="448">
        <v>126.41</v>
      </c>
      <c r="E5459" s="210"/>
    </row>
    <row r="5460" spans="1:5" ht="81">
      <c r="A5460" s="446">
        <v>100570</v>
      </c>
      <c r="B5460" s="447" t="s">
        <v>5352</v>
      </c>
      <c r="C5460" s="446" t="s">
        <v>31</v>
      </c>
      <c r="D5460" s="448">
        <v>154.85</v>
      </c>
      <c r="E5460" s="210"/>
    </row>
    <row r="5461" spans="1:5" ht="81">
      <c r="A5461" s="446">
        <v>100571</v>
      </c>
      <c r="B5461" s="447" t="s">
        <v>5353</v>
      </c>
      <c r="C5461" s="446" t="s">
        <v>31</v>
      </c>
      <c r="D5461" s="448">
        <v>179.75</v>
      </c>
      <c r="E5461" s="210"/>
    </row>
    <row r="5462" spans="1:5" ht="67.5">
      <c r="A5462" s="446">
        <v>100572</v>
      </c>
      <c r="B5462" s="447" t="s">
        <v>5354</v>
      </c>
      <c r="C5462" s="446" t="s">
        <v>31</v>
      </c>
      <c r="D5462" s="448">
        <v>83.2</v>
      </c>
      <c r="E5462" s="210"/>
    </row>
    <row r="5463" spans="1:5" ht="67.5">
      <c r="A5463" s="446">
        <v>100573</v>
      </c>
      <c r="B5463" s="447" t="s">
        <v>5355</v>
      </c>
      <c r="C5463" s="446" t="s">
        <v>31</v>
      </c>
      <c r="D5463" s="448">
        <v>72.319999999999993</v>
      </c>
      <c r="E5463" s="210"/>
    </row>
    <row r="5464" spans="1:5" ht="27">
      <c r="A5464" s="446">
        <v>100574</v>
      </c>
      <c r="B5464" s="447" t="s">
        <v>5356</v>
      </c>
      <c r="C5464" s="446" t="s">
        <v>31</v>
      </c>
      <c r="D5464" s="448">
        <v>0.98</v>
      </c>
      <c r="E5464" s="210"/>
    </row>
    <row r="5465" spans="1:5" ht="27">
      <c r="A5465" s="446">
        <v>100575</v>
      </c>
      <c r="B5465" s="447" t="s">
        <v>5357</v>
      </c>
      <c r="C5465" s="446" t="s">
        <v>42</v>
      </c>
      <c r="D5465" s="448">
        <v>7.0000000000000007E-2</v>
      </c>
      <c r="E5465" s="210"/>
    </row>
    <row r="5466" spans="1:5" ht="81">
      <c r="A5466" s="446">
        <v>101767</v>
      </c>
      <c r="B5466" s="447" t="s">
        <v>5358</v>
      </c>
      <c r="C5466" s="446" t="s">
        <v>31</v>
      </c>
      <c r="D5466" s="448">
        <v>17.649999999999999</v>
      </c>
      <c r="E5466" s="210"/>
    </row>
    <row r="5467" spans="1:5" ht="81">
      <c r="A5467" s="446">
        <v>101768</v>
      </c>
      <c r="B5467" s="447" t="s">
        <v>5359</v>
      </c>
      <c r="C5467" s="446" t="s">
        <v>31</v>
      </c>
      <c r="D5467" s="448">
        <v>28.96</v>
      </c>
      <c r="E5467" s="210"/>
    </row>
    <row r="5468" spans="1:5" ht="40.5">
      <c r="A5468" s="446">
        <v>92391</v>
      </c>
      <c r="B5468" s="447" t="s">
        <v>476</v>
      </c>
      <c r="C5468" s="446" t="s">
        <v>42</v>
      </c>
      <c r="D5468" s="448">
        <v>59.88</v>
      </c>
      <c r="E5468" s="210"/>
    </row>
    <row r="5469" spans="1:5" ht="40.5">
      <c r="A5469" s="446">
        <v>92392</v>
      </c>
      <c r="B5469" s="447" t="s">
        <v>477</v>
      </c>
      <c r="C5469" s="446" t="s">
        <v>42</v>
      </c>
      <c r="D5469" s="448">
        <v>125.61</v>
      </c>
      <c r="E5469" s="210"/>
    </row>
    <row r="5470" spans="1:5" ht="40.5">
      <c r="A5470" s="446">
        <v>92393</v>
      </c>
      <c r="B5470" s="447" t="s">
        <v>478</v>
      </c>
      <c r="C5470" s="446" t="s">
        <v>42</v>
      </c>
      <c r="D5470" s="448">
        <v>59.34</v>
      </c>
      <c r="E5470" s="210"/>
    </row>
    <row r="5471" spans="1:5" ht="40.5">
      <c r="A5471" s="446">
        <v>92394</v>
      </c>
      <c r="B5471" s="447" t="s">
        <v>479</v>
      </c>
      <c r="C5471" s="446" t="s">
        <v>42</v>
      </c>
      <c r="D5471" s="448">
        <v>74.319999999999993</v>
      </c>
      <c r="E5471" s="210"/>
    </row>
    <row r="5472" spans="1:5" ht="40.5">
      <c r="A5472" s="446">
        <v>92395</v>
      </c>
      <c r="B5472" s="447" t="s">
        <v>480</v>
      </c>
      <c r="C5472" s="446" t="s">
        <v>42</v>
      </c>
      <c r="D5472" s="448">
        <v>90.02</v>
      </c>
      <c r="E5472" s="210"/>
    </row>
    <row r="5473" spans="1:5" ht="54">
      <c r="A5473" s="446">
        <v>92396</v>
      </c>
      <c r="B5473" s="447" t="s">
        <v>2107</v>
      </c>
      <c r="C5473" s="446" t="s">
        <v>42</v>
      </c>
      <c r="D5473" s="448">
        <v>70</v>
      </c>
      <c r="E5473" s="210"/>
    </row>
    <row r="5474" spans="1:5" ht="54">
      <c r="A5474" s="446">
        <v>92397</v>
      </c>
      <c r="B5474" s="447" t="s">
        <v>2108</v>
      </c>
      <c r="C5474" s="446" t="s">
        <v>42</v>
      </c>
      <c r="D5474" s="448">
        <v>59.14</v>
      </c>
      <c r="E5474" s="210"/>
    </row>
    <row r="5475" spans="1:5" ht="54">
      <c r="A5475" s="446">
        <v>92398</v>
      </c>
      <c r="B5475" s="447" t="s">
        <v>2109</v>
      </c>
      <c r="C5475" s="446" t="s">
        <v>42</v>
      </c>
      <c r="D5475" s="448">
        <v>75.31</v>
      </c>
      <c r="E5475" s="210"/>
    </row>
    <row r="5476" spans="1:5" ht="40.5">
      <c r="A5476" s="446">
        <v>92399</v>
      </c>
      <c r="B5476" s="447" t="s">
        <v>481</v>
      </c>
      <c r="C5476" s="446" t="s">
        <v>42</v>
      </c>
      <c r="D5476" s="448">
        <v>76.69</v>
      </c>
      <c r="E5476" s="210"/>
    </row>
    <row r="5477" spans="1:5" ht="54">
      <c r="A5477" s="446">
        <v>92400</v>
      </c>
      <c r="B5477" s="447" t="s">
        <v>2110</v>
      </c>
      <c r="C5477" s="446" t="s">
        <v>42</v>
      </c>
      <c r="D5477" s="448">
        <v>89.63</v>
      </c>
      <c r="E5477" s="210"/>
    </row>
    <row r="5478" spans="1:5" ht="40.5">
      <c r="A5478" s="446">
        <v>92401</v>
      </c>
      <c r="B5478" s="447" t="s">
        <v>482</v>
      </c>
      <c r="C5478" s="446" t="s">
        <v>42</v>
      </c>
      <c r="D5478" s="448">
        <v>91.13</v>
      </c>
      <c r="E5478" s="210"/>
    </row>
    <row r="5479" spans="1:5" ht="40.5">
      <c r="A5479" s="446">
        <v>92402</v>
      </c>
      <c r="B5479" s="447" t="s">
        <v>2111</v>
      </c>
      <c r="C5479" s="446" t="s">
        <v>42</v>
      </c>
      <c r="D5479" s="448">
        <v>71.44</v>
      </c>
      <c r="E5479" s="210"/>
    </row>
    <row r="5480" spans="1:5" ht="54">
      <c r="A5480" s="446">
        <v>92403</v>
      </c>
      <c r="B5480" s="447" t="s">
        <v>2112</v>
      </c>
      <c r="C5480" s="446" t="s">
        <v>42</v>
      </c>
      <c r="D5480" s="448">
        <v>60.45</v>
      </c>
      <c r="E5480" s="210"/>
    </row>
    <row r="5481" spans="1:5" ht="54">
      <c r="A5481" s="446">
        <v>92404</v>
      </c>
      <c r="B5481" s="447" t="s">
        <v>2113</v>
      </c>
      <c r="C5481" s="446" t="s">
        <v>42</v>
      </c>
      <c r="D5481" s="448">
        <v>76.62</v>
      </c>
      <c r="E5481" s="210"/>
    </row>
    <row r="5482" spans="1:5" ht="40.5">
      <c r="A5482" s="446">
        <v>92405</v>
      </c>
      <c r="B5482" s="447" t="s">
        <v>2114</v>
      </c>
      <c r="C5482" s="446" t="s">
        <v>42</v>
      </c>
      <c r="D5482" s="448">
        <v>77.97</v>
      </c>
      <c r="E5482" s="210"/>
    </row>
    <row r="5483" spans="1:5" ht="54">
      <c r="A5483" s="446">
        <v>92406</v>
      </c>
      <c r="B5483" s="447" t="s">
        <v>2115</v>
      </c>
      <c r="C5483" s="446" t="s">
        <v>42</v>
      </c>
      <c r="D5483" s="448">
        <v>90.95</v>
      </c>
      <c r="E5483" s="210"/>
    </row>
    <row r="5484" spans="1:5" ht="40.5">
      <c r="A5484" s="446">
        <v>92407</v>
      </c>
      <c r="B5484" s="447" t="s">
        <v>2116</v>
      </c>
      <c r="C5484" s="446" t="s">
        <v>42</v>
      </c>
      <c r="D5484" s="448">
        <v>92.43</v>
      </c>
      <c r="E5484" s="210"/>
    </row>
    <row r="5485" spans="1:5" ht="54">
      <c r="A5485" s="446">
        <v>93679</v>
      </c>
      <c r="B5485" s="447" t="s">
        <v>2457</v>
      </c>
      <c r="C5485" s="446" t="s">
        <v>42</v>
      </c>
      <c r="D5485" s="448">
        <v>78.150000000000006</v>
      </c>
      <c r="E5485" s="210"/>
    </row>
    <row r="5486" spans="1:5" ht="54">
      <c r="A5486" s="446">
        <v>93680</v>
      </c>
      <c r="B5486" s="447" t="s">
        <v>2458</v>
      </c>
      <c r="C5486" s="446" t="s">
        <v>42</v>
      </c>
      <c r="D5486" s="448">
        <v>66.930000000000007</v>
      </c>
      <c r="E5486" s="210"/>
    </row>
    <row r="5487" spans="1:5" ht="54">
      <c r="A5487" s="446">
        <v>93681</v>
      </c>
      <c r="B5487" s="447" t="s">
        <v>2459</v>
      </c>
      <c r="C5487" s="446" t="s">
        <v>42</v>
      </c>
      <c r="D5487" s="448">
        <v>81.55</v>
      </c>
      <c r="E5487" s="210"/>
    </row>
    <row r="5488" spans="1:5" ht="40.5">
      <c r="A5488" s="446">
        <v>93682</v>
      </c>
      <c r="B5488" s="447" t="s">
        <v>515</v>
      </c>
      <c r="C5488" s="446" t="s">
        <v>42</v>
      </c>
      <c r="D5488" s="448">
        <v>82.99</v>
      </c>
      <c r="E5488" s="210"/>
    </row>
    <row r="5489" spans="1:5" ht="40.5">
      <c r="A5489" s="446">
        <v>97104</v>
      </c>
      <c r="B5489" s="447" t="s">
        <v>6262</v>
      </c>
      <c r="C5489" s="446" t="s">
        <v>42</v>
      </c>
      <c r="D5489" s="448">
        <v>116.44</v>
      </c>
      <c r="E5489" s="210"/>
    </row>
    <row r="5490" spans="1:5" ht="40.5">
      <c r="A5490" s="446">
        <v>97105</v>
      </c>
      <c r="B5490" s="447" t="s">
        <v>6263</v>
      </c>
      <c r="C5490" s="446" t="s">
        <v>42</v>
      </c>
      <c r="D5490" s="448">
        <v>138.29</v>
      </c>
      <c r="E5490" s="210"/>
    </row>
    <row r="5491" spans="1:5" ht="40.5">
      <c r="A5491" s="446">
        <v>97106</v>
      </c>
      <c r="B5491" s="447" t="s">
        <v>6264</v>
      </c>
      <c r="C5491" s="446" t="s">
        <v>42</v>
      </c>
      <c r="D5491" s="448">
        <v>151.22999999999999</v>
      </c>
      <c r="E5491" s="210"/>
    </row>
    <row r="5492" spans="1:5" ht="40.5">
      <c r="A5492" s="446">
        <v>97107</v>
      </c>
      <c r="B5492" s="447" t="s">
        <v>6265</v>
      </c>
      <c r="C5492" s="446" t="s">
        <v>42</v>
      </c>
      <c r="D5492" s="448">
        <v>164.16</v>
      </c>
      <c r="E5492" s="210"/>
    </row>
    <row r="5493" spans="1:5" ht="40.5">
      <c r="A5493" s="446">
        <v>97108</v>
      </c>
      <c r="B5493" s="447" t="s">
        <v>6266</v>
      </c>
      <c r="C5493" s="446" t="s">
        <v>42</v>
      </c>
      <c r="D5493" s="448">
        <v>195.1</v>
      </c>
      <c r="E5493" s="210"/>
    </row>
    <row r="5494" spans="1:5" ht="40.5">
      <c r="A5494" s="446">
        <v>97109</v>
      </c>
      <c r="B5494" s="447" t="s">
        <v>6267</v>
      </c>
      <c r="C5494" s="446" t="s">
        <v>42</v>
      </c>
      <c r="D5494" s="448">
        <v>207.99</v>
      </c>
      <c r="E5494" s="210"/>
    </row>
    <row r="5495" spans="1:5" ht="40.5">
      <c r="A5495" s="446">
        <v>97110</v>
      </c>
      <c r="B5495" s="447" t="s">
        <v>6268</v>
      </c>
      <c r="C5495" s="446" t="s">
        <v>42</v>
      </c>
      <c r="D5495" s="448">
        <v>196.14</v>
      </c>
      <c r="E5495" s="210"/>
    </row>
    <row r="5496" spans="1:5" ht="40.5">
      <c r="A5496" s="446">
        <v>97111</v>
      </c>
      <c r="B5496" s="447" t="s">
        <v>6269</v>
      </c>
      <c r="C5496" s="446" t="s">
        <v>42</v>
      </c>
      <c r="D5496" s="448">
        <v>225.17</v>
      </c>
      <c r="E5496" s="210"/>
    </row>
    <row r="5497" spans="1:5" ht="40.5">
      <c r="A5497" s="446">
        <v>97112</v>
      </c>
      <c r="B5497" s="447" t="s">
        <v>6270</v>
      </c>
      <c r="C5497" s="446" t="s">
        <v>42</v>
      </c>
      <c r="D5497" s="448">
        <v>235.87</v>
      </c>
      <c r="E5497" s="210"/>
    </row>
    <row r="5498" spans="1:5" ht="40.5">
      <c r="A5498" s="446">
        <v>97113</v>
      </c>
      <c r="B5498" s="447" t="s">
        <v>6271</v>
      </c>
      <c r="C5498" s="446" t="s">
        <v>42</v>
      </c>
      <c r="D5498" s="448">
        <v>2.2400000000000002</v>
      </c>
      <c r="E5498" s="210"/>
    </row>
    <row r="5499" spans="1:5" ht="27">
      <c r="A5499" s="446">
        <v>97114</v>
      </c>
      <c r="B5499" s="447" t="s">
        <v>3359</v>
      </c>
      <c r="C5499" s="446" t="s">
        <v>14</v>
      </c>
      <c r="D5499" s="448">
        <v>0.36</v>
      </c>
      <c r="E5499" s="210"/>
    </row>
    <row r="5500" spans="1:5" ht="40.5">
      <c r="A5500" s="446">
        <v>97115</v>
      </c>
      <c r="B5500" s="447" t="s">
        <v>3360</v>
      </c>
      <c r="C5500" s="446" t="s">
        <v>17</v>
      </c>
      <c r="D5500" s="448">
        <v>37.64</v>
      </c>
      <c r="E5500" s="210"/>
    </row>
    <row r="5501" spans="1:5" ht="54">
      <c r="A5501" s="446">
        <v>97116</v>
      </c>
      <c r="B5501" s="447" t="s">
        <v>6272</v>
      </c>
      <c r="C5501" s="446" t="s">
        <v>17</v>
      </c>
      <c r="D5501" s="448">
        <v>23.11</v>
      </c>
      <c r="E5501" s="210"/>
    </row>
    <row r="5502" spans="1:5" ht="54">
      <c r="A5502" s="446">
        <v>97117</v>
      </c>
      <c r="B5502" s="447" t="s">
        <v>6273</v>
      </c>
      <c r="C5502" s="446" t="s">
        <v>17</v>
      </c>
      <c r="D5502" s="448">
        <v>23.92</v>
      </c>
      <c r="E5502" s="210"/>
    </row>
    <row r="5503" spans="1:5" ht="54">
      <c r="A5503" s="446">
        <v>97118</v>
      </c>
      <c r="B5503" s="447" t="s">
        <v>6274</v>
      </c>
      <c r="C5503" s="446" t="s">
        <v>17</v>
      </c>
      <c r="D5503" s="448">
        <v>21.76</v>
      </c>
      <c r="E5503" s="210"/>
    </row>
    <row r="5504" spans="1:5" ht="54">
      <c r="A5504" s="446">
        <v>97119</v>
      </c>
      <c r="B5504" s="447" t="s">
        <v>6275</v>
      </c>
      <c r="C5504" s="446" t="s">
        <v>17</v>
      </c>
      <c r="D5504" s="448">
        <v>21.49</v>
      </c>
      <c r="E5504" s="210"/>
    </row>
    <row r="5505" spans="1:5" ht="40.5">
      <c r="A5505" s="446">
        <v>97120</v>
      </c>
      <c r="B5505" s="447" t="s">
        <v>3361</v>
      </c>
      <c r="C5505" s="446" t="s">
        <v>17</v>
      </c>
      <c r="D5505" s="448">
        <v>15.67</v>
      </c>
      <c r="E5505" s="210"/>
    </row>
    <row r="5506" spans="1:5" ht="40.5">
      <c r="A5506" s="446">
        <v>97802</v>
      </c>
      <c r="B5506" s="447" t="s">
        <v>5360</v>
      </c>
      <c r="C5506" s="446" t="s">
        <v>42</v>
      </c>
      <c r="D5506" s="448">
        <v>5.78</v>
      </c>
      <c r="E5506" s="210"/>
    </row>
    <row r="5507" spans="1:5" ht="40.5">
      <c r="A5507" s="446">
        <v>97803</v>
      </c>
      <c r="B5507" s="447" t="s">
        <v>5361</v>
      </c>
      <c r="C5507" s="446" t="s">
        <v>42</v>
      </c>
      <c r="D5507" s="448">
        <v>8.7100000000000009</v>
      </c>
      <c r="E5507" s="210"/>
    </row>
    <row r="5508" spans="1:5" ht="40.5">
      <c r="A5508" s="446">
        <v>97805</v>
      </c>
      <c r="B5508" s="447" t="s">
        <v>5362</v>
      </c>
      <c r="C5508" s="446" t="s">
        <v>42</v>
      </c>
      <c r="D5508" s="448">
        <v>14.59</v>
      </c>
      <c r="E5508" s="210"/>
    </row>
    <row r="5509" spans="1:5" ht="40.5">
      <c r="A5509" s="446">
        <v>97806</v>
      </c>
      <c r="B5509" s="447" t="s">
        <v>5363</v>
      </c>
      <c r="C5509" s="446" t="s">
        <v>42</v>
      </c>
      <c r="D5509" s="448">
        <v>17.47</v>
      </c>
      <c r="E5509" s="210"/>
    </row>
    <row r="5510" spans="1:5" ht="40.5">
      <c r="A5510" s="446">
        <v>97807</v>
      </c>
      <c r="B5510" s="447" t="s">
        <v>5364</v>
      </c>
      <c r="C5510" s="446" t="s">
        <v>42</v>
      </c>
      <c r="D5510" s="448">
        <v>19.920000000000002</v>
      </c>
      <c r="E5510" s="210"/>
    </row>
    <row r="5511" spans="1:5" ht="40.5">
      <c r="A5511" s="446">
        <v>97809</v>
      </c>
      <c r="B5511" s="447" t="s">
        <v>5365</v>
      </c>
      <c r="C5511" s="446" t="s">
        <v>42</v>
      </c>
      <c r="D5511" s="448">
        <v>16.22</v>
      </c>
      <c r="E5511" s="210"/>
    </row>
    <row r="5512" spans="1:5" ht="40.5">
      <c r="A5512" s="446">
        <v>97810</v>
      </c>
      <c r="B5512" s="447" t="s">
        <v>5366</v>
      </c>
      <c r="C5512" s="446" t="s">
        <v>42</v>
      </c>
      <c r="D5512" s="448">
        <v>17.579999999999998</v>
      </c>
      <c r="E5512" s="210"/>
    </row>
    <row r="5513" spans="1:5" ht="40.5">
      <c r="A5513" s="446">
        <v>97811</v>
      </c>
      <c r="B5513" s="447" t="s">
        <v>5367</v>
      </c>
      <c r="C5513" s="446" t="s">
        <v>42</v>
      </c>
      <c r="D5513" s="448">
        <v>20.07</v>
      </c>
      <c r="E5513" s="210"/>
    </row>
    <row r="5514" spans="1:5" ht="40.5">
      <c r="A5514" s="446">
        <v>101167</v>
      </c>
      <c r="B5514" s="447" t="s">
        <v>5368</v>
      </c>
      <c r="C5514" s="446" t="s">
        <v>42</v>
      </c>
      <c r="D5514" s="448">
        <v>153.38</v>
      </c>
      <c r="E5514" s="210"/>
    </row>
    <row r="5515" spans="1:5" ht="54">
      <c r="A5515" s="446">
        <v>101168</v>
      </c>
      <c r="B5515" s="447" t="s">
        <v>5369</v>
      </c>
      <c r="C5515" s="446" t="s">
        <v>42</v>
      </c>
      <c r="D5515" s="448">
        <v>192.2</v>
      </c>
      <c r="E5515" s="210"/>
    </row>
    <row r="5516" spans="1:5" ht="54">
      <c r="A5516" s="446">
        <v>101169</v>
      </c>
      <c r="B5516" s="447" t="s">
        <v>5370</v>
      </c>
      <c r="C5516" s="446" t="s">
        <v>42</v>
      </c>
      <c r="D5516" s="448">
        <v>163.86</v>
      </c>
      <c r="E5516" s="210"/>
    </row>
    <row r="5517" spans="1:5" ht="40.5">
      <c r="A5517" s="446">
        <v>101170</v>
      </c>
      <c r="B5517" s="447" t="s">
        <v>5371</v>
      </c>
      <c r="C5517" s="446" t="s">
        <v>42</v>
      </c>
      <c r="D5517" s="448">
        <v>30.65</v>
      </c>
      <c r="E5517" s="210"/>
    </row>
    <row r="5518" spans="1:5" ht="40.5">
      <c r="A5518" s="446">
        <v>101171</v>
      </c>
      <c r="B5518" s="447" t="s">
        <v>5372</v>
      </c>
      <c r="C5518" s="446" t="s">
        <v>42</v>
      </c>
      <c r="D5518" s="448">
        <v>80.25</v>
      </c>
      <c r="E5518" s="210"/>
    </row>
    <row r="5519" spans="1:5" ht="40.5">
      <c r="A5519" s="446">
        <v>101172</v>
      </c>
      <c r="B5519" s="447" t="s">
        <v>5373</v>
      </c>
      <c r="C5519" s="446" t="s">
        <v>42</v>
      </c>
      <c r="D5519" s="448">
        <v>49.62</v>
      </c>
      <c r="E5519" s="210"/>
    </row>
    <row r="5520" spans="1:5" ht="54">
      <c r="A5520" s="446">
        <v>95995</v>
      </c>
      <c r="B5520" s="447" t="s">
        <v>5374</v>
      </c>
      <c r="C5520" s="446" t="s">
        <v>31</v>
      </c>
      <c r="D5520" s="448">
        <v>1124.67</v>
      </c>
      <c r="E5520" s="210"/>
    </row>
    <row r="5521" spans="1:5" ht="54">
      <c r="A5521" s="446">
        <v>95996</v>
      </c>
      <c r="B5521" s="447" t="s">
        <v>5375</v>
      </c>
      <c r="C5521" s="446" t="s">
        <v>31</v>
      </c>
      <c r="D5521" s="448">
        <v>1069.3800000000001</v>
      </c>
      <c r="E5521" s="210"/>
    </row>
    <row r="5522" spans="1:5" ht="40.5">
      <c r="A5522" s="446">
        <v>96001</v>
      </c>
      <c r="B5522" s="447" t="s">
        <v>5376</v>
      </c>
      <c r="C5522" s="446" t="s">
        <v>42</v>
      </c>
      <c r="D5522" s="448">
        <v>6.19</v>
      </c>
      <c r="E5522" s="210"/>
    </row>
    <row r="5523" spans="1:5" ht="27">
      <c r="A5523" s="446">
        <v>96393</v>
      </c>
      <c r="B5523" s="447" t="s">
        <v>5377</v>
      </c>
      <c r="C5523" s="446" t="s">
        <v>31</v>
      </c>
      <c r="D5523" s="448">
        <v>125.6</v>
      </c>
      <c r="E5523" s="210"/>
    </row>
    <row r="5524" spans="1:5" ht="27">
      <c r="A5524" s="446">
        <v>96394</v>
      </c>
      <c r="B5524" s="447" t="s">
        <v>5378</v>
      </c>
      <c r="C5524" s="446" t="s">
        <v>31</v>
      </c>
      <c r="D5524" s="448">
        <v>179.34</v>
      </c>
      <c r="E5524" s="210"/>
    </row>
    <row r="5525" spans="1:5" ht="27">
      <c r="A5525" s="446">
        <v>96395</v>
      </c>
      <c r="B5525" s="447" t="s">
        <v>5379</v>
      </c>
      <c r="C5525" s="446" t="s">
        <v>31</v>
      </c>
      <c r="D5525" s="448">
        <v>253.41</v>
      </c>
      <c r="E5525" s="210"/>
    </row>
    <row r="5526" spans="1:5" ht="54">
      <c r="A5526" s="446">
        <v>100624</v>
      </c>
      <c r="B5526" s="447" t="s">
        <v>5380</v>
      </c>
      <c r="C5526" s="446" t="s">
        <v>31</v>
      </c>
      <c r="D5526" s="448">
        <v>965.9</v>
      </c>
      <c r="E5526" s="210"/>
    </row>
    <row r="5527" spans="1:5" ht="54">
      <c r="A5527" s="446">
        <v>100625</v>
      </c>
      <c r="B5527" s="447" t="s">
        <v>5381</v>
      </c>
      <c r="C5527" s="446" t="s">
        <v>31</v>
      </c>
      <c r="D5527" s="448">
        <v>930.64</v>
      </c>
      <c r="E5527" s="210"/>
    </row>
    <row r="5528" spans="1:5" ht="54">
      <c r="A5528" s="446">
        <v>101020</v>
      </c>
      <c r="B5528" s="447" t="s">
        <v>5382</v>
      </c>
      <c r="C5528" s="446" t="s">
        <v>51</v>
      </c>
      <c r="D5528" s="448">
        <v>426.85</v>
      </c>
      <c r="E5528" s="210"/>
    </row>
    <row r="5529" spans="1:5" ht="54">
      <c r="A5529" s="446">
        <v>101021</v>
      </c>
      <c r="B5529" s="447" t="s">
        <v>5383</v>
      </c>
      <c r="C5529" s="446" t="s">
        <v>51</v>
      </c>
      <c r="D5529" s="448">
        <v>461.72</v>
      </c>
      <c r="E5529" s="210"/>
    </row>
    <row r="5530" spans="1:5" ht="54">
      <c r="A5530" s="446">
        <v>101022</v>
      </c>
      <c r="B5530" s="447" t="s">
        <v>5384</v>
      </c>
      <c r="C5530" s="446" t="s">
        <v>51</v>
      </c>
      <c r="D5530" s="448">
        <v>378.04</v>
      </c>
      <c r="E5530" s="210"/>
    </row>
    <row r="5531" spans="1:5" ht="54">
      <c r="A5531" s="446">
        <v>101023</v>
      </c>
      <c r="B5531" s="447" t="s">
        <v>5385</v>
      </c>
      <c r="C5531" s="446" t="s">
        <v>51</v>
      </c>
      <c r="D5531" s="448">
        <v>412.91</v>
      </c>
      <c r="E5531" s="210"/>
    </row>
    <row r="5532" spans="1:5" ht="54">
      <c r="A5532" s="446">
        <v>101024</v>
      </c>
      <c r="B5532" s="447" t="s">
        <v>5386</v>
      </c>
      <c r="C5532" s="446" t="s">
        <v>51</v>
      </c>
      <c r="D5532" s="448">
        <v>383.17</v>
      </c>
      <c r="E5532" s="210"/>
    </row>
    <row r="5533" spans="1:5" ht="54">
      <c r="A5533" s="446">
        <v>101025</v>
      </c>
      <c r="B5533" s="447" t="s">
        <v>5387</v>
      </c>
      <c r="C5533" s="446" t="s">
        <v>51</v>
      </c>
      <c r="D5533" s="448">
        <v>418.04</v>
      </c>
      <c r="E5533" s="210"/>
    </row>
    <row r="5534" spans="1:5" ht="40.5">
      <c r="A5534" s="446">
        <v>101026</v>
      </c>
      <c r="B5534" s="447" t="s">
        <v>5388</v>
      </c>
      <c r="C5534" s="446" t="s">
        <v>51</v>
      </c>
      <c r="D5534" s="448">
        <v>364.59</v>
      </c>
      <c r="E5534" s="210"/>
    </row>
    <row r="5535" spans="1:5" ht="40.5">
      <c r="A5535" s="446">
        <v>101027</v>
      </c>
      <c r="B5535" s="447" t="s">
        <v>5389</v>
      </c>
      <c r="C5535" s="446" t="s">
        <v>51</v>
      </c>
      <c r="D5535" s="448">
        <v>373.33</v>
      </c>
      <c r="E5535" s="210"/>
    </row>
    <row r="5536" spans="1:5" ht="54">
      <c r="A5536" s="446">
        <v>88411</v>
      </c>
      <c r="B5536" s="447" t="s">
        <v>1116</v>
      </c>
      <c r="C5536" s="446" t="s">
        <v>42</v>
      </c>
      <c r="D5536" s="448">
        <v>1.69</v>
      </c>
      <c r="E5536" s="210"/>
    </row>
    <row r="5537" spans="1:5" ht="54">
      <c r="A5537" s="446">
        <v>88412</v>
      </c>
      <c r="B5537" s="447" t="s">
        <v>1117</v>
      </c>
      <c r="C5537" s="446" t="s">
        <v>42</v>
      </c>
      <c r="D5537" s="448">
        <v>1.2</v>
      </c>
      <c r="E5537" s="210"/>
    </row>
    <row r="5538" spans="1:5" ht="54">
      <c r="A5538" s="446">
        <v>88413</v>
      </c>
      <c r="B5538" s="447" t="s">
        <v>182</v>
      </c>
      <c r="C5538" s="446" t="s">
        <v>42</v>
      </c>
      <c r="D5538" s="448">
        <v>2.69</v>
      </c>
      <c r="E5538" s="210"/>
    </row>
    <row r="5539" spans="1:5" ht="54">
      <c r="A5539" s="446">
        <v>88414</v>
      </c>
      <c r="B5539" s="447" t="s">
        <v>183</v>
      </c>
      <c r="C5539" s="446" t="s">
        <v>42</v>
      </c>
      <c r="D5539" s="448">
        <v>3.01</v>
      </c>
      <c r="E5539" s="210"/>
    </row>
    <row r="5540" spans="1:5" ht="40.5">
      <c r="A5540" s="446">
        <v>88415</v>
      </c>
      <c r="B5540" s="447" t="s">
        <v>1118</v>
      </c>
      <c r="C5540" s="446" t="s">
        <v>42</v>
      </c>
      <c r="D5540" s="448">
        <v>1.85</v>
      </c>
      <c r="E5540" s="210"/>
    </row>
    <row r="5541" spans="1:5" ht="67.5">
      <c r="A5541" s="446">
        <v>88416</v>
      </c>
      <c r="B5541" s="447" t="s">
        <v>1119</v>
      </c>
      <c r="C5541" s="446" t="s">
        <v>42</v>
      </c>
      <c r="D5541" s="448">
        <v>16</v>
      </c>
      <c r="E5541" s="210"/>
    </row>
    <row r="5542" spans="1:5" ht="67.5">
      <c r="A5542" s="446">
        <v>88417</v>
      </c>
      <c r="B5542" s="447" t="s">
        <v>1120</v>
      </c>
      <c r="C5542" s="446" t="s">
        <v>42</v>
      </c>
      <c r="D5542" s="448">
        <v>14.24</v>
      </c>
      <c r="E5542" s="210"/>
    </row>
    <row r="5543" spans="1:5" ht="67.5">
      <c r="A5543" s="446">
        <v>88420</v>
      </c>
      <c r="B5543" s="447" t="s">
        <v>1121</v>
      </c>
      <c r="C5543" s="446" t="s">
        <v>42</v>
      </c>
      <c r="D5543" s="448">
        <v>19.54</v>
      </c>
      <c r="E5543" s="210"/>
    </row>
    <row r="5544" spans="1:5" ht="67.5">
      <c r="A5544" s="446">
        <v>88421</v>
      </c>
      <c r="B5544" s="447" t="s">
        <v>1122</v>
      </c>
      <c r="C5544" s="446" t="s">
        <v>42</v>
      </c>
      <c r="D5544" s="448">
        <v>20.67</v>
      </c>
      <c r="E5544" s="210"/>
    </row>
    <row r="5545" spans="1:5" ht="40.5">
      <c r="A5545" s="446">
        <v>88423</v>
      </c>
      <c r="B5545" s="447" t="s">
        <v>187</v>
      </c>
      <c r="C5545" s="446" t="s">
        <v>42</v>
      </c>
      <c r="D5545" s="448">
        <v>16.54</v>
      </c>
      <c r="E5545" s="210"/>
    </row>
    <row r="5546" spans="1:5" ht="67.5">
      <c r="A5546" s="446">
        <v>88424</v>
      </c>
      <c r="B5546" s="447" t="s">
        <v>1123</v>
      </c>
      <c r="C5546" s="446" t="s">
        <v>42</v>
      </c>
      <c r="D5546" s="448">
        <v>18.41</v>
      </c>
      <c r="E5546" s="210"/>
    </row>
    <row r="5547" spans="1:5" ht="67.5">
      <c r="A5547" s="446">
        <v>88426</v>
      </c>
      <c r="B5547" s="447" t="s">
        <v>1124</v>
      </c>
      <c r="C5547" s="446" t="s">
        <v>42</v>
      </c>
      <c r="D5547" s="448">
        <v>15.37</v>
      </c>
      <c r="E5547" s="210"/>
    </row>
    <row r="5548" spans="1:5" ht="67.5">
      <c r="A5548" s="446">
        <v>88428</v>
      </c>
      <c r="B5548" s="447" t="s">
        <v>1126</v>
      </c>
      <c r="C5548" s="446" t="s">
        <v>42</v>
      </c>
      <c r="D5548" s="448">
        <v>24.51</v>
      </c>
      <c r="E5548" s="210"/>
    </row>
    <row r="5549" spans="1:5" ht="67.5">
      <c r="A5549" s="446">
        <v>88429</v>
      </c>
      <c r="B5549" s="447" t="s">
        <v>1127</v>
      </c>
      <c r="C5549" s="446" t="s">
        <v>42</v>
      </c>
      <c r="D5549" s="448">
        <v>26.46</v>
      </c>
      <c r="E5549" s="210"/>
    </row>
    <row r="5550" spans="1:5" ht="54">
      <c r="A5550" s="446">
        <v>88431</v>
      </c>
      <c r="B5550" s="447" t="s">
        <v>190</v>
      </c>
      <c r="C5550" s="446" t="s">
        <v>42</v>
      </c>
      <c r="D5550" s="448">
        <v>19.37</v>
      </c>
      <c r="E5550" s="210"/>
    </row>
    <row r="5551" spans="1:5" ht="54">
      <c r="A5551" s="446">
        <v>88432</v>
      </c>
      <c r="B5551" s="447" t="s">
        <v>191</v>
      </c>
      <c r="C5551" s="446" t="s">
        <v>42</v>
      </c>
      <c r="D5551" s="448">
        <v>13.38</v>
      </c>
      <c r="E5551" s="210"/>
    </row>
    <row r="5552" spans="1:5" ht="27">
      <c r="A5552" s="446">
        <v>88484</v>
      </c>
      <c r="B5552" s="447" t="s">
        <v>193</v>
      </c>
      <c r="C5552" s="446" t="s">
        <v>42</v>
      </c>
      <c r="D5552" s="448">
        <v>1.87</v>
      </c>
      <c r="E5552" s="210"/>
    </row>
    <row r="5553" spans="1:5" ht="27">
      <c r="A5553" s="446">
        <v>88485</v>
      </c>
      <c r="B5553" s="447" t="s">
        <v>37</v>
      </c>
      <c r="C5553" s="446" t="s">
        <v>42</v>
      </c>
      <c r="D5553" s="448">
        <v>1.57</v>
      </c>
      <c r="E5553" s="210"/>
    </row>
    <row r="5554" spans="1:5" ht="40.5">
      <c r="A5554" s="446">
        <v>88488</v>
      </c>
      <c r="B5554" s="447" t="s">
        <v>1134</v>
      </c>
      <c r="C5554" s="446" t="s">
        <v>42</v>
      </c>
      <c r="D5554" s="448">
        <v>12.78</v>
      </c>
      <c r="E5554" s="210"/>
    </row>
    <row r="5555" spans="1:5" ht="40.5">
      <c r="A5555" s="446">
        <v>88489</v>
      </c>
      <c r="B5555" s="447" t="s">
        <v>32</v>
      </c>
      <c r="C5555" s="446" t="s">
        <v>42</v>
      </c>
      <c r="D5555" s="448">
        <v>11.44</v>
      </c>
      <c r="E5555" s="210"/>
    </row>
    <row r="5556" spans="1:5" ht="27">
      <c r="A5556" s="446">
        <v>88494</v>
      </c>
      <c r="B5556" s="447" t="s">
        <v>194</v>
      </c>
      <c r="C5556" s="446" t="s">
        <v>42</v>
      </c>
      <c r="D5556" s="448">
        <v>14.66</v>
      </c>
      <c r="E5556" s="210"/>
    </row>
    <row r="5557" spans="1:5" ht="27">
      <c r="A5557" s="446">
        <v>88495</v>
      </c>
      <c r="B5557" s="447" t="s">
        <v>195</v>
      </c>
      <c r="C5557" s="446" t="s">
        <v>42</v>
      </c>
      <c r="D5557" s="448">
        <v>8.23</v>
      </c>
      <c r="E5557" s="210"/>
    </row>
    <row r="5558" spans="1:5" ht="27">
      <c r="A5558" s="446">
        <v>88496</v>
      </c>
      <c r="B5558" s="447" t="s">
        <v>196</v>
      </c>
      <c r="C5558" s="446" t="s">
        <v>42</v>
      </c>
      <c r="D5558" s="448">
        <v>19.98</v>
      </c>
      <c r="E5558" s="210"/>
    </row>
    <row r="5559" spans="1:5" ht="27">
      <c r="A5559" s="446">
        <v>88497</v>
      </c>
      <c r="B5559" s="447" t="s">
        <v>1135</v>
      </c>
      <c r="C5559" s="446" t="s">
        <v>42</v>
      </c>
      <c r="D5559" s="448">
        <v>11.38</v>
      </c>
      <c r="E5559" s="210"/>
    </row>
    <row r="5560" spans="1:5" ht="27">
      <c r="A5560" s="446">
        <v>95305</v>
      </c>
      <c r="B5560" s="447" t="s">
        <v>546</v>
      </c>
      <c r="C5560" s="446" t="s">
        <v>42</v>
      </c>
      <c r="D5560" s="448">
        <v>11.91</v>
      </c>
      <c r="E5560" s="210"/>
    </row>
    <row r="5561" spans="1:5" ht="27">
      <c r="A5561" s="446">
        <v>95306</v>
      </c>
      <c r="B5561" s="447" t="s">
        <v>547</v>
      </c>
      <c r="C5561" s="446" t="s">
        <v>42</v>
      </c>
      <c r="D5561" s="448">
        <v>13.61</v>
      </c>
      <c r="E5561" s="210"/>
    </row>
    <row r="5562" spans="1:5" ht="54">
      <c r="A5562" s="446">
        <v>95622</v>
      </c>
      <c r="B5562" s="447" t="s">
        <v>548</v>
      </c>
      <c r="C5562" s="446" t="s">
        <v>42</v>
      </c>
      <c r="D5562" s="448">
        <v>11.08</v>
      </c>
      <c r="E5562" s="210"/>
    </row>
    <row r="5563" spans="1:5" ht="54">
      <c r="A5563" s="446">
        <v>95623</v>
      </c>
      <c r="B5563" s="447" t="s">
        <v>549</v>
      </c>
      <c r="C5563" s="446" t="s">
        <v>42</v>
      </c>
      <c r="D5563" s="448">
        <v>8.69</v>
      </c>
      <c r="E5563" s="210"/>
    </row>
    <row r="5564" spans="1:5" ht="54">
      <c r="A5564" s="446">
        <v>95624</v>
      </c>
      <c r="B5564" s="447" t="s">
        <v>2860</v>
      </c>
      <c r="C5564" s="446" t="s">
        <v>42</v>
      </c>
      <c r="D5564" s="448">
        <v>15.97</v>
      </c>
      <c r="E5564" s="210"/>
    </row>
    <row r="5565" spans="1:5" ht="54">
      <c r="A5565" s="446">
        <v>95625</v>
      </c>
      <c r="B5565" s="447" t="s">
        <v>2861</v>
      </c>
      <c r="C5565" s="446" t="s">
        <v>42</v>
      </c>
      <c r="D5565" s="448">
        <v>17.510000000000002</v>
      </c>
      <c r="E5565" s="210"/>
    </row>
    <row r="5566" spans="1:5" ht="40.5">
      <c r="A5566" s="446">
        <v>95626</v>
      </c>
      <c r="B5566" s="447" t="s">
        <v>550</v>
      </c>
      <c r="C5566" s="446" t="s">
        <v>42</v>
      </c>
      <c r="D5566" s="448">
        <v>11.86</v>
      </c>
      <c r="E5566" s="210"/>
    </row>
    <row r="5567" spans="1:5" ht="54">
      <c r="A5567" s="446">
        <v>96126</v>
      </c>
      <c r="B5567" s="447" t="s">
        <v>2999</v>
      </c>
      <c r="C5567" s="446" t="s">
        <v>42</v>
      </c>
      <c r="D5567" s="448">
        <v>13.85</v>
      </c>
      <c r="E5567" s="210"/>
    </row>
    <row r="5568" spans="1:5" ht="54">
      <c r="A5568" s="446">
        <v>96127</v>
      </c>
      <c r="B5568" s="447" t="s">
        <v>3000</v>
      </c>
      <c r="C5568" s="446" t="s">
        <v>42</v>
      </c>
      <c r="D5568" s="448">
        <v>10.85</v>
      </c>
      <c r="E5568" s="210"/>
    </row>
    <row r="5569" spans="1:5" ht="54">
      <c r="A5569" s="446">
        <v>96128</v>
      </c>
      <c r="B5569" s="447" t="s">
        <v>3001</v>
      </c>
      <c r="C5569" s="446" t="s">
        <v>42</v>
      </c>
      <c r="D5569" s="448">
        <v>19.920000000000002</v>
      </c>
      <c r="E5569" s="210"/>
    </row>
    <row r="5570" spans="1:5" ht="54">
      <c r="A5570" s="446">
        <v>96129</v>
      </c>
      <c r="B5570" s="447" t="s">
        <v>3002</v>
      </c>
      <c r="C5570" s="446" t="s">
        <v>42</v>
      </c>
      <c r="D5570" s="448">
        <v>21.86</v>
      </c>
      <c r="E5570" s="210"/>
    </row>
    <row r="5571" spans="1:5" ht="40.5">
      <c r="A5571" s="446">
        <v>96130</v>
      </c>
      <c r="B5571" s="447" t="s">
        <v>3003</v>
      </c>
      <c r="C5571" s="446" t="s">
        <v>42</v>
      </c>
      <c r="D5571" s="448">
        <v>14.8</v>
      </c>
      <c r="E5571" s="210"/>
    </row>
    <row r="5572" spans="1:5" ht="54">
      <c r="A5572" s="446">
        <v>96131</v>
      </c>
      <c r="B5572" s="447" t="s">
        <v>3004</v>
      </c>
      <c r="C5572" s="446" t="s">
        <v>42</v>
      </c>
      <c r="D5572" s="448">
        <v>19.27</v>
      </c>
      <c r="E5572" s="210"/>
    </row>
    <row r="5573" spans="1:5" ht="54">
      <c r="A5573" s="446">
        <v>96132</v>
      </c>
      <c r="B5573" s="447" t="s">
        <v>3005</v>
      </c>
      <c r="C5573" s="446" t="s">
        <v>42</v>
      </c>
      <c r="D5573" s="448">
        <v>15.27</v>
      </c>
      <c r="E5573" s="210"/>
    </row>
    <row r="5574" spans="1:5" ht="54">
      <c r="A5574" s="446">
        <v>96133</v>
      </c>
      <c r="B5574" s="447" t="s">
        <v>3006</v>
      </c>
      <c r="C5574" s="446" t="s">
        <v>42</v>
      </c>
      <c r="D5574" s="448">
        <v>27.35</v>
      </c>
      <c r="E5574" s="210"/>
    </row>
    <row r="5575" spans="1:5" ht="54">
      <c r="A5575" s="446">
        <v>96134</v>
      </c>
      <c r="B5575" s="447" t="s">
        <v>3007</v>
      </c>
      <c r="C5575" s="446" t="s">
        <v>42</v>
      </c>
      <c r="D5575" s="448">
        <v>29.91</v>
      </c>
      <c r="E5575" s="210"/>
    </row>
    <row r="5576" spans="1:5" ht="40.5">
      <c r="A5576" s="446">
        <v>96135</v>
      </c>
      <c r="B5576" s="447" t="s">
        <v>3008</v>
      </c>
      <c r="C5576" s="446" t="s">
        <v>42</v>
      </c>
      <c r="D5576" s="448">
        <v>20.54</v>
      </c>
      <c r="E5576" s="210"/>
    </row>
    <row r="5577" spans="1:5" ht="27">
      <c r="A5577" s="446">
        <v>102193</v>
      </c>
      <c r="B5577" s="447" t="s">
        <v>6709</v>
      </c>
      <c r="C5577" s="446" t="s">
        <v>42</v>
      </c>
      <c r="D5577" s="448">
        <v>1.29</v>
      </c>
      <c r="E5577" s="210"/>
    </row>
    <row r="5578" spans="1:5" ht="27">
      <c r="A5578" s="446">
        <v>102194</v>
      </c>
      <c r="B5578" s="447" t="s">
        <v>6710</v>
      </c>
      <c r="C5578" s="446" t="s">
        <v>42</v>
      </c>
      <c r="D5578" s="448">
        <v>5.21</v>
      </c>
      <c r="E5578" s="210"/>
    </row>
    <row r="5579" spans="1:5" ht="27">
      <c r="A5579" s="446">
        <v>102197</v>
      </c>
      <c r="B5579" s="447" t="s">
        <v>6711</v>
      </c>
      <c r="C5579" s="446" t="s">
        <v>42</v>
      </c>
      <c r="D5579" s="448">
        <v>16.75</v>
      </c>
      <c r="E5579" s="210"/>
    </row>
    <row r="5580" spans="1:5" ht="40.5">
      <c r="A5580" s="446">
        <v>102200</v>
      </c>
      <c r="B5580" s="447" t="s">
        <v>6712</v>
      </c>
      <c r="C5580" s="446" t="s">
        <v>42</v>
      </c>
      <c r="D5580" s="448">
        <v>13.56</v>
      </c>
      <c r="E5580" s="210"/>
    </row>
    <row r="5581" spans="1:5" ht="40.5">
      <c r="A5581" s="446">
        <v>102202</v>
      </c>
      <c r="B5581" s="447" t="s">
        <v>6713</v>
      </c>
      <c r="C5581" s="446" t="s">
        <v>42</v>
      </c>
      <c r="D5581" s="448">
        <v>34.81</v>
      </c>
      <c r="E5581" s="210"/>
    </row>
    <row r="5582" spans="1:5" ht="40.5">
      <c r="A5582" s="446">
        <v>102203</v>
      </c>
      <c r="B5582" s="447" t="s">
        <v>6714</v>
      </c>
      <c r="C5582" s="446" t="s">
        <v>42</v>
      </c>
      <c r="D5582" s="448">
        <v>6.94</v>
      </c>
      <c r="E5582" s="210"/>
    </row>
    <row r="5583" spans="1:5" ht="40.5">
      <c r="A5583" s="446">
        <v>102204</v>
      </c>
      <c r="B5583" s="447" t="s">
        <v>6715</v>
      </c>
      <c r="C5583" s="446" t="s">
        <v>42</v>
      </c>
      <c r="D5583" s="448">
        <v>7.03</v>
      </c>
      <c r="E5583" s="210"/>
    </row>
    <row r="5584" spans="1:5" ht="40.5">
      <c r="A5584" s="446">
        <v>102205</v>
      </c>
      <c r="B5584" s="447" t="s">
        <v>6716</v>
      </c>
      <c r="C5584" s="446" t="s">
        <v>42</v>
      </c>
      <c r="D5584" s="448">
        <v>6.3</v>
      </c>
      <c r="E5584" s="210"/>
    </row>
    <row r="5585" spans="1:5" ht="40.5">
      <c r="A5585" s="446">
        <v>102207</v>
      </c>
      <c r="B5585" s="447" t="s">
        <v>6717</v>
      </c>
      <c r="C5585" s="446" t="s">
        <v>42</v>
      </c>
      <c r="D5585" s="448">
        <v>5.53</v>
      </c>
      <c r="E5585" s="210"/>
    </row>
    <row r="5586" spans="1:5" ht="40.5">
      <c r="A5586" s="446">
        <v>102208</v>
      </c>
      <c r="B5586" s="447" t="s">
        <v>6718</v>
      </c>
      <c r="C5586" s="446" t="s">
        <v>42</v>
      </c>
      <c r="D5586" s="448">
        <v>5.27</v>
      </c>
      <c r="E5586" s="210"/>
    </row>
    <row r="5587" spans="1:5" ht="54">
      <c r="A5587" s="446">
        <v>102209</v>
      </c>
      <c r="B5587" s="447" t="s">
        <v>6719</v>
      </c>
      <c r="C5587" s="446" t="s">
        <v>42</v>
      </c>
      <c r="D5587" s="448">
        <v>5.44</v>
      </c>
      <c r="E5587" s="210"/>
    </row>
    <row r="5588" spans="1:5" ht="54">
      <c r="A5588" s="446">
        <v>102210</v>
      </c>
      <c r="B5588" s="447" t="s">
        <v>6720</v>
      </c>
      <c r="C5588" s="446" t="s">
        <v>42</v>
      </c>
      <c r="D5588" s="448">
        <v>5.19</v>
      </c>
      <c r="E5588" s="210"/>
    </row>
    <row r="5589" spans="1:5" ht="40.5">
      <c r="A5589" s="446">
        <v>102213</v>
      </c>
      <c r="B5589" s="447" t="s">
        <v>6721</v>
      </c>
      <c r="C5589" s="446" t="s">
        <v>42</v>
      </c>
      <c r="D5589" s="448">
        <v>13.89</v>
      </c>
      <c r="E5589" s="210"/>
    </row>
    <row r="5590" spans="1:5" ht="40.5">
      <c r="A5590" s="446">
        <v>102214</v>
      </c>
      <c r="B5590" s="447" t="s">
        <v>6722</v>
      </c>
      <c r="C5590" s="446" t="s">
        <v>42</v>
      </c>
      <c r="D5590" s="448">
        <v>14.09</v>
      </c>
      <c r="E5590" s="210"/>
    </row>
    <row r="5591" spans="1:5" ht="40.5">
      <c r="A5591" s="446">
        <v>102215</v>
      </c>
      <c r="B5591" s="447" t="s">
        <v>6723</v>
      </c>
      <c r="C5591" s="446" t="s">
        <v>42</v>
      </c>
      <c r="D5591" s="448">
        <v>12.62</v>
      </c>
      <c r="E5591" s="210"/>
    </row>
    <row r="5592" spans="1:5" ht="40.5">
      <c r="A5592" s="446">
        <v>102217</v>
      </c>
      <c r="B5592" s="447" t="s">
        <v>6724</v>
      </c>
      <c r="C5592" s="446" t="s">
        <v>42</v>
      </c>
      <c r="D5592" s="448">
        <v>11.07</v>
      </c>
      <c r="E5592" s="210"/>
    </row>
    <row r="5593" spans="1:5" ht="40.5">
      <c r="A5593" s="446">
        <v>102218</v>
      </c>
      <c r="B5593" s="447" t="s">
        <v>6725</v>
      </c>
      <c r="C5593" s="446" t="s">
        <v>42</v>
      </c>
      <c r="D5593" s="448">
        <v>10.55</v>
      </c>
      <c r="E5593" s="210"/>
    </row>
    <row r="5594" spans="1:5" ht="54">
      <c r="A5594" s="446">
        <v>102219</v>
      </c>
      <c r="B5594" s="447" t="s">
        <v>6726</v>
      </c>
      <c r="C5594" s="446" t="s">
        <v>42</v>
      </c>
      <c r="D5594" s="448">
        <v>10.89</v>
      </c>
      <c r="E5594" s="210"/>
    </row>
    <row r="5595" spans="1:5" ht="54">
      <c r="A5595" s="446">
        <v>102220</v>
      </c>
      <c r="B5595" s="447" t="s">
        <v>6727</v>
      </c>
      <c r="C5595" s="446" t="s">
        <v>42</v>
      </c>
      <c r="D5595" s="448">
        <v>10.39</v>
      </c>
      <c r="E5595" s="210"/>
    </row>
    <row r="5596" spans="1:5" ht="40.5">
      <c r="A5596" s="446">
        <v>102223</v>
      </c>
      <c r="B5596" s="447" t="s">
        <v>6728</v>
      </c>
      <c r="C5596" s="446" t="s">
        <v>42</v>
      </c>
      <c r="D5596" s="448">
        <v>20.84</v>
      </c>
      <c r="E5596" s="210"/>
    </row>
    <row r="5597" spans="1:5" ht="40.5">
      <c r="A5597" s="446">
        <v>102224</v>
      </c>
      <c r="B5597" s="447" t="s">
        <v>6729</v>
      </c>
      <c r="C5597" s="446" t="s">
        <v>42</v>
      </c>
      <c r="D5597" s="448">
        <v>21.12</v>
      </c>
      <c r="E5597" s="210"/>
    </row>
    <row r="5598" spans="1:5" ht="40.5">
      <c r="A5598" s="446">
        <v>102225</v>
      </c>
      <c r="B5598" s="447" t="s">
        <v>6730</v>
      </c>
      <c r="C5598" s="446" t="s">
        <v>42</v>
      </c>
      <c r="D5598" s="448">
        <v>18.920000000000002</v>
      </c>
      <c r="E5598" s="210"/>
    </row>
    <row r="5599" spans="1:5" ht="40.5">
      <c r="A5599" s="446">
        <v>102227</v>
      </c>
      <c r="B5599" s="447" t="s">
        <v>6731</v>
      </c>
      <c r="C5599" s="446" t="s">
        <v>42</v>
      </c>
      <c r="D5599" s="448">
        <v>16.61</v>
      </c>
      <c r="E5599" s="210"/>
    </row>
    <row r="5600" spans="1:5" ht="40.5">
      <c r="A5600" s="446">
        <v>102228</v>
      </c>
      <c r="B5600" s="447" t="s">
        <v>6732</v>
      </c>
      <c r="C5600" s="446" t="s">
        <v>42</v>
      </c>
      <c r="D5600" s="448">
        <v>15.86</v>
      </c>
      <c r="E5600" s="210"/>
    </row>
    <row r="5601" spans="1:5" ht="54">
      <c r="A5601" s="446">
        <v>102229</v>
      </c>
      <c r="B5601" s="447" t="s">
        <v>6733</v>
      </c>
      <c r="C5601" s="446" t="s">
        <v>42</v>
      </c>
      <c r="D5601" s="448">
        <v>16.350000000000001</v>
      </c>
      <c r="E5601" s="210"/>
    </row>
    <row r="5602" spans="1:5" ht="54">
      <c r="A5602" s="446">
        <v>102230</v>
      </c>
      <c r="B5602" s="447" t="s">
        <v>6734</v>
      </c>
      <c r="C5602" s="446" t="s">
        <v>42</v>
      </c>
      <c r="D5602" s="448">
        <v>15.59</v>
      </c>
      <c r="E5602" s="210"/>
    </row>
    <row r="5603" spans="1:5" ht="27">
      <c r="A5603" s="446">
        <v>102233</v>
      </c>
      <c r="B5603" s="447" t="s">
        <v>6735</v>
      </c>
      <c r="C5603" s="446" t="s">
        <v>42</v>
      </c>
      <c r="D5603" s="448">
        <v>11.88</v>
      </c>
      <c r="E5603" s="210"/>
    </row>
    <row r="5604" spans="1:5" ht="27">
      <c r="A5604" s="446">
        <v>102234</v>
      </c>
      <c r="B5604" s="447" t="s">
        <v>6736</v>
      </c>
      <c r="C5604" s="446" t="s">
        <v>42</v>
      </c>
      <c r="D5604" s="448">
        <v>23.76</v>
      </c>
      <c r="E5604" s="210"/>
    </row>
    <row r="5605" spans="1:5" ht="40.5">
      <c r="A5605" s="446">
        <v>100716</v>
      </c>
      <c r="B5605" s="447" t="s">
        <v>5390</v>
      </c>
      <c r="C5605" s="446" t="s">
        <v>42</v>
      </c>
      <c r="D5605" s="448">
        <v>24.19</v>
      </c>
      <c r="E5605" s="210"/>
    </row>
    <row r="5606" spans="1:5" ht="27">
      <c r="A5606" s="446">
        <v>100717</v>
      </c>
      <c r="B5606" s="447" t="s">
        <v>5391</v>
      </c>
      <c r="C5606" s="446" t="s">
        <v>42</v>
      </c>
      <c r="D5606" s="448">
        <v>6.44</v>
      </c>
      <c r="E5606" s="210"/>
    </row>
    <row r="5607" spans="1:5" ht="27">
      <c r="A5607" s="446">
        <v>100718</v>
      </c>
      <c r="B5607" s="447" t="s">
        <v>5392</v>
      </c>
      <c r="C5607" s="446" t="s">
        <v>14</v>
      </c>
      <c r="D5607" s="448">
        <v>0.94</v>
      </c>
      <c r="E5607" s="210"/>
    </row>
    <row r="5608" spans="1:5" ht="54">
      <c r="A5608" s="446">
        <v>100719</v>
      </c>
      <c r="B5608" s="447" t="s">
        <v>7095</v>
      </c>
      <c r="C5608" s="446" t="s">
        <v>42</v>
      </c>
      <c r="D5608" s="448">
        <v>7.05</v>
      </c>
      <c r="E5608" s="210"/>
    </row>
    <row r="5609" spans="1:5" ht="54">
      <c r="A5609" s="446">
        <v>100720</v>
      </c>
      <c r="B5609" s="447" t="s">
        <v>5393</v>
      </c>
      <c r="C5609" s="446" t="s">
        <v>42</v>
      </c>
      <c r="D5609" s="448">
        <v>7</v>
      </c>
      <c r="E5609" s="210"/>
    </row>
    <row r="5610" spans="1:5" ht="67.5">
      <c r="A5610" s="446">
        <v>100721</v>
      </c>
      <c r="B5610" s="447" t="s">
        <v>7096</v>
      </c>
      <c r="C5610" s="446" t="s">
        <v>42</v>
      </c>
      <c r="D5610" s="448">
        <v>16.2</v>
      </c>
      <c r="E5610" s="210"/>
    </row>
    <row r="5611" spans="1:5" ht="67.5">
      <c r="A5611" s="446">
        <v>100722</v>
      </c>
      <c r="B5611" s="447" t="s">
        <v>5394</v>
      </c>
      <c r="C5611" s="446" t="s">
        <v>42</v>
      </c>
      <c r="D5611" s="448">
        <v>15.76</v>
      </c>
      <c r="E5611" s="210"/>
    </row>
    <row r="5612" spans="1:5" ht="67.5">
      <c r="A5612" s="446">
        <v>100723</v>
      </c>
      <c r="B5612" s="447" t="s">
        <v>7314</v>
      </c>
      <c r="C5612" s="446" t="s">
        <v>42</v>
      </c>
      <c r="D5612" s="448">
        <v>7.57</v>
      </c>
      <c r="E5612" s="210"/>
    </row>
    <row r="5613" spans="1:5" ht="67.5">
      <c r="A5613" s="446">
        <v>100724</v>
      </c>
      <c r="B5613" s="447" t="s">
        <v>5395</v>
      </c>
      <c r="C5613" s="446" t="s">
        <v>42</v>
      </c>
      <c r="D5613" s="448">
        <v>9.1</v>
      </c>
      <c r="E5613" s="210"/>
    </row>
    <row r="5614" spans="1:5" ht="67.5">
      <c r="A5614" s="446">
        <v>100725</v>
      </c>
      <c r="B5614" s="447" t="s">
        <v>7097</v>
      </c>
      <c r="C5614" s="446" t="s">
        <v>42</v>
      </c>
      <c r="D5614" s="448">
        <v>16.37</v>
      </c>
      <c r="E5614" s="210"/>
    </row>
    <row r="5615" spans="1:5" ht="81">
      <c r="A5615" s="446">
        <v>100726</v>
      </c>
      <c r="B5615" s="447" t="s">
        <v>5396</v>
      </c>
      <c r="C5615" s="446" t="s">
        <v>42</v>
      </c>
      <c r="D5615" s="448">
        <v>17.79</v>
      </c>
      <c r="E5615" s="210"/>
    </row>
    <row r="5616" spans="1:5" ht="54">
      <c r="A5616" s="446">
        <v>100727</v>
      </c>
      <c r="B5616" s="447" t="s">
        <v>7098</v>
      </c>
      <c r="C5616" s="446" t="s">
        <v>42</v>
      </c>
      <c r="D5616" s="448">
        <v>12.32</v>
      </c>
      <c r="E5616" s="210"/>
    </row>
    <row r="5617" spans="1:5" ht="54">
      <c r="A5617" s="446">
        <v>100728</v>
      </c>
      <c r="B5617" s="447" t="s">
        <v>5397</v>
      </c>
      <c r="C5617" s="446" t="s">
        <v>42</v>
      </c>
      <c r="D5617" s="448">
        <v>12.15</v>
      </c>
      <c r="E5617" s="210"/>
    </row>
    <row r="5618" spans="1:5" ht="54">
      <c r="A5618" s="446">
        <v>100729</v>
      </c>
      <c r="B5618" s="447" t="s">
        <v>7099</v>
      </c>
      <c r="C5618" s="446" t="s">
        <v>42</v>
      </c>
      <c r="D5618" s="448">
        <v>13.52</v>
      </c>
      <c r="E5618" s="210"/>
    </row>
    <row r="5619" spans="1:5" ht="54">
      <c r="A5619" s="446">
        <v>100730</v>
      </c>
      <c r="B5619" s="447" t="s">
        <v>5398</v>
      </c>
      <c r="C5619" s="446" t="s">
        <v>42</v>
      </c>
      <c r="D5619" s="448">
        <v>15.79</v>
      </c>
      <c r="E5619" s="210"/>
    </row>
    <row r="5620" spans="1:5" ht="54">
      <c r="A5620" s="446">
        <v>100733</v>
      </c>
      <c r="B5620" s="447" t="s">
        <v>7100</v>
      </c>
      <c r="C5620" s="446" t="s">
        <v>42</v>
      </c>
      <c r="D5620" s="448">
        <v>7.11</v>
      </c>
      <c r="E5620" s="210"/>
    </row>
    <row r="5621" spans="1:5" ht="67.5">
      <c r="A5621" s="446">
        <v>100734</v>
      </c>
      <c r="B5621" s="447" t="s">
        <v>5399</v>
      </c>
      <c r="C5621" s="446" t="s">
        <v>42</v>
      </c>
      <c r="D5621" s="448">
        <v>9.57</v>
      </c>
      <c r="E5621" s="210"/>
    </row>
    <row r="5622" spans="1:5" ht="67.5">
      <c r="A5622" s="446">
        <v>100735</v>
      </c>
      <c r="B5622" s="447" t="s">
        <v>7101</v>
      </c>
      <c r="C5622" s="446" t="s">
        <v>42</v>
      </c>
      <c r="D5622" s="448">
        <v>6.87</v>
      </c>
      <c r="E5622" s="210"/>
    </row>
    <row r="5623" spans="1:5" ht="67.5">
      <c r="A5623" s="446">
        <v>100736</v>
      </c>
      <c r="B5623" s="447" t="s">
        <v>5400</v>
      </c>
      <c r="C5623" s="446" t="s">
        <v>42</v>
      </c>
      <c r="D5623" s="448">
        <v>9.32</v>
      </c>
      <c r="E5623" s="210"/>
    </row>
    <row r="5624" spans="1:5" ht="67.5">
      <c r="A5624" s="446">
        <v>100739</v>
      </c>
      <c r="B5624" s="447" t="s">
        <v>7102</v>
      </c>
      <c r="C5624" s="446" t="s">
        <v>42</v>
      </c>
      <c r="D5624" s="448">
        <v>6.94</v>
      </c>
      <c r="E5624" s="210"/>
    </row>
    <row r="5625" spans="1:5" ht="67.5">
      <c r="A5625" s="446">
        <v>100740</v>
      </c>
      <c r="B5625" s="447" t="s">
        <v>5401</v>
      </c>
      <c r="C5625" s="446" t="s">
        <v>42</v>
      </c>
      <c r="D5625" s="448">
        <v>7.36</v>
      </c>
      <c r="E5625" s="210"/>
    </row>
    <row r="5626" spans="1:5" ht="81">
      <c r="A5626" s="446">
        <v>100741</v>
      </c>
      <c r="B5626" s="447" t="s">
        <v>7103</v>
      </c>
      <c r="C5626" s="446" t="s">
        <v>42</v>
      </c>
      <c r="D5626" s="448">
        <v>15.95</v>
      </c>
      <c r="E5626" s="210"/>
    </row>
    <row r="5627" spans="1:5" ht="81">
      <c r="A5627" s="446">
        <v>100742</v>
      </c>
      <c r="B5627" s="447" t="s">
        <v>5402</v>
      </c>
      <c r="C5627" s="446" t="s">
        <v>42</v>
      </c>
      <c r="D5627" s="448">
        <v>16.100000000000001</v>
      </c>
      <c r="E5627" s="210"/>
    </row>
    <row r="5628" spans="1:5" ht="67.5">
      <c r="A5628" s="446">
        <v>100743</v>
      </c>
      <c r="B5628" s="447" t="s">
        <v>7104</v>
      </c>
      <c r="C5628" s="446" t="s">
        <v>42</v>
      </c>
      <c r="D5628" s="448">
        <v>6.78</v>
      </c>
      <c r="E5628" s="210"/>
    </row>
    <row r="5629" spans="1:5" ht="67.5">
      <c r="A5629" s="446">
        <v>100744</v>
      </c>
      <c r="B5629" s="447" t="s">
        <v>5403</v>
      </c>
      <c r="C5629" s="446" t="s">
        <v>42</v>
      </c>
      <c r="D5629" s="448">
        <v>7.26</v>
      </c>
      <c r="E5629" s="210"/>
    </row>
    <row r="5630" spans="1:5" ht="81">
      <c r="A5630" s="446">
        <v>100745</v>
      </c>
      <c r="B5630" s="447" t="s">
        <v>7105</v>
      </c>
      <c r="C5630" s="446" t="s">
        <v>42</v>
      </c>
      <c r="D5630" s="448">
        <v>15.78</v>
      </c>
      <c r="E5630" s="210"/>
    </row>
    <row r="5631" spans="1:5" ht="81">
      <c r="A5631" s="446">
        <v>100746</v>
      </c>
      <c r="B5631" s="447" t="s">
        <v>5404</v>
      </c>
      <c r="C5631" s="446" t="s">
        <v>42</v>
      </c>
      <c r="D5631" s="448">
        <v>16</v>
      </c>
      <c r="E5631" s="210"/>
    </row>
    <row r="5632" spans="1:5" ht="67.5">
      <c r="A5632" s="446">
        <v>100747</v>
      </c>
      <c r="B5632" s="447" t="s">
        <v>7106</v>
      </c>
      <c r="C5632" s="446" t="s">
        <v>42</v>
      </c>
      <c r="D5632" s="448">
        <v>6.84</v>
      </c>
      <c r="E5632" s="210"/>
    </row>
    <row r="5633" spans="1:5" ht="67.5">
      <c r="A5633" s="446">
        <v>100748</v>
      </c>
      <c r="B5633" s="447" t="s">
        <v>5405</v>
      </c>
      <c r="C5633" s="446" t="s">
        <v>42</v>
      </c>
      <c r="D5633" s="448">
        <v>7.3</v>
      </c>
      <c r="E5633" s="210"/>
    </row>
    <row r="5634" spans="1:5" ht="67.5">
      <c r="A5634" s="446">
        <v>100749</v>
      </c>
      <c r="B5634" s="447" t="s">
        <v>7107</v>
      </c>
      <c r="C5634" s="446" t="s">
        <v>42</v>
      </c>
      <c r="D5634" s="448">
        <v>15.85</v>
      </c>
      <c r="E5634" s="210"/>
    </row>
    <row r="5635" spans="1:5" ht="81">
      <c r="A5635" s="446">
        <v>100750</v>
      </c>
      <c r="B5635" s="447" t="s">
        <v>5406</v>
      </c>
      <c r="C5635" s="446" t="s">
        <v>42</v>
      </c>
      <c r="D5635" s="448">
        <v>16.04</v>
      </c>
      <c r="E5635" s="210"/>
    </row>
    <row r="5636" spans="1:5" ht="54">
      <c r="A5636" s="446">
        <v>100751</v>
      </c>
      <c r="B5636" s="447" t="s">
        <v>7108</v>
      </c>
      <c r="C5636" s="446" t="s">
        <v>42</v>
      </c>
      <c r="D5636" s="448">
        <v>27.04</v>
      </c>
      <c r="E5636" s="210"/>
    </row>
    <row r="5637" spans="1:5" ht="54">
      <c r="A5637" s="446">
        <v>100752</v>
      </c>
      <c r="B5637" s="447" t="s">
        <v>5407</v>
      </c>
      <c r="C5637" s="446" t="s">
        <v>42</v>
      </c>
      <c r="D5637" s="448">
        <v>31.59</v>
      </c>
      <c r="E5637" s="210"/>
    </row>
    <row r="5638" spans="1:5" ht="67.5">
      <c r="A5638" s="446">
        <v>100753</v>
      </c>
      <c r="B5638" s="447" t="s">
        <v>7109</v>
      </c>
      <c r="C5638" s="446" t="s">
        <v>42</v>
      </c>
      <c r="D5638" s="448">
        <v>13.76</v>
      </c>
      <c r="E5638" s="210"/>
    </row>
    <row r="5639" spans="1:5" ht="67.5">
      <c r="A5639" s="446">
        <v>100754</v>
      </c>
      <c r="B5639" s="447" t="s">
        <v>5408</v>
      </c>
      <c r="C5639" s="446" t="s">
        <v>42</v>
      </c>
      <c r="D5639" s="448">
        <v>18.66</v>
      </c>
      <c r="E5639" s="210"/>
    </row>
    <row r="5640" spans="1:5" ht="81">
      <c r="A5640" s="446">
        <v>100757</v>
      </c>
      <c r="B5640" s="447" t="s">
        <v>7110</v>
      </c>
      <c r="C5640" s="446" t="s">
        <v>42</v>
      </c>
      <c r="D5640" s="448">
        <v>31.93</v>
      </c>
      <c r="E5640" s="210"/>
    </row>
    <row r="5641" spans="1:5" ht="81">
      <c r="A5641" s="446">
        <v>100758</v>
      </c>
      <c r="B5641" s="447" t="s">
        <v>5409</v>
      </c>
      <c r="C5641" s="446" t="s">
        <v>42</v>
      </c>
      <c r="D5641" s="448">
        <v>32.22</v>
      </c>
      <c r="E5641" s="210"/>
    </row>
    <row r="5642" spans="1:5" ht="81">
      <c r="A5642" s="446">
        <v>100759</v>
      </c>
      <c r="B5642" s="447" t="s">
        <v>7111</v>
      </c>
      <c r="C5642" s="446" t="s">
        <v>42</v>
      </c>
      <c r="D5642" s="448">
        <v>31.59</v>
      </c>
      <c r="E5642" s="210"/>
    </row>
    <row r="5643" spans="1:5" ht="81">
      <c r="A5643" s="446">
        <v>100760</v>
      </c>
      <c r="B5643" s="447" t="s">
        <v>5410</v>
      </c>
      <c r="C5643" s="446" t="s">
        <v>42</v>
      </c>
      <c r="D5643" s="448">
        <v>32.01</v>
      </c>
      <c r="E5643" s="210"/>
    </row>
    <row r="5644" spans="1:5" ht="67.5">
      <c r="A5644" s="446">
        <v>100761</v>
      </c>
      <c r="B5644" s="447" t="s">
        <v>7112</v>
      </c>
      <c r="C5644" s="446" t="s">
        <v>42</v>
      </c>
      <c r="D5644" s="448">
        <v>31.73</v>
      </c>
      <c r="E5644" s="210"/>
    </row>
    <row r="5645" spans="1:5" ht="81">
      <c r="A5645" s="446">
        <v>100762</v>
      </c>
      <c r="B5645" s="447" t="s">
        <v>5411</v>
      </c>
      <c r="C5645" s="446" t="s">
        <v>42</v>
      </c>
      <c r="D5645" s="448">
        <v>32.090000000000003</v>
      </c>
      <c r="E5645" s="210"/>
    </row>
    <row r="5646" spans="1:5" ht="27">
      <c r="A5646" s="446">
        <v>102488</v>
      </c>
      <c r="B5646" s="447" t="s">
        <v>7113</v>
      </c>
      <c r="C5646" s="446" t="s">
        <v>42</v>
      </c>
      <c r="D5646" s="448">
        <v>2.31</v>
      </c>
      <c r="E5646" s="210"/>
    </row>
    <row r="5647" spans="1:5" ht="27">
      <c r="A5647" s="446">
        <v>102489</v>
      </c>
      <c r="B5647" s="447" t="s">
        <v>7114</v>
      </c>
      <c r="C5647" s="446" t="s">
        <v>42</v>
      </c>
      <c r="D5647" s="448">
        <v>19.47</v>
      </c>
      <c r="E5647" s="210"/>
    </row>
    <row r="5648" spans="1:5" ht="40.5">
      <c r="A5648" s="446">
        <v>102491</v>
      </c>
      <c r="B5648" s="447" t="s">
        <v>7115</v>
      </c>
      <c r="C5648" s="446" t="s">
        <v>42</v>
      </c>
      <c r="D5648" s="448">
        <v>13.53</v>
      </c>
      <c r="E5648" s="210"/>
    </row>
    <row r="5649" spans="1:5" ht="40.5">
      <c r="A5649" s="446">
        <v>102492</v>
      </c>
      <c r="B5649" s="447" t="s">
        <v>7116</v>
      </c>
      <c r="C5649" s="446" t="s">
        <v>42</v>
      </c>
      <c r="D5649" s="448">
        <v>15.73</v>
      </c>
      <c r="E5649" s="210"/>
    </row>
    <row r="5650" spans="1:5" ht="40.5">
      <c r="A5650" s="446">
        <v>102494</v>
      </c>
      <c r="B5650" s="447" t="s">
        <v>7117</v>
      </c>
      <c r="C5650" s="446" t="s">
        <v>42</v>
      </c>
      <c r="D5650" s="448">
        <v>36.03</v>
      </c>
      <c r="E5650" s="210"/>
    </row>
    <row r="5651" spans="1:5" ht="40.5">
      <c r="A5651" s="446">
        <v>102496</v>
      </c>
      <c r="B5651" s="447" t="s">
        <v>7118</v>
      </c>
      <c r="C5651" s="446" t="s">
        <v>14</v>
      </c>
      <c r="D5651" s="448">
        <v>7.94</v>
      </c>
      <c r="E5651" s="210"/>
    </row>
    <row r="5652" spans="1:5" ht="40.5">
      <c r="A5652" s="446">
        <v>102497</v>
      </c>
      <c r="B5652" s="447" t="s">
        <v>7119</v>
      </c>
      <c r="C5652" s="446" t="s">
        <v>14</v>
      </c>
      <c r="D5652" s="448">
        <v>3.32</v>
      </c>
      <c r="E5652" s="210"/>
    </row>
    <row r="5653" spans="1:5" ht="27">
      <c r="A5653" s="446">
        <v>102498</v>
      </c>
      <c r="B5653" s="447" t="s">
        <v>7120</v>
      </c>
      <c r="C5653" s="446" t="s">
        <v>14</v>
      </c>
      <c r="D5653" s="448">
        <v>1.05</v>
      </c>
      <c r="E5653" s="210"/>
    </row>
    <row r="5654" spans="1:5" ht="27">
      <c r="A5654" s="446">
        <v>102499</v>
      </c>
      <c r="B5654" s="447" t="s">
        <v>7121</v>
      </c>
      <c r="C5654" s="446" t="s">
        <v>42</v>
      </c>
      <c r="D5654" s="448">
        <v>1.58</v>
      </c>
      <c r="E5654" s="210"/>
    </row>
    <row r="5655" spans="1:5" ht="40.5">
      <c r="A5655" s="446">
        <v>102500</v>
      </c>
      <c r="B5655" s="447" t="s">
        <v>7122</v>
      </c>
      <c r="C5655" s="446" t="s">
        <v>14</v>
      </c>
      <c r="D5655" s="448">
        <v>3</v>
      </c>
      <c r="E5655" s="210"/>
    </row>
    <row r="5656" spans="1:5" ht="40.5">
      <c r="A5656" s="446">
        <v>102501</v>
      </c>
      <c r="B5656" s="447" t="s">
        <v>7123</v>
      </c>
      <c r="C5656" s="446" t="s">
        <v>42</v>
      </c>
      <c r="D5656" s="448">
        <v>16.72</v>
      </c>
      <c r="E5656" s="210"/>
    </row>
    <row r="5657" spans="1:5" ht="40.5">
      <c r="A5657" s="446">
        <v>102504</v>
      </c>
      <c r="B5657" s="447" t="s">
        <v>7124</v>
      </c>
      <c r="C5657" s="446" t="s">
        <v>14</v>
      </c>
      <c r="D5657" s="448">
        <v>6.51</v>
      </c>
      <c r="E5657" s="210"/>
    </row>
    <row r="5658" spans="1:5" ht="40.5">
      <c r="A5658" s="446">
        <v>102505</v>
      </c>
      <c r="B5658" s="447" t="s">
        <v>7125</v>
      </c>
      <c r="C5658" s="446" t="s">
        <v>14</v>
      </c>
      <c r="D5658" s="448">
        <v>7.49</v>
      </c>
      <c r="E5658" s="210"/>
    </row>
    <row r="5659" spans="1:5" ht="40.5">
      <c r="A5659" s="446">
        <v>102506</v>
      </c>
      <c r="B5659" s="447" t="s">
        <v>7126</v>
      </c>
      <c r="C5659" s="446" t="s">
        <v>14</v>
      </c>
      <c r="D5659" s="448">
        <v>7.15</v>
      </c>
      <c r="E5659" s="210"/>
    </row>
    <row r="5660" spans="1:5" ht="40.5">
      <c r="A5660" s="446">
        <v>102507</v>
      </c>
      <c r="B5660" s="447" t="s">
        <v>7127</v>
      </c>
      <c r="C5660" s="446" t="s">
        <v>14</v>
      </c>
      <c r="D5660" s="448">
        <v>4.2699999999999996</v>
      </c>
      <c r="E5660" s="210"/>
    </row>
    <row r="5661" spans="1:5" ht="40.5">
      <c r="A5661" s="446">
        <v>102508</v>
      </c>
      <c r="B5661" s="447" t="s">
        <v>7128</v>
      </c>
      <c r="C5661" s="446" t="s">
        <v>42</v>
      </c>
      <c r="D5661" s="448">
        <v>29.71</v>
      </c>
      <c r="E5661" s="210"/>
    </row>
    <row r="5662" spans="1:5" ht="54">
      <c r="A5662" s="446">
        <v>102509</v>
      </c>
      <c r="B5662" s="447" t="s">
        <v>7129</v>
      </c>
      <c r="C5662" s="446" t="s">
        <v>42</v>
      </c>
      <c r="D5662" s="448">
        <v>17.5</v>
      </c>
      <c r="E5662" s="210"/>
    </row>
    <row r="5663" spans="1:5" ht="67.5">
      <c r="A5663" s="446">
        <v>102512</v>
      </c>
      <c r="B5663" s="447" t="s">
        <v>7130</v>
      </c>
      <c r="C5663" s="446" t="s">
        <v>14</v>
      </c>
      <c r="D5663" s="448">
        <v>3.31</v>
      </c>
      <c r="E5663" s="210"/>
    </row>
    <row r="5664" spans="1:5" ht="40.5">
      <c r="A5664" s="446">
        <v>102513</v>
      </c>
      <c r="B5664" s="447" t="s">
        <v>7131</v>
      </c>
      <c r="C5664" s="446" t="s">
        <v>42</v>
      </c>
      <c r="D5664" s="448">
        <v>31.64</v>
      </c>
      <c r="E5664" s="210"/>
    </row>
    <row r="5665" spans="1:5" ht="40.5">
      <c r="A5665" s="446">
        <v>102520</v>
      </c>
      <c r="B5665" s="447" t="s">
        <v>7132</v>
      </c>
      <c r="C5665" s="446" t="s">
        <v>42</v>
      </c>
      <c r="D5665" s="448">
        <v>53.72</v>
      </c>
      <c r="E5665" s="210"/>
    </row>
    <row r="5666" spans="1:5" ht="54">
      <c r="A5666" s="446">
        <v>101749</v>
      </c>
      <c r="B5666" s="447" t="s">
        <v>5412</v>
      </c>
      <c r="C5666" s="446" t="s">
        <v>42</v>
      </c>
      <c r="D5666" s="448">
        <v>39.79</v>
      </c>
      <c r="E5666" s="210"/>
    </row>
    <row r="5667" spans="1:5" ht="54">
      <c r="A5667" s="446">
        <v>101750</v>
      </c>
      <c r="B5667" s="447" t="s">
        <v>5413</v>
      </c>
      <c r="C5667" s="446" t="s">
        <v>42</v>
      </c>
      <c r="D5667" s="448">
        <v>38.08</v>
      </c>
      <c r="E5667" s="210"/>
    </row>
    <row r="5668" spans="1:5" ht="27">
      <c r="A5668" s="446">
        <v>101729</v>
      </c>
      <c r="B5668" s="447" t="s">
        <v>5414</v>
      </c>
      <c r="C5668" s="446" t="s">
        <v>42</v>
      </c>
      <c r="D5668" s="448">
        <v>168.13</v>
      </c>
      <c r="E5668" s="210"/>
    </row>
    <row r="5669" spans="1:5" ht="13.5">
      <c r="A5669" s="446">
        <v>101746</v>
      </c>
      <c r="B5669" s="447" t="s">
        <v>5415</v>
      </c>
      <c r="C5669" s="446" t="s">
        <v>42</v>
      </c>
      <c r="D5669" s="448">
        <v>266.81</v>
      </c>
      <c r="E5669" s="210"/>
    </row>
    <row r="5670" spans="1:5" ht="27">
      <c r="A5670" s="446">
        <v>101751</v>
      </c>
      <c r="B5670" s="447" t="s">
        <v>5416</v>
      </c>
      <c r="C5670" s="446" t="s">
        <v>42</v>
      </c>
      <c r="D5670" s="448">
        <v>172.86</v>
      </c>
      <c r="E5670" s="210"/>
    </row>
    <row r="5671" spans="1:5" ht="67.5">
      <c r="A5671" s="446">
        <v>87246</v>
      </c>
      <c r="B5671" s="447" t="s">
        <v>846</v>
      </c>
      <c r="C5671" s="446" t="s">
        <v>42</v>
      </c>
      <c r="D5671" s="448">
        <v>46.19</v>
      </c>
      <c r="E5671" s="210"/>
    </row>
    <row r="5672" spans="1:5" ht="67.5">
      <c r="A5672" s="446">
        <v>87247</v>
      </c>
      <c r="B5672" s="447" t="s">
        <v>847</v>
      </c>
      <c r="C5672" s="446" t="s">
        <v>42</v>
      </c>
      <c r="D5672" s="448">
        <v>41.16</v>
      </c>
      <c r="E5672" s="210"/>
    </row>
    <row r="5673" spans="1:5" ht="67.5">
      <c r="A5673" s="446">
        <v>87248</v>
      </c>
      <c r="B5673" s="447" t="s">
        <v>848</v>
      </c>
      <c r="C5673" s="446" t="s">
        <v>42</v>
      </c>
      <c r="D5673" s="448">
        <v>37.11</v>
      </c>
      <c r="E5673" s="210"/>
    </row>
    <row r="5674" spans="1:5" ht="67.5">
      <c r="A5674" s="446">
        <v>87249</v>
      </c>
      <c r="B5674" s="447" t="s">
        <v>849</v>
      </c>
      <c r="C5674" s="446" t="s">
        <v>42</v>
      </c>
      <c r="D5674" s="448">
        <v>51.32</v>
      </c>
      <c r="E5674" s="210"/>
    </row>
    <row r="5675" spans="1:5" ht="67.5">
      <c r="A5675" s="446">
        <v>87250</v>
      </c>
      <c r="B5675" s="447" t="s">
        <v>850</v>
      </c>
      <c r="C5675" s="446" t="s">
        <v>42</v>
      </c>
      <c r="D5675" s="448">
        <v>43.37</v>
      </c>
      <c r="E5675" s="210"/>
    </row>
    <row r="5676" spans="1:5" ht="67.5">
      <c r="A5676" s="446">
        <v>87251</v>
      </c>
      <c r="B5676" s="447" t="s">
        <v>851</v>
      </c>
      <c r="C5676" s="446" t="s">
        <v>42</v>
      </c>
      <c r="D5676" s="448">
        <v>38.229999999999997</v>
      </c>
      <c r="E5676" s="210"/>
    </row>
    <row r="5677" spans="1:5" ht="67.5">
      <c r="A5677" s="446">
        <v>87255</v>
      </c>
      <c r="B5677" s="447" t="s">
        <v>852</v>
      </c>
      <c r="C5677" s="446" t="s">
        <v>42</v>
      </c>
      <c r="D5677" s="448">
        <v>84.31</v>
      </c>
      <c r="E5677" s="210"/>
    </row>
    <row r="5678" spans="1:5" ht="67.5">
      <c r="A5678" s="446">
        <v>87256</v>
      </c>
      <c r="B5678" s="447" t="s">
        <v>853</v>
      </c>
      <c r="C5678" s="446" t="s">
        <v>42</v>
      </c>
      <c r="D5678" s="448">
        <v>74.569999999999993</v>
      </c>
      <c r="E5678" s="210"/>
    </row>
    <row r="5679" spans="1:5" ht="67.5">
      <c r="A5679" s="446">
        <v>87257</v>
      </c>
      <c r="B5679" s="447" t="s">
        <v>854</v>
      </c>
      <c r="C5679" s="446" t="s">
        <v>42</v>
      </c>
      <c r="D5679" s="448">
        <v>68.510000000000005</v>
      </c>
      <c r="E5679" s="210"/>
    </row>
    <row r="5680" spans="1:5" ht="54">
      <c r="A5680" s="446">
        <v>87258</v>
      </c>
      <c r="B5680" s="447" t="s">
        <v>855</v>
      </c>
      <c r="C5680" s="446" t="s">
        <v>42</v>
      </c>
      <c r="D5680" s="448">
        <v>116.24</v>
      </c>
      <c r="E5680" s="210"/>
    </row>
    <row r="5681" spans="1:5" ht="54">
      <c r="A5681" s="446">
        <v>87259</v>
      </c>
      <c r="B5681" s="447" t="s">
        <v>856</v>
      </c>
      <c r="C5681" s="446" t="s">
        <v>42</v>
      </c>
      <c r="D5681" s="448">
        <v>107.01</v>
      </c>
      <c r="E5681" s="210"/>
    </row>
    <row r="5682" spans="1:5" ht="54">
      <c r="A5682" s="446">
        <v>87260</v>
      </c>
      <c r="B5682" s="447" t="s">
        <v>857</v>
      </c>
      <c r="C5682" s="446" t="s">
        <v>42</v>
      </c>
      <c r="D5682" s="448">
        <v>101.62</v>
      </c>
      <c r="E5682" s="210"/>
    </row>
    <row r="5683" spans="1:5" ht="54">
      <c r="A5683" s="446">
        <v>87261</v>
      </c>
      <c r="B5683" s="447" t="s">
        <v>858</v>
      </c>
      <c r="C5683" s="446" t="s">
        <v>42</v>
      </c>
      <c r="D5683" s="448">
        <v>132.94999999999999</v>
      </c>
      <c r="E5683" s="210"/>
    </row>
    <row r="5684" spans="1:5" ht="54">
      <c r="A5684" s="446">
        <v>87262</v>
      </c>
      <c r="B5684" s="447" t="s">
        <v>859</v>
      </c>
      <c r="C5684" s="446" t="s">
        <v>42</v>
      </c>
      <c r="D5684" s="448">
        <v>122.07</v>
      </c>
      <c r="E5684" s="210"/>
    </row>
    <row r="5685" spans="1:5" ht="54">
      <c r="A5685" s="446">
        <v>87263</v>
      </c>
      <c r="B5685" s="447" t="s">
        <v>860</v>
      </c>
      <c r="C5685" s="446" t="s">
        <v>42</v>
      </c>
      <c r="D5685" s="448">
        <v>115.73</v>
      </c>
      <c r="E5685" s="210"/>
    </row>
    <row r="5686" spans="1:5" ht="81">
      <c r="A5686" s="446">
        <v>89046</v>
      </c>
      <c r="B5686" s="447" t="s">
        <v>6141</v>
      </c>
      <c r="C5686" s="446" t="s">
        <v>42</v>
      </c>
      <c r="D5686" s="448">
        <v>40.94</v>
      </c>
      <c r="E5686" s="210"/>
    </row>
    <row r="5687" spans="1:5" ht="81">
      <c r="A5687" s="446">
        <v>89171</v>
      </c>
      <c r="B5687" s="447" t="s">
        <v>6142</v>
      </c>
      <c r="C5687" s="446" t="s">
        <v>42</v>
      </c>
      <c r="D5687" s="448">
        <v>38.96</v>
      </c>
      <c r="E5687" s="210"/>
    </row>
    <row r="5688" spans="1:5" ht="67.5">
      <c r="A5688" s="446">
        <v>93389</v>
      </c>
      <c r="B5688" s="447" t="s">
        <v>2417</v>
      </c>
      <c r="C5688" s="446" t="s">
        <v>42</v>
      </c>
      <c r="D5688" s="448">
        <v>41.69</v>
      </c>
      <c r="E5688" s="210"/>
    </row>
    <row r="5689" spans="1:5" ht="67.5">
      <c r="A5689" s="446">
        <v>93390</v>
      </c>
      <c r="B5689" s="447" t="s">
        <v>2418</v>
      </c>
      <c r="C5689" s="446" t="s">
        <v>42</v>
      </c>
      <c r="D5689" s="448">
        <v>36.74</v>
      </c>
      <c r="E5689" s="210"/>
    </row>
    <row r="5690" spans="1:5" ht="67.5">
      <c r="A5690" s="446">
        <v>93391</v>
      </c>
      <c r="B5690" s="447" t="s">
        <v>2419</v>
      </c>
      <c r="C5690" s="446" t="s">
        <v>42</v>
      </c>
      <c r="D5690" s="448">
        <v>32.69</v>
      </c>
      <c r="E5690" s="210"/>
    </row>
    <row r="5691" spans="1:5" ht="40.5">
      <c r="A5691" s="446">
        <v>98670</v>
      </c>
      <c r="B5691" s="447" t="s">
        <v>4086</v>
      </c>
      <c r="C5691" s="446" t="s">
        <v>42</v>
      </c>
      <c r="D5691" s="448">
        <v>135.24</v>
      </c>
      <c r="E5691" s="210"/>
    </row>
    <row r="5692" spans="1:5" ht="27">
      <c r="A5692" s="446">
        <v>98671</v>
      </c>
      <c r="B5692" s="447" t="s">
        <v>5417</v>
      </c>
      <c r="C5692" s="446" t="s">
        <v>42</v>
      </c>
      <c r="D5692" s="448">
        <v>295.95</v>
      </c>
      <c r="E5692" s="210"/>
    </row>
    <row r="5693" spans="1:5" ht="27">
      <c r="A5693" s="446">
        <v>98672</v>
      </c>
      <c r="B5693" s="447" t="s">
        <v>5418</v>
      </c>
      <c r="C5693" s="446" t="s">
        <v>42</v>
      </c>
      <c r="D5693" s="448">
        <v>489.88</v>
      </c>
      <c r="E5693" s="210"/>
    </row>
    <row r="5694" spans="1:5" ht="40.5">
      <c r="A5694" s="446">
        <v>98673</v>
      </c>
      <c r="B5694" s="447" t="s">
        <v>4087</v>
      </c>
      <c r="C5694" s="446" t="s">
        <v>42</v>
      </c>
      <c r="D5694" s="448">
        <v>167.09</v>
      </c>
      <c r="E5694" s="210"/>
    </row>
    <row r="5695" spans="1:5" ht="40.5">
      <c r="A5695" s="446">
        <v>98678</v>
      </c>
      <c r="B5695" s="447" t="s">
        <v>5419</v>
      </c>
      <c r="C5695" s="446" t="s">
        <v>42</v>
      </c>
      <c r="D5695" s="448">
        <v>413.74</v>
      </c>
      <c r="E5695" s="210"/>
    </row>
    <row r="5696" spans="1:5" ht="54">
      <c r="A5696" s="446">
        <v>98679</v>
      </c>
      <c r="B5696" s="447" t="s">
        <v>5420</v>
      </c>
      <c r="C5696" s="446" t="s">
        <v>42</v>
      </c>
      <c r="D5696" s="448">
        <v>26.75</v>
      </c>
      <c r="E5696" s="210"/>
    </row>
    <row r="5697" spans="1:5" ht="54">
      <c r="A5697" s="446">
        <v>98680</v>
      </c>
      <c r="B5697" s="447" t="s">
        <v>5421</v>
      </c>
      <c r="C5697" s="446" t="s">
        <v>42</v>
      </c>
      <c r="D5697" s="448">
        <v>33.92</v>
      </c>
      <c r="E5697" s="210"/>
    </row>
    <row r="5698" spans="1:5" ht="54">
      <c r="A5698" s="446">
        <v>98681</v>
      </c>
      <c r="B5698" s="447" t="s">
        <v>5422</v>
      </c>
      <c r="C5698" s="446" t="s">
        <v>42</v>
      </c>
      <c r="D5698" s="448">
        <v>25.04</v>
      </c>
      <c r="E5698" s="210"/>
    </row>
    <row r="5699" spans="1:5" ht="54">
      <c r="A5699" s="446">
        <v>98682</v>
      </c>
      <c r="B5699" s="447" t="s">
        <v>5423</v>
      </c>
      <c r="C5699" s="446" t="s">
        <v>42</v>
      </c>
      <c r="D5699" s="448">
        <v>32.22</v>
      </c>
      <c r="E5699" s="210"/>
    </row>
    <row r="5700" spans="1:5" ht="27">
      <c r="A5700" s="446">
        <v>98685</v>
      </c>
      <c r="B5700" s="447" t="s">
        <v>5424</v>
      </c>
      <c r="C5700" s="446" t="s">
        <v>14</v>
      </c>
      <c r="D5700" s="448">
        <v>53.37</v>
      </c>
      <c r="E5700" s="210"/>
    </row>
    <row r="5701" spans="1:5" ht="27">
      <c r="A5701" s="446">
        <v>98686</v>
      </c>
      <c r="B5701" s="447" t="s">
        <v>5425</v>
      </c>
      <c r="C5701" s="446" t="s">
        <v>14</v>
      </c>
      <c r="D5701" s="448">
        <v>28.95</v>
      </c>
      <c r="E5701" s="210"/>
    </row>
    <row r="5702" spans="1:5" ht="27">
      <c r="A5702" s="446">
        <v>98688</v>
      </c>
      <c r="B5702" s="447" t="s">
        <v>5426</v>
      </c>
      <c r="C5702" s="446" t="s">
        <v>14</v>
      </c>
      <c r="D5702" s="448">
        <v>43.75</v>
      </c>
      <c r="E5702" s="210"/>
    </row>
    <row r="5703" spans="1:5" ht="27">
      <c r="A5703" s="446">
        <v>98689</v>
      </c>
      <c r="B5703" s="447" t="s">
        <v>5427</v>
      </c>
      <c r="C5703" s="446" t="s">
        <v>14</v>
      </c>
      <c r="D5703" s="448">
        <v>75.680000000000007</v>
      </c>
      <c r="E5703" s="210"/>
    </row>
    <row r="5704" spans="1:5" ht="54">
      <c r="A5704" s="446">
        <v>101090</v>
      </c>
      <c r="B5704" s="447" t="s">
        <v>5428</v>
      </c>
      <c r="C5704" s="446" t="s">
        <v>42</v>
      </c>
      <c r="D5704" s="448">
        <v>163.09</v>
      </c>
      <c r="E5704" s="210"/>
    </row>
    <row r="5705" spans="1:5" ht="27">
      <c r="A5705" s="446">
        <v>101091</v>
      </c>
      <c r="B5705" s="447" t="s">
        <v>5429</v>
      </c>
      <c r="C5705" s="446" t="s">
        <v>42</v>
      </c>
      <c r="D5705" s="448">
        <v>107.64</v>
      </c>
      <c r="E5705" s="210"/>
    </row>
    <row r="5706" spans="1:5" ht="54">
      <c r="A5706" s="446">
        <v>101725</v>
      </c>
      <c r="B5706" s="447" t="s">
        <v>5430</v>
      </c>
      <c r="C5706" s="446" t="s">
        <v>42</v>
      </c>
      <c r="D5706" s="448">
        <v>194.2</v>
      </c>
      <c r="E5706" s="210"/>
    </row>
    <row r="5707" spans="1:5" ht="54">
      <c r="A5707" s="446">
        <v>101726</v>
      </c>
      <c r="B5707" s="447" t="s">
        <v>5431</v>
      </c>
      <c r="C5707" s="446" t="s">
        <v>42</v>
      </c>
      <c r="D5707" s="448">
        <v>135.24</v>
      </c>
      <c r="E5707" s="210"/>
    </row>
    <row r="5708" spans="1:5" ht="40.5">
      <c r="A5708" s="446">
        <v>101731</v>
      </c>
      <c r="B5708" s="447" t="s">
        <v>5432</v>
      </c>
      <c r="C5708" s="446" t="s">
        <v>42</v>
      </c>
      <c r="D5708" s="448">
        <v>236.33</v>
      </c>
      <c r="E5708" s="210"/>
    </row>
    <row r="5709" spans="1:5" ht="40.5">
      <c r="A5709" s="446">
        <v>101732</v>
      </c>
      <c r="B5709" s="447" t="s">
        <v>5433</v>
      </c>
      <c r="C5709" s="446" t="s">
        <v>42</v>
      </c>
      <c r="D5709" s="448">
        <v>70.540000000000006</v>
      </c>
      <c r="E5709" s="210"/>
    </row>
    <row r="5710" spans="1:5" ht="27">
      <c r="A5710" s="446">
        <v>101094</v>
      </c>
      <c r="B5710" s="447" t="s">
        <v>5434</v>
      </c>
      <c r="C5710" s="446" t="s">
        <v>14</v>
      </c>
      <c r="D5710" s="448">
        <v>140.09</v>
      </c>
      <c r="E5710" s="210"/>
    </row>
    <row r="5711" spans="1:5" ht="40.5">
      <c r="A5711" s="446">
        <v>101727</v>
      </c>
      <c r="B5711" s="447" t="s">
        <v>5435</v>
      </c>
      <c r="C5711" s="446" t="s">
        <v>42</v>
      </c>
      <c r="D5711" s="448">
        <v>164.7</v>
      </c>
      <c r="E5711" s="210"/>
    </row>
    <row r="5712" spans="1:5" ht="40.5">
      <c r="A5712" s="446">
        <v>101733</v>
      </c>
      <c r="B5712" s="447" t="s">
        <v>5436</v>
      </c>
      <c r="C5712" s="446" t="s">
        <v>42</v>
      </c>
      <c r="D5712" s="448">
        <v>219.96</v>
      </c>
      <c r="E5712" s="210"/>
    </row>
    <row r="5713" spans="1:5" ht="40.5">
      <c r="A5713" s="446">
        <v>101734</v>
      </c>
      <c r="B5713" s="447" t="s">
        <v>5437</v>
      </c>
      <c r="C5713" s="446" t="s">
        <v>42</v>
      </c>
      <c r="D5713" s="448">
        <v>338.53</v>
      </c>
      <c r="E5713" s="210"/>
    </row>
    <row r="5714" spans="1:5" ht="40.5">
      <c r="A5714" s="446">
        <v>101735</v>
      </c>
      <c r="B5714" s="447" t="s">
        <v>5438</v>
      </c>
      <c r="C5714" s="446" t="s">
        <v>42</v>
      </c>
      <c r="D5714" s="448">
        <v>347.13</v>
      </c>
      <c r="E5714" s="210"/>
    </row>
    <row r="5715" spans="1:5" ht="40.5">
      <c r="A5715" s="446">
        <v>101736</v>
      </c>
      <c r="B5715" s="447" t="s">
        <v>5439</v>
      </c>
      <c r="C5715" s="446" t="s">
        <v>42</v>
      </c>
      <c r="D5715" s="448">
        <v>73.02</v>
      </c>
      <c r="E5715" s="210"/>
    </row>
    <row r="5716" spans="1:5" ht="40.5">
      <c r="A5716" s="446">
        <v>101737</v>
      </c>
      <c r="B5716" s="447" t="s">
        <v>5440</v>
      </c>
      <c r="C5716" s="446" t="s">
        <v>42</v>
      </c>
      <c r="D5716" s="448">
        <v>90.03</v>
      </c>
      <c r="E5716" s="210"/>
    </row>
    <row r="5717" spans="1:5" ht="27">
      <c r="A5717" s="446">
        <v>101748</v>
      </c>
      <c r="B5717" s="447" t="s">
        <v>5441</v>
      </c>
      <c r="C5717" s="446" t="s">
        <v>42</v>
      </c>
      <c r="D5717" s="448">
        <v>2.35</v>
      </c>
      <c r="E5717" s="210"/>
    </row>
    <row r="5718" spans="1:5" ht="27">
      <c r="A5718" s="446">
        <v>101092</v>
      </c>
      <c r="B5718" s="447" t="s">
        <v>5442</v>
      </c>
      <c r="C5718" s="446" t="s">
        <v>42</v>
      </c>
      <c r="D5718" s="448">
        <v>303.11</v>
      </c>
      <c r="E5718" s="210"/>
    </row>
    <row r="5719" spans="1:5" ht="27">
      <c r="A5719" s="446">
        <v>101093</v>
      </c>
      <c r="B5719" s="447" t="s">
        <v>5443</v>
      </c>
      <c r="C5719" s="446" t="s">
        <v>42</v>
      </c>
      <c r="D5719" s="448">
        <v>497.04</v>
      </c>
      <c r="E5719" s="210"/>
    </row>
    <row r="5720" spans="1:5" ht="27">
      <c r="A5720" s="446">
        <v>98695</v>
      </c>
      <c r="B5720" s="447" t="s">
        <v>5444</v>
      </c>
      <c r="C5720" s="446" t="s">
        <v>14</v>
      </c>
      <c r="D5720" s="448">
        <v>83.94</v>
      </c>
      <c r="E5720" s="210"/>
    </row>
    <row r="5721" spans="1:5" ht="27">
      <c r="A5721" s="446">
        <v>98697</v>
      </c>
      <c r="B5721" s="447" t="s">
        <v>5445</v>
      </c>
      <c r="C5721" s="446" t="s">
        <v>14</v>
      </c>
      <c r="D5721" s="448">
        <v>56.13</v>
      </c>
      <c r="E5721" s="210"/>
    </row>
    <row r="5722" spans="1:5" ht="27">
      <c r="A5722" s="446">
        <v>101738</v>
      </c>
      <c r="B5722" s="447" t="s">
        <v>5446</v>
      </c>
      <c r="C5722" s="446" t="s">
        <v>14</v>
      </c>
      <c r="D5722" s="448">
        <v>24.33</v>
      </c>
      <c r="E5722" s="210"/>
    </row>
    <row r="5723" spans="1:5" ht="27">
      <c r="A5723" s="446">
        <v>101739</v>
      </c>
      <c r="B5723" s="447" t="s">
        <v>5447</v>
      </c>
      <c r="C5723" s="446" t="s">
        <v>14</v>
      </c>
      <c r="D5723" s="448">
        <v>26.82</v>
      </c>
      <c r="E5723" s="210"/>
    </row>
    <row r="5724" spans="1:5" ht="40.5">
      <c r="A5724" s="446">
        <v>88648</v>
      </c>
      <c r="B5724" s="447" t="s">
        <v>1137</v>
      </c>
      <c r="C5724" s="446" t="s">
        <v>14</v>
      </c>
      <c r="D5724" s="448">
        <v>5.51</v>
      </c>
      <c r="E5724" s="210"/>
    </row>
    <row r="5725" spans="1:5" ht="40.5">
      <c r="A5725" s="446">
        <v>88649</v>
      </c>
      <c r="B5725" s="447" t="s">
        <v>1138</v>
      </c>
      <c r="C5725" s="446" t="s">
        <v>14</v>
      </c>
      <c r="D5725" s="448">
        <v>6.24</v>
      </c>
      <c r="E5725" s="210"/>
    </row>
    <row r="5726" spans="1:5" ht="40.5">
      <c r="A5726" s="446">
        <v>88650</v>
      </c>
      <c r="B5726" s="447" t="s">
        <v>1139</v>
      </c>
      <c r="C5726" s="446" t="s">
        <v>14</v>
      </c>
      <c r="D5726" s="448">
        <v>12.13</v>
      </c>
      <c r="E5726" s="210"/>
    </row>
    <row r="5727" spans="1:5" ht="54">
      <c r="A5727" s="446">
        <v>96467</v>
      </c>
      <c r="B5727" s="447" t="s">
        <v>3045</v>
      </c>
      <c r="C5727" s="446" t="s">
        <v>14</v>
      </c>
      <c r="D5727" s="448">
        <v>5</v>
      </c>
      <c r="E5727" s="210"/>
    </row>
    <row r="5728" spans="1:5" ht="27">
      <c r="A5728" s="446">
        <v>101740</v>
      </c>
      <c r="B5728" s="447" t="s">
        <v>5448</v>
      </c>
      <c r="C5728" s="446" t="s">
        <v>14</v>
      </c>
      <c r="D5728" s="448">
        <v>33.99</v>
      </c>
      <c r="E5728" s="210"/>
    </row>
    <row r="5729" spans="1:5" ht="27">
      <c r="A5729" s="446">
        <v>101741</v>
      </c>
      <c r="B5729" s="447" t="s">
        <v>5449</v>
      </c>
      <c r="C5729" s="446" t="s">
        <v>14</v>
      </c>
      <c r="D5729" s="448">
        <v>15.81</v>
      </c>
      <c r="E5729" s="210"/>
    </row>
    <row r="5730" spans="1:5" ht="54">
      <c r="A5730" s="446">
        <v>94990</v>
      </c>
      <c r="B5730" s="447" t="s">
        <v>2657</v>
      </c>
      <c r="C5730" s="446" t="s">
        <v>31</v>
      </c>
      <c r="D5730" s="448">
        <v>598.4</v>
      </c>
      <c r="E5730" s="210"/>
    </row>
    <row r="5731" spans="1:5" ht="54">
      <c r="A5731" s="446">
        <v>94991</v>
      </c>
      <c r="B5731" s="447" t="s">
        <v>533</v>
      </c>
      <c r="C5731" s="446" t="s">
        <v>31</v>
      </c>
      <c r="D5731" s="448">
        <v>604.71</v>
      </c>
      <c r="E5731" s="210"/>
    </row>
    <row r="5732" spans="1:5" ht="67.5">
      <c r="A5732" s="446">
        <v>94992</v>
      </c>
      <c r="B5732" s="447" t="s">
        <v>2658</v>
      </c>
      <c r="C5732" s="446" t="s">
        <v>42</v>
      </c>
      <c r="D5732" s="448">
        <v>97.16</v>
      </c>
      <c r="E5732" s="210"/>
    </row>
    <row r="5733" spans="1:5" ht="54">
      <c r="A5733" s="446">
        <v>94993</v>
      </c>
      <c r="B5733" s="447" t="s">
        <v>2659</v>
      </c>
      <c r="C5733" s="446" t="s">
        <v>42</v>
      </c>
      <c r="D5733" s="448">
        <v>97.55</v>
      </c>
      <c r="E5733" s="210"/>
    </row>
    <row r="5734" spans="1:5" ht="67.5">
      <c r="A5734" s="446">
        <v>94994</v>
      </c>
      <c r="B5734" s="447" t="s">
        <v>2660</v>
      </c>
      <c r="C5734" s="446" t="s">
        <v>42</v>
      </c>
      <c r="D5734" s="448">
        <v>109.83</v>
      </c>
      <c r="E5734" s="210"/>
    </row>
    <row r="5735" spans="1:5" ht="54">
      <c r="A5735" s="446">
        <v>94995</v>
      </c>
      <c r="B5735" s="447" t="s">
        <v>2661</v>
      </c>
      <c r="C5735" s="446" t="s">
        <v>42</v>
      </c>
      <c r="D5735" s="448">
        <v>110.34</v>
      </c>
      <c r="E5735" s="210"/>
    </row>
    <row r="5736" spans="1:5" ht="67.5">
      <c r="A5736" s="446">
        <v>94996</v>
      </c>
      <c r="B5736" s="447" t="s">
        <v>2662</v>
      </c>
      <c r="C5736" s="446" t="s">
        <v>42</v>
      </c>
      <c r="D5736" s="448">
        <v>121.94</v>
      </c>
      <c r="E5736" s="210"/>
    </row>
    <row r="5737" spans="1:5" ht="54">
      <c r="A5737" s="446">
        <v>94997</v>
      </c>
      <c r="B5737" s="447" t="s">
        <v>2663</v>
      </c>
      <c r="C5737" s="446" t="s">
        <v>42</v>
      </c>
      <c r="D5737" s="448">
        <v>122.56</v>
      </c>
      <c r="E5737" s="210"/>
    </row>
    <row r="5738" spans="1:5" ht="67.5">
      <c r="A5738" s="446">
        <v>94998</v>
      </c>
      <c r="B5738" s="447" t="s">
        <v>2664</v>
      </c>
      <c r="C5738" s="446" t="s">
        <v>42</v>
      </c>
      <c r="D5738" s="448">
        <v>134.59</v>
      </c>
      <c r="E5738" s="210"/>
    </row>
    <row r="5739" spans="1:5" ht="54">
      <c r="A5739" s="446">
        <v>94999</v>
      </c>
      <c r="B5739" s="447" t="s">
        <v>2665</v>
      </c>
      <c r="C5739" s="446" t="s">
        <v>42</v>
      </c>
      <c r="D5739" s="448">
        <v>135.34</v>
      </c>
      <c r="E5739" s="210"/>
    </row>
    <row r="5740" spans="1:5" ht="27">
      <c r="A5740" s="446">
        <v>101747</v>
      </c>
      <c r="B5740" s="447" t="s">
        <v>5450</v>
      </c>
      <c r="C5740" s="446" t="s">
        <v>42</v>
      </c>
      <c r="D5740" s="448">
        <v>63.38</v>
      </c>
      <c r="E5740" s="210"/>
    </row>
    <row r="5741" spans="1:5" ht="27">
      <c r="A5741" s="446">
        <v>101743</v>
      </c>
      <c r="B5741" s="447" t="s">
        <v>5451</v>
      </c>
      <c r="C5741" s="446" t="s">
        <v>42</v>
      </c>
      <c r="D5741" s="448">
        <v>158.69999999999999</v>
      </c>
      <c r="E5741" s="210"/>
    </row>
    <row r="5742" spans="1:5" ht="27">
      <c r="A5742" s="446">
        <v>101744</v>
      </c>
      <c r="B5742" s="447" t="s">
        <v>5452</v>
      </c>
      <c r="C5742" s="446" t="s">
        <v>42</v>
      </c>
      <c r="D5742" s="448">
        <v>126.5</v>
      </c>
      <c r="E5742" s="210"/>
    </row>
    <row r="5743" spans="1:5" ht="27">
      <c r="A5743" s="446">
        <v>101745</v>
      </c>
      <c r="B5743" s="447" t="s">
        <v>5453</v>
      </c>
      <c r="C5743" s="446" t="s">
        <v>42</v>
      </c>
      <c r="D5743" s="448">
        <v>155.41</v>
      </c>
      <c r="E5743" s="210"/>
    </row>
    <row r="5744" spans="1:5" ht="81">
      <c r="A5744" s="446">
        <v>87620</v>
      </c>
      <c r="B5744" s="447" t="s">
        <v>7736</v>
      </c>
      <c r="C5744" s="446" t="s">
        <v>42</v>
      </c>
      <c r="D5744" s="448">
        <v>25.15</v>
      </c>
      <c r="E5744" s="210"/>
    </row>
    <row r="5745" spans="1:5" ht="67.5">
      <c r="A5745" s="446">
        <v>87622</v>
      </c>
      <c r="B5745" s="447" t="s">
        <v>7737</v>
      </c>
      <c r="C5745" s="446" t="s">
        <v>42</v>
      </c>
      <c r="D5745" s="448">
        <v>27.8</v>
      </c>
      <c r="E5745" s="210"/>
    </row>
    <row r="5746" spans="1:5" ht="67.5">
      <c r="A5746" s="446">
        <v>87623</v>
      </c>
      <c r="B5746" s="447" t="s">
        <v>7738</v>
      </c>
      <c r="C5746" s="446" t="s">
        <v>42</v>
      </c>
      <c r="D5746" s="448">
        <v>69.13</v>
      </c>
      <c r="E5746" s="210"/>
    </row>
    <row r="5747" spans="1:5" ht="67.5">
      <c r="A5747" s="446">
        <v>87624</v>
      </c>
      <c r="B5747" s="447" t="s">
        <v>7738</v>
      </c>
      <c r="C5747" s="446" t="s">
        <v>42</v>
      </c>
      <c r="D5747" s="448">
        <v>74.040000000000006</v>
      </c>
      <c r="E5747" s="210"/>
    </row>
    <row r="5748" spans="1:5" ht="81">
      <c r="A5748" s="446">
        <v>87630</v>
      </c>
      <c r="B5748" s="447" t="s">
        <v>7739</v>
      </c>
      <c r="C5748" s="446" t="s">
        <v>42</v>
      </c>
      <c r="D5748" s="448">
        <v>31.49</v>
      </c>
      <c r="E5748" s="210"/>
    </row>
    <row r="5749" spans="1:5" ht="67.5">
      <c r="A5749" s="446">
        <v>87632</v>
      </c>
      <c r="B5749" s="447" t="s">
        <v>7740</v>
      </c>
      <c r="C5749" s="446" t="s">
        <v>42</v>
      </c>
      <c r="D5749" s="448">
        <v>35.17</v>
      </c>
      <c r="E5749" s="210"/>
    </row>
    <row r="5750" spans="1:5" ht="67.5">
      <c r="A5750" s="446">
        <v>87633</v>
      </c>
      <c r="B5750" s="447" t="s">
        <v>7741</v>
      </c>
      <c r="C5750" s="446" t="s">
        <v>42</v>
      </c>
      <c r="D5750" s="448">
        <v>92.62</v>
      </c>
      <c r="E5750" s="210"/>
    </row>
    <row r="5751" spans="1:5" ht="54">
      <c r="A5751" s="446">
        <v>87634</v>
      </c>
      <c r="B5751" s="447" t="s">
        <v>7742</v>
      </c>
      <c r="C5751" s="446" t="s">
        <v>42</v>
      </c>
      <c r="D5751" s="448">
        <v>99.46</v>
      </c>
      <c r="E5751" s="210"/>
    </row>
    <row r="5752" spans="1:5" ht="81">
      <c r="A5752" s="446">
        <v>87640</v>
      </c>
      <c r="B5752" s="447" t="s">
        <v>7743</v>
      </c>
      <c r="C5752" s="446" t="s">
        <v>42</v>
      </c>
      <c r="D5752" s="448">
        <v>36.69</v>
      </c>
      <c r="E5752" s="210"/>
    </row>
    <row r="5753" spans="1:5" ht="67.5">
      <c r="A5753" s="446">
        <v>87642</v>
      </c>
      <c r="B5753" s="447" t="s">
        <v>7744</v>
      </c>
      <c r="C5753" s="446" t="s">
        <v>42</v>
      </c>
      <c r="D5753" s="448">
        <v>41.22</v>
      </c>
      <c r="E5753" s="210"/>
    </row>
    <row r="5754" spans="1:5" ht="67.5">
      <c r="A5754" s="446">
        <v>87643</v>
      </c>
      <c r="B5754" s="447" t="s">
        <v>7745</v>
      </c>
      <c r="C5754" s="446" t="s">
        <v>42</v>
      </c>
      <c r="D5754" s="448">
        <v>111.87</v>
      </c>
      <c r="E5754" s="210"/>
    </row>
    <row r="5755" spans="1:5" ht="54">
      <c r="A5755" s="446">
        <v>87644</v>
      </c>
      <c r="B5755" s="447" t="s">
        <v>7746</v>
      </c>
      <c r="C5755" s="446" t="s">
        <v>42</v>
      </c>
      <c r="D5755" s="448">
        <v>120.27</v>
      </c>
      <c r="E5755" s="210"/>
    </row>
    <row r="5756" spans="1:5" ht="81">
      <c r="A5756" s="446">
        <v>87680</v>
      </c>
      <c r="B5756" s="447" t="s">
        <v>7747</v>
      </c>
      <c r="C5756" s="446" t="s">
        <v>42</v>
      </c>
      <c r="D5756" s="448">
        <v>30.52</v>
      </c>
      <c r="E5756" s="210"/>
    </row>
    <row r="5757" spans="1:5" ht="67.5">
      <c r="A5757" s="446">
        <v>87682</v>
      </c>
      <c r="B5757" s="447" t="s">
        <v>7748</v>
      </c>
      <c r="C5757" s="446" t="s">
        <v>42</v>
      </c>
      <c r="D5757" s="448">
        <v>35.049999999999997</v>
      </c>
      <c r="E5757" s="210"/>
    </row>
    <row r="5758" spans="1:5" ht="67.5">
      <c r="A5758" s="446">
        <v>87683</v>
      </c>
      <c r="B5758" s="447" t="s">
        <v>7749</v>
      </c>
      <c r="C5758" s="446" t="s">
        <v>42</v>
      </c>
      <c r="D5758" s="448">
        <v>105.7</v>
      </c>
      <c r="E5758" s="210"/>
    </row>
    <row r="5759" spans="1:5" ht="54">
      <c r="A5759" s="446">
        <v>87684</v>
      </c>
      <c r="B5759" s="447" t="s">
        <v>7750</v>
      </c>
      <c r="C5759" s="446" t="s">
        <v>42</v>
      </c>
      <c r="D5759" s="448">
        <v>114.1</v>
      </c>
      <c r="E5759" s="210"/>
    </row>
    <row r="5760" spans="1:5" ht="81">
      <c r="A5760" s="446">
        <v>87690</v>
      </c>
      <c r="B5760" s="447" t="s">
        <v>7751</v>
      </c>
      <c r="C5760" s="446" t="s">
        <v>42</v>
      </c>
      <c r="D5760" s="448">
        <v>34.979999999999997</v>
      </c>
      <c r="E5760" s="210"/>
    </row>
    <row r="5761" spans="1:5" ht="67.5">
      <c r="A5761" s="446">
        <v>87692</v>
      </c>
      <c r="B5761" s="447" t="s">
        <v>7752</v>
      </c>
      <c r="C5761" s="446" t="s">
        <v>42</v>
      </c>
      <c r="D5761" s="448">
        <v>40.159999999999997</v>
      </c>
      <c r="E5761" s="210"/>
    </row>
    <row r="5762" spans="1:5" ht="54">
      <c r="A5762" s="446">
        <v>87693</v>
      </c>
      <c r="B5762" s="447" t="s">
        <v>7753</v>
      </c>
      <c r="C5762" s="446" t="s">
        <v>42</v>
      </c>
      <c r="D5762" s="448">
        <v>121.08</v>
      </c>
      <c r="E5762" s="210"/>
    </row>
    <row r="5763" spans="1:5" ht="54">
      <c r="A5763" s="446">
        <v>87694</v>
      </c>
      <c r="B5763" s="447" t="s">
        <v>7754</v>
      </c>
      <c r="C5763" s="446" t="s">
        <v>42</v>
      </c>
      <c r="D5763" s="448">
        <v>130.69999999999999</v>
      </c>
      <c r="E5763" s="210"/>
    </row>
    <row r="5764" spans="1:5" ht="81">
      <c r="A5764" s="446">
        <v>87700</v>
      </c>
      <c r="B5764" s="447" t="s">
        <v>7755</v>
      </c>
      <c r="C5764" s="446" t="s">
        <v>42</v>
      </c>
      <c r="D5764" s="448">
        <v>37.799999999999997</v>
      </c>
      <c r="E5764" s="210"/>
    </row>
    <row r="5765" spans="1:5" ht="67.5">
      <c r="A5765" s="446">
        <v>87702</v>
      </c>
      <c r="B5765" s="447" t="s">
        <v>7756</v>
      </c>
      <c r="C5765" s="446" t="s">
        <v>42</v>
      </c>
      <c r="D5765" s="448">
        <v>43.45</v>
      </c>
      <c r="E5765" s="210"/>
    </row>
    <row r="5766" spans="1:5" ht="67.5">
      <c r="A5766" s="446">
        <v>87703</v>
      </c>
      <c r="B5766" s="447" t="s">
        <v>7757</v>
      </c>
      <c r="C5766" s="446" t="s">
        <v>42</v>
      </c>
      <c r="D5766" s="448">
        <v>131.56</v>
      </c>
      <c r="E5766" s="210"/>
    </row>
    <row r="5767" spans="1:5" ht="54">
      <c r="A5767" s="446">
        <v>87704</v>
      </c>
      <c r="B5767" s="447" t="s">
        <v>7758</v>
      </c>
      <c r="C5767" s="446" t="s">
        <v>42</v>
      </c>
      <c r="D5767" s="448">
        <v>142.05000000000001</v>
      </c>
      <c r="E5767" s="210"/>
    </row>
    <row r="5768" spans="1:5" ht="81">
      <c r="A5768" s="446">
        <v>87735</v>
      </c>
      <c r="B5768" s="447" t="s">
        <v>7759</v>
      </c>
      <c r="C5768" s="446" t="s">
        <v>42</v>
      </c>
      <c r="D5768" s="448">
        <v>32.92</v>
      </c>
      <c r="E5768" s="210"/>
    </row>
    <row r="5769" spans="1:5" ht="67.5">
      <c r="A5769" s="446">
        <v>87737</v>
      </c>
      <c r="B5769" s="447" t="s">
        <v>7760</v>
      </c>
      <c r="C5769" s="446" t="s">
        <v>42</v>
      </c>
      <c r="D5769" s="448">
        <v>35.57</v>
      </c>
      <c r="E5769" s="210"/>
    </row>
    <row r="5770" spans="1:5" ht="67.5">
      <c r="A5770" s="446">
        <v>87738</v>
      </c>
      <c r="B5770" s="447" t="s">
        <v>7761</v>
      </c>
      <c r="C5770" s="446" t="s">
        <v>42</v>
      </c>
      <c r="D5770" s="448">
        <v>76.900000000000006</v>
      </c>
      <c r="E5770" s="210"/>
    </row>
    <row r="5771" spans="1:5" ht="54">
      <c r="A5771" s="446">
        <v>87739</v>
      </c>
      <c r="B5771" s="447" t="s">
        <v>7762</v>
      </c>
      <c r="C5771" s="446" t="s">
        <v>42</v>
      </c>
      <c r="D5771" s="448">
        <v>81.81</v>
      </c>
      <c r="E5771" s="210"/>
    </row>
    <row r="5772" spans="1:5" ht="81">
      <c r="A5772" s="446">
        <v>87745</v>
      </c>
      <c r="B5772" s="447" t="s">
        <v>7763</v>
      </c>
      <c r="C5772" s="446" t="s">
        <v>42</v>
      </c>
      <c r="D5772" s="448">
        <v>39.28</v>
      </c>
      <c r="E5772" s="210"/>
    </row>
    <row r="5773" spans="1:5" ht="67.5">
      <c r="A5773" s="446">
        <v>87747</v>
      </c>
      <c r="B5773" s="447" t="s">
        <v>7764</v>
      </c>
      <c r="C5773" s="446" t="s">
        <v>42</v>
      </c>
      <c r="D5773" s="448">
        <v>42.96</v>
      </c>
      <c r="E5773" s="210"/>
    </row>
    <row r="5774" spans="1:5" ht="67.5">
      <c r="A5774" s="446">
        <v>87748</v>
      </c>
      <c r="B5774" s="447" t="s">
        <v>7765</v>
      </c>
      <c r="C5774" s="446" t="s">
        <v>42</v>
      </c>
      <c r="D5774" s="448">
        <v>100.41</v>
      </c>
      <c r="E5774" s="210"/>
    </row>
    <row r="5775" spans="1:5" ht="54">
      <c r="A5775" s="446">
        <v>87749</v>
      </c>
      <c r="B5775" s="447" t="s">
        <v>7766</v>
      </c>
      <c r="C5775" s="446" t="s">
        <v>42</v>
      </c>
      <c r="D5775" s="448">
        <v>107.25</v>
      </c>
      <c r="E5775" s="210"/>
    </row>
    <row r="5776" spans="1:5" ht="81">
      <c r="A5776" s="446">
        <v>87755</v>
      </c>
      <c r="B5776" s="447" t="s">
        <v>7767</v>
      </c>
      <c r="C5776" s="446" t="s">
        <v>42</v>
      </c>
      <c r="D5776" s="448">
        <v>34.69</v>
      </c>
      <c r="E5776" s="210"/>
    </row>
    <row r="5777" spans="1:5" ht="67.5">
      <c r="A5777" s="446">
        <v>87757</v>
      </c>
      <c r="B5777" s="447" t="s">
        <v>7768</v>
      </c>
      <c r="C5777" s="446" t="s">
        <v>42</v>
      </c>
      <c r="D5777" s="448">
        <v>38.369999999999997</v>
      </c>
      <c r="E5777" s="210"/>
    </row>
    <row r="5778" spans="1:5" ht="67.5">
      <c r="A5778" s="446">
        <v>87758</v>
      </c>
      <c r="B5778" s="447" t="s">
        <v>7769</v>
      </c>
      <c r="C5778" s="446" t="s">
        <v>42</v>
      </c>
      <c r="D5778" s="448">
        <v>95.82</v>
      </c>
      <c r="E5778" s="210"/>
    </row>
    <row r="5779" spans="1:5" ht="54">
      <c r="A5779" s="446">
        <v>87759</v>
      </c>
      <c r="B5779" s="447" t="s">
        <v>7770</v>
      </c>
      <c r="C5779" s="446" t="s">
        <v>42</v>
      </c>
      <c r="D5779" s="448">
        <v>102.66</v>
      </c>
      <c r="E5779" s="210"/>
    </row>
    <row r="5780" spans="1:5" ht="81">
      <c r="A5780" s="446">
        <v>87765</v>
      </c>
      <c r="B5780" s="447" t="s">
        <v>7771</v>
      </c>
      <c r="C5780" s="446" t="s">
        <v>42</v>
      </c>
      <c r="D5780" s="448">
        <v>39.92</v>
      </c>
      <c r="E5780" s="210"/>
    </row>
    <row r="5781" spans="1:5" ht="67.5">
      <c r="A5781" s="446">
        <v>87767</v>
      </c>
      <c r="B5781" s="447" t="s">
        <v>7772</v>
      </c>
      <c r="C5781" s="446" t="s">
        <v>42</v>
      </c>
      <c r="D5781" s="448">
        <v>44.45</v>
      </c>
      <c r="E5781" s="210"/>
    </row>
    <row r="5782" spans="1:5" ht="67.5">
      <c r="A5782" s="446">
        <v>87768</v>
      </c>
      <c r="B5782" s="447" t="s">
        <v>7773</v>
      </c>
      <c r="C5782" s="446" t="s">
        <v>42</v>
      </c>
      <c r="D5782" s="448">
        <v>115.1</v>
      </c>
      <c r="E5782" s="210"/>
    </row>
    <row r="5783" spans="1:5" ht="54">
      <c r="A5783" s="446">
        <v>87769</v>
      </c>
      <c r="B5783" s="447" t="s">
        <v>7774</v>
      </c>
      <c r="C5783" s="446" t="s">
        <v>42</v>
      </c>
      <c r="D5783" s="448">
        <v>123.5</v>
      </c>
      <c r="E5783" s="210"/>
    </row>
    <row r="5784" spans="1:5" ht="40.5">
      <c r="A5784" s="446">
        <v>88470</v>
      </c>
      <c r="B5784" s="447" t="s">
        <v>7775</v>
      </c>
      <c r="C5784" s="446" t="s">
        <v>42</v>
      </c>
      <c r="D5784" s="448">
        <v>21.62</v>
      </c>
      <c r="E5784" s="210"/>
    </row>
    <row r="5785" spans="1:5" ht="40.5">
      <c r="A5785" s="446">
        <v>88471</v>
      </c>
      <c r="B5785" s="447" t="s">
        <v>7776</v>
      </c>
      <c r="C5785" s="446" t="s">
        <v>42</v>
      </c>
      <c r="D5785" s="448">
        <v>26.98</v>
      </c>
      <c r="E5785" s="210"/>
    </row>
    <row r="5786" spans="1:5" ht="40.5">
      <c r="A5786" s="446">
        <v>88472</v>
      </c>
      <c r="B5786" s="447" t="s">
        <v>7777</v>
      </c>
      <c r="C5786" s="446" t="s">
        <v>42</v>
      </c>
      <c r="D5786" s="448">
        <v>31.23</v>
      </c>
      <c r="E5786" s="210"/>
    </row>
    <row r="5787" spans="1:5" ht="40.5">
      <c r="A5787" s="446">
        <v>88476</v>
      </c>
      <c r="B5787" s="447" t="s">
        <v>7778</v>
      </c>
      <c r="C5787" s="446" t="s">
        <v>42</v>
      </c>
      <c r="D5787" s="448">
        <v>20.69</v>
      </c>
      <c r="E5787" s="210"/>
    </row>
    <row r="5788" spans="1:5" ht="40.5">
      <c r="A5788" s="446">
        <v>88477</v>
      </c>
      <c r="B5788" s="447" t="s">
        <v>7779</v>
      </c>
      <c r="C5788" s="446" t="s">
        <v>42</v>
      </c>
      <c r="D5788" s="448">
        <v>27.32</v>
      </c>
      <c r="E5788" s="210"/>
    </row>
    <row r="5789" spans="1:5" ht="40.5">
      <c r="A5789" s="446">
        <v>88478</v>
      </c>
      <c r="B5789" s="447" t="s">
        <v>7780</v>
      </c>
      <c r="C5789" s="446" t="s">
        <v>42</v>
      </c>
      <c r="D5789" s="448">
        <v>32.81</v>
      </c>
      <c r="E5789" s="210"/>
    </row>
    <row r="5790" spans="1:5" ht="67.5">
      <c r="A5790" s="446">
        <v>90930</v>
      </c>
      <c r="B5790" s="447" t="s">
        <v>7781</v>
      </c>
      <c r="C5790" s="446" t="s">
        <v>42</v>
      </c>
      <c r="D5790" s="448">
        <v>61.27</v>
      </c>
      <c r="E5790" s="210"/>
    </row>
    <row r="5791" spans="1:5" ht="54">
      <c r="A5791" s="446">
        <v>90932</v>
      </c>
      <c r="B5791" s="447" t="s">
        <v>7782</v>
      </c>
      <c r="C5791" s="446" t="s">
        <v>42</v>
      </c>
      <c r="D5791" s="448">
        <v>66.45</v>
      </c>
      <c r="E5791" s="210"/>
    </row>
    <row r="5792" spans="1:5" ht="67.5">
      <c r="A5792" s="446">
        <v>90933</v>
      </c>
      <c r="B5792" s="447" t="s">
        <v>7783</v>
      </c>
      <c r="C5792" s="446" t="s">
        <v>42</v>
      </c>
      <c r="D5792" s="448">
        <v>147.37</v>
      </c>
      <c r="E5792" s="210"/>
    </row>
    <row r="5793" spans="1:5" ht="54">
      <c r="A5793" s="446">
        <v>90934</v>
      </c>
      <c r="B5793" s="447" t="s">
        <v>7784</v>
      </c>
      <c r="C5793" s="446" t="s">
        <v>42</v>
      </c>
      <c r="D5793" s="448">
        <v>156.99</v>
      </c>
      <c r="E5793" s="210"/>
    </row>
    <row r="5794" spans="1:5" ht="67.5">
      <c r="A5794" s="446">
        <v>90940</v>
      </c>
      <c r="B5794" s="447" t="s">
        <v>7785</v>
      </c>
      <c r="C5794" s="446" t="s">
        <v>42</v>
      </c>
      <c r="D5794" s="448">
        <v>64.930000000000007</v>
      </c>
      <c r="E5794" s="210"/>
    </row>
    <row r="5795" spans="1:5" ht="54">
      <c r="A5795" s="446">
        <v>90942</v>
      </c>
      <c r="B5795" s="447" t="s">
        <v>7786</v>
      </c>
      <c r="C5795" s="446" t="s">
        <v>42</v>
      </c>
      <c r="D5795" s="448">
        <v>70.58</v>
      </c>
      <c r="E5795" s="210"/>
    </row>
    <row r="5796" spans="1:5" ht="67.5">
      <c r="A5796" s="446">
        <v>90943</v>
      </c>
      <c r="B5796" s="447" t="s">
        <v>7787</v>
      </c>
      <c r="C5796" s="446" t="s">
        <v>42</v>
      </c>
      <c r="D5796" s="448">
        <v>158.69</v>
      </c>
      <c r="E5796" s="210"/>
    </row>
    <row r="5797" spans="1:5" ht="54">
      <c r="A5797" s="446">
        <v>90944</v>
      </c>
      <c r="B5797" s="447" t="s">
        <v>7788</v>
      </c>
      <c r="C5797" s="446" t="s">
        <v>42</v>
      </c>
      <c r="D5797" s="448">
        <v>169.18</v>
      </c>
      <c r="E5797" s="210"/>
    </row>
    <row r="5798" spans="1:5" ht="67.5">
      <c r="A5798" s="446">
        <v>90950</v>
      </c>
      <c r="B5798" s="447" t="s">
        <v>7789</v>
      </c>
      <c r="C5798" s="446" t="s">
        <v>42</v>
      </c>
      <c r="D5798" s="448">
        <v>71.64</v>
      </c>
      <c r="E5798" s="210"/>
    </row>
    <row r="5799" spans="1:5" ht="54">
      <c r="A5799" s="446">
        <v>90952</v>
      </c>
      <c r="B5799" s="447" t="s">
        <v>7790</v>
      </c>
      <c r="C5799" s="446" t="s">
        <v>42</v>
      </c>
      <c r="D5799" s="448">
        <v>78.14</v>
      </c>
      <c r="E5799" s="210"/>
    </row>
    <row r="5800" spans="1:5" ht="67.5">
      <c r="A5800" s="446">
        <v>90953</v>
      </c>
      <c r="B5800" s="447" t="s">
        <v>7791</v>
      </c>
      <c r="C5800" s="446" t="s">
        <v>42</v>
      </c>
      <c r="D5800" s="448">
        <v>179.45</v>
      </c>
      <c r="E5800" s="210"/>
    </row>
    <row r="5801" spans="1:5" ht="54">
      <c r="A5801" s="446">
        <v>90954</v>
      </c>
      <c r="B5801" s="447" t="s">
        <v>7792</v>
      </c>
      <c r="C5801" s="446" t="s">
        <v>42</v>
      </c>
      <c r="D5801" s="448">
        <v>191.5</v>
      </c>
      <c r="E5801" s="210"/>
    </row>
    <row r="5802" spans="1:5" ht="94.5">
      <c r="A5802" s="446">
        <v>94438</v>
      </c>
      <c r="B5802" s="447" t="s">
        <v>2510</v>
      </c>
      <c r="C5802" s="446" t="s">
        <v>42</v>
      </c>
      <c r="D5802" s="448">
        <v>33.56</v>
      </c>
      <c r="E5802" s="210"/>
    </row>
    <row r="5803" spans="1:5" ht="121.5">
      <c r="A5803" s="446">
        <v>94439</v>
      </c>
      <c r="B5803" s="447" t="s">
        <v>2511</v>
      </c>
      <c r="C5803" s="446" t="s">
        <v>42</v>
      </c>
      <c r="D5803" s="448">
        <v>37.72</v>
      </c>
      <c r="E5803" s="210"/>
    </row>
    <row r="5804" spans="1:5" ht="81">
      <c r="A5804" s="446">
        <v>94779</v>
      </c>
      <c r="B5804" s="447" t="s">
        <v>2646</v>
      </c>
      <c r="C5804" s="446" t="s">
        <v>42</v>
      </c>
      <c r="D5804" s="448">
        <v>32.71</v>
      </c>
      <c r="E5804" s="210"/>
    </row>
    <row r="5805" spans="1:5" ht="108">
      <c r="A5805" s="446">
        <v>94782</v>
      </c>
      <c r="B5805" s="447" t="s">
        <v>2647</v>
      </c>
      <c r="C5805" s="446" t="s">
        <v>42</v>
      </c>
      <c r="D5805" s="448">
        <v>37.33</v>
      </c>
      <c r="E5805" s="210"/>
    </row>
    <row r="5806" spans="1:5" ht="27">
      <c r="A5806" s="446">
        <v>102803</v>
      </c>
      <c r="B5806" s="447" t="s">
        <v>7793</v>
      </c>
      <c r="C5806" s="446" t="s">
        <v>42</v>
      </c>
      <c r="D5806" s="448">
        <v>1.59</v>
      </c>
      <c r="E5806" s="210"/>
    </row>
    <row r="5807" spans="1:5" ht="40.5">
      <c r="A5807" s="446">
        <v>101742</v>
      </c>
      <c r="B5807" s="447" t="s">
        <v>5454</v>
      </c>
      <c r="C5807" s="446" t="s">
        <v>14</v>
      </c>
      <c r="D5807" s="448">
        <v>45.88</v>
      </c>
      <c r="E5807" s="210"/>
    </row>
    <row r="5808" spans="1:5" ht="67.5">
      <c r="A5808" s="446">
        <v>87871</v>
      </c>
      <c r="B5808" s="447" t="s">
        <v>1074</v>
      </c>
      <c r="C5808" s="446" t="s">
        <v>42</v>
      </c>
      <c r="D5808" s="448">
        <v>13.53</v>
      </c>
      <c r="E5808" s="210"/>
    </row>
    <row r="5809" spans="1:5" ht="67.5">
      <c r="A5809" s="446">
        <v>87872</v>
      </c>
      <c r="B5809" s="447" t="s">
        <v>1075</v>
      </c>
      <c r="C5809" s="446" t="s">
        <v>42</v>
      </c>
      <c r="D5809" s="448">
        <v>12.97</v>
      </c>
      <c r="E5809" s="210"/>
    </row>
    <row r="5810" spans="1:5" ht="81">
      <c r="A5810" s="446">
        <v>87873</v>
      </c>
      <c r="B5810" s="447" t="s">
        <v>107</v>
      </c>
      <c r="C5810" s="446" t="s">
        <v>42</v>
      </c>
      <c r="D5810" s="448">
        <v>8.49</v>
      </c>
      <c r="E5810" s="210"/>
    </row>
    <row r="5811" spans="1:5" ht="81">
      <c r="A5811" s="446">
        <v>87874</v>
      </c>
      <c r="B5811" s="447" t="s">
        <v>108</v>
      </c>
      <c r="C5811" s="446" t="s">
        <v>42</v>
      </c>
      <c r="D5811" s="448">
        <v>8.3800000000000008</v>
      </c>
      <c r="E5811" s="210"/>
    </row>
    <row r="5812" spans="1:5" ht="67.5">
      <c r="A5812" s="446">
        <v>87876</v>
      </c>
      <c r="B5812" s="447" t="s">
        <v>1076</v>
      </c>
      <c r="C5812" s="446" t="s">
        <v>42</v>
      </c>
      <c r="D5812" s="448">
        <v>8.7799999999999994</v>
      </c>
      <c r="E5812" s="210"/>
    </row>
    <row r="5813" spans="1:5" ht="67.5">
      <c r="A5813" s="446">
        <v>87877</v>
      </c>
      <c r="B5813" s="447" t="s">
        <v>109</v>
      </c>
      <c r="C5813" s="446" t="s">
        <v>42</v>
      </c>
      <c r="D5813" s="448">
        <v>8.5</v>
      </c>
      <c r="E5813" s="210"/>
    </row>
    <row r="5814" spans="1:5" ht="54">
      <c r="A5814" s="446">
        <v>87878</v>
      </c>
      <c r="B5814" s="447" t="s">
        <v>1077</v>
      </c>
      <c r="C5814" s="446" t="s">
        <v>42</v>
      </c>
      <c r="D5814" s="448">
        <v>3.4</v>
      </c>
      <c r="E5814" s="210"/>
    </row>
    <row r="5815" spans="1:5" ht="67.5">
      <c r="A5815" s="446">
        <v>87879</v>
      </c>
      <c r="B5815" s="447" t="s">
        <v>1078</v>
      </c>
      <c r="C5815" s="446" t="s">
        <v>42</v>
      </c>
      <c r="D5815" s="448">
        <v>3.01</v>
      </c>
      <c r="E5815" s="210"/>
    </row>
    <row r="5816" spans="1:5" ht="54">
      <c r="A5816" s="446">
        <v>87881</v>
      </c>
      <c r="B5816" s="447" t="s">
        <v>1079</v>
      </c>
      <c r="C5816" s="446" t="s">
        <v>42</v>
      </c>
      <c r="D5816" s="448">
        <v>8.42</v>
      </c>
      <c r="E5816" s="210"/>
    </row>
    <row r="5817" spans="1:5" ht="54">
      <c r="A5817" s="446">
        <v>87882</v>
      </c>
      <c r="B5817" s="447" t="s">
        <v>1080</v>
      </c>
      <c r="C5817" s="446" t="s">
        <v>42</v>
      </c>
      <c r="D5817" s="448">
        <v>8.31</v>
      </c>
      <c r="E5817" s="210"/>
    </row>
    <row r="5818" spans="1:5" ht="54">
      <c r="A5818" s="446">
        <v>87884</v>
      </c>
      <c r="B5818" s="447" t="s">
        <v>1081</v>
      </c>
      <c r="C5818" s="446" t="s">
        <v>42</v>
      </c>
      <c r="D5818" s="448">
        <v>8.7100000000000009</v>
      </c>
      <c r="E5818" s="210"/>
    </row>
    <row r="5819" spans="1:5" ht="54">
      <c r="A5819" s="446">
        <v>87885</v>
      </c>
      <c r="B5819" s="447" t="s">
        <v>1082</v>
      </c>
      <c r="C5819" s="446" t="s">
        <v>42</v>
      </c>
      <c r="D5819" s="448">
        <v>8.43</v>
      </c>
      <c r="E5819" s="210"/>
    </row>
    <row r="5820" spans="1:5" ht="54">
      <c r="A5820" s="446">
        <v>87886</v>
      </c>
      <c r="B5820" s="447" t="s">
        <v>1083</v>
      </c>
      <c r="C5820" s="446" t="s">
        <v>42</v>
      </c>
      <c r="D5820" s="448">
        <v>18.16</v>
      </c>
      <c r="E5820" s="210"/>
    </row>
    <row r="5821" spans="1:5" ht="54">
      <c r="A5821" s="446">
        <v>87887</v>
      </c>
      <c r="B5821" s="447" t="s">
        <v>1084</v>
      </c>
      <c r="C5821" s="446" t="s">
        <v>42</v>
      </c>
      <c r="D5821" s="448">
        <v>17.600000000000001</v>
      </c>
      <c r="E5821" s="210"/>
    </row>
    <row r="5822" spans="1:5" ht="81">
      <c r="A5822" s="446">
        <v>87888</v>
      </c>
      <c r="B5822" s="447" t="s">
        <v>110</v>
      </c>
      <c r="C5822" s="446" t="s">
        <v>42</v>
      </c>
      <c r="D5822" s="448">
        <v>9.48</v>
      </c>
      <c r="E5822" s="210"/>
    </row>
    <row r="5823" spans="1:5" ht="81">
      <c r="A5823" s="446">
        <v>87889</v>
      </c>
      <c r="B5823" s="447" t="s">
        <v>1085</v>
      </c>
      <c r="C5823" s="446" t="s">
        <v>42</v>
      </c>
      <c r="D5823" s="448">
        <v>9.3699999999999992</v>
      </c>
      <c r="E5823" s="210"/>
    </row>
    <row r="5824" spans="1:5" ht="81">
      <c r="A5824" s="446">
        <v>87891</v>
      </c>
      <c r="B5824" s="447" t="s">
        <v>1086</v>
      </c>
      <c r="C5824" s="446" t="s">
        <v>42</v>
      </c>
      <c r="D5824" s="448">
        <v>9.77</v>
      </c>
      <c r="E5824" s="210"/>
    </row>
    <row r="5825" spans="1:5" ht="81">
      <c r="A5825" s="446">
        <v>87892</v>
      </c>
      <c r="B5825" s="447" t="s">
        <v>1087</v>
      </c>
      <c r="C5825" s="446" t="s">
        <v>42</v>
      </c>
      <c r="D5825" s="448">
        <v>9.49</v>
      </c>
      <c r="E5825" s="210"/>
    </row>
    <row r="5826" spans="1:5" ht="67.5">
      <c r="A5826" s="446">
        <v>87893</v>
      </c>
      <c r="B5826" s="447" t="s">
        <v>111</v>
      </c>
      <c r="C5826" s="446" t="s">
        <v>42</v>
      </c>
      <c r="D5826" s="448">
        <v>5.13</v>
      </c>
      <c r="E5826" s="210"/>
    </row>
    <row r="5827" spans="1:5" ht="67.5">
      <c r="A5827" s="446">
        <v>87894</v>
      </c>
      <c r="B5827" s="447" t="s">
        <v>112</v>
      </c>
      <c r="C5827" s="446" t="s">
        <v>42</v>
      </c>
      <c r="D5827" s="448">
        <v>4.74</v>
      </c>
      <c r="E5827" s="210"/>
    </row>
    <row r="5828" spans="1:5" ht="67.5">
      <c r="A5828" s="446">
        <v>87896</v>
      </c>
      <c r="B5828" s="447" t="s">
        <v>113</v>
      </c>
      <c r="C5828" s="446" t="s">
        <v>42</v>
      </c>
      <c r="D5828" s="448">
        <v>4.88</v>
      </c>
      <c r="E5828" s="210"/>
    </row>
    <row r="5829" spans="1:5" ht="67.5">
      <c r="A5829" s="446">
        <v>87897</v>
      </c>
      <c r="B5829" s="447" t="s">
        <v>114</v>
      </c>
      <c r="C5829" s="446" t="s">
        <v>42</v>
      </c>
      <c r="D5829" s="448">
        <v>4.49</v>
      </c>
      <c r="E5829" s="210"/>
    </row>
    <row r="5830" spans="1:5" ht="81">
      <c r="A5830" s="446">
        <v>87899</v>
      </c>
      <c r="B5830" s="447" t="s">
        <v>115</v>
      </c>
      <c r="C5830" s="446" t="s">
        <v>42</v>
      </c>
      <c r="D5830" s="448">
        <v>10.35</v>
      </c>
      <c r="E5830" s="210"/>
    </row>
    <row r="5831" spans="1:5" ht="81">
      <c r="A5831" s="446">
        <v>87900</v>
      </c>
      <c r="B5831" s="447" t="s">
        <v>1088</v>
      </c>
      <c r="C5831" s="446" t="s">
        <v>42</v>
      </c>
      <c r="D5831" s="448">
        <v>10.24</v>
      </c>
      <c r="E5831" s="210"/>
    </row>
    <row r="5832" spans="1:5" ht="81">
      <c r="A5832" s="446">
        <v>87902</v>
      </c>
      <c r="B5832" s="447" t="s">
        <v>1089</v>
      </c>
      <c r="C5832" s="446" t="s">
        <v>42</v>
      </c>
      <c r="D5832" s="448">
        <v>10.64</v>
      </c>
      <c r="E5832" s="210"/>
    </row>
    <row r="5833" spans="1:5" ht="81">
      <c r="A5833" s="446">
        <v>87903</v>
      </c>
      <c r="B5833" s="447" t="s">
        <v>1090</v>
      </c>
      <c r="C5833" s="446" t="s">
        <v>42</v>
      </c>
      <c r="D5833" s="448">
        <v>10.36</v>
      </c>
      <c r="E5833" s="210"/>
    </row>
    <row r="5834" spans="1:5" ht="67.5">
      <c r="A5834" s="446">
        <v>87904</v>
      </c>
      <c r="B5834" s="447" t="s">
        <v>116</v>
      </c>
      <c r="C5834" s="446" t="s">
        <v>42</v>
      </c>
      <c r="D5834" s="448">
        <v>6.58</v>
      </c>
      <c r="E5834" s="210"/>
    </row>
    <row r="5835" spans="1:5" ht="67.5">
      <c r="A5835" s="446">
        <v>87905</v>
      </c>
      <c r="B5835" s="447" t="s">
        <v>117</v>
      </c>
      <c r="C5835" s="446" t="s">
        <v>42</v>
      </c>
      <c r="D5835" s="448">
        <v>6.19</v>
      </c>
      <c r="E5835" s="210"/>
    </row>
    <row r="5836" spans="1:5" ht="67.5">
      <c r="A5836" s="446">
        <v>87907</v>
      </c>
      <c r="B5836" s="447" t="s">
        <v>118</v>
      </c>
      <c r="C5836" s="446" t="s">
        <v>42</v>
      </c>
      <c r="D5836" s="448">
        <v>6.23</v>
      </c>
      <c r="E5836" s="210"/>
    </row>
    <row r="5837" spans="1:5" ht="67.5">
      <c r="A5837" s="446">
        <v>87908</v>
      </c>
      <c r="B5837" s="447" t="s">
        <v>119</v>
      </c>
      <c r="C5837" s="446" t="s">
        <v>42</v>
      </c>
      <c r="D5837" s="448">
        <v>5.84</v>
      </c>
      <c r="E5837" s="210"/>
    </row>
    <row r="5838" spans="1:5" ht="67.5">
      <c r="A5838" s="446">
        <v>87910</v>
      </c>
      <c r="B5838" s="447" t="s">
        <v>1091</v>
      </c>
      <c r="C5838" s="446" t="s">
        <v>42</v>
      </c>
      <c r="D5838" s="448">
        <v>18.04</v>
      </c>
      <c r="E5838" s="210"/>
    </row>
    <row r="5839" spans="1:5" ht="67.5">
      <c r="A5839" s="446">
        <v>87911</v>
      </c>
      <c r="B5839" s="447" t="s">
        <v>1092</v>
      </c>
      <c r="C5839" s="446" t="s">
        <v>42</v>
      </c>
      <c r="D5839" s="448">
        <v>17.48</v>
      </c>
      <c r="E5839" s="210"/>
    </row>
    <row r="5840" spans="1:5" ht="54">
      <c r="A5840" s="446">
        <v>87411</v>
      </c>
      <c r="B5840" s="447" t="s">
        <v>873</v>
      </c>
      <c r="C5840" s="446" t="s">
        <v>42</v>
      </c>
      <c r="D5840" s="448">
        <v>11.32</v>
      </c>
      <c r="E5840" s="210"/>
    </row>
    <row r="5841" spans="1:5" ht="54">
      <c r="A5841" s="446">
        <v>87412</v>
      </c>
      <c r="B5841" s="447" t="s">
        <v>874</v>
      </c>
      <c r="C5841" s="446" t="s">
        <v>42</v>
      </c>
      <c r="D5841" s="448">
        <v>16.059999999999999</v>
      </c>
      <c r="E5841" s="210"/>
    </row>
    <row r="5842" spans="1:5" ht="54">
      <c r="A5842" s="446">
        <v>87413</v>
      </c>
      <c r="B5842" s="447" t="s">
        <v>875</v>
      </c>
      <c r="C5842" s="446" t="s">
        <v>42</v>
      </c>
      <c r="D5842" s="448">
        <v>18.77</v>
      </c>
      <c r="E5842" s="210"/>
    </row>
    <row r="5843" spans="1:5" ht="54">
      <c r="A5843" s="446">
        <v>87414</v>
      </c>
      <c r="B5843" s="447" t="s">
        <v>876</v>
      </c>
      <c r="C5843" s="446" t="s">
        <v>42</v>
      </c>
      <c r="D5843" s="448">
        <v>16.87</v>
      </c>
      <c r="E5843" s="210"/>
    </row>
    <row r="5844" spans="1:5" ht="54">
      <c r="A5844" s="446">
        <v>87415</v>
      </c>
      <c r="B5844" s="447" t="s">
        <v>877</v>
      </c>
      <c r="C5844" s="446" t="s">
        <v>42</v>
      </c>
      <c r="D5844" s="448">
        <v>21.47</v>
      </c>
      <c r="E5844" s="210"/>
    </row>
    <row r="5845" spans="1:5" ht="54">
      <c r="A5845" s="446">
        <v>87416</v>
      </c>
      <c r="B5845" s="447" t="s">
        <v>878</v>
      </c>
      <c r="C5845" s="446" t="s">
        <v>42</v>
      </c>
      <c r="D5845" s="448">
        <v>24.35</v>
      </c>
      <c r="E5845" s="210"/>
    </row>
    <row r="5846" spans="1:5" ht="54">
      <c r="A5846" s="446">
        <v>87417</v>
      </c>
      <c r="B5846" s="447" t="s">
        <v>879</v>
      </c>
      <c r="C5846" s="446" t="s">
        <v>42</v>
      </c>
      <c r="D5846" s="448">
        <v>11.99</v>
      </c>
      <c r="E5846" s="210"/>
    </row>
    <row r="5847" spans="1:5" ht="54">
      <c r="A5847" s="446">
        <v>87418</v>
      </c>
      <c r="B5847" s="447" t="s">
        <v>880</v>
      </c>
      <c r="C5847" s="446" t="s">
        <v>42</v>
      </c>
      <c r="D5847" s="448">
        <v>12.34</v>
      </c>
      <c r="E5847" s="210"/>
    </row>
    <row r="5848" spans="1:5" ht="54">
      <c r="A5848" s="446">
        <v>87419</v>
      </c>
      <c r="B5848" s="447" t="s">
        <v>881</v>
      </c>
      <c r="C5848" s="446" t="s">
        <v>42</v>
      </c>
      <c r="D5848" s="448">
        <v>13.36</v>
      </c>
      <c r="E5848" s="210"/>
    </row>
    <row r="5849" spans="1:5" ht="54">
      <c r="A5849" s="446">
        <v>87420</v>
      </c>
      <c r="B5849" s="447" t="s">
        <v>882</v>
      </c>
      <c r="C5849" s="446" t="s">
        <v>42</v>
      </c>
      <c r="D5849" s="448">
        <v>18.059999999999999</v>
      </c>
      <c r="E5849" s="210"/>
    </row>
    <row r="5850" spans="1:5" ht="54">
      <c r="A5850" s="446">
        <v>87421</v>
      </c>
      <c r="B5850" s="447" t="s">
        <v>883</v>
      </c>
      <c r="C5850" s="446" t="s">
        <v>42</v>
      </c>
      <c r="D5850" s="448">
        <v>18.420000000000002</v>
      </c>
      <c r="E5850" s="210"/>
    </row>
    <row r="5851" spans="1:5" ht="54">
      <c r="A5851" s="446">
        <v>87422</v>
      </c>
      <c r="B5851" s="447" t="s">
        <v>884</v>
      </c>
      <c r="C5851" s="446" t="s">
        <v>42</v>
      </c>
      <c r="D5851" s="448">
        <v>19.440000000000001</v>
      </c>
      <c r="E5851" s="210"/>
    </row>
    <row r="5852" spans="1:5" ht="54">
      <c r="A5852" s="446">
        <v>87423</v>
      </c>
      <c r="B5852" s="447" t="s">
        <v>885</v>
      </c>
      <c r="C5852" s="446" t="s">
        <v>42</v>
      </c>
      <c r="D5852" s="448">
        <v>23.83</v>
      </c>
      <c r="E5852" s="210"/>
    </row>
    <row r="5853" spans="1:5" ht="54">
      <c r="A5853" s="446">
        <v>87424</v>
      </c>
      <c r="B5853" s="447" t="s">
        <v>886</v>
      </c>
      <c r="C5853" s="446" t="s">
        <v>42</v>
      </c>
      <c r="D5853" s="448">
        <v>24.35</v>
      </c>
      <c r="E5853" s="210"/>
    </row>
    <row r="5854" spans="1:5" ht="54">
      <c r="A5854" s="446">
        <v>87425</v>
      </c>
      <c r="B5854" s="447" t="s">
        <v>887</v>
      </c>
      <c r="C5854" s="446" t="s">
        <v>42</v>
      </c>
      <c r="D5854" s="448">
        <v>25.2</v>
      </c>
      <c r="E5854" s="210"/>
    </row>
    <row r="5855" spans="1:5" ht="54">
      <c r="A5855" s="446">
        <v>87426</v>
      </c>
      <c r="B5855" s="447" t="s">
        <v>888</v>
      </c>
      <c r="C5855" s="446" t="s">
        <v>42</v>
      </c>
      <c r="D5855" s="448">
        <v>28.06</v>
      </c>
      <c r="E5855" s="210"/>
    </row>
    <row r="5856" spans="1:5" ht="54">
      <c r="A5856" s="446">
        <v>87427</v>
      </c>
      <c r="B5856" s="447" t="s">
        <v>889</v>
      </c>
      <c r="C5856" s="446" t="s">
        <v>42</v>
      </c>
      <c r="D5856" s="448">
        <v>28.58</v>
      </c>
      <c r="E5856" s="210"/>
    </row>
    <row r="5857" spans="1:5" ht="54">
      <c r="A5857" s="446">
        <v>87428</v>
      </c>
      <c r="B5857" s="447" t="s">
        <v>890</v>
      </c>
      <c r="C5857" s="446" t="s">
        <v>42</v>
      </c>
      <c r="D5857" s="448">
        <v>29.43</v>
      </c>
      <c r="E5857" s="210"/>
    </row>
    <row r="5858" spans="1:5" ht="67.5">
      <c r="A5858" s="446">
        <v>87429</v>
      </c>
      <c r="B5858" s="447" t="s">
        <v>891</v>
      </c>
      <c r="C5858" s="446" t="s">
        <v>42</v>
      </c>
      <c r="D5858" s="448">
        <v>16.489999999999998</v>
      </c>
      <c r="E5858" s="210"/>
    </row>
    <row r="5859" spans="1:5" ht="67.5">
      <c r="A5859" s="446">
        <v>87430</v>
      </c>
      <c r="B5859" s="447" t="s">
        <v>892</v>
      </c>
      <c r="C5859" s="446" t="s">
        <v>42</v>
      </c>
      <c r="D5859" s="448">
        <v>16.84</v>
      </c>
      <c r="E5859" s="210"/>
    </row>
    <row r="5860" spans="1:5" ht="67.5">
      <c r="A5860" s="446">
        <v>87431</v>
      </c>
      <c r="B5860" s="447" t="s">
        <v>893</v>
      </c>
      <c r="C5860" s="446" t="s">
        <v>42</v>
      </c>
      <c r="D5860" s="448">
        <v>17.010000000000002</v>
      </c>
      <c r="E5860" s="210"/>
    </row>
    <row r="5861" spans="1:5" ht="67.5">
      <c r="A5861" s="446">
        <v>87432</v>
      </c>
      <c r="B5861" s="447" t="s">
        <v>894</v>
      </c>
      <c r="C5861" s="446" t="s">
        <v>42</v>
      </c>
      <c r="D5861" s="448">
        <v>24.85</v>
      </c>
      <c r="E5861" s="210"/>
    </row>
    <row r="5862" spans="1:5" ht="67.5">
      <c r="A5862" s="446">
        <v>87433</v>
      </c>
      <c r="B5862" s="447" t="s">
        <v>895</v>
      </c>
      <c r="C5862" s="446" t="s">
        <v>42</v>
      </c>
      <c r="D5862" s="448">
        <v>25.55</v>
      </c>
      <c r="E5862" s="210"/>
    </row>
    <row r="5863" spans="1:5" ht="67.5">
      <c r="A5863" s="446">
        <v>87434</v>
      </c>
      <c r="B5863" s="447" t="s">
        <v>896</v>
      </c>
      <c r="C5863" s="446" t="s">
        <v>42</v>
      </c>
      <c r="D5863" s="448">
        <v>26.04</v>
      </c>
      <c r="E5863" s="210"/>
    </row>
    <row r="5864" spans="1:5" ht="67.5">
      <c r="A5864" s="446">
        <v>87435</v>
      </c>
      <c r="B5864" s="447" t="s">
        <v>897</v>
      </c>
      <c r="C5864" s="446" t="s">
        <v>42</v>
      </c>
      <c r="D5864" s="448">
        <v>27.06</v>
      </c>
      <c r="E5864" s="210"/>
    </row>
    <row r="5865" spans="1:5" ht="67.5">
      <c r="A5865" s="446">
        <v>87436</v>
      </c>
      <c r="B5865" s="447" t="s">
        <v>898</v>
      </c>
      <c r="C5865" s="446" t="s">
        <v>42</v>
      </c>
      <c r="D5865" s="448">
        <v>28.26</v>
      </c>
      <c r="E5865" s="210"/>
    </row>
    <row r="5866" spans="1:5" ht="67.5">
      <c r="A5866" s="446">
        <v>87437</v>
      </c>
      <c r="B5866" s="447" t="s">
        <v>100</v>
      </c>
      <c r="C5866" s="446" t="s">
        <v>42</v>
      </c>
      <c r="D5866" s="448">
        <v>29.1</v>
      </c>
      <c r="E5866" s="210"/>
    </row>
    <row r="5867" spans="1:5" ht="67.5">
      <c r="A5867" s="446">
        <v>87438</v>
      </c>
      <c r="B5867" s="447" t="s">
        <v>899</v>
      </c>
      <c r="C5867" s="446" t="s">
        <v>42</v>
      </c>
      <c r="D5867" s="448">
        <v>33.840000000000003</v>
      </c>
      <c r="E5867" s="210"/>
    </row>
    <row r="5868" spans="1:5" ht="67.5">
      <c r="A5868" s="446">
        <v>87439</v>
      </c>
      <c r="B5868" s="447" t="s">
        <v>900</v>
      </c>
      <c r="C5868" s="446" t="s">
        <v>42</v>
      </c>
      <c r="D5868" s="448">
        <v>35.35</v>
      </c>
      <c r="E5868" s="210"/>
    </row>
    <row r="5869" spans="1:5" ht="67.5">
      <c r="A5869" s="446">
        <v>87440</v>
      </c>
      <c r="B5869" s="447" t="s">
        <v>101</v>
      </c>
      <c r="C5869" s="446" t="s">
        <v>42</v>
      </c>
      <c r="D5869" s="448">
        <v>36.06</v>
      </c>
      <c r="E5869" s="210"/>
    </row>
    <row r="5870" spans="1:5" ht="94.5">
      <c r="A5870" s="446">
        <v>87527</v>
      </c>
      <c r="B5870" s="447" t="s">
        <v>981</v>
      </c>
      <c r="C5870" s="446" t="s">
        <v>42</v>
      </c>
      <c r="D5870" s="448">
        <v>28.65</v>
      </c>
      <c r="E5870" s="210"/>
    </row>
    <row r="5871" spans="1:5" ht="81">
      <c r="A5871" s="446">
        <v>87528</v>
      </c>
      <c r="B5871" s="447" t="s">
        <v>982</v>
      </c>
      <c r="C5871" s="446" t="s">
        <v>42</v>
      </c>
      <c r="D5871" s="448">
        <v>32.01</v>
      </c>
      <c r="E5871" s="210"/>
    </row>
    <row r="5872" spans="1:5" ht="81">
      <c r="A5872" s="446">
        <v>87529</v>
      </c>
      <c r="B5872" s="447" t="s">
        <v>983</v>
      </c>
      <c r="C5872" s="446" t="s">
        <v>42</v>
      </c>
      <c r="D5872" s="448">
        <v>26.15</v>
      </c>
      <c r="E5872" s="210"/>
    </row>
    <row r="5873" spans="1:5" ht="81">
      <c r="A5873" s="446">
        <v>87530</v>
      </c>
      <c r="B5873" s="447" t="s">
        <v>984</v>
      </c>
      <c r="C5873" s="446" t="s">
        <v>42</v>
      </c>
      <c r="D5873" s="448">
        <v>29.51</v>
      </c>
      <c r="E5873" s="210"/>
    </row>
    <row r="5874" spans="1:5" ht="94.5">
      <c r="A5874" s="446">
        <v>87531</v>
      </c>
      <c r="B5874" s="447" t="s">
        <v>985</v>
      </c>
      <c r="C5874" s="446" t="s">
        <v>42</v>
      </c>
      <c r="D5874" s="448">
        <v>25.26</v>
      </c>
      <c r="E5874" s="210"/>
    </row>
    <row r="5875" spans="1:5" ht="94.5">
      <c r="A5875" s="446">
        <v>87532</v>
      </c>
      <c r="B5875" s="447" t="s">
        <v>986</v>
      </c>
      <c r="C5875" s="446" t="s">
        <v>42</v>
      </c>
      <c r="D5875" s="448">
        <v>28.62</v>
      </c>
      <c r="E5875" s="210"/>
    </row>
    <row r="5876" spans="1:5" ht="94.5">
      <c r="A5876" s="446">
        <v>87535</v>
      </c>
      <c r="B5876" s="447" t="s">
        <v>987</v>
      </c>
      <c r="C5876" s="446" t="s">
        <v>42</v>
      </c>
      <c r="D5876" s="448">
        <v>22.76</v>
      </c>
      <c r="E5876" s="210"/>
    </row>
    <row r="5877" spans="1:5" ht="94.5">
      <c r="A5877" s="446">
        <v>87536</v>
      </c>
      <c r="B5877" s="447" t="s">
        <v>988</v>
      </c>
      <c r="C5877" s="446" t="s">
        <v>42</v>
      </c>
      <c r="D5877" s="448">
        <v>26.12</v>
      </c>
      <c r="E5877" s="210"/>
    </row>
    <row r="5878" spans="1:5" ht="108">
      <c r="A5878" s="446">
        <v>87537</v>
      </c>
      <c r="B5878" s="447" t="s">
        <v>989</v>
      </c>
      <c r="C5878" s="446" t="s">
        <v>42</v>
      </c>
      <c r="D5878" s="448">
        <v>73</v>
      </c>
      <c r="E5878" s="210"/>
    </row>
    <row r="5879" spans="1:5" ht="94.5">
      <c r="A5879" s="446">
        <v>87538</v>
      </c>
      <c r="B5879" s="447" t="s">
        <v>990</v>
      </c>
      <c r="C5879" s="446" t="s">
        <v>42</v>
      </c>
      <c r="D5879" s="448">
        <v>70.86</v>
      </c>
      <c r="E5879" s="210"/>
    </row>
    <row r="5880" spans="1:5" ht="108">
      <c r="A5880" s="446">
        <v>87539</v>
      </c>
      <c r="B5880" s="447" t="s">
        <v>991</v>
      </c>
      <c r="C5880" s="446" t="s">
        <v>42</v>
      </c>
      <c r="D5880" s="448">
        <v>70.099999999999994</v>
      </c>
      <c r="E5880" s="210"/>
    </row>
    <row r="5881" spans="1:5" ht="108">
      <c r="A5881" s="446">
        <v>87541</v>
      </c>
      <c r="B5881" s="447" t="s">
        <v>992</v>
      </c>
      <c r="C5881" s="446" t="s">
        <v>42</v>
      </c>
      <c r="D5881" s="448">
        <v>67.959999999999994</v>
      </c>
      <c r="E5881" s="210"/>
    </row>
    <row r="5882" spans="1:5" ht="94.5">
      <c r="A5882" s="446">
        <v>87543</v>
      </c>
      <c r="B5882" s="447" t="s">
        <v>3433</v>
      </c>
      <c r="C5882" s="446" t="s">
        <v>42</v>
      </c>
      <c r="D5882" s="448">
        <v>22.67</v>
      </c>
      <c r="E5882" s="210"/>
    </row>
    <row r="5883" spans="1:5" ht="94.5">
      <c r="A5883" s="446">
        <v>87545</v>
      </c>
      <c r="B5883" s="447" t="s">
        <v>993</v>
      </c>
      <c r="C5883" s="446" t="s">
        <v>42</v>
      </c>
      <c r="D5883" s="448">
        <v>19.22</v>
      </c>
      <c r="E5883" s="210"/>
    </row>
    <row r="5884" spans="1:5" ht="81">
      <c r="A5884" s="446">
        <v>87546</v>
      </c>
      <c r="B5884" s="447" t="s">
        <v>994</v>
      </c>
      <c r="C5884" s="446" t="s">
        <v>42</v>
      </c>
      <c r="D5884" s="448">
        <v>21.12</v>
      </c>
      <c r="E5884" s="210"/>
    </row>
    <row r="5885" spans="1:5" ht="81">
      <c r="A5885" s="446">
        <v>87547</v>
      </c>
      <c r="B5885" s="447" t="s">
        <v>995</v>
      </c>
      <c r="C5885" s="446" t="s">
        <v>42</v>
      </c>
      <c r="D5885" s="448">
        <v>16.73</v>
      </c>
      <c r="E5885" s="210"/>
    </row>
    <row r="5886" spans="1:5" ht="81">
      <c r="A5886" s="446">
        <v>87548</v>
      </c>
      <c r="B5886" s="447" t="s">
        <v>996</v>
      </c>
      <c r="C5886" s="446" t="s">
        <v>42</v>
      </c>
      <c r="D5886" s="448">
        <v>18.63</v>
      </c>
      <c r="E5886" s="210"/>
    </row>
    <row r="5887" spans="1:5" ht="94.5">
      <c r="A5887" s="446">
        <v>87549</v>
      </c>
      <c r="B5887" s="447" t="s">
        <v>997</v>
      </c>
      <c r="C5887" s="446" t="s">
        <v>42</v>
      </c>
      <c r="D5887" s="448">
        <v>15.82</v>
      </c>
      <c r="E5887" s="210"/>
    </row>
    <row r="5888" spans="1:5" ht="94.5">
      <c r="A5888" s="446">
        <v>87550</v>
      </c>
      <c r="B5888" s="447" t="s">
        <v>998</v>
      </c>
      <c r="C5888" s="446" t="s">
        <v>42</v>
      </c>
      <c r="D5888" s="448">
        <v>17.72</v>
      </c>
      <c r="E5888" s="210"/>
    </row>
    <row r="5889" spans="1:5" ht="94.5">
      <c r="A5889" s="446">
        <v>87553</v>
      </c>
      <c r="B5889" s="447" t="s">
        <v>999</v>
      </c>
      <c r="C5889" s="446" t="s">
        <v>42</v>
      </c>
      <c r="D5889" s="448">
        <v>13.32</v>
      </c>
      <c r="E5889" s="210"/>
    </row>
    <row r="5890" spans="1:5" ht="81">
      <c r="A5890" s="446">
        <v>87554</v>
      </c>
      <c r="B5890" s="447" t="s">
        <v>1000</v>
      </c>
      <c r="C5890" s="446" t="s">
        <v>42</v>
      </c>
      <c r="D5890" s="448">
        <v>15.22</v>
      </c>
      <c r="E5890" s="210"/>
    </row>
    <row r="5891" spans="1:5" ht="108">
      <c r="A5891" s="446">
        <v>87555</v>
      </c>
      <c r="B5891" s="447" t="s">
        <v>1001</v>
      </c>
      <c r="C5891" s="446" t="s">
        <v>42</v>
      </c>
      <c r="D5891" s="448">
        <v>43.56</v>
      </c>
      <c r="E5891" s="210"/>
    </row>
    <row r="5892" spans="1:5" ht="94.5">
      <c r="A5892" s="446">
        <v>87556</v>
      </c>
      <c r="B5892" s="447" t="s">
        <v>1002</v>
      </c>
      <c r="C5892" s="446" t="s">
        <v>42</v>
      </c>
      <c r="D5892" s="448">
        <v>41.43</v>
      </c>
      <c r="E5892" s="210"/>
    </row>
    <row r="5893" spans="1:5" ht="108">
      <c r="A5893" s="446">
        <v>87557</v>
      </c>
      <c r="B5893" s="447" t="s">
        <v>1003</v>
      </c>
      <c r="C5893" s="446" t="s">
        <v>42</v>
      </c>
      <c r="D5893" s="448">
        <v>40.659999999999997</v>
      </c>
      <c r="E5893" s="210"/>
    </row>
    <row r="5894" spans="1:5" ht="108">
      <c r="A5894" s="446">
        <v>87559</v>
      </c>
      <c r="B5894" s="447" t="s">
        <v>1004</v>
      </c>
      <c r="C5894" s="446" t="s">
        <v>42</v>
      </c>
      <c r="D5894" s="448">
        <v>38.520000000000003</v>
      </c>
      <c r="E5894" s="210"/>
    </row>
    <row r="5895" spans="1:5" ht="108">
      <c r="A5895" s="446">
        <v>87561</v>
      </c>
      <c r="B5895" s="447" t="s">
        <v>1005</v>
      </c>
      <c r="C5895" s="446" t="s">
        <v>42</v>
      </c>
      <c r="D5895" s="448">
        <v>40.85</v>
      </c>
      <c r="E5895" s="210"/>
    </row>
    <row r="5896" spans="1:5" ht="67.5">
      <c r="A5896" s="446">
        <v>87775</v>
      </c>
      <c r="B5896" s="447" t="s">
        <v>1006</v>
      </c>
      <c r="C5896" s="446" t="s">
        <v>42</v>
      </c>
      <c r="D5896" s="448">
        <v>42.12</v>
      </c>
      <c r="E5896" s="210"/>
    </row>
    <row r="5897" spans="1:5" ht="67.5">
      <c r="A5897" s="446">
        <v>87777</v>
      </c>
      <c r="B5897" s="447" t="s">
        <v>1007</v>
      </c>
      <c r="C5897" s="446" t="s">
        <v>42</v>
      </c>
      <c r="D5897" s="448">
        <v>44.93</v>
      </c>
      <c r="E5897" s="210"/>
    </row>
    <row r="5898" spans="1:5" ht="81">
      <c r="A5898" s="446">
        <v>87778</v>
      </c>
      <c r="B5898" s="447" t="s">
        <v>1008</v>
      </c>
      <c r="C5898" s="446" t="s">
        <v>42</v>
      </c>
      <c r="D5898" s="448">
        <v>77.31</v>
      </c>
      <c r="E5898" s="210"/>
    </row>
    <row r="5899" spans="1:5" ht="67.5">
      <c r="A5899" s="446">
        <v>87779</v>
      </c>
      <c r="B5899" s="447" t="s">
        <v>1009</v>
      </c>
      <c r="C5899" s="446" t="s">
        <v>42</v>
      </c>
      <c r="D5899" s="448">
        <v>49.05</v>
      </c>
      <c r="E5899" s="210"/>
    </row>
    <row r="5900" spans="1:5" ht="67.5">
      <c r="A5900" s="446">
        <v>87781</v>
      </c>
      <c r="B5900" s="447" t="s">
        <v>1010</v>
      </c>
      <c r="C5900" s="446" t="s">
        <v>42</v>
      </c>
      <c r="D5900" s="448">
        <v>52.82</v>
      </c>
      <c r="E5900" s="210"/>
    </row>
    <row r="5901" spans="1:5" ht="81">
      <c r="A5901" s="446">
        <v>87783</v>
      </c>
      <c r="B5901" s="447" t="s">
        <v>1011</v>
      </c>
      <c r="C5901" s="446" t="s">
        <v>42</v>
      </c>
      <c r="D5901" s="448">
        <v>97.63</v>
      </c>
      <c r="E5901" s="210"/>
    </row>
    <row r="5902" spans="1:5" ht="67.5">
      <c r="A5902" s="446">
        <v>87784</v>
      </c>
      <c r="B5902" s="447" t="s">
        <v>1012</v>
      </c>
      <c r="C5902" s="446" t="s">
        <v>42</v>
      </c>
      <c r="D5902" s="448">
        <v>55.98</v>
      </c>
      <c r="E5902" s="210"/>
    </row>
    <row r="5903" spans="1:5" ht="67.5">
      <c r="A5903" s="446">
        <v>87786</v>
      </c>
      <c r="B5903" s="447" t="s">
        <v>1013</v>
      </c>
      <c r="C5903" s="446" t="s">
        <v>42</v>
      </c>
      <c r="D5903" s="448">
        <v>60.71</v>
      </c>
      <c r="E5903" s="210"/>
    </row>
    <row r="5904" spans="1:5" ht="81">
      <c r="A5904" s="446">
        <v>87787</v>
      </c>
      <c r="B5904" s="447" t="s">
        <v>1014</v>
      </c>
      <c r="C5904" s="446" t="s">
        <v>42</v>
      </c>
      <c r="D5904" s="448">
        <v>117.97</v>
      </c>
      <c r="E5904" s="210"/>
    </row>
    <row r="5905" spans="1:5" ht="81">
      <c r="A5905" s="446">
        <v>87788</v>
      </c>
      <c r="B5905" s="447" t="s">
        <v>1015</v>
      </c>
      <c r="C5905" s="446" t="s">
        <v>42</v>
      </c>
      <c r="D5905" s="448">
        <v>70.540000000000006</v>
      </c>
      <c r="E5905" s="210"/>
    </row>
    <row r="5906" spans="1:5" ht="67.5">
      <c r="A5906" s="446">
        <v>87790</v>
      </c>
      <c r="B5906" s="447" t="s">
        <v>1016</v>
      </c>
      <c r="C5906" s="446" t="s">
        <v>42</v>
      </c>
      <c r="D5906" s="448">
        <v>75.73</v>
      </c>
      <c r="E5906" s="210"/>
    </row>
    <row r="5907" spans="1:5" ht="94.5">
      <c r="A5907" s="446">
        <v>87791</v>
      </c>
      <c r="B5907" s="447" t="s">
        <v>1017</v>
      </c>
      <c r="C5907" s="446" t="s">
        <v>42</v>
      </c>
      <c r="D5907" s="448">
        <v>136.29</v>
      </c>
      <c r="E5907" s="210"/>
    </row>
    <row r="5908" spans="1:5" ht="81">
      <c r="A5908" s="446">
        <v>87792</v>
      </c>
      <c r="B5908" s="447" t="s">
        <v>1018</v>
      </c>
      <c r="C5908" s="446" t="s">
        <v>42</v>
      </c>
      <c r="D5908" s="448">
        <v>29.83</v>
      </c>
      <c r="E5908" s="210"/>
    </row>
    <row r="5909" spans="1:5" ht="67.5">
      <c r="A5909" s="446">
        <v>87794</v>
      </c>
      <c r="B5909" s="447" t="s">
        <v>1019</v>
      </c>
      <c r="C5909" s="446" t="s">
        <v>42</v>
      </c>
      <c r="D5909" s="448">
        <v>32.450000000000003</v>
      </c>
      <c r="E5909" s="210"/>
    </row>
    <row r="5910" spans="1:5" ht="81">
      <c r="A5910" s="446">
        <v>87795</v>
      </c>
      <c r="B5910" s="447" t="s">
        <v>1020</v>
      </c>
      <c r="C5910" s="446" t="s">
        <v>42</v>
      </c>
      <c r="D5910" s="448">
        <v>62.39</v>
      </c>
      <c r="E5910" s="210"/>
    </row>
    <row r="5911" spans="1:5" ht="81">
      <c r="A5911" s="446">
        <v>87797</v>
      </c>
      <c r="B5911" s="447" t="s">
        <v>1021</v>
      </c>
      <c r="C5911" s="446" t="s">
        <v>42</v>
      </c>
      <c r="D5911" s="448">
        <v>36.479999999999997</v>
      </c>
      <c r="E5911" s="210"/>
    </row>
    <row r="5912" spans="1:5" ht="67.5">
      <c r="A5912" s="446">
        <v>87799</v>
      </c>
      <c r="B5912" s="447" t="s">
        <v>1022</v>
      </c>
      <c r="C5912" s="446" t="s">
        <v>42</v>
      </c>
      <c r="D5912" s="448">
        <v>39.99</v>
      </c>
      <c r="E5912" s="210"/>
    </row>
    <row r="5913" spans="1:5" ht="81">
      <c r="A5913" s="446">
        <v>87800</v>
      </c>
      <c r="B5913" s="447" t="s">
        <v>1023</v>
      </c>
      <c r="C5913" s="446" t="s">
        <v>42</v>
      </c>
      <c r="D5913" s="448">
        <v>81.55</v>
      </c>
      <c r="E5913" s="210"/>
    </row>
    <row r="5914" spans="1:5" ht="81">
      <c r="A5914" s="446">
        <v>87801</v>
      </c>
      <c r="B5914" s="447" t="s">
        <v>1024</v>
      </c>
      <c r="C5914" s="446" t="s">
        <v>42</v>
      </c>
      <c r="D5914" s="448">
        <v>43.14</v>
      </c>
      <c r="E5914" s="210"/>
    </row>
    <row r="5915" spans="1:5" ht="67.5">
      <c r="A5915" s="446">
        <v>87803</v>
      </c>
      <c r="B5915" s="447" t="s">
        <v>1025</v>
      </c>
      <c r="C5915" s="446" t="s">
        <v>42</v>
      </c>
      <c r="D5915" s="448">
        <v>47.54</v>
      </c>
      <c r="E5915" s="210"/>
    </row>
    <row r="5916" spans="1:5" ht="81">
      <c r="A5916" s="446">
        <v>87804</v>
      </c>
      <c r="B5916" s="447" t="s">
        <v>1026</v>
      </c>
      <c r="C5916" s="446" t="s">
        <v>42</v>
      </c>
      <c r="D5916" s="448">
        <v>100.72</v>
      </c>
      <c r="E5916" s="210"/>
    </row>
    <row r="5917" spans="1:5" ht="81">
      <c r="A5917" s="446">
        <v>87805</v>
      </c>
      <c r="B5917" s="447" t="s">
        <v>1027</v>
      </c>
      <c r="C5917" s="446" t="s">
        <v>42</v>
      </c>
      <c r="D5917" s="448">
        <v>48.99</v>
      </c>
      <c r="E5917" s="210"/>
    </row>
    <row r="5918" spans="1:5" ht="67.5">
      <c r="A5918" s="446">
        <v>87807</v>
      </c>
      <c r="B5918" s="447" t="s">
        <v>1028</v>
      </c>
      <c r="C5918" s="446" t="s">
        <v>42</v>
      </c>
      <c r="D5918" s="448">
        <v>53.85</v>
      </c>
      <c r="E5918" s="210"/>
    </row>
    <row r="5919" spans="1:5" ht="94.5">
      <c r="A5919" s="446">
        <v>87808</v>
      </c>
      <c r="B5919" s="447" t="s">
        <v>1029</v>
      </c>
      <c r="C5919" s="446" t="s">
        <v>42</v>
      </c>
      <c r="D5919" s="448">
        <v>109.98</v>
      </c>
      <c r="E5919" s="210"/>
    </row>
    <row r="5920" spans="1:5" ht="94.5">
      <c r="A5920" s="446">
        <v>87809</v>
      </c>
      <c r="B5920" s="447" t="s">
        <v>1030</v>
      </c>
      <c r="C5920" s="446" t="s">
        <v>42</v>
      </c>
      <c r="D5920" s="448">
        <v>61.16</v>
      </c>
      <c r="E5920" s="210"/>
    </row>
    <row r="5921" spans="1:5" ht="81">
      <c r="A5921" s="446">
        <v>87811</v>
      </c>
      <c r="B5921" s="447" t="s">
        <v>1031</v>
      </c>
      <c r="C5921" s="446" t="s">
        <v>42</v>
      </c>
      <c r="D5921" s="448">
        <v>63.78</v>
      </c>
      <c r="E5921" s="210"/>
    </row>
    <row r="5922" spans="1:5" ht="81">
      <c r="A5922" s="446">
        <v>87812</v>
      </c>
      <c r="B5922" s="447" t="s">
        <v>1032</v>
      </c>
      <c r="C5922" s="446" t="s">
        <v>42</v>
      </c>
      <c r="D5922" s="448">
        <v>93.39</v>
      </c>
      <c r="E5922" s="210"/>
    </row>
    <row r="5923" spans="1:5" ht="94.5">
      <c r="A5923" s="446">
        <v>87813</v>
      </c>
      <c r="B5923" s="447" t="s">
        <v>1033</v>
      </c>
      <c r="C5923" s="446" t="s">
        <v>42</v>
      </c>
      <c r="D5923" s="448">
        <v>67.81</v>
      </c>
      <c r="E5923" s="210"/>
    </row>
    <row r="5924" spans="1:5" ht="81">
      <c r="A5924" s="446">
        <v>87815</v>
      </c>
      <c r="B5924" s="447" t="s">
        <v>1034</v>
      </c>
      <c r="C5924" s="446" t="s">
        <v>42</v>
      </c>
      <c r="D5924" s="448">
        <v>71.319999999999993</v>
      </c>
      <c r="E5924" s="210"/>
    </row>
    <row r="5925" spans="1:5" ht="81">
      <c r="A5925" s="446">
        <v>87816</v>
      </c>
      <c r="B5925" s="447" t="s">
        <v>1035</v>
      </c>
      <c r="C5925" s="446" t="s">
        <v>42</v>
      </c>
      <c r="D5925" s="448">
        <v>112.55</v>
      </c>
      <c r="E5925" s="210"/>
    </row>
    <row r="5926" spans="1:5" ht="94.5">
      <c r="A5926" s="446">
        <v>87817</v>
      </c>
      <c r="B5926" s="447" t="s">
        <v>1036</v>
      </c>
      <c r="C5926" s="446" t="s">
        <v>42</v>
      </c>
      <c r="D5926" s="448">
        <v>74.14</v>
      </c>
      <c r="E5926" s="210"/>
    </row>
    <row r="5927" spans="1:5" ht="81">
      <c r="A5927" s="446">
        <v>87819</v>
      </c>
      <c r="B5927" s="447" t="s">
        <v>1037</v>
      </c>
      <c r="C5927" s="446" t="s">
        <v>42</v>
      </c>
      <c r="D5927" s="448">
        <v>78.540000000000006</v>
      </c>
      <c r="E5927" s="210"/>
    </row>
    <row r="5928" spans="1:5" ht="81">
      <c r="A5928" s="446">
        <v>87820</v>
      </c>
      <c r="B5928" s="447" t="s">
        <v>1038</v>
      </c>
      <c r="C5928" s="446" t="s">
        <v>42</v>
      </c>
      <c r="D5928" s="448">
        <v>131.74</v>
      </c>
      <c r="E5928" s="210"/>
    </row>
    <row r="5929" spans="1:5" ht="94.5">
      <c r="A5929" s="446">
        <v>87821</v>
      </c>
      <c r="B5929" s="447" t="s">
        <v>1039</v>
      </c>
      <c r="C5929" s="446" t="s">
        <v>42</v>
      </c>
      <c r="D5929" s="448">
        <v>105.67</v>
      </c>
      <c r="E5929" s="210"/>
    </row>
    <row r="5930" spans="1:5" ht="81">
      <c r="A5930" s="446">
        <v>87823</v>
      </c>
      <c r="B5930" s="447" t="s">
        <v>1040</v>
      </c>
      <c r="C5930" s="446" t="s">
        <v>42</v>
      </c>
      <c r="D5930" s="448">
        <v>110.53</v>
      </c>
      <c r="E5930" s="210"/>
    </row>
    <row r="5931" spans="1:5" ht="94.5">
      <c r="A5931" s="446">
        <v>87824</v>
      </c>
      <c r="B5931" s="447" t="s">
        <v>1041</v>
      </c>
      <c r="C5931" s="446" t="s">
        <v>42</v>
      </c>
      <c r="D5931" s="448">
        <v>166.34</v>
      </c>
      <c r="E5931" s="210"/>
    </row>
    <row r="5932" spans="1:5" ht="94.5">
      <c r="A5932" s="446">
        <v>87825</v>
      </c>
      <c r="B5932" s="447" t="s">
        <v>1042</v>
      </c>
      <c r="C5932" s="446" t="s">
        <v>42</v>
      </c>
      <c r="D5932" s="448">
        <v>49.3</v>
      </c>
      <c r="E5932" s="210"/>
    </row>
    <row r="5933" spans="1:5" ht="81">
      <c r="A5933" s="446">
        <v>87827</v>
      </c>
      <c r="B5933" s="447" t="s">
        <v>1043</v>
      </c>
      <c r="C5933" s="446" t="s">
        <v>42</v>
      </c>
      <c r="D5933" s="448">
        <v>52.51</v>
      </c>
      <c r="E5933" s="210"/>
    </row>
    <row r="5934" spans="1:5" ht="81">
      <c r="A5934" s="446">
        <v>87828</v>
      </c>
      <c r="B5934" s="447" t="s">
        <v>1044</v>
      </c>
      <c r="C5934" s="446" t="s">
        <v>42</v>
      </c>
      <c r="D5934" s="448">
        <v>90.11</v>
      </c>
      <c r="E5934" s="210"/>
    </row>
    <row r="5935" spans="1:5" ht="94.5">
      <c r="A5935" s="446">
        <v>87829</v>
      </c>
      <c r="B5935" s="447" t="s">
        <v>1045</v>
      </c>
      <c r="C5935" s="446" t="s">
        <v>42</v>
      </c>
      <c r="D5935" s="448">
        <v>56.85</v>
      </c>
      <c r="E5935" s="210"/>
    </row>
    <row r="5936" spans="1:5" ht="81">
      <c r="A5936" s="446">
        <v>87831</v>
      </c>
      <c r="B5936" s="447" t="s">
        <v>1046</v>
      </c>
      <c r="C5936" s="446" t="s">
        <v>42</v>
      </c>
      <c r="D5936" s="448">
        <v>61.15</v>
      </c>
      <c r="E5936" s="210"/>
    </row>
    <row r="5937" spans="1:5" ht="94.5">
      <c r="A5937" s="446">
        <v>87832</v>
      </c>
      <c r="B5937" s="447" t="s">
        <v>1047</v>
      </c>
      <c r="C5937" s="446" t="s">
        <v>42</v>
      </c>
      <c r="D5937" s="448">
        <v>112.94</v>
      </c>
      <c r="E5937" s="210"/>
    </row>
    <row r="5938" spans="1:5" ht="67.5">
      <c r="A5938" s="446">
        <v>87834</v>
      </c>
      <c r="B5938" s="447" t="s">
        <v>1048</v>
      </c>
      <c r="C5938" s="446" t="s">
        <v>42</v>
      </c>
      <c r="D5938" s="448">
        <v>182.6</v>
      </c>
      <c r="E5938" s="210"/>
    </row>
    <row r="5939" spans="1:5" ht="67.5">
      <c r="A5939" s="446">
        <v>87835</v>
      </c>
      <c r="B5939" s="447" t="s">
        <v>1049</v>
      </c>
      <c r="C5939" s="446" t="s">
        <v>42</v>
      </c>
      <c r="D5939" s="448">
        <v>125.23</v>
      </c>
      <c r="E5939" s="210"/>
    </row>
    <row r="5940" spans="1:5" ht="67.5">
      <c r="A5940" s="446">
        <v>87836</v>
      </c>
      <c r="B5940" s="447" t="s">
        <v>1050</v>
      </c>
      <c r="C5940" s="446" t="s">
        <v>42</v>
      </c>
      <c r="D5940" s="448">
        <v>176.87</v>
      </c>
      <c r="E5940" s="210"/>
    </row>
    <row r="5941" spans="1:5" ht="67.5">
      <c r="A5941" s="446">
        <v>87837</v>
      </c>
      <c r="B5941" s="447" t="s">
        <v>1051</v>
      </c>
      <c r="C5941" s="446" t="s">
        <v>42</v>
      </c>
      <c r="D5941" s="448">
        <v>120.27</v>
      </c>
      <c r="E5941" s="210"/>
    </row>
    <row r="5942" spans="1:5" ht="67.5">
      <c r="A5942" s="446">
        <v>87838</v>
      </c>
      <c r="B5942" s="447" t="s">
        <v>1052</v>
      </c>
      <c r="C5942" s="446" t="s">
        <v>42</v>
      </c>
      <c r="D5942" s="448">
        <v>188.75</v>
      </c>
      <c r="E5942" s="210"/>
    </row>
    <row r="5943" spans="1:5" ht="67.5">
      <c r="A5943" s="446">
        <v>87839</v>
      </c>
      <c r="B5943" s="447" t="s">
        <v>1053</v>
      </c>
      <c r="C5943" s="446" t="s">
        <v>42</v>
      </c>
      <c r="D5943" s="448">
        <v>129.31</v>
      </c>
      <c r="E5943" s="210"/>
    </row>
    <row r="5944" spans="1:5" ht="81">
      <c r="A5944" s="446">
        <v>87840</v>
      </c>
      <c r="B5944" s="447" t="s">
        <v>1054</v>
      </c>
      <c r="C5944" s="446" t="s">
        <v>42</v>
      </c>
      <c r="D5944" s="448">
        <v>181.74</v>
      </c>
      <c r="E5944" s="210"/>
    </row>
    <row r="5945" spans="1:5" ht="67.5">
      <c r="A5945" s="446">
        <v>87841</v>
      </c>
      <c r="B5945" s="447" t="s">
        <v>1055</v>
      </c>
      <c r="C5945" s="446" t="s">
        <v>42</v>
      </c>
      <c r="D5945" s="448">
        <v>123.04</v>
      </c>
      <c r="E5945" s="210"/>
    </row>
    <row r="5946" spans="1:5" ht="67.5">
      <c r="A5946" s="446">
        <v>87842</v>
      </c>
      <c r="B5946" s="447" t="s">
        <v>1056</v>
      </c>
      <c r="C5946" s="446" t="s">
        <v>42</v>
      </c>
      <c r="D5946" s="448">
        <v>185.77</v>
      </c>
      <c r="E5946" s="210"/>
    </row>
    <row r="5947" spans="1:5" ht="67.5">
      <c r="A5947" s="446">
        <v>87843</v>
      </c>
      <c r="B5947" s="447" t="s">
        <v>1057</v>
      </c>
      <c r="C5947" s="446" t="s">
        <v>42</v>
      </c>
      <c r="D5947" s="448">
        <v>135.16</v>
      </c>
      <c r="E5947" s="210"/>
    </row>
    <row r="5948" spans="1:5" ht="67.5">
      <c r="A5948" s="446">
        <v>87844</v>
      </c>
      <c r="B5948" s="447" t="s">
        <v>1058</v>
      </c>
      <c r="C5948" s="446" t="s">
        <v>42</v>
      </c>
      <c r="D5948" s="448">
        <v>175.35</v>
      </c>
      <c r="E5948" s="210"/>
    </row>
    <row r="5949" spans="1:5" ht="67.5">
      <c r="A5949" s="446">
        <v>87845</v>
      </c>
      <c r="B5949" s="447" t="s">
        <v>1059</v>
      </c>
      <c r="C5949" s="446" t="s">
        <v>42</v>
      </c>
      <c r="D5949" s="448">
        <v>125.51</v>
      </c>
      <c r="E5949" s="210"/>
    </row>
    <row r="5950" spans="1:5" ht="67.5">
      <c r="A5950" s="446">
        <v>87846</v>
      </c>
      <c r="B5950" s="447" t="s">
        <v>1060</v>
      </c>
      <c r="C5950" s="446" t="s">
        <v>42</v>
      </c>
      <c r="D5950" s="448">
        <v>196.95</v>
      </c>
      <c r="E5950" s="210"/>
    </row>
    <row r="5951" spans="1:5" ht="67.5">
      <c r="A5951" s="446">
        <v>87847</v>
      </c>
      <c r="B5951" s="447" t="s">
        <v>1061</v>
      </c>
      <c r="C5951" s="446" t="s">
        <v>42</v>
      </c>
      <c r="D5951" s="448">
        <v>139.59</v>
      </c>
      <c r="E5951" s="210"/>
    </row>
    <row r="5952" spans="1:5" ht="67.5">
      <c r="A5952" s="446">
        <v>87848</v>
      </c>
      <c r="B5952" s="447" t="s">
        <v>1062</v>
      </c>
      <c r="C5952" s="446" t="s">
        <v>42</v>
      </c>
      <c r="D5952" s="448">
        <v>190.36</v>
      </c>
      <c r="E5952" s="210"/>
    </row>
    <row r="5953" spans="1:5" ht="67.5">
      <c r="A5953" s="446">
        <v>87849</v>
      </c>
      <c r="B5953" s="447" t="s">
        <v>1063</v>
      </c>
      <c r="C5953" s="446" t="s">
        <v>42</v>
      </c>
      <c r="D5953" s="448">
        <v>133.75</v>
      </c>
      <c r="E5953" s="210"/>
    </row>
    <row r="5954" spans="1:5" ht="67.5">
      <c r="A5954" s="446">
        <v>87850</v>
      </c>
      <c r="B5954" s="447" t="s">
        <v>1064</v>
      </c>
      <c r="C5954" s="446" t="s">
        <v>42</v>
      </c>
      <c r="D5954" s="448">
        <v>203.11</v>
      </c>
      <c r="E5954" s="210"/>
    </row>
    <row r="5955" spans="1:5" ht="67.5">
      <c r="A5955" s="446">
        <v>87851</v>
      </c>
      <c r="B5955" s="447" t="s">
        <v>1065</v>
      </c>
      <c r="C5955" s="446" t="s">
        <v>42</v>
      </c>
      <c r="D5955" s="448">
        <v>143.68</v>
      </c>
      <c r="E5955" s="210"/>
    </row>
    <row r="5956" spans="1:5" ht="81">
      <c r="A5956" s="446">
        <v>87852</v>
      </c>
      <c r="B5956" s="447" t="s">
        <v>1066</v>
      </c>
      <c r="C5956" s="446" t="s">
        <v>42</v>
      </c>
      <c r="D5956" s="448">
        <v>195.21</v>
      </c>
      <c r="E5956" s="210"/>
    </row>
    <row r="5957" spans="1:5" ht="67.5">
      <c r="A5957" s="446">
        <v>87853</v>
      </c>
      <c r="B5957" s="447" t="s">
        <v>1067</v>
      </c>
      <c r="C5957" s="446" t="s">
        <v>42</v>
      </c>
      <c r="D5957" s="448">
        <v>136.5</v>
      </c>
      <c r="E5957" s="210"/>
    </row>
    <row r="5958" spans="1:5" ht="67.5">
      <c r="A5958" s="446">
        <v>87854</v>
      </c>
      <c r="B5958" s="447" t="s">
        <v>1068</v>
      </c>
      <c r="C5958" s="446" t="s">
        <v>42</v>
      </c>
      <c r="D5958" s="448">
        <v>200.13</v>
      </c>
      <c r="E5958" s="210"/>
    </row>
    <row r="5959" spans="1:5" ht="67.5">
      <c r="A5959" s="446">
        <v>87855</v>
      </c>
      <c r="B5959" s="447" t="s">
        <v>1069</v>
      </c>
      <c r="C5959" s="446" t="s">
        <v>42</v>
      </c>
      <c r="D5959" s="448">
        <v>149.53</v>
      </c>
      <c r="E5959" s="210"/>
    </row>
    <row r="5960" spans="1:5" ht="67.5">
      <c r="A5960" s="446">
        <v>87856</v>
      </c>
      <c r="B5960" s="447" t="s">
        <v>1070</v>
      </c>
      <c r="C5960" s="446" t="s">
        <v>42</v>
      </c>
      <c r="D5960" s="448">
        <v>188.84</v>
      </c>
      <c r="E5960" s="210"/>
    </row>
    <row r="5961" spans="1:5" ht="67.5">
      <c r="A5961" s="446">
        <v>87857</v>
      </c>
      <c r="B5961" s="447" t="s">
        <v>1071</v>
      </c>
      <c r="C5961" s="446" t="s">
        <v>42</v>
      </c>
      <c r="D5961" s="448">
        <v>138.97</v>
      </c>
      <c r="E5961" s="210"/>
    </row>
    <row r="5962" spans="1:5" ht="54">
      <c r="A5962" s="446">
        <v>87858</v>
      </c>
      <c r="B5962" s="447" t="s">
        <v>1072</v>
      </c>
      <c r="C5962" s="446" t="s">
        <v>42</v>
      </c>
      <c r="D5962" s="448">
        <v>131.83000000000001</v>
      </c>
      <c r="E5962" s="210"/>
    </row>
    <row r="5963" spans="1:5" ht="54">
      <c r="A5963" s="446">
        <v>87859</v>
      </c>
      <c r="B5963" s="447" t="s">
        <v>1073</v>
      </c>
      <c r="C5963" s="446" t="s">
        <v>42</v>
      </c>
      <c r="D5963" s="448">
        <v>150.32</v>
      </c>
      <c r="E5963" s="210"/>
    </row>
    <row r="5964" spans="1:5" ht="94.5">
      <c r="A5964" s="446">
        <v>89048</v>
      </c>
      <c r="B5964" s="447" t="s">
        <v>1198</v>
      </c>
      <c r="C5964" s="446" t="s">
        <v>42</v>
      </c>
      <c r="D5964" s="448">
        <v>26.68</v>
      </c>
      <c r="E5964" s="210"/>
    </row>
    <row r="5965" spans="1:5" ht="81">
      <c r="A5965" s="446">
        <v>89049</v>
      </c>
      <c r="B5965" s="447" t="s">
        <v>1199</v>
      </c>
      <c r="C5965" s="446" t="s">
        <v>42</v>
      </c>
      <c r="D5965" s="448">
        <v>15.65</v>
      </c>
      <c r="E5965" s="210"/>
    </row>
    <row r="5966" spans="1:5" ht="94.5">
      <c r="A5966" s="446">
        <v>89173</v>
      </c>
      <c r="B5966" s="447" t="s">
        <v>1206</v>
      </c>
      <c r="C5966" s="446" t="s">
        <v>42</v>
      </c>
      <c r="D5966" s="448">
        <v>26.29</v>
      </c>
      <c r="E5966" s="210"/>
    </row>
    <row r="5967" spans="1:5" ht="81">
      <c r="A5967" s="446">
        <v>90406</v>
      </c>
      <c r="B5967" s="447" t="s">
        <v>1720</v>
      </c>
      <c r="C5967" s="446" t="s">
        <v>42</v>
      </c>
      <c r="D5967" s="448">
        <v>33.46</v>
      </c>
      <c r="E5967" s="210"/>
    </row>
    <row r="5968" spans="1:5" ht="67.5">
      <c r="A5968" s="446">
        <v>90407</v>
      </c>
      <c r="B5968" s="447" t="s">
        <v>1721</v>
      </c>
      <c r="C5968" s="446" t="s">
        <v>42</v>
      </c>
      <c r="D5968" s="448">
        <v>36.82</v>
      </c>
      <c r="E5968" s="210"/>
    </row>
    <row r="5969" spans="1:5" ht="81">
      <c r="A5969" s="446">
        <v>90408</v>
      </c>
      <c r="B5969" s="447" t="s">
        <v>1722</v>
      </c>
      <c r="C5969" s="446" t="s">
        <v>42</v>
      </c>
      <c r="D5969" s="448">
        <v>23.82</v>
      </c>
      <c r="E5969" s="210"/>
    </row>
    <row r="5970" spans="1:5" ht="67.5">
      <c r="A5970" s="446">
        <v>90409</v>
      </c>
      <c r="B5970" s="447" t="s">
        <v>1723</v>
      </c>
      <c r="C5970" s="446" t="s">
        <v>42</v>
      </c>
      <c r="D5970" s="448">
        <v>25.72</v>
      </c>
      <c r="E5970" s="210"/>
    </row>
    <row r="5971" spans="1:5" ht="67.5">
      <c r="A5971" s="446">
        <v>87242</v>
      </c>
      <c r="B5971" s="447" t="s">
        <v>96</v>
      </c>
      <c r="C5971" s="446" t="s">
        <v>42</v>
      </c>
      <c r="D5971" s="448">
        <v>185.84</v>
      </c>
      <c r="E5971" s="210"/>
    </row>
    <row r="5972" spans="1:5" ht="67.5">
      <c r="A5972" s="446">
        <v>87243</v>
      </c>
      <c r="B5972" s="447" t="s">
        <v>97</v>
      </c>
      <c r="C5972" s="446" t="s">
        <v>42</v>
      </c>
      <c r="D5972" s="448">
        <v>171.29</v>
      </c>
      <c r="E5972" s="210"/>
    </row>
    <row r="5973" spans="1:5" ht="67.5">
      <c r="A5973" s="446">
        <v>87244</v>
      </c>
      <c r="B5973" s="447" t="s">
        <v>844</v>
      </c>
      <c r="C5973" s="446" t="s">
        <v>42</v>
      </c>
      <c r="D5973" s="448">
        <v>179.98</v>
      </c>
      <c r="E5973" s="210"/>
    </row>
    <row r="5974" spans="1:5" ht="67.5">
      <c r="A5974" s="446">
        <v>87245</v>
      </c>
      <c r="B5974" s="447" t="s">
        <v>845</v>
      </c>
      <c r="C5974" s="446" t="s">
        <v>42</v>
      </c>
      <c r="D5974" s="448">
        <v>215.34</v>
      </c>
      <c r="E5974" s="210"/>
    </row>
    <row r="5975" spans="1:5" ht="67.5">
      <c r="A5975" s="446">
        <v>87264</v>
      </c>
      <c r="B5975" s="447" t="s">
        <v>861</v>
      </c>
      <c r="C5975" s="446" t="s">
        <v>42</v>
      </c>
      <c r="D5975" s="448">
        <v>54.38</v>
      </c>
      <c r="E5975" s="210"/>
    </row>
    <row r="5976" spans="1:5" ht="67.5">
      <c r="A5976" s="446">
        <v>87265</v>
      </c>
      <c r="B5976" s="447" t="s">
        <v>862</v>
      </c>
      <c r="C5976" s="446" t="s">
        <v>42</v>
      </c>
      <c r="D5976" s="448">
        <v>48.78</v>
      </c>
      <c r="E5976" s="210"/>
    </row>
    <row r="5977" spans="1:5" ht="67.5">
      <c r="A5977" s="446">
        <v>87266</v>
      </c>
      <c r="B5977" s="447" t="s">
        <v>863</v>
      </c>
      <c r="C5977" s="446" t="s">
        <v>42</v>
      </c>
      <c r="D5977" s="448">
        <v>56.35</v>
      </c>
      <c r="E5977" s="210"/>
    </row>
    <row r="5978" spans="1:5" ht="67.5">
      <c r="A5978" s="446">
        <v>87267</v>
      </c>
      <c r="B5978" s="447" t="s">
        <v>864</v>
      </c>
      <c r="C5978" s="446" t="s">
        <v>42</v>
      </c>
      <c r="D5978" s="448">
        <v>53.89</v>
      </c>
      <c r="E5978" s="210"/>
    </row>
    <row r="5979" spans="1:5" ht="67.5">
      <c r="A5979" s="446">
        <v>87268</v>
      </c>
      <c r="B5979" s="447" t="s">
        <v>865</v>
      </c>
      <c r="C5979" s="446" t="s">
        <v>42</v>
      </c>
      <c r="D5979" s="448">
        <v>57.67</v>
      </c>
      <c r="E5979" s="210"/>
    </row>
    <row r="5980" spans="1:5" ht="67.5">
      <c r="A5980" s="446">
        <v>87269</v>
      </c>
      <c r="B5980" s="447" t="s">
        <v>866</v>
      </c>
      <c r="C5980" s="446" t="s">
        <v>42</v>
      </c>
      <c r="D5980" s="448">
        <v>51.58</v>
      </c>
      <c r="E5980" s="210"/>
    </row>
    <row r="5981" spans="1:5" ht="67.5">
      <c r="A5981" s="446">
        <v>87270</v>
      </c>
      <c r="B5981" s="447" t="s">
        <v>867</v>
      </c>
      <c r="C5981" s="446" t="s">
        <v>42</v>
      </c>
      <c r="D5981" s="448">
        <v>59.32</v>
      </c>
      <c r="E5981" s="210"/>
    </row>
    <row r="5982" spans="1:5" ht="67.5">
      <c r="A5982" s="446">
        <v>87271</v>
      </c>
      <c r="B5982" s="447" t="s">
        <v>868</v>
      </c>
      <c r="C5982" s="446" t="s">
        <v>42</v>
      </c>
      <c r="D5982" s="448">
        <v>56.4</v>
      </c>
      <c r="E5982" s="210"/>
    </row>
    <row r="5983" spans="1:5" ht="67.5">
      <c r="A5983" s="446">
        <v>87272</v>
      </c>
      <c r="B5983" s="447" t="s">
        <v>869</v>
      </c>
      <c r="C5983" s="446" t="s">
        <v>42</v>
      </c>
      <c r="D5983" s="448">
        <v>61.13</v>
      </c>
      <c r="E5983" s="210"/>
    </row>
    <row r="5984" spans="1:5" ht="67.5">
      <c r="A5984" s="446">
        <v>87273</v>
      </c>
      <c r="B5984" s="447" t="s">
        <v>870</v>
      </c>
      <c r="C5984" s="446" t="s">
        <v>42</v>
      </c>
      <c r="D5984" s="448">
        <v>53.7</v>
      </c>
      <c r="E5984" s="210"/>
    </row>
    <row r="5985" spans="1:5" ht="67.5">
      <c r="A5985" s="446">
        <v>87274</v>
      </c>
      <c r="B5985" s="447" t="s">
        <v>871</v>
      </c>
      <c r="C5985" s="446" t="s">
        <v>42</v>
      </c>
      <c r="D5985" s="448">
        <v>62.3</v>
      </c>
      <c r="E5985" s="210"/>
    </row>
    <row r="5986" spans="1:5" ht="67.5">
      <c r="A5986" s="446">
        <v>87275</v>
      </c>
      <c r="B5986" s="447" t="s">
        <v>872</v>
      </c>
      <c r="C5986" s="446" t="s">
        <v>42</v>
      </c>
      <c r="D5986" s="448">
        <v>59.79</v>
      </c>
      <c r="E5986" s="210"/>
    </row>
    <row r="5987" spans="1:5" ht="67.5">
      <c r="A5987" s="446">
        <v>88786</v>
      </c>
      <c r="B5987" s="447" t="s">
        <v>1140</v>
      </c>
      <c r="C5987" s="446" t="s">
        <v>42</v>
      </c>
      <c r="D5987" s="448">
        <v>265.2</v>
      </c>
      <c r="E5987" s="210"/>
    </row>
    <row r="5988" spans="1:5" ht="67.5">
      <c r="A5988" s="446">
        <v>88787</v>
      </c>
      <c r="B5988" s="447" t="s">
        <v>1141</v>
      </c>
      <c r="C5988" s="446" t="s">
        <v>42</v>
      </c>
      <c r="D5988" s="448">
        <v>246.21</v>
      </c>
      <c r="E5988" s="210"/>
    </row>
    <row r="5989" spans="1:5" ht="81">
      <c r="A5989" s="446">
        <v>88788</v>
      </c>
      <c r="B5989" s="447" t="s">
        <v>1142</v>
      </c>
      <c r="C5989" s="446" t="s">
        <v>42</v>
      </c>
      <c r="D5989" s="448">
        <v>254.9</v>
      </c>
      <c r="E5989" s="210"/>
    </row>
    <row r="5990" spans="1:5" ht="81">
      <c r="A5990" s="446">
        <v>88789</v>
      </c>
      <c r="B5990" s="447" t="s">
        <v>1143</v>
      </c>
      <c r="C5990" s="446" t="s">
        <v>42</v>
      </c>
      <c r="D5990" s="448">
        <v>305.45999999999998</v>
      </c>
      <c r="E5990" s="210"/>
    </row>
    <row r="5991" spans="1:5" ht="94.5">
      <c r="A5991" s="446">
        <v>89045</v>
      </c>
      <c r="B5991" s="447" t="s">
        <v>6143</v>
      </c>
      <c r="C5991" s="446" t="s">
        <v>42</v>
      </c>
      <c r="D5991" s="448">
        <v>54.24</v>
      </c>
      <c r="E5991" s="210"/>
    </row>
    <row r="5992" spans="1:5" ht="94.5">
      <c r="A5992" s="446">
        <v>89170</v>
      </c>
      <c r="B5992" s="447" t="s">
        <v>6144</v>
      </c>
      <c r="C5992" s="446" t="s">
        <v>42</v>
      </c>
      <c r="D5992" s="448">
        <v>52.82</v>
      </c>
      <c r="E5992" s="210"/>
    </row>
    <row r="5993" spans="1:5" ht="81">
      <c r="A5993" s="446">
        <v>93392</v>
      </c>
      <c r="B5993" s="447" t="s">
        <v>4088</v>
      </c>
      <c r="C5993" s="446" t="s">
        <v>42</v>
      </c>
      <c r="D5993" s="448">
        <v>46.18</v>
      </c>
      <c r="E5993" s="210"/>
    </row>
    <row r="5994" spans="1:5" ht="81">
      <c r="A5994" s="446">
        <v>93393</v>
      </c>
      <c r="B5994" s="447" t="s">
        <v>4089</v>
      </c>
      <c r="C5994" s="446" t="s">
        <v>42</v>
      </c>
      <c r="D5994" s="448">
        <v>40.659999999999997</v>
      </c>
      <c r="E5994" s="210"/>
    </row>
    <row r="5995" spans="1:5" ht="81">
      <c r="A5995" s="446">
        <v>93394</v>
      </c>
      <c r="B5995" s="447" t="s">
        <v>4090</v>
      </c>
      <c r="C5995" s="446" t="s">
        <v>42</v>
      </c>
      <c r="D5995" s="448">
        <v>48.15</v>
      </c>
      <c r="E5995" s="210"/>
    </row>
    <row r="5996" spans="1:5" ht="81">
      <c r="A5996" s="446">
        <v>93395</v>
      </c>
      <c r="B5996" s="447" t="s">
        <v>4091</v>
      </c>
      <c r="C5996" s="446" t="s">
        <v>42</v>
      </c>
      <c r="D5996" s="448">
        <v>45.69</v>
      </c>
      <c r="E5996" s="210"/>
    </row>
    <row r="5997" spans="1:5" ht="81">
      <c r="A5997" s="446">
        <v>99194</v>
      </c>
      <c r="B5997" s="447" t="s">
        <v>4092</v>
      </c>
      <c r="C5997" s="446" t="s">
        <v>42</v>
      </c>
      <c r="D5997" s="448">
        <v>54</v>
      </c>
      <c r="E5997" s="210"/>
    </row>
    <row r="5998" spans="1:5" ht="81">
      <c r="A5998" s="446">
        <v>99195</v>
      </c>
      <c r="B5998" s="447" t="s">
        <v>4093</v>
      </c>
      <c r="C5998" s="446" t="s">
        <v>42</v>
      </c>
      <c r="D5998" s="448">
        <v>48.48</v>
      </c>
      <c r="E5998" s="210"/>
    </row>
    <row r="5999" spans="1:5" ht="81">
      <c r="A5999" s="446">
        <v>99196</v>
      </c>
      <c r="B5999" s="447" t="s">
        <v>4094</v>
      </c>
      <c r="C5999" s="446" t="s">
        <v>42</v>
      </c>
      <c r="D5999" s="448">
        <v>55.97</v>
      </c>
      <c r="E5999" s="210"/>
    </row>
    <row r="6000" spans="1:5" ht="81">
      <c r="A6000" s="446">
        <v>99198</v>
      </c>
      <c r="B6000" s="447" t="s">
        <v>4095</v>
      </c>
      <c r="C6000" s="446" t="s">
        <v>42</v>
      </c>
      <c r="D6000" s="448">
        <v>53.51</v>
      </c>
      <c r="E6000" s="210"/>
    </row>
    <row r="6001" spans="1:5" ht="54">
      <c r="A6001" s="446">
        <v>101965</v>
      </c>
      <c r="B6001" s="447" t="s">
        <v>6276</v>
      </c>
      <c r="C6001" s="446" t="s">
        <v>14</v>
      </c>
      <c r="D6001" s="448">
        <v>111.11</v>
      </c>
      <c r="E6001" s="210"/>
    </row>
    <row r="6002" spans="1:5" ht="40.5">
      <c r="A6002" s="446">
        <v>101966</v>
      </c>
      <c r="B6002" s="447" t="s">
        <v>6277</v>
      </c>
      <c r="C6002" s="446" t="s">
        <v>14</v>
      </c>
      <c r="D6002" s="448">
        <v>147.61000000000001</v>
      </c>
      <c r="E6002" s="210"/>
    </row>
    <row r="6003" spans="1:5" ht="27">
      <c r="A6003" s="446">
        <v>101979</v>
      </c>
      <c r="B6003" s="447" t="s">
        <v>6278</v>
      </c>
      <c r="C6003" s="446" t="s">
        <v>14</v>
      </c>
      <c r="D6003" s="448">
        <v>42.59</v>
      </c>
      <c r="E6003" s="210"/>
    </row>
    <row r="6004" spans="1:5" ht="40.5">
      <c r="A6004" s="446">
        <v>96112</v>
      </c>
      <c r="B6004" s="447" t="s">
        <v>2990</v>
      </c>
      <c r="C6004" s="446" t="s">
        <v>42</v>
      </c>
      <c r="D6004" s="448">
        <v>95.53</v>
      </c>
      <c r="E6004" s="210"/>
    </row>
    <row r="6005" spans="1:5" ht="40.5">
      <c r="A6005" s="446">
        <v>96117</v>
      </c>
      <c r="B6005" s="447" t="s">
        <v>2994</v>
      </c>
      <c r="C6005" s="446" t="s">
        <v>42</v>
      </c>
      <c r="D6005" s="448">
        <v>115.23</v>
      </c>
      <c r="E6005" s="210"/>
    </row>
    <row r="6006" spans="1:5" ht="27">
      <c r="A6006" s="446">
        <v>96122</v>
      </c>
      <c r="B6006" s="447" t="s">
        <v>2997</v>
      </c>
      <c r="C6006" s="446" t="s">
        <v>14</v>
      </c>
      <c r="D6006" s="448">
        <v>26.32</v>
      </c>
      <c r="E6006" s="210"/>
    </row>
    <row r="6007" spans="1:5" ht="27">
      <c r="A6007" s="446">
        <v>96109</v>
      </c>
      <c r="B6007" s="447" t="s">
        <v>2987</v>
      </c>
      <c r="C6007" s="446" t="s">
        <v>42</v>
      </c>
      <c r="D6007" s="448">
        <v>34.270000000000003</v>
      </c>
      <c r="E6007" s="210"/>
    </row>
    <row r="6008" spans="1:5" ht="40.5">
      <c r="A6008" s="446">
        <v>96110</v>
      </c>
      <c r="B6008" s="447" t="s">
        <v>2988</v>
      </c>
      <c r="C6008" s="446" t="s">
        <v>42</v>
      </c>
      <c r="D6008" s="448">
        <v>59.77</v>
      </c>
      <c r="E6008" s="210"/>
    </row>
    <row r="6009" spans="1:5" ht="27">
      <c r="A6009" s="446">
        <v>96113</v>
      </c>
      <c r="B6009" s="447" t="s">
        <v>2991</v>
      </c>
      <c r="C6009" s="446" t="s">
        <v>42</v>
      </c>
      <c r="D6009" s="448">
        <v>30.75</v>
      </c>
      <c r="E6009" s="210"/>
    </row>
    <row r="6010" spans="1:5" ht="40.5">
      <c r="A6010" s="446">
        <v>96114</v>
      </c>
      <c r="B6010" s="447" t="s">
        <v>2992</v>
      </c>
      <c r="C6010" s="446" t="s">
        <v>42</v>
      </c>
      <c r="D6010" s="448">
        <v>63.83</v>
      </c>
      <c r="E6010" s="210"/>
    </row>
    <row r="6011" spans="1:5" ht="27">
      <c r="A6011" s="446">
        <v>96120</v>
      </c>
      <c r="B6011" s="447" t="s">
        <v>2995</v>
      </c>
      <c r="C6011" s="446" t="s">
        <v>14</v>
      </c>
      <c r="D6011" s="448">
        <v>2.37</v>
      </c>
      <c r="E6011" s="210"/>
    </row>
    <row r="6012" spans="1:5" ht="40.5">
      <c r="A6012" s="446">
        <v>96123</v>
      </c>
      <c r="B6012" s="447" t="s">
        <v>2998</v>
      </c>
      <c r="C6012" s="446" t="s">
        <v>14</v>
      </c>
      <c r="D6012" s="448">
        <v>27.6</v>
      </c>
      <c r="E6012" s="210"/>
    </row>
    <row r="6013" spans="1:5" ht="27">
      <c r="A6013" s="446">
        <v>99054</v>
      </c>
      <c r="B6013" s="447" t="s">
        <v>4096</v>
      </c>
      <c r="C6013" s="446" t="s">
        <v>42</v>
      </c>
      <c r="D6013" s="448">
        <v>41.73</v>
      </c>
      <c r="E6013" s="210"/>
    </row>
    <row r="6014" spans="1:5" ht="40.5">
      <c r="A6014" s="446">
        <v>96111</v>
      </c>
      <c r="B6014" s="447" t="s">
        <v>2989</v>
      </c>
      <c r="C6014" s="446" t="s">
        <v>42</v>
      </c>
      <c r="D6014" s="448">
        <v>54.96</v>
      </c>
      <c r="E6014" s="210"/>
    </row>
    <row r="6015" spans="1:5" ht="40.5">
      <c r="A6015" s="446">
        <v>96116</v>
      </c>
      <c r="B6015" s="447" t="s">
        <v>2993</v>
      </c>
      <c r="C6015" s="446" t="s">
        <v>42</v>
      </c>
      <c r="D6015" s="448">
        <v>61.68</v>
      </c>
      <c r="E6015" s="210"/>
    </row>
    <row r="6016" spans="1:5" ht="27">
      <c r="A6016" s="446">
        <v>96121</v>
      </c>
      <c r="B6016" s="447" t="s">
        <v>2996</v>
      </c>
      <c r="C6016" s="446" t="s">
        <v>14</v>
      </c>
      <c r="D6016" s="448">
        <v>9.09</v>
      </c>
      <c r="E6016" s="210"/>
    </row>
    <row r="6017" spans="1:5" ht="40.5">
      <c r="A6017" s="446">
        <v>96485</v>
      </c>
      <c r="B6017" s="447" t="s">
        <v>3046</v>
      </c>
      <c r="C6017" s="446" t="s">
        <v>42</v>
      </c>
      <c r="D6017" s="448">
        <v>65.16</v>
      </c>
      <c r="E6017" s="210"/>
    </row>
    <row r="6018" spans="1:5" ht="40.5">
      <c r="A6018" s="446">
        <v>96486</v>
      </c>
      <c r="B6018" s="447" t="s">
        <v>3047</v>
      </c>
      <c r="C6018" s="446" t="s">
        <v>42</v>
      </c>
      <c r="D6018" s="448">
        <v>72.489999999999995</v>
      </c>
      <c r="E6018" s="210"/>
    </row>
    <row r="6019" spans="1:5" ht="54">
      <c r="A6019" s="446">
        <v>91514</v>
      </c>
      <c r="B6019" s="447" t="s">
        <v>1901</v>
      </c>
      <c r="C6019" s="446" t="s">
        <v>42</v>
      </c>
      <c r="D6019" s="448">
        <v>4.67</v>
      </c>
      <c r="E6019" s="210"/>
    </row>
    <row r="6020" spans="1:5" ht="54">
      <c r="A6020" s="446">
        <v>91515</v>
      </c>
      <c r="B6020" s="447" t="s">
        <v>1902</v>
      </c>
      <c r="C6020" s="446" t="s">
        <v>42</v>
      </c>
      <c r="D6020" s="448">
        <v>6.18</v>
      </c>
      <c r="E6020" s="210"/>
    </row>
    <row r="6021" spans="1:5" ht="54">
      <c r="A6021" s="446">
        <v>91516</v>
      </c>
      <c r="B6021" s="447" t="s">
        <v>1903</v>
      </c>
      <c r="C6021" s="446" t="s">
        <v>42</v>
      </c>
      <c r="D6021" s="448">
        <v>9</v>
      </c>
      <c r="E6021" s="210"/>
    </row>
    <row r="6022" spans="1:5" ht="54">
      <c r="A6022" s="446">
        <v>91517</v>
      </c>
      <c r="B6022" s="447" t="s">
        <v>1904</v>
      </c>
      <c r="C6022" s="446" t="s">
        <v>42</v>
      </c>
      <c r="D6022" s="448">
        <v>10.02</v>
      </c>
      <c r="E6022" s="210"/>
    </row>
    <row r="6023" spans="1:5" ht="54">
      <c r="A6023" s="446">
        <v>91519</v>
      </c>
      <c r="B6023" s="447" t="s">
        <v>1905</v>
      </c>
      <c r="C6023" s="446" t="s">
        <v>42</v>
      </c>
      <c r="D6023" s="448">
        <v>11.5</v>
      </c>
      <c r="E6023" s="210"/>
    </row>
    <row r="6024" spans="1:5" ht="40.5">
      <c r="A6024" s="446">
        <v>91520</v>
      </c>
      <c r="B6024" s="447" t="s">
        <v>1906</v>
      </c>
      <c r="C6024" s="446" t="s">
        <v>42</v>
      </c>
      <c r="D6024" s="448">
        <v>1.72</v>
      </c>
      <c r="E6024" s="210"/>
    </row>
    <row r="6025" spans="1:5" ht="40.5">
      <c r="A6025" s="446">
        <v>91522</v>
      </c>
      <c r="B6025" s="447" t="s">
        <v>420</v>
      </c>
      <c r="C6025" s="446" t="s">
        <v>42</v>
      </c>
      <c r="D6025" s="448">
        <v>2.06</v>
      </c>
      <c r="E6025" s="210"/>
    </row>
    <row r="6026" spans="1:5" ht="40.5">
      <c r="A6026" s="446">
        <v>91525</v>
      </c>
      <c r="B6026" s="447" t="s">
        <v>1907</v>
      </c>
      <c r="C6026" s="446" t="s">
        <v>42</v>
      </c>
      <c r="D6026" s="448">
        <v>3.94</v>
      </c>
      <c r="E6026" s="210"/>
    </row>
    <row r="6027" spans="1:5" ht="81">
      <c r="A6027" s="446">
        <v>87280</v>
      </c>
      <c r="B6027" s="447" t="s">
        <v>4310</v>
      </c>
      <c r="C6027" s="446" t="s">
        <v>31</v>
      </c>
      <c r="D6027" s="448">
        <v>319.83999999999997</v>
      </c>
      <c r="E6027" s="210"/>
    </row>
    <row r="6028" spans="1:5" ht="81">
      <c r="A6028" s="446">
        <v>87281</v>
      </c>
      <c r="B6028" s="447" t="s">
        <v>4311</v>
      </c>
      <c r="C6028" s="446" t="s">
        <v>31</v>
      </c>
      <c r="D6028" s="448">
        <v>318.91000000000003</v>
      </c>
      <c r="E6028" s="210"/>
    </row>
    <row r="6029" spans="1:5" ht="81">
      <c r="A6029" s="446">
        <v>87283</v>
      </c>
      <c r="B6029" s="447" t="s">
        <v>4312</v>
      </c>
      <c r="C6029" s="446" t="s">
        <v>31</v>
      </c>
      <c r="D6029" s="448">
        <v>336.31</v>
      </c>
      <c r="E6029" s="210"/>
    </row>
    <row r="6030" spans="1:5" ht="81">
      <c r="A6030" s="446">
        <v>87284</v>
      </c>
      <c r="B6030" s="447" t="s">
        <v>4313</v>
      </c>
      <c r="C6030" s="446" t="s">
        <v>31</v>
      </c>
      <c r="D6030" s="448">
        <v>333.7</v>
      </c>
      <c r="E6030" s="210"/>
    </row>
    <row r="6031" spans="1:5" ht="67.5">
      <c r="A6031" s="446">
        <v>87286</v>
      </c>
      <c r="B6031" s="447" t="s">
        <v>4314</v>
      </c>
      <c r="C6031" s="446" t="s">
        <v>31</v>
      </c>
      <c r="D6031" s="448">
        <v>418.86</v>
      </c>
      <c r="E6031" s="210"/>
    </row>
    <row r="6032" spans="1:5" ht="67.5">
      <c r="A6032" s="446">
        <v>87287</v>
      </c>
      <c r="B6032" s="447" t="s">
        <v>4315</v>
      </c>
      <c r="C6032" s="446" t="s">
        <v>31</v>
      </c>
      <c r="D6032" s="448">
        <v>411.89</v>
      </c>
      <c r="E6032" s="210"/>
    </row>
    <row r="6033" spans="1:5" ht="67.5">
      <c r="A6033" s="446">
        <v>87289</v>
      </c>
      <c r="B6033" s="447" t="s">
        <v>4316</v>
      </c>
      <c r="C6033" s="446" t="s">
        <v>31</v>
      </c>
      <c r="D6033" s="448">
        <v>401.44</v>
      </c>
      <c r="E6033" s="210"/>
    </row>
    <row r="6034" spans="1:5" ht="67.5">
      <c r="A6034" s="446">
        <v>87290</v>
      </c>
      <c r="B6034" s="447" t="s">
        <v>4317</v>
      </c>
      <c r="C6034" s="446" t="s">
        <v>31</v>
      </c>
      <c r="D6034" s="448">
        <v>398.7</v>
      </c>
      <c r="E6034" s="210"/>
    </row>
    <row r="6035" spans="1:5" ht="67.5">
      <c r="A6035" s="446">
        <v>87292</v>
      </c>
      <c r="B6035" s="447" t="s">
        <v>4318</v>
      </c>
      <c r="C6035" s="446" t="s">
        <v>31</v>
      </c>
      <c r="D6035" s="448">
        <v>411.36</v>
      </c>
      <c r="E6035" s="210"/>
    </row>
    <row r="6036" spans="1:5" ht="67.5">
      <c r="A6036" s="446">
        <v>87294</v>
      </c>
      <c r="B6036" s="447" t="s">
        <v>4319</v>
      </c>
      <c r="C6036" s="446" t="s">
        <v>31</v>
      </c>
      <c r="D6036" s="448">
        <v>392.81</v>
      </c>
      <c r="E6036" s="210"/>
    </row>
    <row r="6037" spans="1:5" ht="67.5">
      <c r="A6037" s="446">
        <v>87295</v>
      </c>
      <c r="B6037" s="447" t="s">
        <v>4320</v>
      </c>
      <c r="C6037" s="446" t="s">
        <v>31</v>
      </c>
      <c r="D6037" s="448">
        <v>393.49</v>
      </c>
      <c r="E6037" s="210"/>
    </row>
    <row r="6038" spans="1:5" ht="67.5">
      <c r="A6038" s="446">
        <v>87296</v>
      </c>
      <c r="B6038" s="447" t="s">
        <v>4321</v>
      </c>
      <c r="C6038" s="446" t="s">
        <v>31</v>
      </c>
      <c r="D6038" s="448">
        <v>380.09</v>
      </c>
      <c r="E6038" s="210"/>
    </row>
    <row r="6039" spans="1:5" ht="54">
      <c r="A6039" s="446">
        <v>87298</v>
      </c>
      <c r="B6039" s="447" t="s">
        <v>4322</v>
      </c>
      <c r="C6039" s="446" t="s">
        <v>31</v>
      </c>
      <c r="D6039" s="448">
        <v>520.97</v>
      </c>
      <c r="E6039" s="210"/>
    </row>
    <row r="6040" spans="1:5" ht="54">
      <c r="A6040" s="446">
        <v>87299</v>
      </c>
      <c r="B6040" s="447" t="s">
        <v>4323</v>
      </c>
      <c r="C6040" s="446" t="s">
        <v>31</v>
      </c>
      <c r="D6040" s="448">
        <v>330</v>
      </c>
      <c r="E6040" s="210"/>
    </row>
    <row r="6041" spans="1:5" ht="54">
      <c r="A6041" s="446">
        <v>87301</v>
      </c>
      <c r="B6041" s="447" t="s">
        <v>4324</v>
      </c>
      <c r="C6041" s="446" t="s">
        <v>31</v>
      </c>
      <c r="D6041" s="448">
        <v>460.63</v>
      </c>
      <c r="E6041" s="210"/>
    </row>
    <row r="6042" spans="1:5" ht="54">
      <c r="A6042" s="446">
        <v>87302</v>
      </c>
      <c r="B6042" s="447" t="s">
        <v>4325</v>
      </c>
      <c r="C6042" s="446" t="s">
        <v>31</v>
      </c>
      <c r="D6042" s="448">
        <v>458.05</v>
      </c>
      <c r="E6042" s="210"/>
    </row>
    <row r="6043" spans="1:5" ht="54">
      <c r="A6043" s="446">
        <v>87304</v>
      </c>
      <c r="B6043" s="447" t="s">
        <v>4326</v>
      </c>
      <c r="C6043" s="446" t="s">
        <v>31</v>
      </c>
      <c r="D6043" s="448">
        <v>413.34</v>
      </c>
      <c r="E6043" s="210"/>
    </row>
    <row r="6044" spans="1:5" ht="54">
      <c r="A6044" s="446">
        <v>87305</v>
      </c>
      <c r="B6044" s="447" t="s">
        <v>4327</v>
      </c>
      <c r="C6044" s="446" t="s">
        <v>31</v>
      </c>
      <c r="D6044" s="448">
        <v>417.36</v>
      </c>
      <c r="E6044" s="210"/>
    </row>
    <row r="6045" spans="1:5" ht="54">
      <c r="A6045" s="446">
        <v>87307</v>
      </c>
      <c r="B6045" s="447" t="s">
        <v>4328</v>
      </c>
      <c r="C6045" s="446" t="s">
        <v>31</v>
      </c>
      <c r="D6045" s="448">
        <v>388</v>
      </c>
      <c r="E6045" s="210"/>
    </row>
    <row r="6046" spans="1:5" ht="54">
      <c r="A6046" s="446">
        <v>87308</v>
      </c>
      <c r="B6046" s="447" t="s">
        <v>4329</v>
      </c>
      <c r="C6046" s="446" t="s">
        <v>31</v>
      </c>
      <c r="D6046" s="448">
        <v>384.48</v>
      </c>
      <c r="E6046" s="210"/>
    </row>
    <row r="6047" spans="1:5" ht="54">
      <c r="A6047" s="446">
        <v>87310</v>
      </c>
      <c r="B6047" s="447" t="s">
        <v>4330</v>
      </c>
      <c r="C6047" s="446" t="s">
        <v>31</v>
      </c>
      <c r="D6047" s="448">
        <v>324.55</v>
      </c>
      <c r="E6047" s="210"/>
    </row>
    <row r="6048" spans="1:5" ht="54">
      <c r="A6048" s="446">
        <v>87311</v>
      </c>
      <c r="B6048" s="447" t="s">
        <v>4331</v>
      </c>
      <c r="C6048" s="446" t="s">
        <v>31</v>
      </c>
      <c r="D6048" s="448">
        <v>320.74</v>
      </c>
      <c r="E6048" s="210"/>
    </row>
    <row r="6049" spans="1:5" ht="54">
      <c r="A6049" s="446">
        <v>87313</v>
      </c>
      <c r="B6049" s="447" t="s">
        <v>4332</v>
      </c>
      <c r="C6049" s="446" t="s">
        <v>31</v>
      </c>
      <c r="D6049" s="448">
        <v>403.42</v>
      </c>
      <c r="E6049" s="210"/>
    </row>
    <row r="6050" spans="1:5" ht="54">
      <c r="A6050" s="446">
        <v>87314</v>
      </c>
      <c r="B6050" s="447" t="s">
        <v>4333</v>
      </c>
      <c r="C6050" s="446" t="s">
        <v>31</v>
      </c>
      <c r="D6050" s="448">
        <v>401.17</v>
      </c>
      <c r="E6050" s="210"/>
    </row>
    <row r="6051" spans="1:5" ht="54">
      <c r="A6051" s="446">
        <v>87316</v>
      </c>
      <c r="B6051" s="447" t="s">
        <v>4334</v>
      </c>
      <c r="C6051" s="446" t="s">
        <v>31</v>
      </c>
      <c r="D6051" s="448">
        <v>359.96</v>
      </c>
      <c r="E6051" s="210"/>
    </row>
    <row r="6052" spans="1:5" ht="54">
      <c r="A6052" s="446">
        <v>87317</v>
      </c>
      <c r="B6052" s="447" t="s">
        <v>4335</v>
      </c>
      <c r="C6052" s="446" t="s">
        <v>31</v>
      </c>
      <c r="D6052" s="448">
        <v>353.62</v>
      </c>
      <c r="E6052" s="210"/>
    </row>
    <row r="6053" spans="1:5" ht="67.5">
      <c r="A6053" s="446">
        <v>87319</v>
      </c>
      <c r="B6053" s="447" t="s">
        <v>4336</v>
      </c>
      <c r="C6053" s="446" t="s">
        <v>31</v>
      </c>
      <c r="D6053" s="448">
        <v>5044.57</v>
      </c>
      <c r="E6053" s="210"/>
    </row>
    <row r="6054" spans="1:5" ht="67.5">
      <c r="A6054" s="446">
        <v>87320</v>
      </c>
      <c r="B6054" s="447" t="s">
        <v>4337</v>
      </c>
      <c r="C6054" s="446" t="s">
        <v>31</v>
      </c>
      <c r="D6054" s="448">
        <v>5061.28</v>
      </c>
      <c r="E6054" s="210"/>
    </row>
    <row r="6055" spans="1:5" ht="67.5">
      <c r="A6055" s="446">
        <v>87322</v>
      </c>
      <c r="B6055" s="447" t="s">
        <v>4338</v>
      </c>
      <c r="C6055" s="446" t="s">
        <v>31</v>
      </c>
      <c r="D6055" s="448">
        <v>5156.03</v>
      </c>
      <c r="E6055" s="210"/>
    </row>
    <row r="6056" spans="1:5" ht="67.5">
      <c r="A6056" s="446">
        <v>87323</v>
      </c>
      <c r="B6056" s="447" t="s">
        <v>4339</v>
      </c>
      <c r="C6056" s="446" t="s">
        <v>31</v>
      </c>
      <c r="D6056" s="448">
        <v>5170.88</v>
      </c>
      <c r="E6056" s="210"/>
    </row>
    <row r="6057" spans="1:5" ht="67.5">
      <c r="A6057" s="446">
        <v>87325</v>
      </c>
      <c r="B6057" s="447" t="s">
        <v>4340</v>
      </c>
      <c r="C6057" s="446" t="s">
        <v>31</v>
      </c>
      <c r="D6057" s="448">
        <v>5060.7299999999996</v>
      </c>
      <c r="E6057" s="210"/>
    </row>
    <row r="6058" spans="1:5" ht="67.5">
      <c r="A6058" s="446">
        <v>87326</v>
      </c>
      <c r="B6058" s="447" t="s">
        <v>4341</v>
      </c>
      <c r="C6058" s="446" t="s">
        <v>31</v>
      </c>
      <c r="D6058" s="448">
        <v>5096.37</v>
      </c>
      <c r="E6058" s="210"/>
    </row>
    <row r="6059" spans="1:5" ht="94.5">
      <c r="A6059" s="446">
        <v>87327</v>
      </c>
      <c r="B6059" s="447" t="s">
        <v>4342</v>
      </c>
      <c r="C6059" s="446" t="s">
        <v>31</v>
      </c>
      <c r="D6059" s="448">
        <v>334.41</v>
      </c>
      <c r="E6059" s="210"/>
    </row>
    <row r="6060" spans="1:5" ht="94.5">
      <c r="A6060" s="446">
        <v>87328</v>
      </c>
      <c r="B6060" s="447" t="s">
        <v>4343</v>
      </c>
      <c r="C6060" s="446" t="s">
        <v>31</v>
      </c>
      <c r="D6060" s="448">
        <v>300.43</v>
      </c>
      <c r="E6060" s="210"/>
    </row>
    <row r="6061" spans="1:5" ht="94.5">
      <c r="A6061" s="446">
        <v>87329</v>
      </c>
      <c r="B6061" s="447" t="s">
        <v>4344</v>
      </c>
      <c r="C6061" s="446" t="s">
        <v>31</v>
      </c>
      <c r="D6061" s="448">
        <v>360.54</v>
      </c>
      <c r="E6061" s="210"/>
    </row>
    <row r="6062" spans="1:5" ht="94.5">
      <c r="A6062" s="446">
        <v>87330</v>
      </c>
      <c r="B6062" s="447" t="s">
        <v>4345</v>
      </c>
      <c r="C6062" s="446" t="s">
        <v>31</v>
      </c>
      <c r="D6062" s="448">
        <v>321.83</v>
      </c>
      <c r="E6062" s="210"/>
    </row>
    <row r="6063" spans="1:5" ht="81">
      <c r="A6063" s="446">
        <v>87331</v>
      </c>
      <c r="B6063" s="447" t="s">
        <v>4346</v>
      </c>
      <c r="C6063" s="446" t="s">
        <v>31</v>
      </c>
      <c r="D6063" s="448">
        <v>432.56</v>
      </c>
      <c r="E6063" s="210"/>
    </row>
    <row r="6064" spans="1:5" ht="81">
      <c r="A6064" s="446">
        <v>87332</v>
      </c>
      <c r="B6064" s="447" t="s">
        <v>4347</v>
      </c>
      <c r="C6064" s="446" t="s">
        <v>31</v>
      </c>
      <c r="D6064" s="448">
        <v>397.54</v>
      </c>
      <c r="E6064" s="210"/>
    </row>
    <row r="6065" spans="1:5" ht="81">
      <c r="A6065" s="446">
        <v>87333</v>
      </c>
      <c r="B6065" s="447" t="s">
        <v>4348</v>
      </c>
      <c r="C6065" s="446" t="s">
        <v>31</v>
      </c>
      <c r="D6065" s="448">
        <v>403.91</v>
      </c>
      <c r="E6065" s="210"/>
    </row>
    <row r="6066" spans="1:5" ht="81">
      <c r="A6066" s="446">
        <v>87334</v>
      </c>
      <c r="B6066" s="447" t="s">
        <v>4349</v>
      </c>
      <c r="C6066" s="446" t="s">
        <v>31</v>
      </c>
      <c r="D6066" s="448">
        <v>382.94</v>
      </c>
      <c r="E6066" s="210"/>
    </row>
    <row r="6067" spans="1:5" ht="81">
      <c r="A6067" s="446">
        <v>87335</v>
      </c>
      <c r="B6067" s="447" t="s">
        <v>4350</v>
      </c>
      <c r="C6067" s="446" t="s">
        <v>31</v>
      </c>
      <c r="D6067" s="448">
        <v>399.88</v>
      </c>
      <c r="E6067" s="210"/>
    </row>
    <row r="6068" spans="1:5" ht="81">
      <c r="A6068" s="446">
        <v>87336</v>
      </c>
      <c r="B6068" s="447" t="s">
        <v>4351</v>
      </c>
      <c r="C6068" s="446" t="s">
        <v>31</v>
      </c>
      <c r="D6068" s="448">
        <v>395.49</v>
      </c>
      <c r="E6068" s="210"/>
    </row>
    <row r="6069" spans="1:5" ht="81">
      <c r="A6069" s="446">
        <v>87337</v>
      </c>
      <c r="B6069" s="447" t="s">
        <v>4352</v>
      </c>
      <c r="C6069" s="446" t="s">
        <v>31</v>
      </c>
      <c r="D6069" s="448">
        <v>392.05</v>
      </c>
      <c r="E6069" s="210"/>
    </row>
    <row r="6070" spans="1:5" ht="81">
      <c r="A6070" s="446">
        <v>87338</v>
      </c>
      <c r="B6070" s="447" t="s">
        <v>4353</v>
      </c>
      <c r="C6070" s="446" t="s">
        <v>31</v>
      </c>
      <c r="D6070" s="448">
        <v>377.43</v>
      </c>
      <c r="E6070" s="210"/>
    </row>
    <row r="6071" spans="1:5" ht="67.5">
      <c r="A6071" s="446">
        <v>87339</v>
      </c>
      <c r="B6071" s="447" t="s">
        <v>4354</v>
      </c>
      <c r="C6071" s="446" t="s">
        <v>31</v>
      </c>
      <c r="D6071" s="448">
        <v>590.59</v>
      </c>
      <c r="E6071" s="210"/>
    </row>
    <row r="6072" spans="1:5" ht="67.5">
      <c r="A6072" s="446">
        <v>87340</v>
      </c>
      <c r="B6072" s="447" t="s">
        <v>4355</v>
      </c>
      <c r="C6072" s="446" t="s">
        <v>31</v>
      </c>
      <c r="D6072" s="448">
        <v>518.08000000000004</v>
      </c>
      <c r="E6072" s="210"/>
    </row>
    <row r="6073" spans="1:5" ht="67.5">
      <c r="A6073" s="446">
        <v>87341</v>
      </c>
      <c r="B6073" s="447" t="s">
        <v>4356</v>
      </c>
      <c r="C6073" s="446" t="s">
        <v>31</v>
      </c>
      <c r="D6073" s="448">
        <v>500.9</v>
      </c>
      <c r="E6073" s="210"/>
    </row>
    <row r="6074" spans="1:5" ht="67.5">
      <c r="A6074" s="446">
        <v>87342</v>
      </c>
      <c r="B6074" s="447" t="s">
        <v>4357</v>
      </c>
      <c r="C6074" s="446" t="s">
        <v>31</v>
      </c>
      <c r="D6074" s="448">
        <v>501.45</v>
      </c>
      <c r="E6074" s="210"/>
    </row>
    <row r="6075" spans="1:5" ht="67.5">
      <c r="A6075" s="446">
        <v>87343</v>
      </c>
      <c r="B6075" s="447" t="s">
        <v>4358</v>
      </c>
      <c r="C6075" s="446" t="s">
        <v>31</v>
      </c>
      <c r="D6075" s="448">
        <v>460.6</v>
      </c>
      <c r="E6075" s="210"/>
    </row>
    <row r="6076" spans="1:5" ht="67.5">
      <c r="A6076" s="446">
        <v>87344</v>
      </c>
      <c r="B6076" s="447" t="s">
        <v>4359</v>
      </c>
      <c r="C6076" s="446" t="s">
        <v>31</v>
      </c>
      <c r="D6076" s="448">
        <v>439.25</v>
      </c>
      <c r="E6076" s="210"/>
    </row>
    <row r="6077" spans="1:5" ht="67.5">
      <c r="A6077" s="446">
        <v>87345</v>
      </c>
      <c r="B6077" s="447" t="s">
        <v>4360</v>
      </c>
      <c r="C6077" s="446" t="s">
        <v>31</v>
      </c>
      <c r="D6077" s="448">
        <v>447.32</v>
      </c>
      <c r="E6077" s="210"/>
    </row>
    <row r="6078" spans="1:5" ht="67.5">
      <c r="A6078" s="446">
        <v>87346</v>
      </c>
      <c r="B6078" s="447" t="s">
        <v>4361</v>
      </c>
      <c r="C6078" s="446" t="s">
        <v>31</v>
      </c>
      <c r="D6078" s="448">
        <v>413.82</v>
      </c>
      <c r="E6078" s="210"/>
    </row>
    <row r="6079" spans="1:5" ht="67.5">
      <c r="A6079" s="446">
        <v>87347</v>
      </c>
      <c r="B6079" s="447" t="s">
        <v>4362</v>
      </c>
      <c r="C6079" s="446" t="s">
        <v>31</v>
      </c>
      <c r="D6079" s="448">
        <v>396.72</v>
      </c>
      <c r="E6079" s="210"/>
    </row>
    <row r="6080" spans="1:5" ht="67.5">
      <c r="A6080" s="446">
        <v>87348</v>
      </c>
      <c r="B6080" s="447" t="s">
        <v>4363</v>
      </c>
      <c r="C6080" s="446" t="s">
        <v>31</v>
      </c>
      <c r="D6080" s="448">
        <v>407.23</v>
      </c>
      <c r="E6080" s="210"/>
    </row>
    <row r="6081" spans="1:5" ht="67.5">
      <c r="A6081" s="446">
        <v>87349</v>
      </c>
      <c r="B6081" s="447" t="s">
        <v>4364</v>
      </c>
      <c r="C6081" s="446" t="s">
        <v>31</v>
      </c>
      <c r="D6081" s="448">
        <v>364.38</v>
      </c>
      <c r="E6081" s="210"/>
    </row>
    <row r="6082" spans="1:5" ht="67.5">
      <c r="A6082" s="446">
        <v>87350</v>
      </c>
      <c r="B6082" s="447" t="s">
        <v>4365</v>
      </c>
      <c r="C6082" s="446" t="s">
        <v>31</v>
      </c>
      <c r="D6082" s="448">
        <v>351.9</v>
      </c>
      <c r="E6082" s="210"/>
    </row>
    <row r="6083" spans="1:5" ht="67.5">
      <c r="A6083" s="446">
        <v>87351</v>
      </c>
      <c r="B6083" s="447" t="s">
        <v>4366</v>
      </c>
      <c r="C6083" s="446" t="s">
        <v>31</v>
      </c>
      <c r="D6083" s="448">
        <v>309.99</v>
      </c>
      <c r="E6083" s="210"/>
    </row>
    <row r="6084" spans="1:5" ht="67.5">
      <c r="A6084" s="446">
        <v>87352</v>
      </c>
      <c r="B6084" s="447" t="s">
        <v>4367</v>
      </c>
      <c r="C6084" s="446" t="s">
        <v>31</v>
      </c>
      <c r="D6084" s="448">
        <v>450.61</v>
      </c>
      <c r="E6084" s="210"/>
    </row>
    <row r="6085" spans="1:5" ht="67.5">
      <c r="A6085" s="446">
        <v>87353</v>
      </c>
      <c r="B6085" s="447" t="s">
        <v>4368</v>
      </c>
      <c r="C6085" s="446" t="s">
        <v>31</v>
      </c>
      <c r="D6085" s="448">
        <v>405.44</v>
      </c>
      <c r="E6085" s="210"/>
    </row>
    <row r="6086" spans="1:5" ht="67.5">
      <c r="A6086" s="446">
        <v>87354</v>
      </c>
      <c r="B6086" s="447" t="s">
        <v>4369</v>
      </c>
      <c r="C6086" s="446" t="s">
        <v>31</v>
      </c>
      <c r="D6086" s="448">
        <v>386.65</v>
      </c>
      <c r="E6086" s="210"/>
    </row>
    <row r="6087" spans="1:5" ht="67.5">
      <c r="A6087" s="446">
        <v>87355</v>
      </c>
      <c r="B6087" s="447" t="s">
        <v>4370</v>
      </c>
      <c r="C6087" s="446" t="s">
        <v>31</v>
      </c>
      <c r="D6087" s="448">
        <v>382.01</v>
      </c>
      <c r="E6087" s="210"/>
    </row>
    <row r="6088" spans="1:5" ht="67.5">
      <c r="A6088" s="446">
        <v>87356</v>
      </c>
      <c r="B6088" s="447" t="s">
        <v>4371</v>
      </c>
      <c r="C6088" s="446" t="s">
        <v>31</v>
      </c>
      <c r="D6088" s="448">
        <v>352.04</v>
      </c>
      <c r="E6088" s="210"/>
    </row>
    <row r="6089" spans="1:5" ht="67.5">
      <c r="A6089" s="446">
        <v>87357</v>
      </c>
      <c r="B6089" s="447" t="s">
        <v>4372</v>
      </c>
      <c r="C6089" s="446" t="s">
        <v>31</v>
      </c>
      <c r="D6089" s="448">
        <v>338.24</v>
      </c>
      <c r="E6089" s="210"/>
    </row>
    <row r="6090" spans="1:5" ht="81">
      <c r="A6090" s="446">
        <v>87358</v>
      </c>
      <c r="B6090" s="447" t="s">
        <v>4373</v>
      </c>
      <c r="C6090" s="446" t="s">
        <v>31</v>
      </c>
      <c r="D6090" s="448">
        <v>4963.26</v>
      </c>
      <c r="E6090" s="210"/>
    </row>
    <row r="6091" spans="1:5" ht="81">
      <c r="A6091" s="446">
        <v>87359</v>
      </c>
      <c r="B6091" s="447" t="s">
        <v>4374</v>
      </c>
      <c r="C6091" s="446" t="s">
        <v>31</v>
      </c>
      <c r="D6091" s="448">
        <v>4959.59</v>
      </c>
      <c r="E6091" s="210"/>
    </row>
    <row r="6092" spans="1:5" ht="81">
      <c r="A6092" s="446">
        <v>87360</v>
      </c>
      <c r="B6092" s="447" t="s">
        <v>4375</v>
      </c>
      <c r="C6092" s="446" t="s">
        <v>31</v>
      </c>
      <c r="D6092" s="448">
        <v>5046.99</v>
      </c>
      <c r="E6092" s="210"/>
    </row>
    <row r="6093" spans="1:5" ht="81">
      <c r="A6093" s="446">
        <v>87361</v>
      </c>
      <c r="B6093" s="447" t="s">
        <v>4376</v>
      </c>
      <c r="C6093" s="446" t="s">
        <v>31</v>
      </c>
      <c r="D6093" s="448">
        <v>5038.34</v>
      </c>
      <c r="E6093" s="210"/>
    </row>
    <row r="6094" spans="1:5" ht="81">
      <c r="A6094" s="446">
        <v>87362</v>
      </c>
      <c r="B6094" s="447" t="s">
        <v>4377</v>
      </c>
      <c r="C6094" s="446" t="s">
        <v>31</v>
      </c>
      <c r="D6094" s="448">
        <v>5060.3900000000003</v>
      </c>
      <c r="E6094" s="210"/>
    </row>
    <row r="6095" spans="1:5" ht="81">
      <c r="A6095" s="446">
        <v>87363</v>
      </c>
      <c r="B6095" s="447" t="s">
        <v>4378</v>
      </c>
      <c r="C6095" s="446" t="s">
        <v>31</v>
      </c>
      <c r="D6095" s="448">
        <v>4990.9399999999996</v>
      </c>
      <c r="E6095" s="210"/>
    </row>
    <row r="6096" spans="1:5" ht="81">
      <c r="A6096" s="446">
        <v>87364</v>
      </c>
      <c r="B6096" s="447" t="s">
        <v>4379</v>
      </c>
      <c r="C6096" s="446" t="s">
        <v>31</v>
      </c>
      <c r="D6096" s="448">
        <v>5006.33</v>
      </c>
      <c r="E6096" s="210"/>
    </row>
    <row r="6097" spans="1:5" ht="67.5">
      <c r="A6097" s="446">
        <v>87365</v>
      </c>
      <c r="B6097" s="447" t="s">
        <v>4380</v>
      </c>
      <c r="C6097" s="446" t="s">
        <v>31</v>
      </c>
      <c r="D6097" s="448">
        <v>404.97</v>
      </c>
      <c r="E6097" s="210"/>
    </row>
    <row r="6098" spans="1:5" ht="67.5">
      <c r="A6098" s="446">
        <v>87366</v>
      </c>
      <c r="B6098" s="447" t="s">
        <v>4381</v>
      </c>
      <c r="C6098" s="446" t="s">
        <v>31</v>
      </c>
      <c r="D6098" s="448">
        <v>429.54</v>
      </c>
      <c r="E6098" s="210"/>
    </row>
    <row r="6099" spans="1:5" ht="67.5">
      <c r="A6099" s="446">
        <v>87367</v>
      </c>
      <c r="B6099" s="447" t="s">
        <v>4382</v>
      </c>
      <c r="C6099" s="446" t="s">
        <v>31</v>
      </c>
      <c r="D6099" s="448">
        <v>504.68</v>
      </c>
      <c r="E6099" s="210"/>
    </row>
    <row r="6100" spans="1:5" ht="67.5">
      <c r="A6100" s="446">
        <v>87368</v>
      </c>
      <c r="B6100" s="447" t="s">
        <v>4383</v>
      </c>
      <c r="C6100" s="446" t="s">
        <v>31</v>
      </c>
      <c r="D6100" s="448">
        <v>489.27</v>
      </c>
      <c r="E6100" s="210"/>
    </row>
    <row r="6101" spans="1:5" ht="67.5">
      <c r="A6101" s="446">
        <v>87369</v>
      </c>
      <c r="B6101" s="447" t="s">
        <v>4384</v>
      </c>
      <c r="C6101" s="446" t="s">
        <v>31</v>
      </c>
      <c r="D6101" s="448">
        <v>500.76</v>
      </c>
      <c r="E6101" s="210"/>
    </row>
    <row r="6102" spans="1:5" ht="67.5">
      <c r="A6102" s="446">
        <v>87370</v>
      </c>
      <c r="B6102" s="447" t="s">
        <v>4385</v>
      </c>
      <c r="C6102" s="446" t="s">
        <v>31</v>
      </c>
      <c r="D6102" s="448">
        <v>480.76</v>
      </c>
      <c r="E6102" s="210"/>
    </row>
    <row r="6103" spans="1:5" ht="67.5">
      <c r="A6103" s="446">
        <v>87371</v>
      </c>
      <c r="B6103" s="447" t="s">
        <v>4386</v>
      </c>
      <c r="C6103" s="446" t="s">
        <v>31</v>
      </c>
      <c r="D6103" s="448">
        <v>469.02</v>
      </c>
      <c r="E6103" s="210"/>
    </row>
    <row r="6104" spans="1:5" ht="40.5">
      <c r="A6104" s="446">
        <v>87372</v>
      </c>
      <c r="B6104" s="447" t="s">
        <v>4387</v>
      </c>
      <c r="C6104" s="446" t="s">
        <v>31</v>
      </c>
      <c r="D6104" s="448">
        <v>617.25</v>
      </c>
      <c r="E6104" s="210"/>
    </row>
    <row r="6105" spans="1:5" ht="40.5">
      <c r="A6105" s="446">
        <v>87373</v>
      </c>
      <c r="B6105" s="447" t="s">
        <v>4388</v>
      </c>
      <c r="C6105" s="446" t="s">
        <v>31</v>
      </c>
      <c r="D6105" s="448">
        <v>546.12</v>
      </c>
      <c r="E6105" s="210"/>
    </row>
    <row r="6106" spans="1:5" ht="40.5">
      <c r="A6106" s="446">
        <v>87374</v>
      </c>
      <c r="B6106" s="447" t="s">
        <v>4389</v>
      </c>
      <c r="C6106" s="446" t="s">
        <v>31</v>
      </c>
      <c r="D6106" s="448">
        <v>504.56</v>
      </c>
      <c r="E6106" s="210"/>
    </row>
    <row r="6107" spans="1:5" ht="40.5">
      <c r="A6107" s="446">
        <v>87375</v>
      </c>
      <c r="B6107" s="447" t="s">
        <v>4390</v>
      </c>
      <c r="C6107" s="446" t="s">
        <v>31</v>
      </c>
      <c r="D6107" s="448">
        <v>477.23</v>
      </c>
      <c r="E6107" s="210"/>
    </row>
    <row r="6108" spans="1:5" ht="54">
      <c r="A6108" s="446">
        <v>87376</v>
      </c>
      <c r="B6108" s="447" t="s">
        <v>4391</v>
      </c>
      <c r="C6108" s="446" t="s">
        <v>31</v>
      </c>
      <c r="D6108" s="448">
        <v>414.88</v>
      </c>
      <c r="E6108" s="210"/>
    </row>
    <row r="6109" spans="1:5" ht="54">
      <c r="A6109" s="446">
        <v>87377</v>
      </c>
      <c r="B6109" s="447" t="s">
        <v>4392</v>
      </c>
      <c r="C6109" s="446" t="s">
        <v>31</v>
      </c>
      <c r="D6109" s="448">
        <v>496.89</v>
      </c>
      <c r="E6109" s="210"/>
    </row>
    <row r="6110" spans="1:5" ht="54">
      <c r="A6110" s="446">
        <v>87378</v>
      </c>
      <c r="B6110" s="447" t="s">
        <v>4393</v>
      </c>
      <c r="C6110" s="446" t="s">
        <v>31</v>
      </c>
      <c r="D6110" s="448">
        <v>444.57</v>
      </c>
      <c r="E6110" s="210"/>
    </row>
    <row r="6111" spans="1:5" ht="67.5">
      <c r="A6111" s="446">
        <v>87379</v>
      </c>
      <c r="B6111" s="447" t="s">
        <v>4394</v>
      </c>
      <c r="C6111" s="446" t="s">
        <v>31</v>
      </c>
      <c r="D6111" s="448">
        <v>5103.41</v>
      </c>
      <c r="E6111" s="210"/>
    </row>
    <row r="6112" spans="1:5" ht="67.5">
      <c r="A6112" s="446">
        <v>87380</v>
      </c>
      <c r="B6112" s="447" t="s">
        <v>4395</v>
      </c>
      <c r="C6112" s="446" t="s">
        <v>31</v>
      </c>
      <c r="D6112" s="448">
        <v>5194.8599999999997</v>
      </c>
      <c r="E6112" s="210"/>
    </row>
    <row r="6113" spans="1:5" ht="67.5">
      <c r="A6113" s="446">
        <v>87381</v>
      </c>
      <c r="B6113" s="447" t="s">
        <v>4396</v>
      </c>
      <c r="C6113" s="446" t="s">
        <v>31</v>
      </c>
      <c r="D6113" s="448">
        <v>5136.74</v>
      </c>
      <c r="E6113" s="210"/>
    </row>
    <row r="6114" spans="1:5" ht="54">
      <c r="A6114" s="446">
        <v>87382</v>
      </c>
      <c r="B6114" s="447" t="s">
        <v>4397</v>
      </c>
      <c r="C6114" s="446" t="s">
        <v>31</v>
      </c>
      <c r="D6114" s="448">
        <v>1626.98</v>
      </c>
      <c r="E6114" s="210"/>
    </row>
    <row r="6115" spans="1:5" ht="54">
      <c r="A6115" s="446">
        <v>87383</v>
      </c>
      <c r="B6115" s="447" t="s">
        <v>4398</v>
      </c>
      <c r="C6115" s="446" t="s">
        <v>31</v>
      </c>
      <c r="D6115" s="448">
        <v>1630.3</v>
      </c>
      <c r="E6115" s="210"/>
    </row>
    <row r="6116" spans="1:5" ht="54">
      <c r="A6116" s="446">
        <v>87384</v>
      </c>
      <c r="B6116" s="447" t="s">
        <v>4399</v>
      </c>
      <c r="C6116" s="446" t="s">
        <v>31</v>
      </c>
      <c r="D6116" s="448">
        <v>1630.02</v>
      </c>
      <c r="E6116" s="210"/>
    </row>
    <row r="6117" spans="1:5" ht="40.5">
      <c r="A6117" s="446">
        <v>87385</v>
      </c>
      <c r="B6117" s="447" t="s">
        <v>4400</v>
      </c>
      <c r="C6117" s="446" t="s">
        <v>31</v>
      </c>
      <c r="D6117" s="448">
        <v>1878.06</v>
      </c>
      <c r="E6117" s="210"/>
    </row>
    <row r="6118" spans="1:5" ht="40.5">
      <c r="A6118" s="446">
        <v>87386</v>
      </c>
      <c r="B6118" s="447" t="s">
        <v>4401</v>
      </c>
      <c r="C6118" s="446" t="s">
        <v>31</v>
      </c>
      <c r="D6118" s="448">
        <v>1879.09</v>
      </c>
      <c r="E6118" s="210"/>
    </row>
    <row r="6119" spans="1:5" ht="40.5">
      <c r="A6119" s="446">
        <v>87387</v>
      </c>
      <c r="B6119" s="447" t="s">
        <v>4402</v>
      </c>
      <c r="C6119" s="446" t="s">
        <v>31</v>
      </c>
      <c r="D6119" s="448">
        <v>1881.35</v>
      </c>
      <c r="E6119" s="210"/>
    </row>
    <row r="6120" spans="1:5" ht="54">
      <c r="A6120" s="446">
        <v>87388</v>
      </c>
      <c r="B6120" s="447" t="s">
        <v>4403</v>
      </c>
      <c r="C6120" s="446" t="s">
        <v>31</v>
      </c>
      <c r="D6120" s="448">
        <v>4581.07</v>
      </c>
      <c r="E6120" s="210"/>
    </row>
    <row r="6121" spans="1:5" ht="54">
      <c r="A6121" s="446">
        <v>87389</v>
      </c>
      <c r="B6121" s="447" t="s">
        <v>4404</v>
      </c>
      <c r="C6121" s="446" t="s">
        <v>31</v>
      </c>
      <c r="D6121" s="448">
        <v>4605.82</v>
      </c>
      <c r="E6121" s="210"/>
    </row>
    <row r="6122" spans="1:5" ht="54">
      <c r="A6122" s="446">
        <v>87390</v>
      </c>
      <c r="B6122" s="447" t="s">
        <v>4405</v>
      </c>
      <c r="C6122" s="446" t="s">
        <v>31</v>
      </c>
      <c r="D6122" s="448">
        <v>4635.84</v>
      </c>
      <c r="E6122" s="210"/>
    </row>
    <row r="6123" spans="1:5" ht="40.5">
      <c r="A6123" s="446">
        <v>87391</v>
      </c>
      <c r="B6123" s="447" t="s">
        <v>4406</v>
      </c>
      <c r="C6123" s="446" t="s">
        <v>31</v>
      </c>
      <c r="D6123" s="448">
        <v>5087.33</v>
      </c>
      <c r="E6123" s="210"/>
    </row>
    <row r="6124" spans="1:5" ht="40.5">
      <c r="A6124" s="446">
        <v>87393</v>
      </c>
      <c r="B6124" s="447" t="s">
        <v>4407</v>
      </c>
      <c r="C6124" s="446" t="s">
        <v>31</v>
      </c>
      <c r="D6124" s="448">
        <v>5140.37</v>
      </c>
      <c r="E6124" s="210"/>
    </row>
    <row r="6125" spans="1:5" ht="40.5">
      <c r="A6125" s="446">
        <v>87394</v>
      </c>
      <c r="B6125" s="447" t="s">
        <v>4408</v>
      </c>
      <c r="C6125" s="446" t="s">
        <v>31</v>
      </c>
      <c r="D6125" s="448">
        <v>5193.12</v>
      </c>
      <c r="E6125" s="210"/>
    </row>
    <row r="6126" spans="1:5" ht="40.5">
      <c r="A6126" s="446">
        <v>87395</v>
      </c>
      <c r="B6126" s="447" t="s">
        <v>4409</v>
      </c>
      <c r="C6126" s="446" t="s">
        <v>31</v>
      </c>
      <c r="D6126" s="448">
        <v>3191.01</v>
      </c>
      <c r="E6126" s="210"/>
    </row>
    <row r="6127" spans="1:5" ht="40.5">
      <c r="A6127" s="446">
        <v>87396</v>
      </c>
      <c r="B6127" s="447" t="s">
        <v>4410</v>
      </c>
      <c r="C6127" s="446" t="s">
        <v>31</v>
      </c>
      <c r="D6127" s="448">
        <v>3218.58</v>
      </c>
      <c r="E6127" s="210"/>
    </row>
    <row r="6128" spans="1:5" ht="40.5">
      <c r="A6128" s="446">
        <v>87397</v>
      </c>
      <c r="B6128" s="447" t="s">
        <v>4411</v>
      </c>
      <c r="C6128" s="446" t="s">
        <v>31</v>
      </c>
      <c r="D6128" s="448">
        <v>3247</v>
      </c>
      <c r="E6128" s="210"/>
    </row>
    <row r="6129" spans="1:5" ht="40.5">
      <c r="A6129" s="446">
        <v>87398</v>
      </c>
      <c r="B6129" s="447" t="s">
        <v>4412</v>
      </c>
      <c r="C6129" s="446" t="s">
        <v>31</v>
      </c>
      <c r="D6129" s="448">
        <v>1783.01</v>
      </c>
      <c r="E6129" s="210"/>
    </row>
    <row r="6130" spans="1:5" ht="27">
      <c r="A6130" s="446">
        <v>87399</v>
      </c>
      <c r="B6130" s="447" t="s">
        <v>4413</v>
      </c>
      <c r="C6130" s="446" t="s">
        <v>31</v>
      </c>
      <c r="D6130" s="448">
        <v>2037.69</v>
      </c>
      <c r="E6130" s="210"/>
    </row>
    <row r="6131" spans="1:5" ht="27">
      <c r="A6131" s="446">
        <v>87401</v>
      </c>
      <c r="B6131" s="447" t="s">
        <v>4414</v>
      </c>
      <c r="C6131" s="446" t="s">
        <v>31</v>
      </c>
      <c r="D6131" s="448">
        <v>5328.43</v>
      </c>
      <c r="E6131" s="210"/>
    </row>
    <row r="6132" spans="1:5" ht="27">
      <c r="A6132" s="446">
        <v>87402</v>
      </c>
      <c r="B6132" s="447" t="s">
        <v>4415</v>
      </c>
      <c r="C6132" s="446" t="s">
        <v>31</v>
      </c>
      <c r="D6132" s="448">
        <v>3393.28</v>
      </c>
      <c r="E6132" s="210"/>
    </row>
    <row r="6133" spans="1:5" ht="54">
      <c r="A6133" s="446">
        <v>87404</v>
      </c>
      <c r="B6133" s="447" t="s">
        <v>4416</v>
      </c>
      <c r="C6133" s="446" t="s">
        <v>31</v>
      </c>
      <c r="D6133" s="448">
        <v>4750.1000000000004</v>
      </c>
      <c r="E6133" s="210"/>
    </row>
    <row r="6134" spans="1:5" ht="54">
      <c r="A6134" s="446">
        <v>87405</v>
      </c>
      <c r="B6134" s="447" t="s">
        <v>98</v>
      </c>
      <c r="C6134" s="446" t="s">
        <v>31</v>
      </c>
      <c r="D6134" s="448">
        <v>4771.6099999999997</v>
      </c>
      <c r="E6134" s="210"/>
    </row>
    <row r="6135" spans="1:5" ht="40.5">
      <c r="A6135" s="446">
        <v>87407</v>
      </c>
      <c r="B6135" s="447" t="s">
        <v>4417</v>
      </c>
      <c r="C6135" s="446" t="s">
        <v>31</v>
      </c>
      <c r="D6135" s="448">
        <v>1663.09</v>
      </c>
      <c r="E6135" s="210"/>
    </row>
    <row r="6136" spans="1:5" ht="40.5">
      <c r="A6136" s="446">
        <v>87408</v>
      </c>
      <c r="B6136" s="447" t="s">
        <v>99</v>
      </c>
      <c r="C6136" s="446" t="s">
        <v>31</v>
      </c>
      <c r="D6136" s="448">
        <v>1658.65</v>
      </c>
      <c r="E6136" s="210"/>
    </row>
    <row r="6137" spans="1:5" ht="40.5">
      <c r="A6137" s="446">
        <v>87410</v>
      </c>
      <c r="B6137" s="447" t="s">
        <v>4418</v>
      </c>
      <c r="C6137" s="446" t="s">
        <v>31</v>
      </c>
      <c r="D6137" s="448">
        <v>1001.97</v>
      </c>
      <c r="E6137" s="210"/>
    </row>
    <row r="6138" spans="1:5" ht="54">
      <c r="A6138" s="446">
        <v>88626</v>
      </c>
      <c r="B6138" s="447" t="s">
        <v>4419</v>
      </c>
      <c r="C6138" s="446" t="s">
        <v>31</v>
      </c>
      <c r="D6138" s="448">
        <v>413.9</v>
      </c>
      <c r="E6138" s="210"/>
    </row>
    <row r="6139" spans="1:5" ht="54">
      <c r="A6139" s="446">
        <v>88627</v>
      </c>
      <c r="B6139" s="447" t="s">
        <v>4420</v>
      </c>
      <c r="C6139" s="446" t="s">
        <v>31</v>
      </c>
      <c r="D6139" s="448">
        <v>485.09</v>
      </c>
      <c r="E6139" s="210"/>
    </row>
    <row r="6140" spans="1:5" ht="54">
      <c r="A6140" s="446">
        <v>88628</v>
      </c>
      <c r="B6140" s="447" t="s">
        <v>4421</v>
      </c>
      <c r="C6140" s="446" t="s">
        <v>31</v>
      </c>
      <c r="D6140" s="448">
        <v>435.13</v>
      </c>
      <c r="E6140" s="210"/>
    </row>
    <row r="6141" spans="1:5" ht="40.5">
      <c r="A6141" s="446">
        <v>88629</v>
      </c>
      <c r="B6141" s="447" t="s">
        <v>4422</v>
      </c>
      <c r="C6141" s="446" t="s">
        <v>31</v>
      </c>
      <c r="D6141" s="448">
        <v>509.05</v>
      </c>
      <c r="E6141" s="210"/>
    </row>
    <row r="6142" spans="1:5" ht="40.5">
      <c r="A6142" s="446">
        <v>88630</v>
      </c>
      <c r="B6142" s="447" t="s">
        <v>1136</v>
      </c>
      <c r="C6142" s="446" t="s">
        <v>31</v>
      </c>
      <c r="D6142" s="448">
        <v>363.91</v>
      </c>
      <c r="E6142" s="210"/>
    </row>
    <row r="6143" spans="1:5" ht="40.5">
      <c r="A6143" s="446">
        <v>88631</v>
      </c>
      <c r="B6143" s="447" t="s">
        <v>4423</v>
      </c>
      <c r="C6143" s="446" t="s">
        <v>31</v>
      </c>
      <c r="D6143" s="448">
        <v>451.29</v>
      </c>
      <c r="E6143" s="210"/>
    </row>
    <row r="6144" spans="1:5" ht="67.5">
      <c r="A6144" s="446">
        <v>88715</v>
      </c>
      <c r="B6144" s="447" t="s">
        <v>4424</v>
      </c>
      <c r="C6144" s="446" t="s">
        <v>31</v>
      </c>
      <c r="D6144" s="448">
        <v>387.35</v>
      </c>
      <c r="E6144" s="210"/>
    </row>
    <row r="6145" spans="1:5" ht="67.5">
      <c r="A6145" s="446">
        <v>95563</v>
      </c>
      <c r="B6145" s="447" t="s">
        <v>5455</v>
      </c>
      <c r="C6145" s="446" t="s">
        <v>31</v>
      </c>
      <c r="D6145" s="448">
        <v>639.48</v>
      </c>
      <c r="E6145" s="210"/>
    </row>
    <row r="6146" spans="1:5" ht="54">
      <c r="A6146" s="446">
        <v>100464</v>
      </c>
      <c r="B6146" s="447" t="s">
        <v>4425</v>
      </c>
      <c r="C6146" s="446" t="s">
        <v>31</v>
      </c>
      <c r="D6146" s="448">
        <v>428.08</v>
      </c>
      <c r="E6146" s="210"/>
    </row>
    <row r="6147" spans="1:5" ht="54">
      <c r="A6147" s="446">
        <v>100465</v>
      </c>
      <c r="B6147" s="447" t="s">
        <v>4426</v>
      </c>
      <c r="C6147" s="446" t="s">
        <v>31</v>
      </c>
      <c r="D6147" s="448">
        <v>406.14</v>
      </c>
      <c r="E6147" s="210"/>
    </row>
    <row r="6148" spans="1:5" ht="54">
      <c r="A6148" s="446">
        <v>100466</v>
      </c>
      <c r="B6148" s="447" t="s">
        <v>4427</v>
      </c>
      <c r="C6148" s="446" t="s">
        <v>31</v>
      </c>
      <c r="D6148" s="448">
        <v>396.09</v>
      </c>
      <c r="E6148" s="210"/>
    </row>
    <row r="6149" spans="1:5" ht="54">
      <c r="A6149" s="446">
        <v>100468</v>
      </c>
      <c r="B6149" s="447" t="s">
        <v>4428</v>
      </c>
      <c r="C6149" s="446" t="s">
        <v>31</v>
      </c>
      <c r="D6149" s="448">
        <v>515.12</v>
      </c>
      <c r="E6149" s="210"/>
    </row>
    <row r="6150" spans="1:5" ht="54">
      <c r="A6150" s="446">
        <v>100469</v>
      </c>
      <c r="B6150" s="447" t="s">
        <v>4429</v>
      </c>
      <c r="C6150" s="446" t="s">
        <v>31</v>
      </c>
      <c r="D6150" s="448">
        <v>428.48</v>
      </c>
      <c r="E6150" s="210"/>
    </row>
    <row r="6151" spans="1:5" ht="54">
      <c r="A6151" s="446">
        <v>100470</v>
      </c>
      <c r="B6151" s="447" t="s">
        <v>4430</v>
      </c>
      <c r="C6151" s="446" t="s">
        <v>31</v>
      </c>
      <c r="D6151" s="448">
        <v>378.22</v>
      </c>
      <c r="E6151" s="210"/>
    </row>
    <row r="6152" spans="1:5" ht="54">
      <c r="A6152" s="446">
        <v>100472</v>
      </c>
      <c r="B6152" s="447" t="s">
        <v>4431</v>
      </c>
      <c r="C6152" s="446" t="s">
        <v>31</v>
      </c>
      <c r="D6152" s="448">
        <v>407.55</v>
      </c>
      <c r="E6152" s="210"/>
    </row>
    <row r="6153" spans="1:5" ht="54">
      <c r="A6153" s="446">
        <v>100473</v>
      </c>
      <c r="B6153" s="447" t="s">
        <v>4432</v>
      </c>
      <c r="C6153" s="446" t="s">
        <v>31</v>
      </c>
      <c r="D6153" s="448">
        <v>379.15</v>
      </c>
      <c r="E6153" s="210"/>
    </row>
    <row r="6154" spans="1:5" ht="54">
      <c r="A6154" s="446">
        <v>100474</v>
      </c>
      <c r="B6154" s="447" t="s">
        <v>4433</v>
      </c>
      <c r="C6154" s="446" t="s">
        <v>31</v>
      </c>
      <c r="D6154" s="448">
        <v>368.02</v>
      </c>
      <c r="E6154" s="210"/>
    </row>
    <row r="6155" spans="1:5" ht="54">
      <c r="A6155" s="446">
        <v>100475</v>
      </c>
      <c r="B6155" s="447" t="s">
        <v>4434</v>
      </c>
      <c r="C6155" s="446" t="s">
        <v>31</v>
      </c>
      <c r="D6155" s="448">
        <v>547.29999999999995</v>
      </c>
      <c r="E6155" s="210"/>
    </row>
    <row r="6156" spans="1:5" ht="67.5">
      <c r="A6156" s="446">
        <v>100477</v>
      </c>
      <c r="B6156" s="447" t="s">
        <v>4435</v>
      </c>
      <c r="C6156" s="446" t="s">
        <v>31</v>
      </c>
      <c r="D6156" s="448">
        <v>581.34</v>
      </c>
      <c r="E6156" s="210"/>
    </row>
    <row r="6157" spans="1:5" ht="67.5">
      <c r="A6157" s="446">
        <v>100478</v>
      </c>
      <c r="B6157" s="447" t="s">
        <v>4436</v>
      </c>
      <c r="C6157" s="446" t="s">
        <v>31</v>
      </c>
      <c r="D6157" s="448">
        <v>537.97</v>
      </c>
      <c r="E6157" s="210"/>
    </row>
    <row r="6158" spans="1:5" ht="67.5">
      <c r="A6158" s="446">
        <v>100479</v>
      </c>
      <c r="B6158" s="447" t="s">
        <v>4437</v>
      </c>
      <c r="C6158" s="446" t="s">
        <v>31</v>
      </c>
      <c r="D6158" s="448">
        <v>530</v>
      </c>
      <c r="E6158" s="210"/>
    </row>
    <row r="6159" spans="1:5" ht="54">
      <c r="A6159" s="446">
        <v>100480</v>
      </c>
      <c r="B6159" s="447" t="s">
        <v>4438</v>
      </c>
      <c r="C6159" s="446" t="s">
        <v>31</v>
      </c>
      <c r="D6159" s="448">
        <v>620.78</v>
      </c>
      <c r="E6159" s="210"/>
    </row>
    <row r="6160" spans="1:5" ht="54">
      <c r="A6160" s="446">
        <v>100481</v>
      </c>
      <c r="B6160" s="447" t="s">
        <v>4439</v>
      </c>
      <c r="C6160" s="446" t="s">
        <v>31</v>
      </c>
      <c r="D6160" s="448">
        <v>468.21</v>
      </c>
      <c r="E6160" s="210"/>
    </row>
    <row r="6161" spans="1:5" ht="67.5">
      <c r="A6161" s="446">
        <v>100483</v>
      </c>
      <c r="B6161" s="447" t="s">
        <v>4440</v>
      </c>
      <c r="C6161" s="446" t="s">
        <v>31</v>
      </c>
      <c r="D6161" s="448">
        <v>493.97</v>
      </c>
      <c r="E6161" s="210"/>
    </row>
    <row r="6162" spans="1:5" ht="67.5">
      <c r="A6162" s="446">
        <v>100484</v>
      </c>
      <c r="B6162" s="447" t="s">
        <v>4441</v>
      </c>
      <c r="C6162" s="446" t="s">
        <v>31</v>
      </c>
      <c r="D6162" s="448">
        <v>466.43</v>
      </c>
      <c r="E6162" s="210"/>
    </row>
    <row r="6163" spans="1:5" ht="67.5">
      <c r="A6163" s="446">
        <v>100485</v>
      </c>
      <c r="B6163" s="447" t="s">
        <v>4442</v>
      </c>
      <c r="C6163" s="446" t="s">
        <v>31</v>
      </c>
      <c r="D6163" s="448">
        <v>456.93</v>
      </c>
      <c r="E6163" s="210"/>
    </row>
    <row r="6164" spans="1:5" ht="54">
      <c r="A6164" s="446">
        <v>100486</v>
      </c>
      <c r="B6164" s="447" t="s">
        <v>4443</v>
      </c>
      <c r="C6164" s="446" t="s">
        <v>31</v>
      </c>
      <c r="D6164" s="448">
        <v>545.51</v>
      </c>
      <c r="E6164" s="210"/>
    </row>
    <row r="6165" spans="1:5" ht="81">
      <c r="A6165" s="446">
        <v>100487</v>
      </c>
      <c r="B6165" s="447" t="s">
        <v>4444</v>
      </c>
      <c r="C6165" s="446" t="s">
        <v>31</v>
      </c>
      <c r="D6165" s="448">
        <v>373.18</v>
      </c>
      <c r="E6165" s="210"/>
    </row>
    <row r="6166" spans="1:5" ht="54">
      <c r="A6166" s="446">
        <v>100488</v>
      </c>
      <c r="B6166" s="447" t="s">
        <v>4445</v>
      </c>
      <c r="C6166" s="446" t="s">
        <v>31</v>
      </c>
      <c r="D6166" s="448">
        <v>411.55</v>
      </c>
      <c r="E6166" s="210"/>
    </row>
    <row r="6167" spans="1:5" ht="54">
      <c r="A6167" s="446">
        <v>100489</v>
      </c>
      <c r="B6167" s="447" t="s">
        <v>4446</v>
      </c>
      <c r="C6167" s="446" t="s">
        <v>31</v>
      </c>
      <c r="D6167" s="448">
        <v>436.29</v>
      </c>
      <c r="E6167" s="210"/>
    </row>
    <row r="6168" spans="1:5" ht="54">
      <c r="A6168" s="446">
        <v>100490</v>
      </c>
      <c r="B6168" s="447" t="s">
        <v>4447</v>
      </c>
      <c r="C6168" s="446" t="s">
        <v>31</v>
      </c>
      <c r="D6168" s="448">
        <v>380.47</v>
      </c>
      <c r="E6168" s="210"/>
    </row>
    <row r="6169" spans="1:5" ht="54">
      <c r="A6169" s="446">
        <v>100491</v>
      </c>
      <c r="B6169" s="447" t="s">
        <v>4448</v>
      </c>
      <c r="C6169" s="446" t="s">
        <v>31</v>
      </c>
      <c r="D6169" s="448">
        <v>549.41999999999996</v>
      </c>
      <c r="E6169" s="210"/>
    </row>
    <row r="6170" spans="1:5" ht="54">
      <c r="A6170" s="446">
        <v>100492</v>
      </c>
      <c r="B6170" s="447" t="s">
        <v>4449</v>
      </c>
      <c r="C6170" s="446" t="s">
        <v>31</v>
      </c>
      <c r="D6170" s="448">
        <v>470.73</v>
      </c>
      <c r="E6170" s="210"/>
    </row>
    <row r="6171" spans="1:5" ht="27">
      <c r="A6171" s="446">
        <v>92121</v>
      </c>
      <c r="B6171" s="447" t="s">
        <v>466</v>
      </c>
      <c r="C6171" s="446" t="s">
        <v>31</v>
      </c>
      <c r="D6171" s="448">
        <v>20.58</v>
      </c>
      <c r="E6171" s="210"/>
    </row>
    <row r="6172" spans="1:5" ht="27">
      <c r="A6172" s="446">
        <v>92122</v>
      </c>
      <c r="B6172" s="447" t="s">
        <v>467</v>
      </c>
      <c r="C6172" s="446" t="s">
        <v>31</v>
      </c>
      <c r="D6172" s="448">
        <v>33.61</v>
      </c>
      <c r="E6172" s="210"/>
    </row>
    <row r="6173" spans="1:5" ht="13.5">
      <c r="A6173" s="446">
        <v>92123</v>
      </c>
      <c r="B6173" s="447" t="s">
        <v>468</v>
      </c>
      <c r="C6173" s="446" t="s">
        <v>31</v>
      </c>
      <c r="D6173" s="448">
        <v>35.119999999999997</v>
      </c>
      <c r="E6173" s="210"/>
    </row>
    <row r="6174" spans="1:5" ht="27">
      <c r="A6174" s="446">
        <v>100195</v>
      </c>
      <c r="B6174" s="447" t="s">
        <v>4097</v>
      </c>
      <c r="C6174" s="446" t="s">
        <v>4098</v>
      </c>
      <c r="D6174" s="448">
        <v>0.51</v>
      </c>
      <c r="E6174" s="210"/>
    </row>
    <row r="6175" spans="1:5" ht="27">
      <c r="A6175" s="446">
        <v>100196</v>
      </c>
      <c r="B6175" s="447" t="s">
        <v>4099</v>
      </c>
      <c r="C6175" s="446" t="s">
        <v>4098</v>
      </c>
      <c r="D6175" s="448">
        <v>0.85</v>
      </c>
      <c r="E6175" s="210"/>
    </row>
    <row r="6176" spans="1:5" ht="27">
      <c r="A6176" s="446">
        <v>100197</v>
      </c>
      <c r="B6176" s="447" t="s">
        <v>4100</v>
      </c>
      <c r="C6176" s="446" t="s">
        <v>4098</v>
      </c>
      <c r="D6176" s="448">
        <v>1.28</v>
      </c>
      <c r="E6176" s="210"/>
    </row>
    <row r="6177" spans="1:5" ht="40.5">
      <c r="A6177" s="446">
        <v>100198</v>
      </c>
      <c r="B6177" s="447" t="s">
        <v>4101</v>
      </c>
      <c r="C6177" s="446" t="s">
        <v>4098</v>
      </c>
      <c r="D6177" s="448">
        <v>0.17</v>
      </c>
      <c r="E6177" s="210"/>
    </row>
    <row r="6178" spans="1:5" ht="40.5">
      <c r="A6178" s="446">
        <v>100199</v>
      </c>
      <c r="B6178" s="447" t="s">
        <v>4102</v>
      </c>
      <c r="C6178" s="446" t="s">
        <v>4098</v>
      </c>
      <c r="D6178" s="448">
        <v>0.21</v>
      </c>
      <c r="E6178" s="210"/>
    </row>
    <row r="6179" spans="1:5" ht="40.5">
      <c r="A6179" s="446">
        <v>100200</v>
      </c>
      <c r="B6179" s="447" t="s">
        <v>4103</v>
      </c>
      <c r="C6179" s="446" t="s">
        <v>4098</v>
      </c>
      <c r="D6179" s="448">
        <v>0.26</v>
      </c>
      <c r="E6179" s="210"/>
    </row>
    <row r="6180" spans="1:5" ht="40.5">
      <c r="A6180" s="446">
        <v>100201</v>
      </c>
      <c r="B6180" s="447" t="s">
        <v>4104</v>
      </c>
      <c r="C6180" s="446" t="s">
        <v>4098</v>
      </c>
      <c r="D6180" s="448">
        <v>0.52</v>
      </c>
      <c r="E6180" s="210"/>
    </row>
    <row r="6181" spans="1:5" ht="40.5">
      <c r="A6181" s="446">
        <v>100202</v>
      </c>
      <c r="B6181" s="447" t="s">
        <v>4105</v>
      </c>
      <c r="C6181" s="446" t="s">
        <v>4098</v>
      </c>
      <c r="D6181" s="448">
        <v>0.61</v>
      </c>
      <c r="E6181" s="210"/>
    </row>
    <row r="6182" spans="1:5" ht="40.5">
      <c r="A6182" s="446">
        <v>100203</v>
      </c>
      <c r="B6182" s="447" t="s">
        <v>4106</v>
      </c>
      <c r="C6182" s="446" t="s">
        <v>4098</v>
      </c>
      <c r="D6182" s="448">
        <v>0.72</v>
      </c>
      <c r="E6182" s="210"/>
    </row>
    <row r="6183" spans="1:5" ht="40.5">
      <c r="A6183" s="446">
        <v>100204</v>
      </c>
      <c r="B6183" s="447" t="s">
        <v>4107</v>
      </c>
      <c r="C6183" s="446" t="s">
        <v>4098</v>
      </c>
      <c r="D6183" s="448">
        <v>7.0000000000000007E-2</v>
      </c>
      <c r="E6183" s="210"/>
    </row>
    <row r="6184" spans="1:5" ht="40.5">
      <c r="A6184" s="446">
        <v>100205</v>
      </c>
      <c r="B6184" s="447" t="s">
        <v>4108</v>
      </c>
      <c r="C6184" s="446" t="s">
        <v>90</v>
      </c>
      <c r="D6184" s="448">
        <v>957.65</v>
      </c>
      <c r="E6184" s="210"/>
    </row>
    <row r="6185" spans="1:5" ht="40.5">
      <c r="A6185" s="446">
        <v>100206</v>
      </c>
      <c r="B6185" s="447" t="s">
        <v>4109</v>
      </c>
      <c r="C6185" s="446" t="s">
        <v>90</v>
      </c>
      <c r="D6185" s="448">
        <v>692.22</v>
      </c>
      <c r="E6185" s="210"/>
    </row>
    <row r="6186" spans="1:5" ht="40.5">
      <c r="A6186" s="446">
        <v>100207</v>
      </c>
      <c r="B6186" s="447" t="s">
        <v>4110</v>
      </c>
      <c r="C6186" s="446" t="s">
        <v>90</v>
      </c>
      <c r="D6186" s="448">
        <v>292.60000000000002</v>
      </c>
      <c r="E6186" s="210"/>
    </row>
    <row r="6187" spans="1:5" ht="54">
      <c r="A6187" s="446">
        <v>100208</v>
      </c>
      <c r="B6187" s="447" t="s">
        <v>4111</v>
      </c>
      <c r="C6187" s="446" t="s">
        <v>4112</v>
      </c>
      <c r="D6187" s="448">
        <v>12.66</v>
      </c>
      <c r="E6187" s="210"/>
    </row>
    <row r="6188" spans="1:5" ht="54">
      <c r="A6188" s="446">
        <v>100209</v>
      </c>
      <c r="B6188" s="447" t="s">
        <v>4113</v>
      </c>
      <c r="C6188" s="446" t="s">
        <v>4112</v>
      </c>
      <c r="D6188" s="448">
        <v>6.33</v>
      </c>
      <c r="E6188" s="210"/>
    </row>
    <row r="6189" spans="1:5" ht="54">
      <c r="A6189" s="446">
        <v>100210</v>
      </c>
      <c r="B6189" s="447" t="s">
        <v>4114</v>
      </c>
      <c r="C6189" s="446" t="s">
        <v>4112</v>
      </c>
      <c r="D6189" s="448">
        <v>11.67</v>
      </c>
      <c r="E6189" s="210"/>
    </row>
    <row r="6190" spans="1:5" ht="54">
      <c r="A6190" s="446">
        <v>100211</v>
      </c>
      <c r="B6190" s="447" t="s">
        <v>4115</v>
      </c>
      <c r="C6190" s="446" t="s">
        <v>4112</v>
      </c>
      <c r="D6190" s="448">
        <v>4.5</v>
      </c>
      <c r="E6190" s="210"/>
    </row>
    <row r="6191" spans="1:5" ht="54">
      <c r="A6191" s="446">
        <v>100212</v>
      </c>
      <c r="B6191" s="447" t="s">
        <v>4116</v>
      </c>
      <c r="C6191" s="446" t="s">
        <v>4112</v>
      </c>
      <c r="D6191" s="448">
        <v>4.97</v>
      </c>
      <c r="E6191" s="210"/>
    </row>
    <row r="6192" spans="1:5" ht="54">
      <c r="A6192" s="446">
        <v>100213</v>
      </c>
      <c r="B6192" s="447" t="s">
        <v>4117</v>
      </c>
      <c r="C6192" s="446" t="s">
        <v>4112</v>
      </c>
      <c r="D6192" s="448">
        <v>1.78</v>
      </c>
      <c r="E6192" s="210"/>
    </row>
    <row r="6193" spans="1:5" ht="54">
      <c r="A6193" s="446">
        <v>100214</v>
      </c>
      <c r="B6193" s="447" t="s">
        <v>4118</v>
      </c>
      <c r="C6193" s="446" t="s">
        <v>4112</v>
      </c>
      <c r="D6193" s="448">
        <v>2.74</v>
      </c>
      <c r="E6193" s="210"/>
    </row>
    <row r="6194" spans="1:5" ht="54">
      <c r="A6194" s="446">
        <v>100215</v>
      </c>
      <c r="B6194" s="447" t="s">
        <v>4119</v>
      </c>
      <c r="C6194" s="446" t="s">
        <v>4112</v>
      </c>
      <c r="D6194" s="448">
        <v>2.35</v>
      </c>
      <c r="E6194" s="210"/>
    </row>
    <row r="6195" spans="1:5" ht="54">
      <c r="A6195" s="446">
        <v>100216</v>
      </c>
      <c r="B6195" s="447" t="s">
        <v>4120</v>
      </c>
      <c r="C6195" s="446" t="s">
        <v>4112</v>
      </c>
      <c r="D6195" s="448">
        <v>0.63</v>
      </c>
      <c r="E6195" s="210"/>
    </row>
    <row r="6196" spans="1:5" ht="54">
      <c r="A6196" s="446">
        <v>100217</v>
      </c>
      <c r="B6196" s="447" t="s">
        <v>4121</v>
      </c>
      <c r="C6196" s="446" t="s">
        <v>4112</v>
      </c>
      <c r="D6196" s="448">
        <v>2.13</v>
      </c>
      <c r="E6196" s="210"/>
    </row>
    <row r="6197" spans="1:5" ht="54">
      <c r="A6197" s="446">
        <v>100218</v>
      </c>
      <c r="B6197" s="447" t="s">
        <v>4122</v>
      </c>
      <c r="C6197" s="446" t="s">
        <v>4112</v>
      </c>
      <c r="D6197" s="448">
        <v>1.46</v>
      </c>
      <c r="E6197" s="210"/>
    </row>
    <row r="6198" spans="1:5" ht="54">
      <c r="A6198" s="446">
        <v>100219</v>
      </c>
      <c r="B6198" s="447" t="s">
        <v>4123</v>
      </c>
      <c r="C6198" s="446" t="s">
        <v>4112</v>
      </c>
      <c r="D6198" s="448">
        <v>0.32</v>
      </c>
      <c r="E6198" s="210"/>
    </row>
    <row r="6199" spans="1:5" ht="40.5">
      <c r="A6199" s="446">
        <v>100220</v>
      </c>
      <c r="B6199" s="447" t="s">
        <v>4124</v>
      </c>
      <c r="C6199" s="446" t="s">
        <v>4125</v>
      </c>
      <c r="D6199" s="448">
        <v>18.2</v>
      </c>
      <c r="E6199" s="210"/>
    </row>
    <row r="6200" spans="1:5" ht="40.5">
      <c r="A6200" s="446">
        <v>100221</v>
      </c>
      <c r="B6200" s="447" t="s">
        <v>4126</v>
      </c>
      <c r="C6200" s="446" t="s">
        <v>4125</v>
      </c>
      <c r="D6200" s="448">
        <v>20.63</v>
      </c>
      <c r="E6200" s="210"/>
    </row>
    <row r="6201" spans="1:5" ht="40.5">
      <c r="A6201" s="446">
        <v>100222</v>
      </c>
      <c r="B6201" s="447" t="s">
        <v>4127</v>
      </c>
      <c r="C6201" s="446" t="s">
        <v>4125</v>
      </c>
      <c r="D6201" s="448">
        <v>7.81</v>
      </c>
      <c r="E6201" s="210"/>
    </row>
    <row r="6202" spans="1:5" ht="40.5">
      <c r="A6202" s="446">
        <v>100223</v>
      </c>
      <c r="B6202" s="447" t="s">
        <v>4128</v>
      </c>
      <c r="C6202" s="446" t="s">
        <v>4125</v>
      </c>
      <c r="D6202" s="448">
        <v>3.65</v>
      </c>
      <c r="E6202" s="210"/>
    </row>
    <row r="6203" spans="1:5" ht="40.5">
      <c r="A6203" s="446">
        <v>100224</v>
      </c>
      <c r="B6203" s="447" t="s">
        <v>4129</v>
      </c>
      <c r="C6203" s="446" t="s">
        <v>4125</v>
      </c>
      <c r="D6203" s="448">
        <v>2.13</v>
      </c>
      <c r="E6203" s="210"/>
    </row>
    <row r="6204" spans="1:5" ht="40.5">
      <c r="A6204" s="446">
        <v>100225</v>
      </c>
      <c r="B6204" s="447" t="s">
        <v>4130</v>
      </c>
      <c r="C6204" s="446" t="s">
        <v>4131</v>
      </c>
      <c r="D6204" s="448">
        <v>1.43</v>
      </c>
      <c r="E6204" s="210"/>
    </row>
    <row r="6205" spans="1:5" ht="40.5">
      <c r="A6205" s="446">
        <v>100226</v>
      </c>
      <c r="B6205" s="447" t="s">
        <v>4132</v>
      </c>
      <c r="C6205" s="446" t="s">
        <v>4131</v>
      </c>
      <c r="D6205" s="448">
        <v>0.45</v>
      </c>
      <c r="E6205" s="210"/>
    </row>
    <row r="6206" spans="1:5" ht="40.5">
      <c r="A6206" s="446">
        <v>100227</v>
      </c>
      <c r="B6206" s="447" t="s">
        <v>4133</v>
      </c>
      <c r="C6206" s="446" t="s">
        <v>4131</v>
      </c>
      <c r="D6206" s="448">
        <v>0.66</v>
      </c>
      <c r="E6206" s="210"/>
    </row>
    <row r="6207" spans="1:5" ht="40.5">
      <c r="A6207" s="446">
        <v>100228</v>
      </c>
      <c r="B6207" s="447" t="s">
        <v>4134</v>
      </c>
      <c r="C6207" s="446" t="s">
        <v>4131</v>
      </c>
      <c r="D6207" s="448">
        <v>0.2</v>
      </c>
      <c r="E6207" s="210"/>
    </row>
    <row r="6208" spans="1:5" ht="40.5">
      <c r="A6208" s="446">
        <v>100229</v>
      </c>
      <c r="B6208" s="447" t="s">
        <v>4135</v>
      </c>
      <c r="C6208" s="446" t="s">
        <v>17</v>
      </c>
      <c r="D6208" s="448">
        <v>0</v>
      </c>
      <c r="E6208" s="210"/>
    </row>
    <row r="6209" spans="1:5" ht="40.5">
      <c r="A6209" s="446">
        <v>100230</v>
      </c>
      <c r="B6209" s="447" t="s">
        <v>4136</v>
      </c>
      <c r="C6209" s="446" t="s">
        <v>17</v>
      </c>
      <c r="D6209" s="448">
        <v>0.01</v>
      </c>
      <c r="E6209" s="210"/>
    </row>
    <row r="6210" spans="1:5" ht="40.5">
      <c r="A6210" s="446">
        <v>100231</v>
      </c>
      <c r="B6210" s="447" t="s">
        <v>4137</v>
      </c>
      <c r="C6210" s="446" t="s">
        <v>17</v>
      </c>
      <c r="D6210" s="448">
        <v>0.02</v>
      </c>
      <c r="E6210" s="210"/>
    </row>
    <row r="6211" spans="1:5" ht="54">
      <c r="A6211" s="446">
        <v>100232</v>
      </c>
      <c r="B6211" s="447" t="s">
        <v>4138</v>
      </c>
      <c r="C6211" s="446" t="s">
        <v>34</v>
      </c>
      <c r="D6211" s="448">
        <v>0.24</v>
      </c>
      <c r="E6211" s="210"/>
    </row>
    <row r="6212" spans="1:5" ht="54">
      <c r="A6212" s="446">
        <v>100233</v>
      </c>
      <c r="B6212" s="447" t="s">
        <v>4139</v>
      </c>
      <c r="C6212" s="446" t="s">
        <v>34</v>
      </c>
      <c r="D6212" s="448">
        <v>0.12</v>
      </c>
      <c r="E6212" s="210"/>
    </row>
    <row r="6213" spans="1:5" ht="40.5">
      <c r="A6213" s="446">
        <v>100234</v>
      </c>
      <c r="B6213" s="447" t="s">
        <v>4140</v>
      </c>
      <c r="C6213" s="446" t="s">
        <v>42</v>
      </c>
      <c r="D6213" s="448">
        <v>0.36</v>
      </c>
      <c r="E6213" s="210"/>
    </row>
    <row r="6214" spans="1:5" ht="40.5">
      <c r="A6214" s="446">
        <v>100235</v>
      </c>
      <c r="B6214" s="447" t="s">
        <v>4141</v>
      </c>
      <c r="C6214" s="446" t="s">
        <v>50</v>
      </c>
      <c r="D6214" s="448">
        <v>0.02</v>
      </c>
      <c r="E6214" s="210"/>
    </row>
    <row r="6215" spans="1:5" ht="54">
      <c r="A6215" s="446">
        <v>100236</v>
      </c>
      <c r="B6215" s="447" t="s">
        <v>4142</v>
      </c>
      <c r="C6215" s="446" t="s">
        <v>4143</v>
      </c>
      <c r="D6215" s="448">
        <v>1.81</v>
      </c>
      <c r="E6215" s="210"/>
    </row>
    <row r="6216" spans="1:5" ht="54">
      <c r="A6216" s="446">
        <v>100237</v>
      </c>
      <c r="B6216" s="447" t="s">
        <v>4144</v>
      </c>
      <c r="C6216" s="446" t="s">
        <v>4143</v>
      </c>
      <c r="D6216" s="448">
        <v>2.17</v>
      </c>
      <c r="E6216" s="210"/>
    </row>
    <row r="6217" spans="1:5" ht="40.5">
      <c r="A6217" s="446">
        <v>100238</v>
      </c>
      <c r="B6217" s="447" t="s">
        <v>4145</v>
      </c>
      <c r="C6217" s="446" t="s">
        <v>4143</v>
      </c>
      <c r="D6217" s="448">
        <v>3.48</v>
      </c>
      <c r="E6217" s="210"/>
    </row>
    <row r="6218" spans="1:5" ht="54">
      <c r="A6218" s="446">
        <v>100239</v>
      </c>
      <c r="B6218" s="447" t="s">
        <v>4146</v>
      </c>
      <c r="C6218" s="446" t="s">
        <v>4143</v>
      </c>
      <c r="D6218" s="448">
        <v>4.3499999999999996</v>
      </c>
      <c r="E6218" s="210"/>
    </row>
    <row r="6219" spans="1:5" ht="54">
      <c r="A6219" s="446">
        <v>100240</v>
      </c>
      <c r="B6219" s="447" t="s">
        <v>4147</v>
      </c>
      <c r="C6219" s="446" t="s">
        <v>4143</v>
      </c>
      <c r="D6219" s="448">
        <v>2.61</v>
      </c>
      <c r="E6219" s="210"/>
    </row>
    <row r="6220" spans="1:5" ht="54">
      <c r="A6220" s="446">
        <v>100241</v>
      </c>
      <c r="B6220" s="447" t="s">
        <v>4148</v>
      </c>
      <c r="C6220" s="446" t="s">
        <v>4143</v>
      </c>
      <c r="D6220" s="448">
        <v>4.3499999999999996</v>
      </c>
      <c r="E6220" s="210"/>
    </row>
    <row r="6221" spans="1:5" ht="54">
      <c r="A6221" s="446">
        <v>100242</v>
      </c>
      <c r="B6221" s="447" t="s">
        <v>4149</v>
      </c>
      <c r="C6221" s="446" t="s">
        <v>4143</v>
      </c>
      <c r="D6221" s="448">
        <v>12.86</v>
      </c>
      <c r="E6221" s="210"/>
    </row>
    <row r="6222" spans="1:5" ht="54">
      <c r="A6222" s="446">
        <v>100243</v>
      </c>
      <c r="B6222" s="447" t="s">
        <v>4150</v>
      </c>
      <c r="C6222" s="446" t="s">
        <v>4143</v>
      </c>
      <c r="D6222" s="448">
        <v>2.09</v>
      </c>
      <c r="E6222" s="210"/>
    </row>
    <row r="6223" spans="1:5" ht="54">
      <c r="A6223" s="446">
        <v>100244</v>
      </c>
      <c r="B6223" s="447" t="s">
        <v>4151</v>
      </c>
      <c r="C6223" s="446" t="s">
        <v>4143</v>
      </c>
      <c r="D6223" s="448">
        <v>2.61</v>
      </c>
      <c r="E6223" s="210"/>
    </row>
    <row r="6224" spans="1:5" ht="54">
      <c r="A6224" s="446">
        <v>100245</v>
      </c>
      <c r="B6224" s="447" t="s">
        <v>4152</v>
      </c>
      <c r="C6224" s="446" t="s">
        <v>4143</v>
      </c>
      <c r="D6224" s="448">
        <v>5.22</v>
      </c>
      <c r="E6224" s="210"/>
    </row>
    <row r="6225" spans="1:5" ht="81">
      <c r="A6225" s="446">
        <v>100246</v>
      </c>
      <c r="B6225" s="447" t="s">
        <v>4153</v>
      </c>
      <c r="C6225" s="446" t="s">
        <v>4143</v>
      </c>
      <c r="D6225" s="448">
        <v>1.74</v>
      </c>
      <c r="E6225" s="210"/>
    </row>
    <row r="6226" spans="1:5" ht="81">
      <c r="A6226" s="446">
        <v>100247</v>
      </c>
      <c r="B6226" s="447" t="s">
        <v>4154</v>
      </c>
      <c r="C6226" s="446" t="s">
        <v>4143</v>
      </c>
      <c r="D6226" s="448">
        <v>2.17</v>
      </c>
      <c r="E6226" s="210"/>
    </row>
    <row r="6227" spans="1:5" ht="81">
      <c r="A6227" s="446">
        <v>100248</v>
      </c>
      <c r="B6227" s="447" t="s">
        <v>4155</v>
      </c>
      <c r="C6227" s="446" t="s">
        <v>4143</v>
      </c>
      <c r="D6227" s="448">
        <v>8.57</v>
      </c>
      <c r="E6227" s="210"/>
    </row>
    <row r="6228" spans="1:5" ht="67.5">
      <c r="A6228" s="446">
        <v>100249</v>
      </c>
      <c r="B6228" s="447" t="s">
        <v>4156</v>
      </c>
      <c r="C6228" s="446" t="s">
        <v>4143</v>
      </c>
      <c r="D6228" s="448">
        <v>1.74</v>
      </c>
      <c r="E6228" s="210"/>
    </row>
    <row r="6229" spans="1:5" ht="67.5">
      <c r="A6229" s="446">
        <v>100250</v>
      </c>
      <c r="B6229" s="447" t="s">
        <v>4157</v>
      </c>
      <c r="C6229" s="446" t="s">
        <v>4143</v>
      </c>
      <c r="D6229" s="448">
        <v>2.9</v>
      </c>
      <c r="E6229" s="210"/>
    </row>
    <row r="6230" spans="1:5" ht="67.5">
      <c r="A6230" s="446">
        <v>100251</v>
      </c>
      <c r="B6230" s="447" t="s">
        <v>4158</v>
      </c>
      <c r="C6230" s="446" t="s">
        <v>4143</v>
      </c>
      <c r="D6230" s="448">
        <v>8.57</v>
      </c>
      <c r="E6230" s="210"/>
    </row>
    <row r="6231" spans="1:5" ht="67.5">
      <c r="A6231" s="446">
        <v>100252</v>
      </c>
      <c r="B6231" s="447" t="s">
        <v>4159</v>
      </c>
      <c r="C6231" s="446" t="s">
        <v>4143</v>
      </c>
      <c r="D6231" s="448">
        <v>12.86</v>
      </c>
      <c r="E6231" s="210"/>
    </row>
    <row r="6232" spans="1:5" ht="67.5">
      <c r="A6232" s="446">
        <v>100253</v>
      </c>
      <c r="B6232" s="447" t="s">
        <v>4160</v>
      </c>
      <c r="C6232" s="446" t="s">
        <v>4143</v>
      </c>
      <c r="D6232" s="448">
        <v>17.149999999999999</v>
      </c>
      <c r="E6232" s="210"/>
    </row>
    <row r="6233" spans="1:5" ht="67.5">
      <c r="A6233" s="446">
        <v>100254</v>
      </c>
      <c r="B6233" s="447" t="s">
        <v>4161</v>
      </c>
      <c r="C6233" s="446" t="s">
        <v>4143</v>
      </c>
      <c r="D6233" s="448">
        <v>25.73</v>
      </c>
      <c r="E6233" s="210"/>
    </row>
    <row r="6234" spans="1:5" ht="54">
      <c r="A6234" s="446">
        <v>100255</v>
      </c>
      <c r="B6234" s="447" t="s">
        <v>4162</v>
      </c>
      <c r="C6234" s="446" t="s">
        <v>4143</v>
      </c>
      <c r="D6234" s="448">
        <v>8.6999999999999993</v>
      </c>
      <c r="E6234" s="210"/>
    </row>
    <row r="6235" spans="1:5" ht="54">
      <c r="A6235" s="446">
        <v>100256</v>
      </c>
      <c r="B6235" s="447" t="s">
        <v>4163</v>
      </c>
      <c r="C6235" s="446" t="s">
        <v>4143</v>
      </c>
      <c r="D6235" s="448">
        <v>5.8</v>
      </c>
      <c r="E6235" s="210"/>
    </row>
    <row r="6236" spans="1:5" ht="54">
      <c r="A6236" s="446">
        <v>100257</v>
      </c>
      <c r="B6236" s="447" t="s">
        <v>4164</v>
      </c>
      <c r="C6236" s="446" t="s">
        <v>4143</v>
      </c>
      <c r="D6236" s="448">
        <v>3.48</v>
      </c>
      <c r="E6236" s="210"/>
    </row>
    <row r="6237" spans="1:5" ht="40.5">
      <c r="A6237" s="446">
        <v>100258</v>
      </c>
      <c r="B6237" s="447" t="s">
        <v>4165</v>
      </c>
      <c r="C6237" s="446" t="s">
        <v>4143</v>
      </c>
      <c r="D6237" s="448">
        <v>8.6999999999999993</v>
      </c>
      <c r="E6237" s="210"/>
    </row>
    <row r="6238" spans="1:5" ht="40.5">
      <c r="A6238" s="446">
        <v>100259</v>
      </c>
      <c r="B6238" s="447" t="s">
        <v>4166</v>
      </c>
      <c r="C6238" s="446" t="s">
        <v>4143</v>
      </c>
      <c r="D6238" s="448">
        <v>17.149999999999999</v>
      </c>
      <c r="E6238" s="210"/>
    </row>
    <row r="6239" spans="1:5" ht="40.5">
      <c r="A6239" s="446">
        <v>100260</v>
      </c>
      <c r="B6239" s="447" t="s">
        <v>4167</v>
      </c>
      <c r="C6239" s="446" t="s">
        <v>4098</v>
      </c>
      <c r="D6239" s="448">
        <v>5.65</v>
      </c>
      <c r="E6239" s="210"/>
    </row>
    <row r="6240" spans="1:5" ht="40.5">
      <c r="A6240" s="446">
        <v>100261</v>
      </c>
      <c r="B6240" s="447" t="s">
        <v>4168</v>
      </c>
      <c r="C6240" s="446" t="s">
        <v>4098</v>
      </c>
      <c r="D6240" s="448">
        <v>3.55</v>
      </c>
      <c r="E6240" s="210"/>
    </row>
    <row r="6241" spans="1:5" ht="40.5">
      <c r="A6241" s="446">
        <v>100262</v>
      </c>
      <c r="B6241" s="447" t="s">
        <v>4169</v>
      </c>
      <c r="C6241" s="446" t="s">
        <v>4098</v>
      </c>
      <c r="D6241" s="448">
        <v>2.2000000000000002</v>
      </c>
      <c r="E6241" s="210"/>
    </row>
    <row r="6242" spans="1:5" ht="54">
      <c r="A6242" s="446">
        <v>100263</v>
      </c>
      <c r="B6242" s="447" t="s">
        <v>4170</v>
      </c>
      <c r="C6242" s="446" t="s">
        <v>4098</v>
      </c>
      <c r="D6242" s="448">
        <v>1.41</v>
      </c>
      <c r="E6242" s="210"/>
    </row>
    <row r="6243" spans="1:5" ht="27">
      <c r="A6243" s="446">
        <v>100264</v>
      </c>
      <c r="B6243" s="447" t="s">
        <v>4171</v>
      </c>
      <c r="C6243" s="446" t="s">
        <v>4125</v>
      </c>
      <c r="D6243" s="448">
        <v>25.69</v>
      </c>
      <c r="E6243" s="210"/>
    </row>
    <row r="6244" spans="1:5" ht="40.5">
      <c r="A6244" s="446">
        <v>100265</v>
      </c>
      <c r="B6244" s="447" t="s">
        <v>4172</v>
      </c>
      <c r="C6244" s="446" t="s">
        <v>42</v>
      </c>
      <c r="D6244" s="448">
        <v>0.53</v>
      </c>
      <c r="E6244" s="210"/>
    </row>
    <row r="6245" spans="1:5" ht="27">
      <c r="A6245" s="446">
        <v>100266</v>
      </c>
      <c r="B6245" s="447" t="s">
        <v>4173</v>
      </c>
      <c r="C6245" s="446" t="s">
        <v>4112</v>
      </c>
      <c r="D6245" s="448">
        <v>54.6</v>
      </c>
      <c r="E6245" s="210"/>
    </row>
    <row r="6246" spans="1:5" ht="40.5">
      <c r="A6246" s="446">
        <v>100267</v>
      </c>
      <c r="B6246" s="447" t="s">
        <v>4174</v>
      </c>
      <c r="C6246" s="446" t="s">
        <v>34</v>
      </c>
      <c r="D6246" s="448">
        <v>1.08</v>
      </c>
      <c r="E6246" s="210"/>
    </row>
    <row r="6247" spans="1:5" ht="67.5">
      <c r="A6247" s="446">
        <v>100268</v>
      </c>
      <c r="B6247" s="447" t="s">
        <v>4175</v>
      </c>
      <c r="C6247" s="446" t="s">
        <v>4112</v>
      </c>
      <c r="D6247" s="448">
        <v>54.6</v>
      </c>
      <c r="E6247" s="210"/>
    </row>
    <row r="6248" spans="1:5" ht="51" customHeight="1">
      <c r="A6248" s="446">
        <v>100269</v>
      </c>
      <c r="B6248" s="447" t="s">
        <v>4176</v>
      </c>
      <c r="C6248" s="446" t="s">
        <v>34</v>
      </c>
      <c r="D6248" s="448">
        <v>1.08</v>
      </c>
      <c r="E6248" s="210"/>
    </row>
    <row r="6249" spans="1:5" ht="67.5">
      <c r="A6249" s="446">
        <v>100270</v>
      </c>
      <c r="B6249" s="447" t="s">
        <v>4177</v>
      </c>
      <c r="C6249" s="446" t="s">
        <v>4112</v>
      </c>
      <c r="D6249" s="448">
        <v>40.92</v>
      </c>
      <c r="E6249" s="210"/>
    </row>
    <row r="6250" spans="1:5" ht="27">
      <c r="A6250" s="446">
        <v>100271</v>
      </c>
      <c r="B6250" s="447" t="s">
        <v>4178</v>
      </c>
      <c r="C6250" s="446" t="s">
        <v>4125</v>
      </c>
      <c r="D6250" s="448">
        <v>40.950000000000003</v>
      </c>
      <c r="E6250" s="210"/>
    </row>
    <row r="6251" spans="1:5" ht="40.5">
      <c r="A6251" s="446">
        <v>100272</v>
      </c>
      <c r="B6251" s="447" t="s">
        <v>4179</v>
      </c>
      <c r="C6251" s="446" t="s">
        <v>42</v>
      </c>
      <c r="D6251" s="448">
        <v>0.81</v>
      </c>
      <c r="E6251" s="210"/>
    </row>
    <row r="6252" spans="1:5" ht="27">
      <c r="A6252" s="446">
        <v>100273</v>
      </c>
      <c r="B6252" s="447" t="s">
        <v>4180</v>
      </c>
      <c r="C6252" s="446" t="s">
        <v>4098</v>
      </c>
      <c r="D6252" s="448">
        <v>2.13</v>
      </c>
      <c r="E6252" s="210"/>
    </row>
    <row r="6253" spans="1:5" ht="40.5">
      <c r="A6253" s="446">
        <v>100274</v>
      </c>
      <c r="B6253" s="447" t="s">
        <v>4181</v>
      </c>
      <c r="C6253" s="446" t="s">
        <v>4125</v>
      </c>
      <c r="D6253" s="448">
        <v>18.21</v>
      </c>
      <c r="E6253" s="210"/>
    </row>
    <row r="6254" spans="1:5" ht="40.5">
      <c r="A6254" s="446">
        <v>100275</v>
      </c>
      <c r="B6254" s="447" t="s">
        <v>4182</v>
      </c>
      <c r="C6254" s="446" t="s">
        <v>4125</v>
      </c>
      <c r="D6254" s="448">
        <v>11.77</v>
      </c>
      <c r="E6254" s="210"/>
    </row>
    <row r="6255" spans="1:5" ht="54">
      <c r="A6255" s="446">
        <v>100276</v>
      </c>
      <c r="B6255" s="447" t="s">
        <v>4183</v>
      </c>
      <c r="C6255" s="446" t="s">
        <v>4125</v>
      </c>
      <c r="D6255" s="448">
        <v>21.48</v>
      </c>
      <c r="E6255" s="210"/>
    </row>
    <row r="6256" spans="1:5" ht="67.5">
      <c r="A6256" s="446">
        <v>100277</v>
      </c>
      <c r="B6256" s="447" t="s">
        <v>4184</v>
      </c>
      <c r="C6256" s="446" t="s">
        <v>4125</v>
      </c>
      <c r="D6256" s="448">
        <v>1.36</v>
      </c>
      <c r="E6256" s="210"/>
    </row>
    <row r="6257" spans="1:5" ht="40.5">
      <c r="A6257" s="446">
        <v>100278</v>
      </c>
      <c r="B6257" s="447" t="s">
        <v>4185</v>
      </c>
      <c r="C6257" s="446" t="s">
        <v>4112</v>
      </c>
      <c r="D6257" s="448">
        <v>26.12</v>
      </c>
      <c r="E6257" s="210"/>
    </row>
    <row r="6258" spans="1:5" ht="54">
      <c r="A6258" s="446">
        <v>100279</v>
      </c>
      <c r="B6258" s="447" t="s">
        <v>4186</v>
      </c>
      <c r="C6258" s="446" t="s">
        <v>34</v>
      </c>
      <c r="D6258" s="448">
        <v>0.5</v>
      </c>
      <c r="E6258" s="210"/>
    </row>
    <row r="6259" spans="1:5" ht="54">
      <c r="A6259" s="446">
        <v>100280</v>
      </c>
      <c r="B6259" s="447" t="s">
        <v>4187</v>
      </c>
      <c r="C6259" s="446" t="s">
        <v>4112</v>
      </c>
      <c r="D6259" s="448">
        <v>11.99</v>
      </c>
      <c r="E6259" s="210"/>
    </row>
    <row r="6260" spans="1:5" ht="54">
      <c r="A6260" s="446">
        <v>100281</v>
      </c>
      <c r="B6260" s="447" t="s">
        <v>4188</v>
      </c>
      <c r="C6260" s="446" t="s">
        <v>4112</v>
      </c>
      <c r="D6260" s="448">
        <v>2.61</v>
      </c>
      <c r="E6260" s="210"/>
    </row>
    <row r="6261" spans="1:5" ht="40.5">
      <c r="A6261" s="446">
        <v>100282</v>
      </c>
      <c r="B6261" s="447" t="s">
        <v>4189</v>
      </c>
      <c r="C6261" s="446" t="s">
        <v>4125</v>
      </c>
      <c r="D6261" s="448">
        <v>102.29</v>
      </c>
      <c r="E6261" s="210"/>
    </row>
    <row r="6262" spans="1:5" ht="40.5">
      <c r="A6262" s="446">
        <v>100283</v>
      </c>
      <c r="B6262" s="447" t="s">
        <v>4190</v>
      </c>
      <c r="C6262" s="446" t="s">
        <v>4125</v>
      </c>
      <c r="D6262" s="448">
        <v>16.52</v>
      </c>
      <c r="E6262" s="210"/>
    </row>
    <row r="6263" spans="1:5" ht="40.5">
      <c r="A6263" s="446">
        <v>100284</v>
      </c>
      <c r="B6263" s="447" t="s">
        <v>4191</v>
      </c>
      <c r="C6263" s="446" t="s">
        <v>4125</v>
      </c>
      <c r="D6263" s="448">
        <v>7.66</v>
      </c>
      <c r="E6263" s="210"/>
    </row>
    <row r="6264" spans="1:5" ht="40.5">
      <c r="A6264" s="446">
        <v>100285</v>
      </c>
      <c r="B6264" s="447" t="s">
        <v>4192</v>
      </c>
      <c r="C6264" s="446" t="s">
        <v>4143</v>
      </c>
      <c r="D6264" s="448">
        <v>27.48</v>
      </c>
      <c r="E6264" s="210"/>
    </row>
    <row r="6265" spans="1:5" ht="40.5">
      <c r="A6265" s="446">
        <v>100286</v>
      </c>
      <c r="B6265" s="447" t="s">
        <v>4193</v>
      </c>
      <c r="C6265" s="446" t="s">
        <v>4143</v>
      </c>
      <c r="D6265" s="448">
        <v>8.9499999999999993</v>
      </c>
      <c r="E6265" s="210"/>
    </row>
    <row r="6266" spans="1:5" ht="40.5">
      <c r="A6266" s="446">
        <v>100287</v>
      </c>
      <c r="B6266" s="447" t="s">
        <v>4194</v>
      </c>
      <c r="C6266" s="446" t="s">
        <v>4143</v>
      </c>
      <c r="D6266" s="448">
        <v>8.57</v>
      </c>
      <c r="E6266" s="210"/>
    </row>
    <row r="6267" spans="1:5" ht="27">
      <c r="A6267" s="446">
        <v>99802</v>
      </c>
      <c r="B6267" s="447" t="s">
        <v>4195</v>
      </c>
      <c r="C6267" s="446" t="s">
        <v>42</v>
      </c>
      <c r="D6267" s="448">
        <v>0.35</v>
      </c>
      <c r="E6267" s="210"/>
    </row>
    <row r="6268" spans="1:5" ht="27">
      <c r="A6268" s="446">
        <v>99803</v>
      </c>
      <c r="B6268" s="447" t="s">
        <v>4196</v>
      </c>
      <c r="C6268" s="446" t="s">
        <v>42</v>
      </c>
      <c r="D6268" s="448">
        <v>1.35</v>
      </c>
      <c r="E6268" s="210"/>
    </row>
    <row r="6269" spans="1:5" ht="40.5">
      <c r="A6269" s="446">
        <v>99805</v>
      </c>
      <c r="B6269" s="447" t="s">
        <v>4197</v>
      </c>
      <c r="C6269" s="446" t="s">
        <v>42</v>
      </c>
      <c r="D6269" s="448">
        <v>7.13</v>
      </c>
      <c r="E6269" s="210"/>
    </row>
    <row r="6270" spans="1:5" ht="27">
      <c r="A6270" s="446">
        <v>99806</v>
      </c>
      <c r="B6270" s="447" t="s">
        <v>4198</v>
      </c>
      <c r="C6270" s="446" t="s">
        <v>42</v>
      </c>
      <c r="D6270" s="448">
        <v>0.56000000000000005</v>
      </c>
      <c r="E6270" s="210"/>
    </row>
    <row r="6271" spans="1:5" ht="40.5">
      <c r="A6271" s="446">
        <v>99808</v>
      </c>
      <c r="B6271" s="447" t="s">
        <v>4199</v>
      </c>
      <c r="C6271" s="446" t="s">
        <v>42</v>
      </c>
      <c r="D6271" s="448">
        <v>2.36</v>
      </c>
      <c r="E6271" s="210"/>
    </row>
    <row r="6272" spans="1:5" ht="27">
      <c r="A6272" s="446">
        <v>99809</v>
      </c>
      <c r="B6272" s="447" t="s">
        <v>4200</v>
      </c>
      <c r="C6272" s="446" t="s">
        <v>42</v>
      </c>
      <c r="D6272" s="448">
        <v>3.86</v>
      </c>
      <c r="E6272" s="210"/>
    </row>
    <row r="6273" spans="1:5" ht="27">
      <c r="A6273" s="446">
        <v>99811</v>
      </c>
      <c r="B6273" s="447" t="s">
        <v>4201</v>
      </c>
      <c r="C6273" s="446" t="s">
        <v>42</v>
      </c>
      <c r="D6273" s="448">
        <v>2.31</v>
      </c>
      <c r="E6273" s="210"/>
    </row>
    <row r="6274" spans="1:5" ht="27">
      <c r="A6274" s="446">
        <v>99812</v>
      </c>
      <c r="B6274" s="447" t="s">
        <v>4202</v>
      </c>
      <c r="C6274" s="446" t="s">
        <v>42</v>
      </c>
      <c r="D6274" s="448">
        <v>0.74</v>
      </c>
      <c r="E6274" s="210"/>
    </row>
    <row r="6275" spans="1:5" ht="27">
      <c r="A6275" s="446">
        <v>99814</v>
      </c>
      <c r="B6275" s="447" t="s">
        <v>4203</v>
      </c>
      <c r="C6275" s="446" t="s">
        <v>42</v>
      </c>
      <c r="D6275" s="448">
        <v>1.26</v>
      </c>
      <c r="E6275" s="210"/>
    </row>
    <row r="6276" spans="1:5" ht="13.5">
      <c r="A6276" s="446">
        <v>99822</v>
      </c>
      <c r="B6276" s="447" t="s">
        <v>4204</v>
      </c>
      <c r="C6276" s="446" t="s">
        <v>42</v>
      </c>
      <c r="D6276" s="448">
        <v>0.65</v>
      </c>
      <c r="E6276" s="210"/>
    </row>
    <row r="6277" spans="1:5" ht="27">
      <c r="A6277" s="446">
        <v>99826</v>
      </c>
      <c r="B6277" s="447" t="s">
        <v>4205</v>
      </c>
      <c r="C6277" s="446" t="s">
        <v>42</v>
      </c>
      <c r="D6277" s="448">
        <v>1</v>
      </c>
      <c r="E6277" s="210"/>
    </row>
    <row r="6278" spans="1:5" ht="67.5">
      <c r="A6278" s="446">
        <v>97010</v>
      </c>
      <c r="B6278" s="447" t="s">
        <v>3334</v>
      </c>
      <c r="C6278" s="446" t="s">
        <v>14</v>
      </c>
      <c r="D6278" s="448">
        <v>39.57</v>
      </c>
      <c r="E6278" s="210"/>
    </row>
    <row r="6279" spans="1:5" ht="67.5">
      <c r="A6279" s="446">
        <v>97011</v>
      </c>
      <c r="B6279" s="447" t="s">
        <v>3335</v>
      </c>
      <c r="C6279" s="446" t="s">
        <v>14</v>
      </c>
      <c r="D6279" s="448">
        <v>30.76</v>
      </c>
      <c r="E6279" s="210"/>
    </row>
    <row r="6280" spans="1:5" ht="67.5">
      <c r="A6280" s="446">
        <v>97012</v>
      </c>
      <c r="B6280" s="447" t="s">
        <v>3336</v>
      </c>
      <c r="C6280" s="446" t="s">
        <v>14</v>
      </c>
      <c r="D6280" s="448">
        <v>26.36</v>
      </c>
      <c r="E6280" s="210"/>
    </row>
    <row r="6281" spans="1:5" ht="67.5">
      <c r="A6281" s="446">
        <v>97013</v>
      </c>
      <c r="B6281" s="447" t="s">
        <v>3337</v>
      </c>
      <c r="C6281" s="446" t="s">
        <v>14</v>
      </c>
      <c r="D6281" s="448">
        <v>55.38</v>
      </c>
      <c r="E6281" s="210"/>
    </row>
    <row r="6282" spans="1:5" ht="67.5">
      <c r="A6282" s="446">
        <v>97014</v>
      </c>
      <c r="B6282" s="447" t="s">
        <v>3338</v>
      </c>
      <c r="C6282" s="446" t="s">
        <v>14</v>
      </c>
      <c r="D6282" s="448">
        <v>41.47</v>
      </c>
      <c r="E6282" s="210"/>
    </row>
    <row r="6283" spans="1:5" ht="67.5">
      <c r="A6283" s="446">
        <v>97015</v>
      </c>
      <c r="B6283" s="447" t="s">
        <v>3339</v>
      </c>
      <c r="C6283" s="446" t="s">
        <v>14</v>
      </c>
      <c r="D6283" s="448">
        <v>34.450000000000003</v>
      </c>
      <c r="E6283" s="210"/>
    </row>
    <row r="6284" spans="1:5" ht="67.5">
      <c r="A6284" s="446">
        <v>97016</v>
      </c>
      <c r="B6284" s="447" t="s">
        <v>3340</v>
      </c>
      <c r="C6284" s="446" t="s">
        <v>14</v>
      </c>
      <c r="D6284" s="448">
        <v>34.729999999999997</v>
      </c>
      <c r="E6284" s="210"/>
    </row>
    <row r="6285" spans="1:5" ht="67.5">
      <c r="A6285" s="446">
        <v>97017</v>
      </c>
      <c r="B6285" s="447" t="s">
        <v>3341</v>
      </c>
      <c r="C6285" s="446" t="s">
        <v>14</v>
      </c>
      <c r="D6285" s="448">
        <v>26.33</v>
      </c>
      <c r="E6285" s="210"/>
    </row>
    <row r="6286" spans="1:5" ht="67.5">
      <c r="A6286" s="446">
        <v>97018</v>
      </c>
      <c r="B6286" s="447" t="s">
        <v>3342</v>
      </c>
      <c r="C6286" s="446" t="s">
        <v>14</v>
      </c>
      <c r="D6286" s="448">
        <v>21.98</v>
      </c>
      <c r="E6286" s="210"/>
    </row>
    <row r="6287" spans="1:5" ht="108">
      <c r="A6287" s="446">
        <v>97031</v>
      </c>
      <c r="B6287" s="447" t="s">
        <v>3343</v>
      </c>
      <c r="C6287" s="446" t="s">
        <v>14</v>
      </c>
      <c r="D6287" s="448">
        <v>62.63</v>
      </c>
      <c r="E6287" s="210"/>
    </row>
    <row r="6288" spans="1:5" ht="94.5">
      <c r="A6288" s="446">
        <v>97032</v>
      </c>
      <c r="B6288" s="447" t="s">
        <v>4206</v>
      </c>
      <c r="C6288" s="446" t="s">
        <v>14</v>
      </c>
      <c r="D6288" s="448">
        <v>38.44</v>
      </c>
      <c r="E6288" s="210"/>
    </row>
    <row r="6289" spans="1:5" ht="94.5">
      <c r="A6289" s="446">
        <v>97033</v>
      </c>
      <c r="B6289" s="447" t="s">
        <v>4207</v>
      </c>
      <c r="C6289" s="446" t="s">
        <v>14</v>
      </c>
      <c r="D6289" s="448">
        <v>63.65</v>
      </c>
      <c r="E6289" s="210"/>
    </row>
    <row r="6290" spans="1:5" ht="94.5">
      <c r="A6290" s="446">
        <v>97034</v>
      </c>
      <c r="B6290" s="447" t="s">
        <v>4208</v>
      </c>
      <c r="C6290" s="446" t="s">
        <v>14</v>
      </c>
      <c r="D6290" s="448">
        <v>38.04</v>
      </c>
      <c r="E6290" s="210"/>
    </row>
    <row r="6291" spans="1:5" ht="40.5">
      <c r="A6291" s="446">
        <v>97039</v>
      </c>
      <c r="B6291" s="447" t="s">
        <v>3344</v>
      </c>
      <c r="C6291" s="446" t="s">
        <v>42</v>
      </c>
      <c r="D6291" s="448">
        <v>39.1</v>
      </c>
      <c r="E6291" s="210"/>
    </row>
    <row r="6292" spans="1:5" ht="40.5">
      <c r="A6292" s="446">
        <v>97040</v>
      </c>
      <c r="B6292" s="447" t="s">
        <v>3345</v>
      </c>
      <c r="C6292" s="446" t="s">
        <v>42</v>
      </c>
      <c r="D6292" s="448">
        <v>13.05</v>
      </c>
      <c r="E6292" s="210"/>
    </row>
    <row r="6293" spans="1:5" ht="40.5">
      <c r="A6293" s="446">
        <v>97041</v>
      </c>
      <c r="B6293" s="447" t="s">
        <v>3346</v>
      </c>
      <c r="C6293" s="446" t="s">
        <v>42</v>
      </c>
      <c r="D6293" s="448">
        <v>155.71</v>
      </c>
      <c r="E6293" s="210"/>
    </row>
    <row r="6294" spans="1:5" ht="27">
      <c r="A6294" s="446">
        <v>97046</v>
      </c>
      <c r="B6294" s="447" t="s">
        <v>4209</v>
      </c>
      <c r="C6294" s="446" t="s">
        <v>42</v>
      </c>
      <c r="D6294" s="448">
        <v>0.33</v>
      </c>
      <c r="E6294" s="210"/>
    </row>
    <row r="6295" spans="1:5" ht="40.5">
      <c r="A6295" s="446">
        <v>97047</v>
      </c>
      <c r="B6295" s="447" t="s">
        <v>4210</v>
      </c>
      <c r="C6295" s="446" t="s">
        <v>42</v>
      </c>
      <c r="D6295" s="448">
        <v>0.13</v>
      </c>
      <c r="E6295" s="210"/>
    </row>
    <row r="6296" spans="1:5" ht="40.5">
      <c r="A6296" s="446">
        <v>97048</v>
      </c>
      <c r="B6296" s="447" t="s">
        <v>4211</v>
      </c>
      <c r="C6296" s="446" t="s">
        <v>42</v>
      </c>
      <c r="D6296" s="448">
        <v>0.09</v>
      </c>
      <c r="E6296" s="210"/>
    </row>
    <row r="6297" spans="1:5" ht="27">
      <c r="A6297" s="446">
        <v>97054</v>
      </c>
      <c r="B6297" s="447" t="s">
        <v>5456</v>
      </c>
      <c r="C6297" s="446" t="s">
        <v>34</v>
      </c>
      <c r="D6297" s="448">
        <v>29.88</v>
      </c>
      <c r="E6297" s="210"/>
    </row>
    <row r="6298" spans="1:5" ht="27">
      <c r="A6298" s="446">
        <v>97062</v>
      </c>
      <c r="B6298" s="447" t="s">
        <v>3347</v>
      </c>
      <c r="C6298" s="446" t="s">
        <v>42</v>
      </c>
      <c r="D6298" s="448">
        <v>4.84</v>
      </c>
      <c r="E6298" s="210"/>
    </row>
    <row r="6299" spans="1:5" ht="67.5">
      <c r="A6299" s="446">
        <v>97063</v>
      </c>
      <c r="B6299" s="447" t="s">
        <v>3348</v>
      </c>
      <c r="C6299" s="446" t="s">
        <v>42</v>
      </c>
      <c r="D6299" s="448">
        <v>5.98</v>
      </c>
      <c r="E6299" s="210"/>
    </row>
    <row r="6300" spans="1:5" ht="40.5">
      <c r="A6300" s="446">
        <v>97064</v>
      </c>
      <c r="B6300" s="447" t="s">
        <v>3349</v>
      </c>
      <c r="C6300" s="446" t="s">
        <v>14</v>
      </c>
      <c r="D6300" s="448">
        <v>11.17</v>
      </c>
      <c r="E6300" s="210"/>
    </row>
    <row r="6301" spans="1:5" ht="40.5">
      <c r="A6301" s="446">
        <v>97065</v>
      </c>
      <c r="B6301" s="447" t="s">
        <v>3350</v>
      </c>
      <c r="C6301" s="446" t="s">
        <v>31</v>
      </c>
      <c r="D6301" s="448">
        <v>3.98</v>
      </c>
      <c r="E6301" s="210"/>
    </row>
    <row r="6302" spans="1:5" ht="40.5">
      <c r="A6302" s="446">
        <v>97066</v>
      </c>
      <c r="B6302" s="447" t="s">
        <v>4212</v>
      </c>
      <c r="C6302" s="446" t="s">
        <v>42</v>
      </c>
      <c r="D6302" s="448">
        <v>56.46</v>
      </c>
      <c r="E6302" s="210"/>
    </row>
    <row r="6303" spans="1:5" ht="54">
      <c r="A6303" s="446">
        <v>97067</v>
      </c>
      <c r="B6303" s="447" t="s">
        <v>3351</v>
      </c>
      <c r="C6303" s="446" t="s">
        <v>14</v>
      </c>
      <c r="D6303" s="448">
        <v>432.09</v>
      </c>
      <c r="E6303" s="210"/>
    </row>
    <row r="6304" spans="1:5" ht="40.5">
      <c r="A6304" s="446">
        <v>97621</v>
      </c>
      <c r="B6304" s="447" t="s">
        <v>3457</v>
      </c>
      <c r="C6304" s="446" t="s">
        <v>31</v>
      </c>
      <c r="D6304" s="448">
        <v>75.02</v>
      </c>
      <c r="E6304" s="210"/>
    </row>
    <row r="6305" spans="1:5" ht="40.5">
      <c r="A6305" s="446">
        <v>97622</v>
      </c>
      <c r="B6305" s="447" t="s">
        <v>3458</v>
      </c>
      <c r="C6305" s="446" t="s">
        <v>31</v>
      </c>
      <c r="D6305" s="448">
        <v>36.56</v>
      </c>
      <c r="E6305" s="210"/>
    </row>
    <row r="6306" spans="1:5" ht="40.5">
      <c r="A6306" s="446">
        <v>97623</v>
      </c>
      <c r="B6306" s="447" t="s">
        <v>3459</v>
      </c>
      <c r="C6306" s="446" t="s">
        <v>31</v>
      </c>
      <c r="D6306" s="448">
        <v>112</v>
      </c>
      <c r="E6306" s="210"/>
    </row>
    <row r="6307" spans="1:5" ht="40.5">
      <c r="A6307" s="446">
        <v>97624</v>
      </c>
      <c r="B6307" s="447" t="s">
        <v>3460</v>
      </c>
      <c r="C6307" s="446" t="s">
        <v>31</v>
      </c>
      <c r="D6307" s="448">
        <v>68.739999999999995</v>
      </c>
      <c r="E6307" s="210"/>
    </row>
    <row r="6308" spans="1:5" ht="40.5">
      <c r="A6308" s="446">
        <v>97625</v>
      </c>
      <c r="B6308" s="447" t="s">
        <v>3461</v>
      </c>
      <c r="C6308" s="446" t="s">
        <v>31</v>
      </c>
      <c r="D6308" s="448">
        <v>40.36</v>
      </c>
      <c r="E6308" s="210"/>
    </row>
    <row r="6309" spans="1:5" ht="40.5">
      <c r="A6309" s="446">
        <v>97626</v>
      </c>
      <c r="B6309" s="447" t="s">
        <v>3462</v>
      </c>
      <c r="C6309" s="446" t="s">
        <v>31</v>
      </c>
      <c r="D6309" s="448">
        <v>394.94</v>
      </c>
      <c r="E6309" s="210"/>
    </row>
    <row r="6310" spans="1:5" ht="54">
      <c r="A6310" s="446">
        <v>97627</v>
      </c>
      <c r="B6310" s="447" t="s">
        <v>3463</v>
      </c>
      <c r="C6310" s="446" t="s">
        <v>31</v>
      </c>
      <c r="D6310" s="448">
        <v>181.53</v>
      </c>
      <c r="E6310" s="210"/>
    </row>
    <row r="6311" spans="1:5" ht="27">
      <c r="A6311" s="446">
        <v>97628</v>
      </c>
      <c r="B6311" s="447" t="s">
        <v>3464</v>
      </c>
      <c r="C6311" s="446" t="s">
        <v>31</v>
      </c>
      <c r="D6311" s="448">
        <v>180.7</v>
      </c>
      <c r="E6311" s="210"/>
    </row>
    <row r="6312" spans="1:5" ht="40.5">
      <c r="A6312" s="446">
        <v>97629</v>
      </c>
      <c r="B6312" s="447" t="s">
        <v>3465</v>
      </c>
      <c r="C6312" s="446" t="s">
        <v>31</v>
      </c>
      <c r="D6312" s="448">
        <v>78.42</v>
      </c>
      <c r="E6312" s="210"/>
    </row>
    <row r="6313" spans="1:5" ht="40.5">
      <c r="A6313" s="446">
        <v>97631</v>
      </c>
      <c r="B6313" s="447" t="s">
        <v>3466</v>
      </c>
      <c r="C6313" s="446" t="s">
        <v>42</v>
      </c>
      <c r="D6313" s="448">
        <v>2.13</v>
      </c>
      <c r="E6313" s="210"/>
    </row>
    <row r="6314" spans="1:5" ht="40.5">
      <c r="A6314" s="446">
        <v>97632</v>
      </c>
      <c r="B6314" s="447" t="s">
        <v>3467</v>
      </c>
      <c r="C6314" s="446" t="s">
        <v>14</v>
      </c>
      <c r="D6314" s="448">
        <v>1.66</v>
      </c>
      <c r="E6314" s="210"/>
    </row>
    <row r="6315" spans="1:5" ht="40.5">
      <c r="A6315" s="446">
        <v>97633</v>
      </c>
      <c r="B6315" s="447" t="s">
        <v>3468</v>
      </c>
      <c r="C6315" s="446" t="s">
        <v>42</v>
      </c>
      <c r="D6315" s="448">
        <v>14.57</v>
      </c>
      <c r="E6315" s="210"/>
    </row>
    <row r="6316" spans="1:5" ht="40.5">
      <c r="A6316" s="446">
        <v>97634</v>
      </c>
      <c r="B6316" s="447" t="s">
        <v>3469</v>
      </c>
      <c r="C6316" s="446" t="s">
        <v>42</v>
      </c>
      <c r="D6316" s="448">
        <v>7.66</v>
      </c>
      <c r="E6316" s="210"/>
    </row>
    <row r="6317" spans="1:5" ht="40.5">
      <c r="A6317" s="446">
        <v>97635</v>
      </c>
      <c r="B6317" s="447" t="s">
        <v>3470</v>
      </c>
      <c r="C6317" s="446" t="s">
        <v>42</v>
      </c>
      <c r="D6317" s="448">
        <v>10.199999999999999</v>
      </c>
      <c r="E6317" s="210"/>
    </row>
    <row r="6318" spans="1:5" ht="40.5">
      <c r="A6318" s="446">
        <v>97636</v>
      </c>
      <c r="B6318" s="447" t="s">
        <v>3471</v>
      </c>
      <c r="C6318" s="446" t="s">
        <v>42</v>
      </c>
      <c r="D6318" s="448">
        <v>12.6</v>
      </c>
      <c r="E6318" s="210"/>
    </row>
    <row r="6319" spans="1:5" ht="40.5">
      <c r="A6319" s="446">
        <v>97637</v>
      </c>
      <c r="B6319" s="447" t="s">
        <v>3472</v>
      </c>
      <c r="C6319" s="446" t="s">
        <v>42</v>
      </c>
      <c r="D6319" s="448">
        <v>1.63</v>
      </c>
      <c r="E6319" s="210"/>
    </row>
    <row r="6320" spans="1:5" ht="40.5">
      <c r="A6320" s="446">
        <v>97638</v>
      </c>
      <c r="B6320" s="447" t="s">
        <v>3473</v>
      </c>
      <c r="C6320" s="446" t="s">
        <v>42</v>
      </c>
      <c r="D6320" s="448">
        <v>4.76</v>
      </c>
      <c r="E6320" s="210"/>
    </row>
    <row r="6321" spans="1:5" ht="40.5">
      <c r="A6321" s="446">
        <v>97639</v>
      </c>
      <c r="B6321" s="447" t="s">
        <v>3474</v>
      </c>
      <c r="C6321" s="446" t="s">
        <v>42</v>
      </c>
      <c r="D6321" s="448">
        <v>12.85</v>
      </c>
      <c r="E6321" s="210"/>
    </row>
    <row r="6322" spans="1:5" ht="40.5">
      <c r="A6322" s="446">
        <v>97640</v>
      </c>
      <c r="B6322" s="447" t="s">
        <v>3475</v>
      </c>
      <c r="C6322" s="446" t="s">
        <v>42</v>
      </c>
      <c r="D6322" s="448">
        <v>1.03</v>
      </c>
      <c r="E6322" s="210"/>
    </row>
    <row r="6323" spans="1:5" ht="40.5">
      <c r="A6323" s="446">
        <v>97641</v>
      </c>
      <c r="B6323" s="447" t="s">
        <v>3476</v>
      </c>
      <c r="C6323" s="446" t="s">
        <v>42</v>
      </c>
      <c r="D6323" s="448">
        <v>3.21</v>
      </c>
      <c r="E6323" s="210"/>
    </row>
    <row r="6324" spans="1:5" ht="40.5">
      <c r="A6324" s="446">
        <v>97642</v>
      </c>
      <c r="B6324" s="447" t="s">
        <v>3477</v>
      </c>
      <c r="C6324" s="446" t="s">
        <v>42</v>
      </c>
      <c r="D6324" s="448">
        <v>1.84</v>
      </c>
      <c r="E6324" s="210"/>
    </row>
    <row r="6325" spans="1:5" ht="40.5">
      <c r="A6325" s="446">
        <v>97643</v>
      </c>
      <c r="B6325" s="447" t="s">
        <v>3478</v>
      </c>
      <c r="C6325" s="446" t="s">
        <v>42</v>
      </c>
      <c r="D6325" s="448">
        <v>15.76</v>
      </c>
      <c r="E6325" s="210"/>
    </row>
    <row r="6326" spans="1:5" ht="27">
      <c r="A6326" s="446">
        <v>97644</v>
      </c>
      <c r="B6326" s="447" t="s">
        <v>3479</v>
      </c>
      <c r="C6326" s="446" t="s">
        <v>42</v>
      </c>
      <c r="D6326" s="448">
        <v>5.93</v>
      </c>
      <c r="E6326" s="210"/>
    </row>
    <row r="6327" spans="1:5" ht="27">
      <c r="A6327" s="446">
        <v>97645</v>
      </c>
      <c r="B6327" s="447" t="s">
        <v>3480</v>
      </c>
      <c r="C6327" s="446" t="s">
        <v>42</v>
      </c>
      <c r="D6327" s="448">
        <v>22.68</v>
      </c>
      <c r="E6327" s="210"/>
    </row>
    <row r="6328" spans="1:5" ht="40.5">
      <c r="A6328" s="446">
        <v>97647</v>
      </c>
      <c r="B6328" s="447" t="s">
        <v>3481</v>
      </c>
      <c r="C6328" s="446" t="s">
        <v>42</v>
      </c>
      <c r="D6328" s="448">
        <v>2.2799999999999998</v>
      </c>
      <c r="E6328" s="210"/>
    </row>
    <row r="6329" spans="1:5" ht="40.5">
      <c r="A6329" s="446">
        <v>97648</v>
      </c>
      <c r="B6329" s="447" t="s">
        <v>3482</v>
      </c>
      <c r="C6329" s="446" t="s">
        <v>42</v>
      </c>
      <c r="D6329" s="448">
        <v>1.31</v>
      </c>
      <c r="E6329" s="210"/>
    </row>
    <row r="6330" spans="1:5" ht="54">
      <c r="A6330" s="446">
        <v>97649</v>
      </c>
      <c r="B6330" s="447" t="s">
        <v>3483</v>
      </c>
      <c r="C6330" s="446" t="s">
        <v>42</v>
      </c>
      <c r="D6330" s="448">
        <v>3.02</v>
      </c>
      <c r="E6330" s="210"/>
    </row>
    <row r="6331" spans="1:5" ht="40.5">
      <c r="A6331" s="446">
        <v>97650</v>
      </c>
      <c r="B6331" s="447" t="s">
        <v>3484</v>
      </c>
      <c r="C6331" s="446" t="s">
        <v>42</v>
      </c>
      <c r="D6331" s="448">
        <v>4.91</v>
      </c>
      <c r="E6331" s="210"/>
    </row>
    <row r="6332" spans="1:5" ht="40.5">
      <c r="A6332" s="446">
        <v>97651</v>
      </c>
      <c r="B6332" s="447" t="s">
        <v>3485</v>
      </c>
      <c r="C6332" s="446" t="s">
        <v>34</v>
      </c>
      <c r="D6332" s="448">
        <v>54.35</v>
      </c>
      <c r="E6332" s="210"/>
    </row>
    <row r="6333" spans="1:5" ht="40.5">
      <c r="A6333" s="446">
        <v>97652</v>
      </c>
      <c r="B6333" s="447" t="s">
        <v>3486</v>
      </c>
      <c r="C6333" s="446" t="s">
        <v>34</v>
      </c>
      <c r="D6333" s="448">
        <v>123.2</v>
      </c>
      <c r="E6333" s="210"/>
    </row>
    <row r="6334" spans="1:5" ht="40.5">
      <c r="A6334" s="446">
        <v>97653</v>
      </c>
      <c r="B6334" s="447" t="s">
        <v>3487</v>
      </c>
      <c r="C6334" s="446" t="s">
        <v>34</v>
      </c>
      <c r="D6334" s="448">
        <v>107.69</v>
      </c>
      <c r="E6334" s="210"/>
    </row>
    <row r="6335" spans="1:5" ht="54">
      <c r="A6335" s="446">
        <v>97654</v>
      </c>
      <c r="B6335" s="447" t="s">
        <v>3488</v>
      </c>
      <c r="C6335" s="446" t="s">
        <v>34</v>
      </c>
      <c r="D6335" s="448">
        <v>126.55</v>
      </c>
      <c r="E6335" s="210"/>
    </row>
    <row r="6336" spans="1:5" ht="40.5">
      <c r="A6336" s="446">
        <v>97655</v>
      </c>
      <c r="B6336" s="447" t="s">
        <v>3489</v>
      </c>
      <c r="C6336" s="446" t="s">
        <v>42</v>
      </c>
      <c r="D6336" s="448">
        <v>16.12</v>
      </c>
      <c r="E6336" s="210"/>
    </row>
    <row r="6337" spans="1:5" ht="40.5">
      <c r="A6337" s="446">
        <v>97656</v>
      </c>
      <c r="B6337" s="447" t="s">
        <v>3490</v>
      </c>
      <c r="C6337" s="446" t="s">
        <v>34</v>
      </c>
      <c r="D6337" s="448">
        <v>157.4</v>
      </c>
      <c r="E6337" s="210"/>
    </row>
    <row r="6338" spans="1:5" ht="40.5">
      <c r="A6338" s="446">
        <v>97657</v>
      </c>
      <c r="B6338" s="447" t="s">
        <v>3491</v>
      </c>
      <c r="C6338" s="446" t="s">
        <v>34</v>
      </c>
      <c r="D6338" s="448">
        <v>311.98</v>
      </c>
      <c r="E6338" s="210"/>
    </row>
    <row r="6339" spans="1:5" ht="40.5">
      <c r="A6339" s="446">
        <v>97658</v>
      </c>
      <c r="B6339" s="447" t="s">
        <v>3492</v>
      </c>
      <c r="C6339" s="446" t="s">
        <v>34</v>
      </c>
      <c r="D6339" s="448">
        <v>146.03</v>
      </c>
      <c r="E6339" s="210"/>
    </row>
    <row r="6340" spans="1:5" ht="54">
      <c r="A6340" s="446">
        <v>97659</v>
      </c>
      <c r="B6340" s="447" t="s">
        <v>3493</v>
      </c>
      <c r="C6340" s="446" t="s">
        <v>34</v>
      </c>
      <c r="D6340" s="448">
        <v>189.18</v>
      </c>
      <c r="E6340" s="210"/>
    </row>
    <row r="6341" spans="1:5" ht="40.5">
      <c r="A6341" s="446">
        <v>97660</v>
      </c>
      <c r="B6341" s="447" t="s">
        <v>3494</v>
      </c>
      <c r="C6341" s="446" t="s">
        <v>34</v>
      </c>
      <c r="D6341" s="448">
        <v>0.43</v>
      </c>
      <c r="E6341" s="210"/>
    </row>
    <row r="6342" spans="1:5" ht="40.5">
      <c r="A6342" s="446">
        <v>97661</v>
      </c>
      <c r="B6342" s="447" t="s">
        <v>3495</v>
      </c>
      <c r="C6342" s="446" t="s">
        <v>14</v>
      </c>
      <c r="D6342" s="448">
        <v>0.43</v>
      </c>
      <c r="E6342" s="210"/>
    </row>
    <row r="6343" spans="1:5" ht="54">
      <c r="A6343" s="446">
        <v>97662</v>
      </c>
      <c r="B6343" s="447" t="s">
        <v>3496</v>
      </c>
      <c r="C6343" s="446" t="s">
        <v>14</v>
      </c>
      <c r="D6343" s="448">
        <v>0.31</v>
      </c>
      <c r="E6343" s="210"/>
    </row>
    <row r="6344" spans="1:5" ht="27">
      <c r="A6344" s="446">
        <v>97663</v>
      </c>
      <c r="B6344" s="447" t="s">
        <v>3497</v>
      </c>
      <c r="C6344" s="446" t="s">
        <v>34</v>
      </c>
      <c r="D6344" s="448">
        <v>7.92</v>
      </c>
      <c r="E6344" s="210"/>
    </row>
    <row r="6345" spans="1:5" ht="27">
      <c r="A6345" s="446">
        <v>97664</v>
      </c>
      <c r="B6345" s="447" t="s">
        <v>3498</v>
      </c>
      <c r="C6345" s="446" t="s">
        <v>34</v>
      </c>
      <c r="D6345" s="448">
        <v>0.98</v>
      </c>
      <c r="E6345" s="210"/>
    </row>
    <row r="6346" spans="1:5" ht="27">
      <c r="A6346" s="446">
        <v>97665</v>
      </c>
      <c r="B6346" s="447" t="s">
        <v>3499</v>
      </c>
      <c r="C6346" s="446" t="s">
        <v>34</v>
      </c>
      <c r="D6346" s="448">
        <v>0.83</v>
      </c>
      <c r="E6346" s="210"/>
    </row>
    <row r="6347" spans="1:5" ht="40.5">
      <c r="A6347" s="446">
        <v>97666</v>
      </c>
      <c r="B6347" s="447" t="s">
        <v>3500</v>
      </c>
      <c r="C6347" s="446" t="s">
        <v>34</v>
      </c>
      <c r="D6347" s="448">
        <v>5.78</v>
      </c>
      <c r="E6347" s="210"/>
    </row>
    <row r="6348" spans="1:5" ht="40.5">
      <c r="A6348" s="446">
        <v>95967</v>
      </c>
      <c r="B6348" s="447" t="s">
        <v>2963</v>
      </c>
      <c r="C6348" s="446" t="s">
        <v>19</v>
      </c>
      <c r="D6348" s="448">
        <v>111.24</v>
      </c>
      <c r="E6348" s="210"/>
    </row>
    <row r="6349" spans="1:5" ht="27">
      <c r="A6349" s="446">
        <v>99058</v>
      </c>
      <c r="B6349" s="447" t="s">
        <v>4213</v>
      </c>
      <c r="C6349" s="446" t="s">
        <v>34</v>
      </c>
      <c r="D6349" s="448">
        <v>5.74</v>
      </c>
      <c r="E6349" s="210"/>
    </row>
    <row r="6350" spans="1:5" ht="54">
      <c r="A6350" s="446">
        <v>99059</v>
      </c>
      <c r="B6350" s="447" t="s">
        <v>4214</v>
      </c>
      <c r="C6350" s="446" t="s">
        <v>14</v>
      </c>
      <c r="D6350" s="448">
        <v>38.71</v>
      </c>
      <c r="E6350" s="210"/>
    </row>
    <row r="6351" spans="1:5" ht="27">
      <c r="A6351" s="446">
        <v>99060</v>
      </c>
      <c r="B6351" s="447" t="s">
        <v>5457</v>
      </c>
      <c r="C6351" s="446" t="s">
        <v>34</v>
      </c>
      <c r="D6351" s="448">
        <v>98.95</v>
      </c>
      <c r="E6351" s="210"/>
    </row>
    <row r="6352" spans="1:5" ht="27">
      <c r="A6352" s="446">
        <v>99061</v>
      </c>
      <c r="B6352" s="447" t="s">
        <v>5458</v>
      </c>
      <c r="C6352" s="446" t="s">
        <v>34</v>
      </c>
      <c r="D6352" s="448">
        <v>67.599999999999994</v>
      </c>
      <c r="E6352" s="210"/>
    </row>
    <row r="6353" spans="1:5" ht="27">
      <c r="A6353" s="446">
        <v>99062</v>
      </c>
      <c r="B6353" s="447" t="s">
        <v>4215</v>
      </c>
      <c r="C6353" s="446" t="s">
        <v>34</v>
      </c>
      <c r="D6353" s="448">
        <v>1.65</v>
      </c>
      <c r="E6353" s="210"/>
    </row>
    <row r="6354" spans="1:5" ht="27">
      <c r="A6354" s="446">
        <v>99063</v>
      </c>
      <c r="B6354" s="447" t="s">
        <v>4216</v>
      </c>
      <c r="C6354" s="446" t="s">
        <v>14</v>
      </c>
      <c r="D6354" s="448">
        <v>3.38</v>
      </c>
      <c r="E6354" s="210"/>
    </row>
    <row r="6355" spans="1:5" ht="13.5">
      <c r="A6355" s="446">
        <v>99064</v>
      </c>
      <c r="B6355" s="447" t="s">
        <v>4217</v>
      </c>
      <c r="C6355" s="446" t="s">
        <v>14</v>
      </c>
      <c r="D6355" s="448">
        <v>0.28000000000000003</v>
      </c>
      <c r="E6355" s="210"/>
    </row>
    <row r="6356" spans="1:5" ht="40.5">
      <c r="A6356" s="446">
        <v>93588</v>
      </c>
      <c r="B6356" s="447" t="s">
        <v>5459</v>
      </c>
      <c r="C6356" s="446" t="s">
        <v>90</v>
      </c>
      <c r="D6356" s="448">
        <v>2.17</v>
      </c>
      <c r="E6356" s="210"/>
    </row>
    <row r="6357" spans="1:5" ht="40.5">
      <c r="A6357" s="446">
        <v>93589</v>
      </c>
      <c r="B6357" s="447" t="s">
        <v>5460</v>
      </c>
      <c r="C6357" s="446" t="s">
        <v>90</v>
      </c>
      <c r="D6357" s="448">
        <v>1.86</v>
      </c>
      <c r="E6357" s="210"/>
    </row>
    <row r="6358" spans="1:5" ht="54">
      <c r="A6358" s="446">
        <v>93590</v>
      </c>
      <c r="B6358" s="447" t="s">
        <v>5461</v>
      </c>
      <c r="C6358" s="446" t="s">
        <v>90</v>
      </c>
      <c r="D6358" s="448">
        <v>0.68</v>
      </c>
      <c r="E6358" s="210"/>
    </row>
    <row r="6359" spans="1:5" ht="40.5">
      <c r="A6359" s="446">
        <v>93591</v>
      </c>
      <c r="B6359" s="447" t="s">
        <v>5462</v>
      </c>
      <c r="C6359" s="446" t="s">
        <v>90</v>
      </c>
      <c r="D6359" s="448">
        <v>2</v>
      </c>
      <c r="E6359" s="210"/>
    </row>
    <row r="6360" spans="1:5" ht="40.5">
      <c r="A6360" s="446">
        <v>93592</v>
      </c>
      <c r="B6360" s="447" t="s">
        <v>5463</v>
      </c>
      <c r="C6360" s="446" t="s">
        <v>90</v>
      </c>
      <c r="D6360" s="448">
        <v>1.73</v>
      </c>
      <c r="E6360" s="210"/>
    </row>
    <row r="6361" spans="1:5" ht="54">
      <c r="A6361" s="446">
        <v>93593</v>
      </c>
      <c r="B6361" s="447" t="s">
        <v>5464</v>
      </c>
      <c r="C6361" s="446" t="s">
        <v>90</v>
      </c>
      <c r="D6361" s="448">
        <v>0.63</v>
      </c>
      <c r="E6361" s="210"/>
    </row>
    <row r="6362" spans="1:5" ht="40.5">
      <c r="A6362" s="446">
        <v>93594</v>
      </c>
      <c r="B6362" s="447" t="s">
        <v>5465</v>
      </c>
      <c r="C6362" s="446" t="s">
        <v>89</v>
      </c>
      <c r="D6362" s="448">
        <v>1.44</v>
      </c>
      <c r="E6362" s="210"/>
    </row>
    <row r="6363" spans="1:5" ht="40.5">
      <c r="A6363" s="446">
        <v>93595</v>
      </c>
      <c r="B6363" s="447" t="s">
        <v>5466</v>
      </c>
      <c r="C6363" s="446" t="s">
        <v>89</v>
      </c>
      <c r="D6363" s="448">
        <v>1.25</v>
      </c>
      <c r="E6363" s="210"/>
    </row>
    <row r="6364" spans="1:5" ht="54">
      <c r="A6364" s="446">
        <v>93596</v>
      </c>
      <c r="B6364" s="447" t="s">
        <v>5467</v>
      </c>
      <c r="C6364" s="446" t="s">
        <v>89</v>
      </c>
      <c r="D6364" s="448">
        <v>0.45</v>
      </c>
      <c r="E6364" s="210"/>
    </row>
    <row r="6365" spans="1:5" ht="40.5">
      <c r="A6365" s="446">
        <v>93597</v>
      </c>
      <c r="B6365" s="447" t="s">
        <v>5468</v>
      </c>
      <c r="C6365" s="446" t="s">
        <v>89</v>
      </c>
      <c r="D6365" s="448">
        <v>1.33</v>
      </c>
      <c r="E6365" s="210"/>
    </row>
    <row r="6366" spans="1:5" ht="40.5">
      <c r="A6366" s="446">
        <v>93598</v>
      </c>
      <c r="B6366" s="447" t="s">
        <v>5469</v>
      </c>
      <c r="C6366" s="446" t="s">
        <v>89</v>
      </c>
      <c r="D6366" s="448">
        <v>1.1499999999999999</v>
      </c>
      <c r="E6366" s="210"/>
    </row>
    <row r="6367" spans="1:5" ht="54">
      <c r="A6367" s="446">
        <v>93599</v>
      </c>
      <c r="B6367" s="447" t="s">
        <v>5470</v>
      </c>
      <c r="C6367" s="446" t="s">
        <v>89</v>
      </c>
      <c r="D6367" s="448">
        <v>0.42</v>
      </c>
      <c r="E6367" s="210"/>
    </row>
    <row r="6368" spans="1:5" ht="40.5">
      <c r="A6368" s="446">
        <v>95425</v>
      </c>
      <c r="B6368" s="447" t="s">
        <v>5471</v>
      </c>
      <c r="C6368" s="446" t="s">
        <v>90</v>
      </c>
      <c r="D6368" s="448">
        <v>1.71</v>
      </c>
      <c r="E6368" s="210"/>
    </row>
    <row r="6369" spans="1:5" ht="40.5">
      <c r="A6369" s="446">
        <v>95426</v>
      </c>
      <c r="B6369" s="447" t="s">
        <v>5472</v>
      </c>
      <c r="C6369" s="446" t="s">
        <v>90</v>
      </c>
      <c r="D6369" s="448">
        <v>1.48</v>
      </c>
      <c r="E6369" s="210"/>
    </row>
    <row r="6370" spans="1:5" ht="54">
      <c r="A6370" s="446">
        <v>95427</v>
      </c>
      <c r="B6370" s="447" t="s">
        <v>5473</v>
      </c>
      <c r="C6370" s="446" t="s">
        <v>90</v>
      </c>
      <c r="D6370" s="448">
        <v>0.56000000000000005</v>
      </c>
      <c r="E6370" s="210"/>
    </row>
    <row r="6371" spans="1:5" ht="40.5">
      <c r="A6371" s="446">
        <v>95428</v>
      </c>
      <c r="B6371" s="447" t="s">
        <v>5474</v>
      </c>
      <c r="C6371" s="446" t="s">
        <v>89</v>
      </c>
      <c r="D6371" s="448">
        <v>1.1499999999999999</v>
      </c>
      <c r="E6371" s="210"/>
    </row>
    <row r="6372" spans="1:5" ht="40.5">
      <c r="A6372" s="446">
        <v>95429</v>
      </c>
      <c r="B6372" s="447" t="s">
        <v>5475</v>
      </c>
      <c r="C6372" s="446" t="s">
        <v>89</v>
      </c>
      <c r="D6372" s="448">
        <v>1</v>
      </c>
      <c r="E6372" s="210"/>
    </row>
    <row r="6373" spans="1:5" ht="54">
      <c r="A6373" s="446">
        <v>95430</v>
      </c>
      <c r="B6373" s="447" t="s">
        <v>5476</v>
      </c>
      <c r="C6373" s="446" t="s">
        <v>89</v>
      </c>
      <c r="D6373" s="448">
        <v>0.34</v>
      </c>
      <c r="E6373" s="210"/>
    </row>
    <row r="6374" spans="1:5" ht="40.5">
      <c r="A6374" s="446">
        <v>95875</v>
      </c>
      <c r="B6374" s="447" t="s">
        <v>5477</v>
      </c>
      <c r="C6374" s="446" t="s">
        <v>90</v>
      </c>
      <c r="D6374" s="448">
        <v>1.71</v>
      </c>
      <c r="E6374" s="210"/>
    </row>
    <row r="6375" spans="1:5" ht="40.5">
      <c r="A6375" s="446">
        <v>95876</v>
      </c>
      <c r="B6375" s="447" t="s">
        <v>5478</v>
      </c>
      <c r="C6375" s="446" t="s">
        <v>90</v>
      </c>
      <c r="D6375" s="448">
        <v>1.57</v>
      </c>
      <c r="E6375" s="210"/>
    </row>
    <row r="6376" spans="1:5" ht="40.5">
      <c r="A6376" s="446">
        <v>95877</v>
      </c>
      <c r="B6376" s="447" t="s">
        <v>5479</v>
      </c>
      <c r="C6376" s="446" t="s">
        <v>90</v>
      </c>
      <c r="D6376" s="448">
        <v>1.36</v>
      </c>
      <c r="E6376" s="210"/>
    </row>
    <row r="6377" spans="1:5" ht="40.5">
      <c r="A6377" s="446">
        <v>95878</v>
      </c>
      <c r="B6377" s="447" t="s">
        <v>5480</v>
      </c>
      <c r="C6377" s="446" t="s">
        <v>89</v>
      </c>
      <c r="D6377" s="448">
        <v>1.1599999999999999</v>
      </c>
      <c r="E6377" s="210"/>
    </row>
    <row r="6378" spans="1:5" ht="40.5">
      <c r="A6378" s="446">
        <v>95879</v>
      </c>
      <c r="B6378" s="447" t="s">
        <v>5481</v>
      </c>
      <c r="C6378" s="446" t="s">
        <v>89</v>
      </c>
      <c r="D6378" s="448">
        <v>1.06</v>
      </c>
      <c r="E6378" s="210"/>
    </row>
    <row r="6379" spans="1:5" ht="40.5">
      <c r="A6379" s="446">
        <v>95880</v>
      </c>
      <c r="B6379" s="447" t="s">
        <v>5482</v>
      </c>
      <c r="C6379" s="446" t="s">
        <v>89</v>
      </c>
      <c r="D6379" s="448">
        <v>0.91</v>
      </c>
      <c r="E6379" s="210"/>
    </row>
    <row r="6380" spans="1:5" ht="40.5">
      <c r="A6380" s="446">
        <v>97912</v>
      </c>
      <c r="B6380" s="447" t="s">
        <v>5483</v>
      </c>
      <c r="C6380" s="446" t="s">
        <v>90</v>
      </c>
      <c r="D6380" s="448">
        <v>2.5499999999999998</v>
      </c>
      <c r="E6380" s="210"/>
    </row>
    <row r="6381" spans="1:5" ht="40.5">
      <c r="A6381" s="446">
        <v>97913</v>
      </c>
      <c r="B6381" s="447" t="s">
        <v>5484</v>
      </c>
      <c r="C6381" s="446" t="s">
        <v>90</v>
      </c>
      <c r="D6381" s="448">
        <v>2.2200000000000002</v>
      </c>
      <c r="E6381" s="210"/>
    </row>
    <row r="6382" spans="1:5" ht="40.5">
      <c r="A6382" s="446">
        <v>97914</v>
      </c>
      <c r="B6382" s="447" t="s">
        <v>5485</v>
      </c>
      <c r="C6382" s="446" t="s">
        <v>90</v>
      </c>
      <c r="D6382" s="448">
        <v>2.0299999999999998</v>
      </c>
      <c r="E6382" s="210"/>
    </row>
    <row r="6383" spans="1:5" ht="54">
      <c r="A6383" s="446">
        <v>97915</v>
      </c>
      <c r="B6383" s="447" t="s">
        <v>5486</v>
      </c>
      <c r="C6383" s="446" t="s">
        <v>90</v>
      </c>
      <c r="D6383" s="448">
        <v>0.81</v>
      </c>
      <c r="E6383" s="210"/>
    </row>
    <row r="6384" spans="1:5" ht="40.5">
      <c r="A6384" s="446">
        <v>100937</v>
      </c>
      <c r="B6384" s="447" t="s">
        <v>5487</v>
      </c>
      <c r="C6384" s="446" t="s">
        <v>90</v>
      </c>
      <c r="D6384" s="448">
        <v>6.09</v>
      </c>
      <c r="E6384" s="210"/>
    </row>
    <row r="6385" spans="1:5" ht="40.5">
      <c r="A6385" s="446">
        <v>100938</v>
      </c>
      <c r="B6385" s="447" t="s">
        <v>5488</v>
      </c>
      <c r="C6385" s="446" t="s">
        <v>90</v>
      </c>
      <c r="D6385" s="448">
        <v>5.17</v>
      </c>
      <c r="E6385" s="210"/>
    </row>
    <row r="6386" spans="1:5" ht="40.5">
      <c r="A6386" s="446">
        <v>100939</v>
      </c>
      <c r="B6386" s="447" t="s">
        <v>5489</v>
      </c>
      <c r="C6386" s="446" t="s">
        <v>90</v>
      </c>
      <c r="D6386" s="448">
        <v>4.78</v>
      </c>
      <c r="E6386" s="210"/>
    </row>
    <row r="6387" spans="1:5" ht="40.5">
      <c r="A6387" s="446">
        <v>100940</v>
      </c>
      <c r="B6387" s="447" t="s">
        <v>5490</v>
      </c>
      <c r="C6387" s="446" t="s">
        <v>90</v>
      </c>
      <c r="D6387" s="448">
        <v>4.1100000000000003</v>
      </c>
      <c r="E6387" s="210"/>
    </row>
    <row r="6388" spans="1:5" ht="40.5">
      <c r="A6388" s="446">
        <v>100941</v>
      </c>
      <c r="B6388" s="447" t="s">
        <v>5491</v>
      </c>
      <c r="C6388" s="446" t="s">
        <v>89</v>
      </c>
      <c r="D6388" s="448">
        <v>4.0599999999999996</v>
      </c>
      <c r="E6388" s="210"/>
    </row>
    <row r="6389" spans="1:5" ht="40.5">
      <c r="A6389" s="446">
        <v>100942</v>
      </c>
      <c r="B6389" s="447" t="s">
        <v>5492</v>
      </c>
      <c r="C6389" s="446" t="s">
        <v>89</v>
      </c>
      <c r="D6389" s="448">
        <v>3.45</v>
      </c>
      <c r="E6389" s="210"/>
    </row>
    <row r="6390" spans="1:5" ht="40.5">
      <c r="A6390" s="446">
        <v>100943</v>
      </c>
      <c r="B6390" s="447" t="s">
        <v>5493</v>
      </c>
      <c r="C6390" s="446" t="s">
        <v>89</v>
      </c>
      <c r="D6390" s="448">
        <v>3.17</v>
      </c>
      <c r="E6390" s="210"/>
    </row>
    <row r="6391" spans="1:5" ht="40.5">
      <c r="A6391" s="446">
        <v>100944</v>
      </c>
      <c r="B6391" s="447" t="s">
        <v>5494</v>
      </c>
      <c r="C6391" s="446" t="s">
        <v>89</v>
      </c>
      <c r="D6391" s="448">
        <v>2.75</v>
      </c>
      <c r="E6391" s="210"/>
    </row>
    <row r="6392" spans="1:5" ht="40.5">
      <c r="A6392" s="446">
        <v>100945</v>
      </c>
      <c r="B6392" s="447" t="s">
        <v>5495</v>
      </c>
      <c r="C6392" s="446" t="s">
        <v>89</v>
      </c>
      <c r="D6392" s="448">
        <v>1.81</v>
      </c>
      <c r="E6392" s="210"/>
    </row>
    <row r="6393" spans="1:5" ht="40.5">
      <c r="A6393" s="446">
        <v>100946</v>
      </c>
      <c r="B6393" s="447" t="s">
        <v>5496</v>
      </c>
      <c r="C6393" s="446" t="s">
        <v>89</v>
      </c>
      <c r="D6393" s="448">
        <v>1.56</v>
      </c>
      <c r="E6393" s="210"/>
    </row>
    <row r="6394" spans="1:5" ht="40.5">
      <c r="A6394" s="446">
        <v>100947</v>
      </c>
      <c r="B6394" s="447" t="s">
        <v>5497</v>
      </c>
      <c r="C6394" s="446" t="s">
        <v>89</v>
      </c>
      <c r="D6394" s="448">
        <v>1.44</v>
      </c>
      <c r="E6394" s="210"/>
    </row>
    <row r="6395" spans="1:5" ht="54">
      <c r="A6395" s="446">
        <v>100948</v>
      </c>
      <c r="B6395" s="447" t="s">
        <v>5498</v>
      </c>
      <c r="C6395" s="446" t="s">
        <v>89</v>
      </c>
      <c r="D6395" s="448">
        <v>0.56999999999999995</v>
      </c>
      <c r="E6395" s="210"/>
    </row>
    <row r="6396" spans="1:5" ht="40.5">
      <c r="A6396" s="446">
        <v>100949</v>
      </c>
      <c r="B6396" s="447" t="s">
        <v>5499</v>
      </c>
      <c r="C6396" s="446" t="s">
        <v>89</v>
      </c>
      <c r="D6396" s="448">
        <v>4.32</v>
      </c>
      <c r="E6396" s="210"/>
    </row>
    <row r="6397" spans="1:5" ht="54">
      <c r="A6397" s="446">
        <v>100950</v>
      </c>
      <c r="B6397" s="447" t="s">
        <v>5500</v>
      </c>
      <c r="C6397" s="446" t="s">
        <v>89</v>
      </c>
      <c r="D6397" s="448">
        <v>2.37</v>
      </c>
      <c r="E6397" s="210"/>
    </row>
    <row r="6398" spans="1:5" ht="67.5">
      <c r="A6398" s="446">
        <v>100951</v>
      </c>
      <c r="B6398" s="447" t="s">
        <v>5501</v>
      </c>
      <c r="C6398" s="446" t="s">
        <v>89</v>
      </c>
      <c r="D6398" s="448">
        <v>2.0499999999999998</v>
      </c>
      <c r="E6398" s="210"/>
    </row>
    <row r="6399" spans="1:5" ht="67.5">
      <c r="A6399" s="446">
        <v>100952</v>
      </c>
      <c r="B6399" s="447" t="s">
        <v>5502</v>
      </c>
      <c r="C6399" s="446" t="s">
        <v>89</v>
      </c>
      <c r="D6399" s="448">
        <v>1.89</v>
      </c>
      <c r="E6399" s="210"/>
    </row>
    <row r="6400" spans="1:5" ht="81">
      <c r="A6400" s="446">
        <v>100953</v>
      </c>
      <c r="B6400" s="447" t="s">
        <v>5503</v>
      </c>
      <c r="C6400" s="446" t="s">
        <v>89</v>
      </c>
      <c r="D6400" s="448">
        <v>0.75</v>
      </c>
      <c r="E6400" s="210"/>
    </row>
    <row r="6401" spans="1:5" ht="67.5">
      <c r="A6401" s="446">
        <v>100954</v>
      </c>
      <c r="B6401" s="447" t="s">
        <v>5504</v>
      </c>
      <c r="C6401" s="446" t="s">
        <v>89</v>
      </c>
      <c r="D6401" s="448">
        <v>5.67</v>
      </c>
      <c r="E6401" s="210"/>
    </row>
    <row r="6402" spans="1:5" ht="40.5">
      <c r="A6402" s="446">
        <v>100955</v>
      </c>
      <c r="B6402" s="447" t="s">
        <v>5505</v>
      </c>
      <c r="C6402" s="446" t="s">
        <v>90</v>
      </c>
      <c r="D6402" s="448">
        <v>3.48</v>
      </c>
      <c r="E6402" s="210"/>
    </row>
    <row r="6403" spans="1:5" ht="40.5">
      <c r="A6403" s="446">
        <v>100956</v>
      </c>
      <c r="B6403" s="447" t="s">
        <v>5506</v>
      </c>
      <c r="C6403" s="446" t="s">
        <v>90</v>
      </c>
      <c r="D6403" s="448">
        <v>3.03</v>
      </c>
      <c r="E6403" s="210"/>
    </row>
    <row r="6404" spans="1:5" ht="40.5">
      <c r="A6404" s="446">
        <v>100957</v>
      </c>
      <c r="B6404" s="447" t="s">
        <v>5507</v>
      </c>
      <c r="C6404" s="446" t="s">
        <v>90</v>
      </c>
      <c r="D6404" s="448">
        <v>2.76</v>
      </c>
      <c r="E6404" s="210"/>
    </row>
    <row r="6405" spans="1:5" ht="54">
      <c r="A6405" s="446">
        <v>100958</v>
      </c>
      <c r="B6405" s="447" t="s">
        <v>5508</v>
      </c>
      <c r="C6405" s="446" t="s">
        <v>90</v>
      </c>
      <c r="D6405" s="448">
        <v>1.1100000000000001</v>
      </c>
      <c r="E6405" s="210"/>
    </row>
    <row r="6406" spans="1:5" ht="40.5">
      <c r="A6406" s="446">
        <v>100959</v>
      </c>
      <c r="B6406" s="447" t="s">
        <v>5509</v>
      </c>
      <c r="C6406" s="446" t="s">
        <v>90</v>
      </c>
      <c r="D6406" s="448">
        <v>8.31</v>
      </c>
      <c r="E6406" s="210"/>
    </row>
    <row r="6407" spans="1:5" ht="40.5">
      <c r="A6407" s="446">
        <v>100960</v>
      </c>
      <c r="B6407" s="447" t="s">
        <v>5510</v>
      </c>
      <c r="C6407" s="446" t="s">
        <v>90</v>
      </c>
      <c r="D6407" s="448">
        <v>2.5299999999999998</v>
      </c>
      <c r="E6407" s="210"/>
    </row>
    <row r="6408" spans="1:5" ht="40.5">
      <c r="A6408" s="446">
        <v>100961</v>
      </c>
      <c r="B6408" s="447" t="s">
        <v>5511</v>
      </c>
      <c r="C6408" s="446" t="s">
        <v>90</v>
      </c>
      <c r="D6408" s="448">
        <v>2.19</v>
      </c>
      <c r="E6408" s="210"/>
    </row>
    <row r="6409" spans="1:5" ht="40.5">
      <c r="A6409" s="446">
        <v>100962</v>
      </c>
      <c r="B6409" s="447" t="s">
        <v>5512</v>
      </c>
      <c r="C6409" s="446" t="s">
        <v>90</v>
      </c>
      <c r="D6409" s="448">
        <v>1.99</v>
      </c>
      <c r="E6409" s="210"/>
    </row>
    <row r="6410" spans="1:5" ht="54">
      <c r="A6410" s="446">
        <v>100963</v>
      </c>
      <c r="B6410" s="447" t="s">
        <v>5513</v>
      </c>
      <c r="C6410" s="446" t="s">
        <v>90</v>
      </c>
      <c r="D6410" s="448">
        <v>0.79</v>
      </c>
      <c r="E6410" s="210"/>
    </row>
    <row r="6411" spans="1:5" ht="40.5">
      <c r="A6411" s="446">
        <v>100964</v>
      </c>
      <c r="B6411" s="447" t="s">
        <v>5514</v>
      </c>
      <c r="C6411" s="446" t="s">
        <v>90</v>
      </c>
      <c r="D6411" s="448">
        <v>6.08</v>
      </c>
      <c r="E6411" s="210"/>
    </row>
    <row r="6412" spans="1:5" ht="81">
      <c r="A6412" s="446">
        <v>100973</v>
      </c>
      <c r="B6412" s="447" t="s">
        <v>5515</v>
      </c>
      <c r="C6412" s="446" t="s">
        <v>31</v>
      </c>
      <c r="D6412" s="448">
        <v>6.05</v>
      </c>
      <c r="E6412" s="210"/>
    </row>
    <row r="6413" spans="1:5" ht="81">
      <c r="A6413" s="446">
        <v>100974</v>
      </c>
      <c r="B6413" s="447" t="s">
        <v>5516</v>
      </c>
      <c r="C6413" s="446" t="s">
        <v>31</v>
      </c>
      <c r="D6413" s="448">
        <v>5.94</v>
      </c>
      <c r="E6413" s="210"/>
    </row>
    <row r="6414" spans="1:5" ht="81">
      <c r="A6414" s="446">
        <v>100975</v>
      </c>
      <c r="B6414" s="447" t="s">
        <v>5517</v>
      </c>
      <c r="C6414" s="446" t="s">
        <v>31</v>
      </c>
      <c r="D6414" s="448">
        <v>6.25</v>
      </c>
      <c r="E6414" s="210"/>
    </row>
    <row r="6415" spans="1:5" ht="54">
      <c r="A6415" s="446">
        <v>100965</v>
      </c>
      <c r="B6415" s="447" t="s">
        <v>5518</v>
      </c>
      <c r="C6415" s="446" t="s">
        <v>89</v>
      </c>
      <c r="D6415" s="448">
        <v>1.32</v>
      </c>
      <c r="E6415" s="210"/>
    </row>
    <row r="6416" spans="1:5" ht="54">
      <c r="A6416" s="446">
        <v>100966</v>
      </c>
      <c r="B6416" s="447" t="s">
        <v>5519</v>
      </c>
      <c r="C6416" s="446" t="s">
        <v>89</v>
      </c>
      <c r="D6416" s="448">
        <v>1.1299999999999999</v>
      </c>
      <c r="E6416" s="210"/>
    </row>
    <row r="6417" spans="1:5" ht="54">
      <c r="A6417" s="446">
        <v>100969</v>
      </c>
      <c r="B6417" s="447" t="s">
        <v>5522</v>
      </c>
      <c r="C6417" s="446" t="s">
        <v>89</v>
      </c>
      <c r="D6417" s="448">
        <v>1.75</v>
      </c>
      <c r="E6417" s="210"/>
    </row>
    <row r="6418" spans="1:5" ht="54">
      <c r="A6418" s="446">
        <v>100970</v>
      </c>
      <c r="B6418" s="447" t="s">
        <v>5523</v>
      </c>
      <c r="C6418" s="446" t="s">
        <v>89</v>
      </c>
      <c r="D6418" s="448">
        <v>1.48</v>
      </c>
      <c r="E6418" s="210"/>
    </row>
    <row r="6419" spans="1:5" ht="54">
      <c r="A6419" s="446">
        <v>102330</v>
      </c>
      <c r="B6419" s="447" t="s">
        <v>5520</v>
      </c>
      <c r="C6419" s="446" t="s">
        <v>89</v>
      </c>
      <c r="D6419" s="448">
        <v>1.05</v>
      </c>
      <c r="E6419" s="210"/>
    </row>
    <row r="6420" spans="1:5" ht="67.5">
      <c r="A6420" s="446">
        <v>102331</v>
      </c>
      <c r="B6420" s="447" t="s">
        <v>5521</v>
      </c>
      <c r="C6420" s="446" t="s">
        <v>89</v>
      </c>
      <c r="D6420" s="448">
        <v>0.41</v>
      </c>
      <c r="E6420" s="210"/>
    </row>
    <row r="6421" spans="1:5" ht="54">
      <c r="A6421" s="446">
        <v>102332</v>
      </c>
      <c r="B6421" s="447" t="s">
        <v>5524</v>
      </c>
      <c r="C6421" s="446" t="s">
        <v>89</v>
      </c>
      <c r="D6421" s="448">
        <v>1.38</v>
      </c>
      <c r="E6421" s="210"/>
    </row>
    <row r="6422" spans="1:5" ht="67.5">
      <c r="A6422" s="446">
        <v>102333</v>
      </c>
      <c r="B6422" s="447" t="s">
        <v>5525</v>
      </c>
      <c r="C6422" s="446" t="s">
        <v>89</v>
      </c>
      <c r="D6422" s="448">
        <v>0.55000000000000004</v>
      </c>
      <c r="E6422" s="210"/>
    </row>
    <row r="6423" spans="1:5" ht="54">
      <c r="A6423" s="446">
        <v>101019</v>
      </c>
      <c r="B6423" s="447" t="s">
        <v>5526</v>
      </c>
      <c r="C6423" s="446" t="s">
        <v>51</v>
      </c>
      <c r="D6423" s="448">
        <v>370.03</v>
      </c>
      <c r="E6423" s="210"/>
    </row>
    <row r="6424" spans="1:5" ht="40.5">
      <c r="A6424" s="446">
        <v>101479</v>
      </c>
      <c r="B6424" s="447" t="s">
        <v>5527</v>
      </c>
      <c r="C6424" s="446" t="s">
        <v>51</v>
      </c>
      <c r="D6424" s="448">
        <v>107.81</v>
      </c>
      <c r="E6424" s="210"/>
    </row>
    <row r="6425" spans="1:5" ht="40.5">
      <c r="A6425" s="446">
        <v>102568</v>
      </c>
      <c r="B6425" s="447" t="s">
        <v>7315</v>
      </c>
      <c r="C6425" s="446" t="s">
        <v>51</v>
      </c>
      <c r="D6425" s="448">
        <v>183.65</v>
      </c>
      <c r="E6425" s="210"/>
    </row>
    <row r="6426" spans="1:5" ht="81">
      <c r="A6426" s="446">
        <v>100976</v>
      </c>
      <c r="B6426" s="447" t="s">
        <v>5528</v>
      </c>
      <c r="C6426" s="446" t="s">
        <v>31</v>
      </c>
      <c r="D6426" s="448">
        <v>6.18</v>
      </c>
      <c r="E6426" s="210"/>
    </row>
    <row r="6427" spans="1:5" ht="81">
      <c r="A6427" s="446">
        <v>100977</v>
      </c>
      <c r="B6427" s="447" t="s">
        <v>5529</v>
      </c>
      <c r="C6427" s="446" t="s">
        <v>31</v>
      </c>
      <c r="D6427" s="448">
        <v>5.09</v>
      </c>
      <c r="E6427" s="210"/>
    </row>
    <row r="6428" spans="1:5" ht="81">
      <c r="A6428" s="446">
        <v>100978</v>
      </c>
      <c r="B6428" s="447" t="s">
        <v>5530</v>
      </c>
      <c r="C6428" s="446" t="s">
        <v>31</v>
      </c>
      <c r="D6428" s="448">
        <v>4.68</v>
      </c>
      <c r="E6428" s="210"/>
    </row>
    <row r="6429" spans="1:5" ht="81">
      <c r="A6429" s="446">
        <v>100979</v>
      </c>
      <c r="B6429" s="447" t="s">
        <v>5531</v>
      </c>
      <c r="C6429" s="446" t="s">
        <v>31</v>
      </c>
      <c r="D6429" s="448">
        <v>4.7</v>
      </c>
      <c r="E6429" s="210"/>
    </row>
    <row r="6430" spans="1:5" ht="81">
      <c r="A6430" s="446">
        <v>100980</v>
      </c>
      <c r="B6430" s="447" t="s">
        <v>5532</v>
      </c>
      <c r="C6430" s="446" t="s">
        <v>31</v>
      </c>
      <c r="D6430" s="448">
        <v>4.49</v>
      </c>
      <c r="E6430" s="210"/>
    </row>
    <row r="6431" spans="1:5" ht="67.5">
      <c r="A6431" s="446">
        <v>100981</v>
      </c>
      <c r="B6431" s="447" t="s">
        <v>5533</v>
      </c>
      <c r="C6431" s="446" t="s">
        <v>31</v>
      </c>
      <c r="D6431" s="448">
        <v>6.22</v>
      </c>
      <c r="E6431" s="210"/>
    </row>
    <row r="6432" spans="1:5" ht="67.5">
      <c r="A6432" s="446">
        <v>100982</v>
      </c>
      <c r="B6432" s="447" t="s">
        <v>5534</v>
      </c>
      <c r="C6432" s="446" t="s">
        <v>31</v>
      </c>
      <c r="D6432" s="448">
        <v>6.06</v>
      </c>
      <c r="E6432" s="210"/>
    </row>
    <row r="6433" spans="1:5" ht="67.5">
      <c r="A6433" s="446">
        <v>100983</v>
      </c>
      <c r="B6433" s="447" t="s">
        <v>5535</v>
      </c>
      <c r="C6433" s="446" t="s">
        <v>31</v>
      </c>
      <c r="D6433" s="448">
        <v>6.36</v>
      </c>
      <c r="E6433" s="210"/>
    </row>
    <row r="6434" spans="1:5" ht="67.5">
      <c r="A6434" s="446">
        <v>100984</v>
      </c>
      <c r="B6434" s="447" t="s">
        <v>5536</v>
      </c>
      <c r="C6434" s="446" t="s">
        <v>31</v>
      </c>
      <c r="D6434" s="448">
        <v>6.28</v>
      </c>
      <c r="E6434" s="210"/>
    </row>
    <row r="6435" spans="1:5" ht="40.5">
      <c r="A6435" s="446">
        <v>100985</v>
      </c>
      <c r="B6435" s="447" t="s">
        <v>5537</v>
      </c>
      <c r="C6435" s="446" t="s">
        <v>31</v>
      </c>
      <c r="D6435" s="448">
        <v>5.05</v>
      </c>
      <c r="E6435" s="210"/>
    </row>
    <row r="6436" spans="1:5" ht="40.5">
      <c r="A6436" s="446">
        <v>100986</v>
      </c>
      <c r="B6436" s="447" t="s">
        <v>5538</v>
      </c>
      <c r="C6436" s="446" t="s">
        <v>31</v>
      </c>
      <c r="D6436" s="448">
        <v>6.21</v>
      </c>
      <c r="E6436" s="210"/>
    </row>
    <row r="6437" spans="1:5" ht="40.5">
      <c r="A6437" s="446">
        <v>100987</v>
      </c>
      <c r="B6437" s="447" t="s">
        <v>5539</v>
      </c>
      <c r="C6437" s="446" t="s">
        <v>31</v>
      </c>
      <c r="D6437" s="448">
        <v>7.55</v>
      </c>
      <c r="E6437" s="210"/>
    </row>
    <row r="6438" spans="1:5" ht="40.5">
      <c r="A6438" s="446">
        <v>100988</v>
      </c>
      <c r="B6438" s="447" t="s">
        <v>5540</v>
      </c>
      <c r="C6438" s="446" t="s">
        <v>31</v>
      </c>
      <c r="D6438" s="448">
        <v>8.06</v>
      </c>
      <c r="E6438" s="210"/>
    </row>
    <row r="6439" spans="1:5" ht="81">
      <c r="A6439" s="446">
        <v>100989</v>
      </c>
      <c r="B6439" s="447" t="s">
        <v>5541</v>
      </c>
      <c r="C6439" s="446" t="s">
        <v>51</v>
      </c>
      <c r="D6439" s="448">
        <v>4.0199999999999996</v>
      </c>
      <c r="E6439" s="210"/>
    </row>
    <row r="6440" spans="1:5" ht="81">
      <c r="A6440" s="446">
        <v>100990</v>
      </c>
      <c r="B6440" s="447" t="s">
        <v>5542</v>
      </c>
      <c r="C6440" s="446" t="s">
        <v>51</v>
      </c>
      <c r="D6440" s="448">
        <v>3.95</v>
      </c>
      <c r="E6440" s="210"/>
    </row>
    <row r="6441" spans="1:5" ht="81">
      <c r="A6441" s="446">
        <v>100991</v>
      </c>
      <c r="B6441" s="447" t="s">
        <v>5543</v>
      </c>
      <c r="C6441" s="446" t="s">
        <v>51</v>
      </c>
      <c r="D6441" s="448">
        <v>4.1900000000000004</v>
      </c>
      <c r="E6441" s="210"/>
    </row>
    <row r="6442" spans="1:5" ht="81">
      <c r="A6442" s="446">
        <v>100992</v>
      </c>
      <c r="B6442" s="447" t="s">
        <v>5544</v>
      </c>
      <c r="C6442" s="446" t="s">
        <v>51</v>
      </c>
      <c r="D6442" s="448">
        <v>4.12</v>
      </c>
      <c r="E6442" s="210"/>
    </row>
    <row r="6443" spans="1:5" ht="81">
      <c r="A6443" s="446">
        <v>100993</v>
      </c>
      <c r="B6443" s="447" t="s">
        <v>5545</v>
      </c>
      <c r="C6443" s="446" t="s">
        <v>51</v>
      </c>
      <c r="D6443" s="448">
        <v>3.38</v>
      </c>
      <c r="E6443" s="210"/>
    </row>
    <row r="6444" spans="1:5" ht="81">
      <c r="A6444" s="446">
        <v>100994</v>
      </c>
      <c r="B6444" s="447" t="s">
        <v>5546</v>
      </c>
      <c r="C6444" s="446" t="s">
        <v>51</v>
      </c>
      <c r="D6444" s="448">
        <v>3.1</v>
      </c>
      <c r="E6444" s="210"/>
    </row>
    <row r="6445" spans="1:5" ht="81">
      <c r="A6445" s="446">
        <v>100995</v>
      </c>
      <c r="B6445" s="447" t="s">
        <v>5547</v>
      </c>
      <c r="C6445" s="446" t="s">
        <v>51</v>
      </c>
      <c r="D6445" s="448">
        <v>3.13</v>
      </c>
      <c r="E6445" s="210"/>
    </row>
    <row r="6446" spans="1:5" ht="81">
      <c r="A6446" s="446">
        <v>100996</v>
      </c>
      <c r="B6446" s="447" t="s">
        <v>5548</v>
      </c>
      <c r="C6446" s="446" t="s">
        <v>51</v>
      </c>
      <c r="D6446" s="448">
        <v>2.99</v>
      </c>
      <c r="E6446" s="210"/>
    </row>
    <row r="6447" spans="1:5" ht="67.5">
      <c r="A6447" s="446">
        <v>100997</v>
      </c>
      <c r="B6447" s="447" t="s">
        <v>5549</v>
      </c>
      <c r="C6447" s="446" t="s">
        <v>51</v>
      </c>
      <c r="D6447" s="448">
        <v>4.1399999999999997</v>
      </c>
      <c r="E6447" s="210"/>
    </row>
    <row r="6448" spans="1:5" ht="67.5">
      <c r="A6448" s="446">
        <v>100998</v>
      </c>
      <c r="B6448" s="447" t="s">
        <v>5550</v>
      </c>
      <c r="C6448" s="446" t="s">
        <v>51</v>
      </c>
      <c r="D6448" s="448">
        <v>4.05</v>
      </c>
      <c r="E6448" s="210"/>
    </row>
    <row r="6449" spans="1:5" ht="67.5">
      <c r="A6449" s="446">
        <v>100999</v>
      </c>
      <c r="B6449" s="447" t="s">
        <v>5551</v>
      </c>
      <c r="C6449" s="446" t="s">
        <v>51</v>
      </c>
      <c r="D6449" s="448">
        <v>4.2699999999999996</v>
      </c>
      <c r="E6449" s="210"/>
    </row>
    <row r="6450" spans="1:5" ht="67.5">
      <c r="A6450" s="446">
        <v>101000</v>
      </c>
      <c r="B6450" s="447" t="s">
        <v>5552</v>
      </c>
      <c r="C6450" s="446" t="s">
        <v>51</v>
      </c>
      <c r="D6450" s="448">
        <v>4.2</v>
      </c>
      <c r="E6450" s="210"/>
    </row>
    <row r="6451" spans="1:5" ht="40.5">
      <c r="A6451" s="446">
        <v>101001</v>
      </c>
      <c r="B6451" s="447" t="s">
        <v>5553</v>
      </c>
      <c r="C6451" s="446" t="s">
        <v>51</v>
      </c>
      <c r="D6451" s="448">
        <v>3.37</v>
      </c>
      <c r="E6451" s="210"/>
    </row>
    <row r="6452" spans="1:5" ht="40.5">
      <c r="A6452" s="446">
        <v>101002</v>
      </c>
      <c r="B6452" s="447" t="s">
        <v>5554</v>
      </c>
      <c r="C6452" s="446" t="s">
        <v>51</v>
      </c>
      <c r="D6452" s="448">
        <v>4.12</v>
      </c>
      <c r="E6452" s="210"/>
    </row>
    <row r="6453" spans="1:5" ht="40.5">
      <c r="A6453" s="446">
        <v>101003</v>
      </c>
      <c r="B6453" s="447" t="s">
        <v>5555</v>
      </c>
      <c r="C6453" s="446" t="s">
        <v>51</v>
      </c>
      <c r="D6453" s="448">
        <v>5.01</v>
      </c>
      <c r="E6453" s="210"/>
    </row>
    <row r="6454" spans="1:5" ht="40.5">
      <c r="A6454" s="446">
        <v>101004</v>
      </c>
      <c r="B6454" s="447" t="s">
        <v>5556</v>
      </c>
      <c r="C6454" s="446" t="s">
        <v>51</v>
      </c>
      <c r="D6454" s="448">
        <v>5.37</v>
      </c>
      <c r="E6454" s="210"/>
    </row>
    <row r="6455" spans="1:5" ht="27">
      <c r="A6455" s="446">
        <v>101005</v>
      </c>
      <c r="B6455" s="447" t="s">
        <v>5557</v>
      </c>
      <c r="C6455" s="446" t="s">
        <v>31</v>
      </c>
      <c r="D6455" s="448">
        <v>13.26</v>
      </c>
      <c r="E6455" s="210"/>
    </row>
    <row r="6456" spans="1:5" ht="27">
      <c r="A6456" s="446">
        <v>101006</v>
      </c>
      <c r="B6456" s="447" t="s">
        <v>5558</v>
      </c>
      <c r="C6456" s="446" t="s">
        <v>31</v>
      </c>
      <c r="D6456" s="448">
        <v>14.42</v>
      </c>
      <c r="E6456" s="210"/>
    </row>
    <row r="6457" spans="1:5" ht="27">
      <c r="A6457" s="446">
        <v>101007</v>
      </c>
      <c r="B6457" s="447" t="s">
        <v>5559</v>
      </c>
      <c r="C6457" s="446" t="s">
        <v>31</v>
      </c>
      <c r="D6457" s="448">
        <v>3.84</v>
      </c>
      <c r="E6457" s="210"/>
    </row>
    <row r="6458" spans="1:5" ht="27">
      <c r="A6458" s="446">
        <v>101008</v>
      </c>
      <c r="B6458" s="447" t="s">
        <v>5560</v>
      </c>
      <c r="C6458" s="446" t="s">
        <v>31</v>
      </c>
      <c r="D6458" s="448">
        <v>3.81</v>
      </c>
      <c r="E6458" s="210"/>
    </row>
    <row r="6459" spans="1:5" ht="40.5">
      <c r="A6459" s="446">
        <v>101009</v>
      </c>
      <c r="B6459" s="447" t="s">
        <v>5561</v>
      </c>
      <c r="C6459" s="446" t="s">
        <v>51</v>
      </c>
      <c r="D6459" s="448">
        <v>28.7</v>
      </c>
      <c r="E6459" s="210"/>
    </row>
    <row r="6460" spans="1:5" ht="40.5">
      <c r="A6460" s="446">
        <v>101010</v>
      </c>
      <c r="B6460" s="447" t="s">
        <v>5562</v>
      </c>
      <c r="C6460" s="446" t="s">
        <v>51</v>
      </c>
      <c r="D6460" s="448">
        <v>18.07</v>
      </c>
      <c r="E6460" s="210"/>
    </row>
    <row r="6461" spans="1:5" ht="54">
      <c r="A6461" s="446">
        <v>101013</v>
      </c>
      <c r="B6461" s="447" t="s">
        <v>5563</v>
      </c>
      <c r="C6461" s="446" t="s">
        <v>51</v>
      </c>
      <c r="D6461" s="448">
        <v>30</v>
      </c>
      <c r="E6461" s="210"/>
    </row>
    <row r="6462" spans="1:5" ht="54">
      <c r="A6462" s="446">
        <v>101014</v>
      </c>
      <c r="B6462" s="447" t="s">
        <v>5564</v>
      </c>
      <c r="C6462" s="446" t="s">
        <v>51</v>
      </c>
      <c r="D6462" s="448">
        <v>27.49</v>
      </c>
      <c r="E6462" s="210"/>
    </row>
    <row r="6463" spans="1:5" ht="54">
      <c r="A6463" s="446">
        <v>101015</v>
      </c>
      <c r="B6463" s="447" t="s">
        <v>5565</v>
      </c>
      <c r="C6463" s="446" t="s">
        <v>51</v>
      </c>
      <c r="D6463" s="448">
        <v>22.57</v>
      </c>
      <c r="E6463" s="210"/>
    </row>
    <row r="6464" spans="1:5" ht="54">
      <c r="A6464" s="446">
        <v>101016</v>
      </c>
      <c r="B6464" s="447" t="s">
        <v>5566</v>
      </c>
      <c r="C6464" s="446" t="s">
        <v>51</v>
      </c>
      <c r="D6464" s="448">
        <v>26.13</v>
      </c>
      <c r="E6464" s="210"/>
    </row>
    <row r="6465" spans="1:5" ht="54">
      <c r="A6465" s="446">
        <v>101017</v>
      </c>
      <c r="B6465" s="447" t="s">
        <v>5567</v>
      </c>
      <c r="C6465" s="446" t="s">
        <v>51</v>
      </c>
      <c r="D6465" s="448">
        <v>19.809999999999999</v>
      </c>
      <c r="E6465" s="210"/>
    </row>
    <row r="6466" spans="1:5" ht="54">
      <c r="A6466" s="446">
        <v>101018</v>
      </c>
      <c r="B6466" s="447" t="s">
        <v>5568</v>
      </c>
      <c r="C6466" s="446" t="s">
        <v>51</v>
      </c>
      <c r="D6466" s="448">
        <v>16.27</v>
      </c>
      <c r="E6466" s="210"/>
    </row>
    <row r="6467" spans="1:5" ht="54">
      <c r="A6467" s="446">
        <v>101463</v>
      </c>
      <c r="B6467" s="447" t="s">
        <v>5569</v>
      </c>
      <c r="C6467" s="446" t="s">
        <v>51</v>
      </c>
      <c r="D6467" s="448">
        <v>30.08</v>
      </c>
      <c r="E6467" s="210"/>
    </row>
    <row r="6468" spans="1:5" ht="54">
      <c r="A6468" s="446">
        <v>101464</v>
      </c>
      <c r="B6468" s="447" t="s">
        <v>5570</v>
      </c>
      <c r="C6468" s="446" t="s">
        <v>51</v>
      </c>
      <c r="D6468" s="448">
        <v>23.11</v>
      </c>
      <c r="E6468" s="210"/>
    </row>
    <row r="6469" spans="1:5" ht="54">
      <c r="A6469" s="446">
        <v>101465</v>
      </c>
      <c r="B6469" s="447" t="s">
        <v>5571</v>
      </c>
      <c r="C6469" s="446" t="s">
        <v>51</v>
      </c>
      <c r="D6469" s="448">
        <v>17.66</v>
      </c>
      <c r="E6469" s="210"/>
    </row>
    <row r="6470" spans="1:5" ht="54">
      <c r="A6470" s="446">
        <v>101466</v>
      </c>
      <c r="B6470" s="447" t="s">
        <v>5572</v>
      </c>
      <c r="C6470" s="446" t="s">
        <v>51</v>
      </c>
      <c r="D6470" s="448">
        <v>14.36</v>
      </c>
      <c r="E6470" s="210"/>
    </row>
    <row r="6471" spans="1:5" ht="54">
      <c r="A6471" s="446">
        <v>101467</v>
      </c>
      <c r="B6471" s="447" t="s">
        <v>5573</v>
      </c>
      <c r="C6471" s="446" t="s">
        <v>51</v>
      </c>
      <c r="D6471" s="448">
        <v>12.02</v>
      </c>
      <c r="E6471" s="210"/>
    </row>
    <row r="6472" spans="1:5" ht="54">
      <c r="A6472" s="446">
        <v>101468</v>
      </c>
      <c r="B6472" s="447" t="s">
        <v>5574</v>
      </c>
      <c r="C6472" s="446" t="s">
        <v>51</v>
      </c>
      <c r="D6472" s="448">
        <v>11</v>
      </c>
      <c r="E6472" s="210"/>
    </row>
    <row r="6473" spans="1:5" ht="54">
      <c r="A6473" s="446">
        <v>101469</v>
      </c>
      <c r="B6473" s="447" t="s">
        <v>5575</v>
      </c>
      <c r="C6473" s="446" t="s">
        <v>51</v>
      </c>
      <c r="D6473" s="448">
        <v>24.62</v>
      </c>
      <c r="E6473" s="210"/>
    </row>
    <row r="6474" spans="1:5" ht="54">
      <c r="A6474" s="446">
        <v>101470</v>
      </c>
      <c r="B6474" s="447" t="s">
        <v>5576</v>
      </c>
      <c r="C6474" s="446" t="s">
        <v>51</v>
      </c>
      <c r="D6474" s="448">
        <v>19.53</v>
      </c>
      <c r="E6474" s="210"/>
    </row>
    <row r="6475" spans="1:5" ht="54">
      <c r="A6475" s="446">
        <v>101471</v>
      </c>
      <c r="B6475" s="447" t="s">
        <v>5577</v>
      </c>
      <c r="C6475" s="446" t="s">
        <v>51</v>
      </c>
      <c r="D6475" s="448">
        <v>16.760000000000002</v>
      </c>
      <c r="E6475" s="210"/>
    </row>
    <row r="6476" spans="1:5" ht="54">
      <c r="A6476" s="446">
        <v>101472</v>
      </c>
      <c r="B6476" s="447" t="s">
        <v>5578</v>
      </c>
      <c r="C6476" s="446" t="s">
        <v>51</v>
      </c>
      <c r="D6476" s="448">
        <v>13.05</v>
      </c>
      <c r="E6476" s="210"/>
    </row>
    <row r="6477" spans="1:5" ht="54">
      <c r="A6477" s="446">
        <v>101473</v>
      </c>
      <c r="B6477" s="447" t="s">
        <v>5579</v>
      </c>
      <c r="C6477" s="446" t="s">
        <v>51</v>
      </c>
      <c r="D6477" s="448">
        <v>18.78</v>
      </c>
      <c r="E6477" s="210"/>
    </row>
    <row r="6478" spans="1:5" ht="54">
      <c r="A6478" s="446">
        <v>101474</v>
      </c>
      <c r="B6478" s="447" t="s">
        <v>5580</v>
      </c>
      <c r="C6478" s="446" t="s">
        <v>51</v>
      </c>
      <c r="D6478" s="448">
        <v>13.43</v>
      </c>
      <c r="E6478" s="210"/>
    </row>
    <row r="6479" spans="1:5" ht="54">
      <c r="A6479" s="446">
        <v>101475</v>
      </c>
      <c r="B6479" s="447" t="s">
        <v>5581</v>
      </c>
      <c r="C6479" s="446" t="s">
        <v>51</v>
      </c>
      <c r="D6479" s="448">
        <v>11.92</v>
      </c>
      <c r="E6479" s="210"/>
    </row>
    <row r="6480" spans="1:5" ht="54">
      <c r="A6480" s="446">
        <v>101476</v>
      </c>
      <c r="B6480" s="447" t="s">
        <v>5582</v>
      </c>
      <c r="C6480" s="446" t="s">
        <v>51</v>
      </c>
      <c r="D6480" s="448">
        <v>10.63</v>
      </c>
      <c r="E6480" s="210"/>
    </row>
    <row r="6481" spans="1:5" ht="54">
      <c r="A6481" s="446">
        <v>101477</v>
      </c>
      <c r="B6481" s="447" t="s">
        <v>5583</v>
      </c>
      <c r="C6481" s="446" t="s">
        <v>51</v>
      </c>
      <c r="D6481" s="448">
        <v>8.6999999999999993</v>
      </c>
      <c r="E6481" s="210"/>
    </row>
    <row r="6482" spans="1:5" ht="54">
      <c r="A6482" s="446">
        <v>101478</v>
      </c>
      <c r="B6482" s="447" t="s">
        <v>5584</v>
      </c>
      <c r="C6482" s="446" t="s">
        <v>51</v>
      </c>
      <c r="D6482" s="448">
        <v>7.4</v>
      </c>
      <c r="E6482" s="210"/>
    </row>
    <row r="6483" spans="1:5" ht="54">
      <c r="A6483" s="446">
        <v>101480</v>
      </c>
      <c r="B6483" s="447" t="s">
        <v>5585</v>
      </c>
      <c r="C6483" s="446" t="s">
        <v>51</v>
      </c>
      <c r="D6483" s="448">
        <v>44.03</v>
      </c>
      <c r="E6483" s="210"/>
    </row>
    <row r="6484" spans="1:5" ht="54">
      <c r="A6484" s="446">
        <v>101481</v>
      </c>
      <c r="B6484" s="447" t="s">
        <v>5586</v>
      </c>
      <c r="C6484" s="446" t="s">
        <v>51</v>
      </c>
      <c r="D6484" s="448">
        <v>31.8</v>
      </c>
      <c r="E6484" s="210"/>
    </row>
    <row r="6485" spans="1:5" ht="54">
      <c r="A6485" s="446">
        <v>101482</v>
      </c>
      <c r="B6485" s="447" t="s">
        <v>5587</v>
      </c>
      <c r="C6485" s="446" t="s">
        <v>51</v>
      </c>
      <c r="D6485" s="448">
        <v>23.77</v>
      </c>
      <c r="E6485" s="210"/>
    </row>
    <row r="6486" spans="1:5" ht="54">
      <c r="A6486" s="446">
        <v>101483</v>
      </c>
      <c r="B6486" s="447" t="s">
        <v>5588</v>
      </c>
      <c r="C6486" s="446" t="s">
        <v>51</v>
      </c>
      <c r="D6486" s="448">
        <v>24.67</v>
      </c>
      <c r="E6486" s="210"/>
    </row>
    <row r="6487" spans="1:5" ht="54">
      <c r="A6487" s="446">
        <v>101484</v>
      </c>
      <c r="B6487" s="447" t="s">
        <v>5589</v>
      </c>
      <c r="C6487" s="446" t="s">
        <v>51</v>
      </c>
      <c r="D6487" s="448">
        <v>127.87</v>
      </c>
      <c r="E6487" s="210"/>
    </row>
    <row r="6488" spans="1:5" ht="54">
      <c r="A6488" s="446">
        <v>101485</v>
      </c>
      <c r="B6488" s="447" t="s">
        <v>5590</v>
      </c>
      <c r="C6488" s="446" t="s">
        <v>51</v>
      </c>
      <c r="D6488" s="448">
        <v>98.16</v>
      </c>
      <c r="E6488" s="210"/>
    </row>
    <row r="6489" spans="1:5" ht="54">
      <c r="A6489" s="446">
        <v>101486</v>
      </c>
      <c r="B6489" s="447" t="s">
        <v>5591</v>
      </c>
      <c r="C6489" s="446" t="s">
        <v>51</v>
      </c>
      <c r="D6489" s="448">
        <v>88.41</v>
      </c>
      <c r="E6489" s="210"/>
    </row>
    <row r="6490" spans="1:5" ht="54">
      <c r="A6490" s="446">
        <v>101487</v>
      </c>
      <c r="B6490" s="447" t="s">
        <v>5592</v>
      </c>
      <c r="C6490" s="446" t="s">
        <v>51</v>
      </c>
      <c r="D6490" s="448">
        <v>64.739999999999995</v>
      </c>
      <c r="E6490" s="210"/>
    </row>
    <row r="6491" spans="1:5" ht="54">
      <c r="A6491" s="446">
        <v>101488</v>
      </c>
      <c r="B6491" s="447" t="s">
        <v>5593</v>
      </c>
      <c r="C6491" s="446" t="s">
        <v>51</v>
      </c>
      <c r="D6491" s="448">
        <v>56.02</v>
      </c>
      <c r="E6491" s="210"/>
    </row>
    <row r="6492" spans="1:5" ht="54">
      <c r="A6492" s="446">
        <v>101188</v>
      </c>
      <c r="B6492" s="447" t="s">
        <v>5594</v>
      </c>
      <c r="C6492" s="446" t="s">
        <v>14</v>
      </c>
      <c r="D6492" s="448">
        <v>4.28</v>
      </c>
      <c r="E6492" s="210"/>
    </row>
    <row r="6493" spans="1:5" ht="67.5">
      <c r="A6493" s="446">
        <v>101189</v>
      </c>
      <c r="B6493" s="447" t="s">
        <v>5595</v>
      </c>
      <c r="C6493" s="446" t="s">
        <v>14</v>
      </c>
      <c r="D6493" s="448">
        <v>57.59</v>
      </c>
      <c r="E6493" s="210"/>
    </row>
    <row r="6494" spans="1:5" ht="67.5">
      <c r="A6494" s="446">
        <v>101190</v>
      </c>
      <c r="B6494" s="447" t="s">
        <v>5596</v>
      </c>
      <c r="C6494" s="446" t="s">
        <v>14</v>
      </c>
      <c r="D6494" s="448">
        <v>56.97</v>
      </c>
      <c r="E6494" s="210"/>
    </row>
    <row r="6495" spans="1:5" ht="67.5">
      <c r="A6495" s="446">
        <v>101191</v>
      </c>
      <c r="B6495" s="447" t="s">
        <v>5597</v>
      </c>
      <c r="C6495" s="446" t="s">
        <v>14</v>
      </c>
      <c r="D6495" s="448">
        <v>57.28</v>
      </c>
      <c r="E6495" s="210"/>
    </row>
    <row r="6496" spans="1:5" ht="67.5">
      <c r="A6496" s="446">
        <v>101192</v>
      </c>
      <c r="B6496" s="447" t="s">
        <v>5598</v>
      </c>
      <c r="C6496" s="446" t="s">
        <v>14</v>
      </c>
      <c r="D6496" s="448">
        <v>56.82</v>
      </c>
      <c r="E6496" s="210"/>
    </row>
    <row r="6497" spans="1:5" ht="67.5">
      <c r="A6497" s="446">
        <v>101193</v>
      </c>
      <c r="B6497" s="447" t="s">
        <v>5599</v>
      </c>
      <c r="C6497" s="446" t="s">
        <v>14</v>
      </c>
      <c r="D6497" s="448">
        <v>51.04</v>
      </c>
      <c r="E6497" s="210"/>
    </row>
    <row r="6498" spans="1:5" ht="67.5">
      <c r="A6498" s="446">
        <v>101194</v>
      </c>
      <c r="B6498" s="447" t="s">
        <v>5600</v>
      </c>
      <c r="C6498" s="446" t="s">
        <v>14</v>
      </c>
      <c r="D6498" s="448">
        <v>51.35</v>
      </c>
      <c r="E6498" s="210"/>
    </row>
    <row r="6499" spans="1:5" ht="67.5">
      <c r="A6499" s="446">
        <v>101197</v>
      </c>
      <c r="B6499" s="447" t="s">
        <v>5601</v>
      </c>
      <c r="C6499" s="446" t="s">
        <v>14</v>
      </c>
      <c r="D6499" s="448">
        <v>100.62</v>
      </c>
      <c r="E6499" s="210"/>
    </row>
    <row r="6500" spans="1:5" ht="81">
      <c r="A6500" s="446">
        <v>101198</v>
      </c>
      <c r="B6500" s="447" t="s">
        <v>5602</v>
      </c>
      <c r="C6500" s="446" t="s">
        <v>14</v>
      </c>
      <c r="D6500" s="448">
        <v>74.900000000000006</v>
      </c>
      <c r="E6500" s="210"/>
    </row>
    <row r="6501" spans="1:5" ht="67.5">
      <c r="A6501" s="446">
        <v>101199</v>
      </c>
      <c r="B6501" s="447" t="s">
        <v>5603</v>
      </c>
      <c r="C6501" s="446" t="s">
        <v>14</v>
      </c>
      <c r="D6501" s="448">
        <v>75.67</v>
      </c>
      <c r="E6501" s="210"/>
    </row>
    <row r="6502" spans="1:5" ht="67.5">
      <c r="A6502" s="446">
        <v>101200</v>
      </c>
      <c r="B6502" s="447" t="s">
        <v>5604</v>
      </c>
      <c r="C6502" s="446" t="s">
        <v>14</v>
      </c>
      <c r="D6502" s="448">
        <v>35.630000000000003</v>
      </c>
      <c r="E6502" s="210"/>
    </row>
    <row r="6503" spans="1:5" ht="67.5">
      <c r="A6503" s="446">
        <v>101201</v>
      </c>
      <c r="B6503" s="447" t="s">
        <v>5605</v>
      </c>
      <c r="C6503" s="446" t="s">
        <v>14</v>
      </c>
      <c r="D6503" s="448">
        <v>45.4</v>
      </c>
      <c r="E6503" s="210"/>
    </row>
    <row r="6504" spans="1:5" ht="81">
      <c r="A6504" s="446">
        <v>101202</v>
      </c>
      <c r="B6504" s="447" t="s">
        <v>5606</v>
      </c>
      <c r="C6504" s="446" t="s">
        <v>14</v>
      </c>
      <c r="D6504" s="448">
        <v>29.59</v>
      </c>
      <c r="E6504" s="210"/>
    </row>
    <row r="6505" spans="1:5" ht="81">
      <c r="A6505" s="446">
        <v>101203</v>
      </c>
      <c r="B6505" s="447" t="s">
        <v>5607</v>
      </c>
      <c r="C6505" s="446" t="s">
        <v>14</v>
      </c>
      <c r="D6505" s="448">
        <v>28.81</v>
      </c>
      <c r="E6505" s="210"/>
    </row>
    <row r="6506" spans="1:5" ht="67.5">
      <c r="A6506" s="446">
        <v>101204</v>
      </c>
      <c r="B6506" s="447" t="s">
        <v>5608</v>
      </c>
      <c r="C6506" s="446" t="s">
        <v>14</v>
      </c>
      <c r="D6506" s="448">
        <v>29.12</v>
      </c>
      <c r="E6506" s="210"/>
    </row>
    <row r="6507" spans="1:5" ht="67.5">
      <c r="A6507" s="446">
        <v>101205</v>
      </c>
      <c r="B6507" s="447" t="s">
        <v>5609</v>
      </c>
      <c r="C6507" s="446" t="s">
        <v>14</v>
      </c>
      <c r="D6507" s="448">
        <v>29.59</v>
      </c>
      <c r="E6507" s="210"/>
    </row>
    <row r="6508" spans="1:5" ht="94.5">
      <c r="A6508" s="446">
        <v>102362</v>
      </c>
      <c r="B6508" s="447" t="s">
        <v>6855</v>
      </c>
      <c r="C6508" s="446" t="s">
        <v>42</v>
      </c>
      <c r="D6508" s="448">
        <v>181.41</v>
      </c>
      <c r="E6508" s="210"/>
    </row>
    <row r="6509" spans="1:5" ht="94.5">
      <c r="A6509" s="446">
        <v>102363</v>
      </c>
      <c r="B6509" s="447" t="s">
        <v>6856</v>
      </c>
      <c r="C6509" s="446" t="s">
        <v>42</v>
      </c>
      <c r="D6509" s="448">
        <v>192.51</v>
      </c>
      <c r="E6509" s="210"/>
    </row>
    <row r="6510" spans="1:5" ht="94.5">
      <c r="A6510" s="446">
        <v>102364</v>
      </c>
      <c r="B6510" s="447" t="s">
        <v>6857</v>
      </c>
      <c r="C6510" s="446" t="s">
        <v>42</v>
      </c>
      <c r="D6510" s="448">
        <v>212.62</v>
      </c>
      <c r="E6510" s="210"/>
    </row>
    <row r="6511" spans="1:5" ht="27">
      <c r="A6511" s="446">
        <v>98509</v>
      </c>
      <c r="B6511" s="484" t="s">
        <v>4218</v>
      </c>
      <c r="C6511" s="446" t="s">
        <v>34</v>
      </c>
      <c r="D6511" s="448">
        <v>55.29</v>
      </c>
      <c r="E6511" s="210"/>
    </row>
    <row r="6512" spans="1:5" ht="40.5">
      <c r="A6512" s="446">
        <v>98510</v>
      </c>
      <c r="B6512" s="447" t="s">
        <v>4219</v>
      </c>
      <c r="C6512" s="446" t="s">
        <v>34</v>
      </c>
      <c r="D6512" s="448">
        <v>77.08</v>
      </c>
      <c r="E6512" s="210"/>
    </row>
    <row r="6513" spans="1:5" ht="40.5">
      <c r="A6513" s="446">
        <v>98511</v>
      </c>
      <c r="B6513" s="447" t="s">
        <v>4220</v>
      </c>
      <c r="C6513" s="446" t="s">
        <v>34</v>
      </c>
      <c r="D6513" s="448">
        <v>150.04</v>
      </c>
      <c r="E6513" s="210"/>
    </row>
    <row r="6514" spans="1:5" ht="27">
      <c r="A6514" s="446">
        <v>98516</v>
      </c>
      <c r="B6514" s="447" t="s">
        <v>4221</v>
      </c>
      <c r="C6514" s="446" t="s">
        <v>34</v>
      </c>
      <c r="D6514" s="448">
        <v>298.38</v>
      </c>
      <c r="E6514" s="210"/>
    </row>
    <row r="6515" spans="1:5" ht="27">
      <c r="A6515" s="446">
        <v>98519</v>
      </c>
      <c r="B6515" s="447" t="s">
        <v>4222</v>
      </c>
      <c r="C6515" s="446" t="s">
        <v>42</v>
      </c>
      <c r="D6515" s="448">
        <v>1.38</v>
      </c>
      <c r="E6515" s="210"/>
    </row>
    <row r="6516" spans="1:5" ht="13.5">
      <c r="A6516" s="446">
        <v>98520</v>
      </c>
      <c r="B6516" s="447" t="s">
        <v>4223</v>
      </c>
      <c r="C6516" s="446" t="s">
        <v>42</v>
      </c>
      <c r="D6516" s="448">
        <v>3.54</v>
      </c>
      <c r="E6516" s="210"/>
    </row>
    <row r="6517" spans="1:5" ht="27">
      <c r="A6517" s="446">
        <v>98521</v>
      </c>
      <c r="B6517" s="447" t="s">
        <v>4224</v>
      </c>
      <c r="C6517" s="446" t="s">
        <v>42</v>
      </c>
      <c r="D6517" s="448">
        <v>0.24</v>
      </c>
      <c r="E6517" s="210"/>
    </row>
    <row r="6518" spans="1:5" ht="40.5">
      <c r="A6518" s="446">
        <v>98522</v>
      </c>
      <c r="B6518" s="447" t="s">
        <v>4225</v>
      </c>
      <c r="C6518" s="446" t="s">
        <v>14</v>
      </c>
      <c r="D6518" s="448">
        <v>126.47</v>
      </c>
      <c r="E6518" s="210"/>
    </row>
    <row r="6519" spans="1:5" ht="27">
      <c r="A6519" s="446">
        <v>98524</v>
      </c>
      <c r="B6519" s="447" t="s">
        <v>4226</v>
      </c>
      <c r="C6519" s="446" t="s">
        <v>42</v>
      </c>
      <c r="D6519" s="448">
        <v>2.2200000000000002</v>
      </c>
      <c r="E6519" s="210"/>
    </row>
    <row r="6520" spans="1:5" ht="27">
      <c r="A6520" s="446">
        <v>98503</v>
      </c>
      <c r="B6520" s="447" t="s">
        <v>4227</v>
      </c>
      <c r="C6520" s="446" t="s">
        <v>42</v>
      </c>
      <c r="D6520" s="448">
        <v>15.92</v>
      </c>
      <c r="E6520" s="210"/>
    </row>
    <row r="6521" spans="1:5" ht="13.5">
      <c r="A6521" s="446">
        <v>98504</v>
      </c>
      <c r="B6521" s="447" t="s">
        <v>4228</v>
      </c>
      <c r="C6521" s="446" t="s">
        <v>42</v>
      </c>
      <c r="D6521" s="448">
        <v>11.42</v>
      </c>
      <c r="E6521" s="210"/>
    </row>
    <row r="6522" spans="1:5" ht="13.5">
      <c r="A6522" s="446">
        <v>98505</v>
      </c>
      <c r="B6522" s="447" t="s">
        <v>4229</v>
      </c>
      <c r="C6522" s="446" t="s">
        <v>42</v>
      </c>
      <c r="D6522" s="448">
        <v>78.849999999999994</v>
      </c>
      <c r="E6522" s="210"/>
    </row>
    <row r="6523" spans="1:5" ht="54">
      <c r="A6523" s="446">
        <v>98525</v>
      </c>
      <c r="B6523" s="447" t="s">
        <v>4230</v>
      </c>
      <c r="C6523" s="446" t="s">
        <v>42</v>
      </c>
      <c r="D6523" s="448">
        <v>0.27</v>
      </c>
      <c r="E6523" s="210"/>
    </row>
    <row r="6524" spans="1:5" ht="54">
      <c r="A6524" s="446">
        <v>98526</v>
      </c>
      <c r="B6524" s="447" t="s">
        <v>4231</v>
      </c>
      <c r="C6524" s="446" t="s">
        <v>34</v>
      </c>
      <c r="D6524" s="448">
        <v>54.44</v>
      </c>
      <c r="E6524" s="210"/>
    </row>
    <row r="6525" spans="1:5" ht="54">
      <c r="A6525" s="446">
        <v>98527</v>
      </c>
      <c r="B6525" s="447" t="s">
        <v>4232</v>
      </c>
      <c r="C6525" s="446" t="s">
        <v>34</v>
      </c>
      <c r="D6525" s="448">
        <v>117.21</v>
      </c>
      <c r="E6525" s="210"/>
    </row>
    <row r="6526" spans="1:5" ht="40.5">
      <c r="A6526" s="446">
        <v>98528</v>
      </c>
      <c r="B6526" s="447" t="s">
        <v>4233</v>
      </c>
      <c r="C6526" s="446" t="s">
        <v>34</v>
      </c>
      <c r="D6526" s="448">
        <v>171.4</v>
      </c>
      <c r="E6526" s="210"/>
    </row>
    <row r="6527" spans="1:5" ht="40.5">
      <c r="A6527" s="446">
        <v>98529</v>
      </c>
      <c r="B6527" s="447" t="s">
        <v>4234</v>
      </c>
      <c r="C6527" s="446" t="s">
        <v>34</v>
      </c>
      <c r="D6527" s="448">
        <v>48.01</v>
      </c>
      <c r="E6527" s="210"/>
    </row>
    <row r="6528" spans="1:5" ht="40.5">
      <c r="A6528" s="446">
        <v>98530</v>
      </c>
      <c r="B6528" s="447" t="s">
        <v>4235</v>
      </c>
      <c r="C6528" s="446" t="s">
        <v>34</v>
      </c>
      <c r="D6528" s="448">
        <v>85.53</v>
      </c>
      <c r="E6528" s="210"/>
    </row>
    <row r="6529" spans="1:5" ht="40.5">
      <c r="A6529" s="446">
        <v>98531</v>
      </c>
      <c r="B6529" s="447" t="s">
        <v>4236</v>
      </c>
      <c r="C6529" s="446" t="s">
        <v>34</v>
      </c>
      <c r="D6529" s="448">
        <v>196.8</v>
      </c>
      <c r="E6529" s="210"/>
    </row>
    <row r="6530" spans="1:5" ht="27">
      <c r="A6530" s="446">
        <v>98532</v>
      </c>
      <c r="B6530" s="447" t="s">
        <v>4237</v>
      </c>
      <c r="C6530" s="446" t="s">
        <v>34</v>
      </c>
      <c r="D6530" s="448">
        <v>76.8</v>
      </c>
      <c r="E6530" s="210"/>
    </row>
    <row r="6531" spans="1:5" ht="40.5">
      <c r="A6531" s="446">
        <v>98533</v>
      </c>
      <c r="B6531" s="447" t="s">
        <v>4238</v>
      </c>
      <c r="C6531" s="446" t="s">
        <v>34</v>
      </c>
      <c r="D6531" s="448">
        <v>203.93</v>
      </c>
      <c r="E6531" s="210"/>
    </row>
    <row r="6532" spans="1:5" ht="40.5">
      <c r="A6532" s="446">
        <v>98534</v>
      </c>
      <c r="B6532" s="447" t="s">
        <v>4239</v>
      </c>
      <c r="C6532" s="446" t="s">
        <v>34</v>
      </c>
      <c r="D6532" s="448">
        <v>530.05999999999995</v>
      </c>
      <c r="E6532" s="210"/>
    </row>
    <row r="6533" spans="1:5" ht="40.5">
      <c r="A6533" s="446">
        <v>98535</v>
      </c>
      <c r="B6533" s="447" t="s">
        <v>4240</v>
      </c>
      <c r="C6533" s="446" t="s">
        <v>34</v>
      </c>
      <c r="D6533" s="448">
        <v>825.99</v>
      </c>
      <c r="E6533" s="210"/>
    </row>
    <row r="6534" spans="1:5" ht="27">
      <c r="A6534" s="446">
        <v>88238</v>
      </c>
      <c r="B6534" s="447" t="s">
        <v>120</v>
      </c>
      <c r="C6534" s="446" t="s">
        <v>19</v>
      </c>
      <c r="D6534" s="448">
        <v>13.4</v>
      </c>
      <c r="E6534" s="210"/>
    </row>
    <row r="6535" spans="1:5" ht="27">
      <c r="A6535" s="446">
        <v>88239</v>
      </c>
      <c r="B6535" s="447" t="s">
        <v>39</v>
      </c>
      <c r="C6535" s="446" t="s">
        <v>19</v>
      </c>
      <c r="D6535" s="448">
        <v>14.57</v>
      </c>
      <c r="E6535" s="210"/>
    </row>
    <row r="6536" spans="1:5" ht="27">
      <c r="A6536" s="446">
        <v>88240</v>
      </c>
      <c r="B6536" s="447" t="s">
        <v>121</v>
      </c>
      <c r="C6536" s="446" t="s">
        <v>19</v>
      </c>
      <c r="D6536" s="448">
        <v>10.27</v>
      </c>
      <c r="E6536" s="210"/>
    </row>
    <row r="6537" spans="1:5" ht="27">
      <c r="A6537" s="446">
        <v>88241</v>
      </c>
      <c r="B6537" s="447" t="s">
        <v>122</v>
      </c>
      <c r="C6537" s="446" t="s">
        <v>19</v>
      </c>
      <c r="D6537" s="448">
        <v>13.74</v>
      </c>
      <c r="E6537" s="210"/>
    </row>
    <row r="6538" spans="1:5" ht="27">
      <c r="A6538" s="446">
        <v>88242</v>
      </c>
      <c r="B6538" s="447" t="s">
        <v>123</v>
      </c>
      <c r="C6538" s="446" t="s">
        <v>19</v>
      </c>
      <c r="D6538" s="448">
        <v>14.06</v>
      </c>
      <c r="E6538" s="210"/>
    </row>
    <row r="6539" spans="1:5" ht="27">
      <c r="A6539" s="446">
        <v>88243</v>
      </c>
      <c r="B6539" s="447" t="s">
        <v>124</v>
      </c>
      <c r="C6539" s="446" t="s">
        <v>19</v>
      </c>
      <c r="D6539" s="448">
        <v>16.98</v>
      </c>
      <c r="E6539" s="210"/>
    </row>
    <row r="6540" spans="1:5" ht="13.5">
      <c r="A6540" s="446">
        <v>88245</v>
      </c>
      <c r="B6540" s="447" t="s">
        <v>125</v>
      </c>
      <c r="C6540" s="446" t="s">
        <v>19</v>
      </c>
      <c r="D6540" s="448">
        <v>17.579999999999998</v>
      </c>
      <c r="E6540" s="210"/>
    </row>
    <row r="6541" spans="1:5" ht="27">
      <c r="A6541" s="446">
        <v>88246</v>
      </c>
      <c r="B6541" s="447" t="s">
        <v>126</v>
      </c>
      <c r="C6541" s="446" t="s">
        <v>19</v>
      </c>
      <c r="D6541" s="448">
        <v>14.9</v>
      </c>
      <c r="E6541" s="210"/>
    </row>
    <row r="6542" spans="1:5" ht="27">
      <c r="A6542" s="446">
        <v>88247</v>
      </c>
      <c r="B6542" s="447" t="s">
        <v>47</v>
      </c>
      <c r="C6542" s="446" t="s">
        <v>19</v>
      </c>
      <c r="D6542" s="448">
        <v>14</v>
      </c>
      <c r="E6542" s="210"/>
    </row>
    <row r="6543" spans="1:5" ht="27">
      <c r="A6543" s="446">
        <v>88248</v>
      </c>
      <c r="B6543" s="447" t="s">
        <v>1093</v>
      </c>
      <c r="C6543" s="446" t="s">
        <v>19</v>
      </c>
      <c r="D6543" s="448">
        <v>13.48</v>
      </c>
      <c r="E6543" s="210"/>
    </row>
    <row r="6544" spans="1:5" ht="27">
      <c r="A6544" s="446">
        <v>88249</v>
      </c>
      <c r="B6544" s="447" t="s">
        <v>127</v>
      </c>
      <c r="C6544" s="446" t="s">
        <v>19</v>
      </c>
      <c r="D6544" s="448">
        <v>20.079999999999998</v>
      </c>
      <c r="E6544" s="210"/>
    </row>
    <row r="6545" spans="1:5" ht="27">
      <c r="A6545" s="446">
        <v>88250</v>
      </c>
      <c r="B6545" s="447" t="s">
        <v>128</v>
      </c>
      <c r="C6545" s="446" t="s">
        <v>19</v>
      </c>
      <c r="D6545" s="448">
        <v>11.83</v>
      </c>
      <c r="E6545" s="210"/>
    </row>
    <row r="6546" spans="1:5" ht="27">
      <c r="A6546" s="446">
        <v>88251</v>
      </c>
      <c r="B6546" s="447" t="s">
        <v>129</v>
      </c>
      <c r="C6546" s="446" t="s">
        <v>19</v>
      </c>
      <c r="D6546" s="448">
        <v>14.09</v>
      </c>
      <c r="E6546" s="210"/>
    </row>
    <row r="6547" spans="1:5" ht="27">
      <c r="A6547" s="446">
        <v>88252</v>
      </c>
      <c r="B6547" s="447" t="s">
        <v>130</v>
      </c>
      <c r="C6547" s="446" t="s">
        <v>19</v>
      </c>
      <c r="D6547" s="448">
        <v>14.72</v>
      </c>
      <c r="E6547" s="210"/>
    </row>
    <row r="6548" spans="1:5" ht="27">
      <c r="A6548" s="446">
        <v>88253</v>
      </c>
      <c r="B6548" s="447" t="s">
        <v>131</v>
      </c>
      <c r="C6548" s="446" t="s">
        <v>19</v>
      </c>
      <c r="D6548" s="448">
        <v>6.79</v>
      </c>
      <c r="E6548" s="210"/>
    </row>
    <row r="6549" spans="1:5" ht="27">
      <c r="A6549" s="446">
        <v>88255</v>
      </c>
      <c r="B6549" s="447" t="s">
        <v>132</v>
      </c>
      <c r="C6549" s="446" t="s">
        <v>19</v>
      </c>
      <c r="D6549" s="448">
        <v>21.45</v>
      </c>
      <c r="E6549" s="210"/>
    </row>
    <row r="6550" spans="1:5" ht="27">
      <c r="A6550" s="446">
        <v>88256</v>
      </c>
      <c r="B6550" s="447" t="s">
        <v>20</v>
      </c>
      <c r="C6550" s="446" t="s">
        <v>19</v>
      </c>
      <c r="D6550" s="448">
        <v>17.61</v>
      </c>
      <c r="E6550" s="210"/>
    </row>
    <row r="6551" spans="1:5" ht="27">
      <c r="A6551" s="446">
        <v>88257</v>
      </c>
      <c r="B6551" s="447" t="s">
        <v>133</v>
      </c>
      <c r="C6551" s="446" t="s">
        <v>19</v>
      </c>
      <c r="D6551" s="448">
        <v>12.75</v>
      </c>
      <c r="E6551" s="210"/>
    </row>
    <row r="6552" spans="1:5" ht="27">
      <c r="A6552" s="446">
        <v>88258</v>
      </c>
      <c r="B6552" s="447" t="s">
        <v>581</v>
      </c>
      <c r="C6552" s="446" t="s">
        <v>19</v>
      </c>
      <c r="D6552" s="448">
        <v>10.3</v>
      </c>
      <c r="E6552" s="210"/>
    </row>
    <row r="6553" spans="1:5" ht="13.5">
      <c r="A6553" s="446">
        <v>88260</v>
      </c>
      <c r="B6553" s="447" t="s">
        <v>134</v>
      </c>
      <c r="C6553" s="446" t="s">
        <v>19</v>
      </c>
      <c r="D6553" s="448">
        <v>17.41</v>
      </c>
      <c r="E6553" s="210"/>
    </row>
    <row r="6554" spans="1:5" ht="27">
      <c r="A6554" s="446">
        <v>88261</v>
      </c>
      <c r="B6554" s="447" t="s">
        <v>46</v>
      </c>
      <c r="C6554" s="446" t="s">
        <v>19</v>
      </c>
      <c r="D6554" s="448">
        <v>18.77</v>
      </c>
      <c r="E6554" s="210"/>
    </row>
    <row r="6555" spans="1:5" ht="27">
      <c r="A6555" s="446">
        <v>88262</v>
      </c>
      <c r="B6555" s="447" t="s">
        <v>40</v>
      </c>
      <c r="C6555" s="446" t="s">
        <v>19</v>
      </c>
      <c r="D6555" s="448">
        <v>17.48</v>
      </c>
      <c r="E6555" s="210"/>
    </row>
    <row r="6556" spans="1:5" ht="40.5">
      <c r="A6556" s="446">
        <v>88263</v>
      </c>
      <c r="B6556" s="447" t="s">
        <v>1094</v>
      </c>
      <c r="C6556" s="446" t="s">
        <v>19</v>
      </c>
      <c r="D6556" s="448">
        <v>11.38</v>
      </c>
      <c r="E6556" s="210"/>
    </row>
    <row r="6557" spans="1:5" ht="13.5">
      <c r="A6557" s="446">
        <v>88264</v>
      </c>
      <c r="B6557" s="447" t="s">
        <v>45</v>
      </c>
      <c r="C6557" s="446" t="s">
        <v>19</v>
      </c>
      <c r="D6557" s="448">
        <v>18.3</v>
      </c>
      <c r="E6557" s="210"/>
    </row>
    <row r="6558" spans="1:5" ht="27">
      <c r="A6558" s="446">
        <v>88265</v>
      </c>
      <c r="B6558" s="447" t="s">
        <v>135</v>
      </c>
      <c r="C6558" s="446" t="s">
        <v>19</v>
      </c>
      <c r="D6558" s="448">
        <v>18.3</v>
      </c>
      <c r="E6558" s="210"/>
    </row>
    <row r="6559" spans="1:5" ht="27">
      <c r="A6559" s="446">
        <v>88266</v>
      </c>
      <c r="B6559" s="447" t="s">
        <v>136</v>
      </c>
      <c r="C6559" s="446" t="s">
        <v>19</v>
      </c>
      <c r="D6559" s="448">
        <v>18.39</v>
      </c>
      <c r="E6559" s="210"/>
    </row>
    <row r="6560" spans="1:5" ht="27">
      <c r="A6560" s="446">
        <v>88267</v>
      </c>
      <c r="B6560" s="447" t="s">
        <v>44</v>
      </c>
      <c r="C6560" s="446" t="s">
        <v>19</v>
      </c>
      <c r="D6560" s="448">
        <v>17.66</v>
      </c>
      <c r="E6560" s="210"/>
    </row>
    <row r="6561" spans="1:5" ht="13.5">
      <c r="A6561" s="446">
        <v>88269</v>
      </c>
      <c r="B6561" s="447" t="s">
        <v>137</v>
      </c>
      <c r="C6561" s="446" t="s">
        <v>19</v>
      </c>
      <c r="D6561" s="448">
        <v>17.579999999999998</v>
      </c>
      <c r="E6561" s="210"/>
    </row>
    <row r="6562" spans="1:5" ht="27">
      <c r="A6562" s="446">
        <v>88270</v>
      </c>
      <c r="B6562" s="447" t="s">
        <v>138</v>
      </c>
      <c r="C6562" s="446" t="s">
        <v>19</v>
      </c>
      <c r="D6562" s="448">
        <v>18.489999999999998</v>
      </c>
      <c r="E6562" s="210"/>
    </row>
    <row r="6563" spans="1:5" ht="27">
      <c r="A6563" s="446">
        <v>88272</v>
      </c>
      <c r="B6563" s="447" t="s">
        <v>139</v>
      </c>
      <c r="C6563" s="446" t="s">
        <v>19</v>
      </c>
      <c r="D6563" s="448">
        <v>18.45</v>
      </c>
      <c r="E6563" s="210"/>
    </row>
    <row r="6564" spans="1:5" ht="13.5">
      <c r="A6564" s="446">
        <v>88273</v>
      </c>
      <c r="B6564" s="447" t="s">
        <v>140</v>
      </c>
      <c r="C6564" s="446" t="s">
        <v>19</v>
      </c>
      <c r="D6564" s="448">
        <v>17.8</v>
      </c>
      <c r="E6564" s="210"/>
    </row>
    <row r="6565" spans="1:5" ht="27">
      <c r="A6565" s="446">
        <v>88274</v>
      </c>
      <c r="B6565" s="447" t="s">
        <v>141</v>
      </c>
      <c r="C6565" s="446" t="s">
        <v>19</v>
      </c>
      <c r="D6565" s="448">
        <v>17.899999999999999</v>
      </c>
      <c r="E6565" s="210"/>
    </row>
    <row r="6566" spans="1:5" ht="27">
      <c r="A6566" s="446">
        <v>88275</v>
      </c>
      <c r="B6566" s="447" t="s">
        <v>142</v>
      </c>
      <c r="C6566" s="446" t="s">
        <v>19</v>
      </c>
      <c r="D6566" s="448">
        <v>18.489999999999998</v>
      </c>
      <c r="E6566" s="210"/>
    </row>
    <row r="6567" spans="1:5" ht="27">
      <c r="A6567" s="446">
        <v>88277</v>
      </c>
      <c r="B6567" s="447" t="s">
        <v>143</v>
      </c>
      <c r="C6567" s="446" t="s">
        <v>19</v>
      </c>
      <c r="D6567" s="448">
        <v>13.51</v>
      </c>
      <c r="E6567" s="210"/>
    </row>
    <row r="6568" spans="1:5" ht="27">
      <c r="A6568" s="446">
        <v>88278</v>
      </c>
      <c r="B6568" s="447" t="s">
        <v>144</v>
      </c>
      <c r="C6568" s="446" t="s">
        <v>19</v>
      </c>
      <c r="D6568" s="448">
        <v>12.66</v>
      </c>
      <c r="E6568" s="210"/>
    </row>
    <row r="6569" spans="1:5" ht="27">
      <c r="A6569" s="446">
        <v>88279</v>
      </c>
      <c r="B6569" s="447" t="s">
        <v>145</v>
      </c>
      <c r="C6569" s="446" t="s">
        <v>19</v>
      </c>
      <c r="D6569" s="448">
        <v>19.510000000000002</v>
      </c>
      <c r="E6569" s="210"/>
    </row>
    <row r="6570" spans="1:5" ht="27">
      <c r="A6570" s="446">
        <v>88281</v>
      </c>
      <c r="B6570" s="447" t="s">
        <v>146</v>
      </c>
      <c r="C6570" s="446" t="s">
        <v>19</v>
      </c>
      <c r="D6570" s="448">
        <v>13.54</v>
      </c>
      <c r="E6570" s="210"/>
    </row>
    <row r="6571" spans="1:5" ht="27">
      <c r="A6571" s="446">
        <v>88282</v>
      </c>
      <c r="B6571" s="447" t="s">
        <v>147</v>
      </c>
      <c r="C6571" s="446" t="s">
        <v>19</v>
      </c>
      <c r="D6571" s="448">
        <v>14.19</v>
      </c>
      <c r="E6571" s="210"/>
    </row>
    <row r="6572" spans="1:5" ht="27">
      <c r="A6572" s="446">
        <v>88283</v>
      </c>
      <c r="B6572" s="447" t="s">
        <v>148</v>
      </c>
      <c r="C6572" s="446" t="s">
        <v>19</v>
      </c>
      <c r="D6572" s="448">
        <v>17.97</v>
      </c>
      <c r="E6572" s="210"/>
    </row>
    <row r="6573" spans="1:5" ht="27">
      <c r="A6573" s="446">
        <v>88284</v>
      </c>
      <c r="B6573" s="447" t="s">
        <v>149</v>
      </c>
      <c r="C6573" s="446" t="s">
        <v>19</v>
      </c>
      <c r="D6573" s="448">
        <v>13.35</v>
      </c>
      <c r="E6573" s="210"/>
    </row>
    <row r="6574" spans="1:5" ht="27">
      <c r="A6574" s="446">
        <v>88285</v>
      </c>
      <c r="B6574" s="447" t="s">
        <v>150</v>
      </c>
      <c r="C6574" s="446" t="s">
        <v>19</v>
      </c>
      <c r="D6574" s="448">
        <v>15.2</v>
      </c>
      <c r="E6574" s="210"/>
    </row>
    <row r="6575" spans="1:5" ht="27">
      <c r="A6575" s="446">
        <v>88286</v>
      </c>
      <c r="B6575" s="447" t="s">
        <v>151</v>
      </c>
      <c r="C6575" s="446" t="s">
        <v>19</v>
      </c>
      <c r="D6575" s="448">
        <v>16.22</v>
      </c>
      <c r="E6575" s="210"/>
    </row>
    <row r="6576" spans="1:5" ht="13.5">
      <c r="A6576" s="446">
        <v>88288</v>
      </c>
      <c r="B6576" s="447" t="s">
        <v>152</v>
      </c>
      <c r="C6576" s="446" t="s">
        <v>19</v>
      </c>
      <c r="D6576" s="448">
        <v>8.25</v>
      </c>
      <c r="E6576" s="210"/>
    </row>
    <row r="6577" spans="1:5" ht="27">
      <c r="A6577" s="446">
        <v>88291</v>
      </c>
      <c r="B6577" s="447" t="s">
        <v>153</v>
      </c>
      <c r="C6577" s="446" t="s">
        <v>19</v>
      </c>
      <c r="D6577" s="448">
        <v>13.1</v>
      </c>
      <c r="E6577" s="210"/>
    </row>
    <row r="6578" spans="1:5" ht="40.5">
      <c r="A6578" s="446">
        <v>88292</v>
      </c>
      <c r="B6578" s="447" t="s">
        <v>154</v>
      </c>
      <c r="C6578" s="446" t="s">
        <v>19</v>
      </c>
      <c r="D6578" s="448">
        <v>13.62</v>
      </c>
      <c r="E6578" s="210"/>
    </row>
    <row r="6579" spans="1:5" ht="27">
      <c r="A6579" s="446">
        <v>88293</v>
      </c>
      <c r="B6579" s="447" t="s">
        <v>155</v>
      </c>
      <c r="C6579" s="446" t="s">
        <v>19</v>
      </c>
      <c r="D6579" s="448">
        <v>15.45</v>
      </c>
      <c r="E6579" s="210"/>
    </row>
    <row r="6580" spans="1:5" ht="27">
      <c r="A6580" s="446">
        <v>88294</v>
      </c>
      <c r="B6580" s="447" t="s">
        <v>156</v>
      </c>
      <c r="C6580" s="446" t="s">
        <v>19</v>
      </c>
      <c r="D6580" s="448">
        <v>16.690000000000001</v>
      </c>
      <c r="E6580" s="210"/>
    </row>
    <row r="6581" spans="1:5" ht="27">
      <c r="A6581" s="446">
        <v>88295</v>
      </c>
      <c r="B6581" s="447" t="s">
        <v>157</v>
      </c>
      <c r="C6581" s="446" t="s">
        <v>19</v>
      </c>
      <c r="D6581" s="448">
        <v>12.85</v>
      </c>
      <c r="E6581" s="210"/>
    </row>
    <row r="6582" spans="1:5" ht="27">
      <c r="A6582" s="446">
        <v>88296</v>
      </c>
      <c r="B6582" s="447" t="s">
        <v>158</v>
      </c>
      <c r="C6582" s="446" t="s">
        <v>19</v>
      </c>
      <c r="D6582" s="448">
        <v>12.9</v>
      </c>
      <c r="E6582" s="210"/>
    </row>
    <row r="6583" spans="1:5" ht="27">
      <c r="A6583" s="446">
        <v>88297</v>
      </c>
      <c r="B6583" s="447" t="s">
        <v>159</v>
      </c>
      <c r="C6583" s="446" t="s">
        <v>19</v>
      </c>
      <c r="D6583" s="448">
        <v>13.4</v>
      </c>
      <c r="E6583" s="210"/>
    </row>
    <row r="6584" spans="1:5" ht="27">
      <c r="A6584" s="446">
        <v>88298</v>
      </c>
      <c r="B6584" s="447" t="s">
        <v>160</v>
      </c>
      <c r="C6584" s="446" t="s">
        <v>19</v>
      </c>
      <c r="D6584" s="448">
        <v>11.16</v>
      </c>
      <c r="E6584" s="210"/>
    </row>
    <row r="6585" spans="1:5" ht="27">
      <c r="A6585" s="446">
        <v>88299</v>
      </c>
      <c r="B6585" s="447" t="s">
        <v>161</v>
      </c>
      <c r="C6585" s="446" t="s">
        <v>19</v>
      </c>
      <c r="D6585" s="448">
        <v>15.66</v>
      </c>
      <c r="E6585" s="210"/>
    </row>
    <row r="6586" spans="1:5" ht="27">
      <c r="A6586" s="446">
        <v>88300</v>
      </c>
      <c r="B6586" s="447" t="s">
        <v>162</v>
      </c>
      <c r="C6586" s="446" t="s">
        <v>19</v>
      </c>
      <c r="D6586" s="448">
        <v>18.559999999999999</v>
      </c>
      <c r="E6586" s="210"/>
    </row>
    <row r="6587" spans="1:5" ht="27">
      <c r="A6587" s="446">
        <v>88301</v>
      </c>
      <c r="B6587" s="447" t="s">
        <v>163</v>
      </c>
      <c r="C6587" s="446" t="s">
        <v>19</v>
      </c>
      <c r="D6587" s="448">
        <v>14.34</v>
      </c>
      <c r="E6587" s="210"/>
    </row>
    <row r="6588" spans="1:5" ht="27">
      <c r="A6588" s="446">
        <v>88302</v>
      </c>
      <c r="B6588" s="447" t="s">
        <v>164</v>
      </c>
      <c r="C6588" s="446" t="s">
        <v>19</v>
      </c>
      <c r="D6588" s="448">
        <v>16.079999999999998</v>
      </c>
      <c r="E6588" s="210"/>
    </row>
    <row r="6589" spans="1:5" ht="27">
      <c r="A6589" s="446">
        <v>88303</v>
      </c>
      <c r="B6589" s="447" t="s">
        <v>165</v>
      </c>
      <c r="C6589" s="446" t="s">
        <v>19</v>
      </c>
      <c r="D6589" s="448">
        <v>13.38</v>
      </c>
      <c r="E6589" s="210"/>
    </row>
    <row r="6590" spans="1:5" ht="40.5">
      <c r="A6590" s="446">
        <v>88304</v>
      </c>
      <c r="B6590" s="447" t="s">
        <v>1095</v>
      </c>
      <c r="C6590" s="446" t="s">
        <v>19</v>
      </c>
      <c r="D6590" s="448">
        <v>14.21</v>
      </c>
      <c r="E6590" s="210"/>
    </row>
    <row r="6591" spans="1:5" ht="27">
      <c r="A6591" s="446">
        <v>88306</v>
      </c>
      <c r="B6591" s="447" t="s">
        <v>166</v>
      </c>
      <c r="C6591" s="446" t="s">
        <v>19</v>
      </c>
      <c r="D6591" s="448">
        <v>15.25</v>
      </c>
      <c r="E6591" s="210"/>
    </row>
    <row r="6592" spans="1:5" ht="27">
      <c r="A6592" s="446">
        <v>88307</v>
      </c>
      <c r="B6592" s="447" t="s">
        <v>167</v>
      </c>
      <c r="C6592" s="446" t="s">
        <v>19</v>
      </c>
      <c r="D6592" s="448">
        <v>14.78</v>
      </c>
      <c r="E6592" s="210"/>
    </row>
    <row r="6593" spans="1:5" ht="13.5">
      <c r="A6593" s="446">
        <v>88308</v>
      </c>
      <c r="B6593" s="447" t="s">
        <v>168</v>
      </c>
      <c r="C6593" s="446" t="s">
        <v>19</v>
      </c>
      <c r="D6593" s="448">
        <v>19.89</v>
      </c>
      <c r="E6593" s="210"/>
    </row>
    <row r="6594" spans="1:5" ht="13.5">
      <c r="A6594" s="446">
        <v>88309</v>
      </c>
      <c r="B6594" s="447" t="s">
        <v>41</v>
      </c>
      <c r="C6594" s="446" t="s">
        <v>19</v>
      </c>
      <c r="D6594" s="448">
        <v>17.670000000000002</v>
      </c>
      <c r="E6594" s="210"/>
    </row>
    <row r="6595" spans="1:5" ht="13.5">
      <c r="A6595" s="446">
        <v>88310</v>
      </c>
      <c r="B6595" s="447" t="s">
        <v>169</v>
      </c>
      <c r="C6595" s="446" t="s">
        <v>19</v>
      </c>
      <c r="D6595" s="448">
        <v>18.68</v>
      </c>
      <c r="E6595" s="210"/>
    </row>
    <row r="6596" spans="1:5" ht="27">
      <c r="A6596" s="446">
        <v>88311</v>
      </c>
      <c r="B6596" s="447" t="s">
        <v>170</v>
      </c>
      <c r="C6596" s="446" t="s">
        <v>19</v>
      </c>
      <c r="D6596" s="448">
        <v>20.78</v>
      </c>
      <c r="E6596" s="210"/>
    </row>
    <row r="6597" spans="1:5" ht="27">
      <c r="A6597" s="446">
        <v>88312</v>
      </c>
      <c r="B6597" s="447" t="s">
        <v>171</v>
      </c>
      <c r="C6597" s="446" t="s">
        <v>19</v>
      </c>
      <c r="D6597" s="448">
        <v>19.72</v>
      </c>
      <c r="E6597" s="210"/>
    </row>
    <row r="6598" spans="1:5" ht="13.5">
      <c r="A6598" s="446">
        <v>88313</v>
      </c>
      <c r="B6598" s="447" t="s">
        <v>172</v>
      </c>
      <c r="C6598" s="446" t="s">
        <v>19</v>
      </c>
      <c r="D6598" s="448">
        <v>12.88</v>
      </c>
      <c r="E6598" s="210"/>
    </row>
    <row r="6599" spans="1:5" ht="13.5">
      <c r="A6599" s="446">
        <v>88314</v>
      </c>
      <c r="B6599" s="447" t="s">
        <v>173</v>
      </c>
      <c r="C6599" s="446" t="s">
        <v>19</v>
      </c>
      <c r="D6599" s="448">
        <v>11.79</v>
      </c>
      <c r="E6599" s="210"/>
    </row>
    <row r="6600" spans="1:5" ht="13.5">
      <c r="A6600" s="446">
        <v>88315</v>
      </c>
      <c r="B6600" s="447" t="s">
        <v>43</v>
      </c>
      <c r="C6600" s="446" t="s">
        <v>19</v>
      </c>
      <c r="D6600" s="448">
        <v>17.579999999999998</v>
      </c>
      <c r="E6600" s="210"/>
    </row>
    <row r="6601" spans="1:5" ht="13.5">
      <c r="A6601" s="446">
        <v>88316</v>
      </c>
      <c r="B6601" s="447" t="s">
        <v>21</v>
      </c>
      <c r="C6601" s="446" t="s">
        <v>19</v>
      </c>
      <c r="D6601" s="448">
        <v>14.02</v>
      </c>
      <c r="E6601" s="210"/>
    </row>
    <row r="6602" spans="1:5" ht="13.5">
      <c r="A6602" s="446">
        <v>88317</v>
      </c>
      <c r="B6602" s="447" t="s">
        <v>174</v>
      </c>
      <c r="C6602" s="446" t="s">
        <v>19</v>
      </c>
      <c r="D6602" s="448">
        <v>18.239999999999998</v>
      </c>
      <c r="E6602" s="210"/>
    </row>
    <row r="6603" spans="1:5" ht="40.5">
      <c r="A6603" s="446">
        <v>88318</v>
      </c>
      <c r="B6603" s="447" t="s">
        <v>1096</v>
      </c>
      <c r="C6603" s="446" t="s">
        <v>19</v>
      </c>
      <c r="D6603" s="448">
        <v>22.93</v>
      </c>
      <c r="E6603" s="210"/>
    </row>
    <row r="6604" spans="1:5" ht="27">
      <c r="A6604" s="446">
        <v>88320</v>
      </c>
      <c r="B6604" s="447" t="s">
        <v>175</v>
      </c>
      <c r="C6604" s="446" t="s">
        <v>19</v>
      </c>
      <c r="D6604" s="448">
        <v>20.59</v>
      </c>
      <c r="E6604" s="210"/>
    </row>
    <row r="6605" spans="1:5" ht="27">
      <c r="A6605" s="446">
        <v>88321</v>
      </c>
      <c r="B6605" s="447" t="s">
        <v>176</v>
      </c>
      <c r="C6605" s="446" t="s">
        <v>19</v>
      </c>
      <c r="D6605" s="448">
        <v>21</v>
      </c>
      <c r="E6605" s="210"/>
    </row>
    <row r="6606" spans="1:5" ht="27">
      <c r="A6606" s="446">
        <v>88322</v>
      </c>
      <c r="B6606" s="447" t="s">
        <v>177</v>
      </c>
      <c r="C6606" s="446" t="s">
        <v>19</v>
      </c>
      <c r="D6606" s="448">
        <v>19.5</v>
      </c>
      <c r="E6606" s="210"/>
    </row>
    <row r="6607" spans="1:5" ht="13.5">
      <c r="A6607" s="446">
        <v>88323</v>
      </c>
      <c r="B6607" s="447" t="s">
        <v>178</v>
      </c>
      <c r="C6607" s="446" t="s">
        <v>19</v>
      </c>
      <c r="D6607" s="448">
        <v>18.739999999999998</v>
      </c>
      <c r="E6607" s="210"/>
    </row>
    <row r="6608" spans="1:5" ht="13.5">
      <c r="A6608" s="446">
        <v>88324</v>
      </c>
      <c r="B6608" s="447" t="s">
        <v>179</v>
      </c>
      <c r="C6608" s="446" t="s">
        <v>19</v>
      </c>
      <c r="D6608" s="448">
        <v>13.48</v>
      </c>
      <c r="E6608" s="210"/>
    </row>
    <row r="6609" spans="1:5" ht="13.5">
      <c r="A6609" s="446">
        <v>88325</v>
      </c>
      <c r="B6609" s="447" t="s">
        <v>180</v>
      </c>
      <c r="C6609" s="446" t="s">
        <v>19</v>
      </c>
      <c r="D6609" s="448">
        <v>17.010000000000002</v>
      </c>
      <c r="E6609" s="210"/>
    </row>
    <row r="6610" spans="1:5" ht="27">
      <c r="A6610" s="446">
        <v>88326</v>
      </c>
      <c r="B6610" s="447" t="s">
        <v>181</v>
      </c>
      <c r="C6610" s="446" t="s">
        <v>19</v>
      </c>
      <c r="D6610" s="448">
        <v>18.260000000000002</v>
      </c>
      <c r="E6610" s="210"/>
    </row>
    <row r="6611" spans="1:5" ht="40.5">
      <c r="A6611" s="446">
        <v>88377</v>
      </c>
      <c r="B6611" s="447" t="s">
        <v>1097</v>
      </c>
      <c r="C6611" s="446" t="s">
        <v>19</v>
      </c>
      <c r="D6611" s="448">
        <v>12.73</v>
      </c>
      <c r="E6611" s="210"/>
    </row>
    <row r="6612" spans="1:5" ht="13.5">
      <c r="A6612" s="446">
        <v>88441</v>
      </c>
      <c r="B6612" s="447" t="s">
        <v>192</v>
      </c>
      <c r="C6612" s="446" t="s">
        <v>19</v>
      </c>
      <c r="D6612" s="448">
        <v>17.07</v>
      </c>
      <c r="E6612" s="210"/>
    </row>
    <row r="6613" spans="1:5" ht="27">
      <c r="A6613" s="446">
        <v>88597</v>
      </c>
      <c r="B6613" s="447" t="s">
        <v>199</v>
      </c>
      <c r="C6613" s="446" t="s">
        <v>19</v>
      </c>
      <c r="D6613" s="448">
        <v>22.52</v>
      </c>
      <c r="E6613" s="210"/>
    </row>
    <row r="6614" spans="1:5" ht="13.5">
      <c r="A6614" s="446">
        <v>90766</v>
      </c>
      <c r="B6614" s="447" t="s">
        <v>373</v>
      </c>
      <c r="C6614" s="446" t="s">
        <v>19</v>
      </c>
      <c r="D6614" s="448">
        <v>14.93</v>
      </c>
      <c r="E6614" s="210"/>
    </row>
    <row r="6615" spans="1:5" ht="27">
      <c r="A6615" s="446">
        <v>90767</v>
      </c>
      <c r="B6615" s="447" t="s">
        <v>374</v>
      </c>
      <c r="C6615" s="446" t="s">
        <v>19</v>
      </c>
      <c r="D6615" s="448">
        <v>14.55</v>
      </c>
      <c r="E6615" s="210"/>
    </row>
    <row r="6616" spans="1:5" ht="27">
      <c r="A6616" s="446">
        <v>90768</v>
      </c>
      <c r="B6616" s="447" t="s">
        <v>375</v>
      </c>
      <c r="C6616" s="446" t="s">
        <v>19</v>
      </c>
      <c r="D6616" s="448">
        <v>59.1</v>
      </c>
      <c r="E6616" s="210"/>
    </row>
    <row r="6617" spans="1:5" ht="27">
      <c r="A6617" s="446">
        <v>90769</v>
      </c>
      <c r="B6617" s="447" t="s">
        <v>376</v>
      </c>
      <c r="C6617" s="446" t="s">
        <v>19</v>
      </c>
      <c r="D6617" s="448">
        <v>83.47</v>
      </c>
      <c r="E6617" s="210"/>
    </row>
    <row r="6618" spans="1:5" ht="27">
      <c r="A6618" s="446">
        <v>90770</v>
      </c>
      <c r="B6618" s="447" t="s">
        <v>377</v>
      </c>
      <c r="C6618" s="446" t="s">
        <v>19</v>
      </c>
      <c r="D6618" s="448">
        <v>109.98</v>
      </c>
      <c r="E6618" s="210"/>
    </row>
    <row r="6619" spans="1:5" ht="27">
      <c r="A6619" s="446">
        <v>90771</v>
      </c>
      <c r="B6619" s="447" t="s">
        <v>378</v>
      </c>
      <c r="C6619" s="446" t="s">
        <v>19</v>
      </c>
      <c r="D6619" s="448">
        <v>18.22</v>
      </c>
      <c r="E6619" s="210"/>
    </row>
    <row r="6620" spans="1:5" ht="27">
      <c r="A6620" s="446">
        <v>90772</v>
      </c>
      <c r="B6620" s="447" t="s">
        <v>379</v>
      </c>
      <c r="C6620" s="446" t="s">
        <v>19</v>
      </c>
      <c r="D6620" s="448">
        <v>12.27</v>
      </c>
      <c r="E6620" s="210"/>
    </row>
    <row r="6621" spans="1:5" ht="27">
      <c r="A6621" s="446">
        <v>90773</v>
      </c>
      <c r="B6621" s="447" t="s">
        <v>380</v>
      </c>
      <c r="C6621" s="446" t="s">
        <v>19</v>
      </c>
      <c r="D6621" s="448">
        <v>17.27</v>
      </c>
      <c r="E6621" s="210"/>
    </row>
    <row r="6622" spans="1:5" ht="27">
      <c r="A6622" s="446">
        <v>90775</v>
      </c>
      <c r="B6622" s="447" t="s">
        <v>381</v>
      </c>
      <c r="C6622" s="446" t="s">
        <v>19</v>
      </c>
      <c r="D6622" s="448">
        <v>18.239999999999998</v>
      </c>
      <c r="E6622" s="210"/>
    </row>
    <row r="6623" spans="1:5" ht="27">
      <c r="A6623" s="446">
        <v>90776</v>
      </c>
      <c r="B6623" s="447" t="s">
        <v>382</v>
      </c>
      <c r="C6623" s="446" t="s">
        <v>19</v>
      </c>
      <c r="D6623" s="448">
        <v>20.18</v>
      </c>
      <c r="E6623" s="210"/>
    </row>
    <row r="6624" spans="1:5" ht="27">
      <c r="A6624" s="446">
        <v>90777</v>
      </c>
      <c r="B6624" s="447" t="s">
        <v>383</v>
      </c>
      <c r="C6624" s="446" t="s">
        <v>19</v>
      </c>
      <c r="D6624" s="448">
        <v>80.150000000000006</v>
      </c>
      <c r="E6624" s="210"/>
    </row>
    <row r="6625" spans="1:5" ht="27">
      <c r="A6625" s="446">
        <v>90778</v>
      </c>
      <c r="B6625" s="447" t="s">
        <v>384</v>
      </c>
      <c r="C6625" s="446" t="s">
        <v>19</v>
      </c>
      <c r="D6625" s="448">
        <v>91.06</v>
      </c>
      <c r="E6625" s="210"/>
    </row>
    <row r="6626" spans="1:5" ht="27">
      <c r="A6626" s="446">
        <v>90779</v>
      </c>
      <c r="B6626" s="447" t="s">
        <v>385</v>
      </c>
      <c r="C6626" s="446" t="s">
        <v>19</v>
      </c>
      <c r="D6626" s="448">
        <v>124.04</v>
      </c>
      <c r="E6626" s="210"/>
    </row>
    <row r="6627" spans="1:5" ht="27">
      <c r="A6627" s="446">
        <v>90780</v>
      </c>
      <c r="B6627" s="447" t="s">
        <v>386</v>
      </c>
      <c r="C6627" s="446" t="s">
        <v>19</v>
      </c>
      <c r="D6627" s="448">
        <v>29.77</v>
      </c>
      <c r="E6627" s="210"/>
    </row>
    <row r="6628" spans="1:5" ht="13.5">
      <c r="A6628" s="446">
        <v>90781</v>
      </c>
      <c r="B6628" s="447" t="s">
        <v>387</v>
      </c>
      <c r="C6628" s="446" t="s">
        <v>19</v>
      </c>
      <c r="D6628" s="448">
        <v>14.93</v>
      </c>
      <c r="E6628" s="210"/>
    </row>
    <row r="6629" spans="1:5" ht="27">
      <c r="A6629" s="446">
        <v>91677</v>
      </c>
      <c r="B6629" s="447" t="s">
        <v>421</v>
      </c>
      <c r="C6629" s="446" t="s">
        <v>19</v>
      </c>
      <c r="D6629" s="448">
        <v>77.52</v>
      </c>
      <c r="E6629" s="210"/>
    </row>
    <row r="6630" spans="1:5" ht="27">
      <c r="A6630" s="446">
        <v>91678</v>
      </c>
      <c r="B6630" s="447" t="s">
        <v>422</v>
      </c>
      <c r="C6630" s="446" t="s">
        <v>19</v>
      </c>
      <c r="D6630" s="448">
        <v>75.23</v>
      </c>
      <c r="E6630" s="210"/>
    </row>
    <row r="6631" spans="1:5" ht="27">
      <c r="A6631" s="446">
        <v>93558</v>
      </c>
      <c r="B6631" s="447" t="s">
        <v>510</v>
      </c>
      <c r="C6631" s="446" t="s">
        <v>84</v>
      </c>
      <c r="D6631" s="448">
        <v>2546.88</v>
      </c>
      <c r="E6631" s="210"/>
    </row>
    <row r="6632" spans="1:5" ht="27">
      <c r="A6632" s="446">
        <v>93559</v>
      </c>
      <c r="B6632" s="447" t="s">
        <v>199</v>
      </c>
      <c r="C6632" s="446" t="s">
        <v>84</v>
      </c>
      <c r="D6632" s="448">
        <v>4001.05</v>
      </c>
      <c r="E6632" s="210"/>
    </row>
    <row r="6633" spans="1:5" ht="27">
      <c r="A6633" s="446">
        <v>93560</v>
      </c>
      <c r="B6633" s="447" t="s">
        <v>380</v>
      </c>
      <c r="C6633" s="446" t="s">
        <v>84</v>
      </c>
      <c r="D6633" s="448">
        <v>3072.92</v>
      </c>
      <c r="E6633" s="210"/>
    </row>
    <row r="6634" spans="1:5" ht="27">
      <c r="A6634" s="446">
        <v>93561</v>
      </c>
      <c r="B6634" s="447" t="s">
        <v>381</v>
      </c>
      <c r="C6634" s="446" t="s">
        <v>84</v>
      </c>
      <c r="D6634" s="448">
        <v>3243.04</v>
      </c>
      <c r="E6634" s="210"/>
    </row>
    <row r="6635" spans="1:5" ht="27">
      <c r="A6635" s="446">
        <v>93562</v>
      </c>
      <c r="B6635" s="447" t="s">
        <v>378</v>
      </c>
      <c r="C6635" s="446" t="s">
        <v>84</v>
      </c>
      <c r="D6635" s="448">
        <v>3242.18</v>
      </c>
      <c r="E6635" s="210"/>
    </row>
    <row r="6636" spans="1:5" ht="13.5">
      <c r="A6636" s="446">
        <v>93563</v>
      </c>
      <c r="B6636" s="447" t="s">
        <v>373</v>
      </c>
      <c r="C6636" s="446" t="s">
        <v>84</v>
      </c>
      <c r="D6636" s="448">
        <v>2659.14</v>
      </c>
      <c r="E6636" s="210"/>
    </row>
    <row r="6637" spans="1:5" ht="27">
      <c r="A6637" s="446">
        <v>93564</v>
      </c>
      <c r="B6637" s="447" t="s">
        <v>374</v>
      </c>
      <c r="C6637" s="446" t="s">
        <v>84</v>
      </c>
      <c r="D6637" s="448">
        <v>2587.7800000000002</v>
      </c>
      <c r="E6637" s="210"/>
    </row>
    <row r="6638" spans="1:5" ht="27">
      <c r="A6638" s="446">
        <v>93565</v>
      </c>
      <c r="B6638" s="447" t="s">
        <v>383</v>
      </c>
      <c r="C6638" s="446" t="s">
        <v>84</v>
      </c>
      <c r="D6638" s="448">
        <v>14179.16</v>
      </c>
      <c r="E6638" s="210"/>
    </row>
    <row r="6639" spans="1:5" ht="27">
      <c r="A6639" s="446">
        <v>93566</v>
      </c>
      <c r="B6639" s="447" t="s">
        <v>379</v>
      </c>
      <c r="C6639" s="446" t="s">
        <v>84</v>
      </c>
      <c r="D6639" s="448">
        <v>2188.8200000000002</v>
      </c>
      <c r="E6639" s="210"/>
    </row>
    <row r="6640" spans="1:5" ht="27">
      <c r="A6640" s="446">
        <v>93567</v>
      </c>
      <c r="B6640" s="447" t="s">
        <v>384</v>
      </c>
      <c r="C6640" s="446" t="s">
        <v>84</v>
      </c>
      <c r="D6640" s="448">
        <v>16108.43</v>
      </c>
      <c r="E6640" s="210"/>
    </row>
    <row r="6641" spans="1:5" ht="27">
      <c r="A6641" s="446">
        <v>93568</v>
      </c>
      <c r="B6641" s="447" t="s">
        <v>385</v>
      </c>
      <c r="C6641" s="446" t="s">
        <v>84</v>
      </c>
      <c r="D6641" s="448">
        <v>21939.200000000001</v>
      </c>
      <c r="E6641" s="210"/>
    </row>
    <row r="6642" spans="1:5" ht="27">
      <c r="A6642" s="446">
        <v>93569</v>
      </c>
      <c r="B6642" s="447" t="s">
        <v>511</v>
      </c>
      <c r="C6642" s="446" t="s">
        <v>84</v>
      </c>
      <c r="D6642" s="448">
        <v>10473.48</v>
      </c>
      <c r="E6642" s="210"/>
    </row>
    <row r="6643" spans="1:5" ht="27">
      <c r="A6643" s="446">
        <v>93570</v>
      </c>
      <c r="B6643" s="447" t="s">
        <v>512</v>
      </c>
      <c r="C6643" s="446" t="s">
        <v>84</v>
      </c>
      <c r="D6643" s="448">
        <v>14784.36</v>
      </c>
      <c r="E6643" s="210"/>
    </row>
    <row r="6644" spans="1:5" ht="27">
      <c r="A6644" s="446">
        <v>93571</v>
      </c>
      <c r="B6644" s="447" t="s">
        <v>513</v>
      </c>
      <c r="C6644" s="446" t="s">
        <v>84</v>
      </c>
      <c r="D6644" s="448">
        <v>19475.490000000002</v>
      </c>
      <c r="E6644" s="210"/>
    </row>
    <row r="6645" spans="1:5" ht="27">
      <c r="A6645" s="446">
        <v>93572</v>
      </c>
      <c r="B6645" s="447" t="s">
        <v>514</v>
      </c>
      <c r="C6645" s="446" t="s">
        <v>84</v>
      </c>
      <c r="D6645" s="448">
        <v>3583.25</v>
      </c>
      <c r="E6645" s="210"/>
    </row>
    <row r="6646" spans="1:5" ht="27">
      <c r="A6646" s="446">
        <v>94295</v>
      </c>
      <c r="B6646" s="447" t="s">
        <v>386</v>
      </c>
      <c r="C6646" s="446" t="s">
        <v>84</v>
      </c>
      <c r="D6646" s="448">
        <v>5279.5</v>
      </c>
      <c r="E6646" s="210"/>
    </row>
    <row r="6647" spans="1:5" ht="13.5">
      <c r="A6647" s="446">
        <v>94296</v>
      </c>
      <c r="B6647" s="447" t="s">
        <v>387</v>
      </c>
      <c r="C6647" s="446" t="s">
        <v>84</v>
      </c>
      <c r="D6647" s="448">
        <v>2655.59</v>
      </c>
      <c r="E6647" s="210"/>
    </row>
    <row r="6648" spans="1:5" ht="40.5">
      <c r="A6648" s="446">
        <v>95308</v>
      </c>
      <c r="B6648" s="447" t="s">
        <v>2724</v>
      </c>
      <c r="C6648" s="446" t="s">
        <v>19</v>
      </c>
      <c r="D6648" s="448">
        <v>7.0000000000000007E-2</v>
      </c>
      <c r="E6648" s="210"/>
    </row>
    <row r="6649" spans="1:5" ht="40.5">
      <c r="A6649" s="446">
        <v>95309</v>
      </c>
      <c r="B6649" s="447" t="s">
        <v>2725</v>
      </c>
      <c r="C6649" s="446" t="s">
        <v>19</v>
      </c>
      <c r="D6649" s="448">
        <v>0.11</v>
      </c>
      <c r="E6649" s="210"/>
    </row>
    <row r="6650" spans="1:5" ht="40.5">
      <c r="A6650" s="446">
        <v>95310</v>
      </c>
      <c r="B6650" s="447" t="s">
        <v>2726</v>
      </c>
      <c r="C6650" s="446" t="s">
        <v>19</v>
      </c>
      <c r="D6650" s="448">
        <v>0.05</v>
      </c>
      <c r="E6650" s="210"/>
    </row>
    <row r="6651" spans="1:5" ht="40.5">
      <c r="A6651" s="446">
        <v>95311</v>
      </c>
      <c r="B6651" s="447" t="s">
        <v>2727</v>
      </c>
      <c r="C6651" s="446" t="s">
        <v>19</v>
      </c>
      <c r="D6651" s="448">
        <v>0.08</v>
      </c>
      <c r="E6651" s="210"/>
    </row>
    <row r="6652" spans="1:5" ht="40.5">
      <c r="A6652" s="446">
        <v>95312</v>
      </c>
      <c r="B6652" s="447" t="s">
        <v>2728</v>
      </c>
      <c r="C6652" s="446" t="s">
        <v>19</v>
      </c>
      <c r="D6652" s="448">
        <v>0.1</v>
      </c>
      <c r="E6652" s="210"/>
    </row>
    <row r="6653" spans="1:5" ht="40.5">
      <c r="A6653" s="446">
        <v>95313</v>
      </c>
      <c r="B6653" s="447" t="s">
        <v>2729</v>
      </c>
      <c r="C6653" s="446" t="s">
        <v>19</v>
      </c>
      <c r="D6653" s="448">
        <v>0.1</v>
      </c>
      <c r="E6653" s="210"/>
    </row>
    <row r="6654" spans="1:5" ht="27">
      <c r="A6654" s="446">
        <v>95314</v>
      </c>
      <c r="B6654" s="447" t="s">
        <v>555</v>
      </c>
      <c r="C6654" s="446" t="s">
        <v>19</v>
      </c>
      <c r="D6654" s="448">
        <v>0.11</v>
      </c>
      <c r="E6654" s="210"/>
    </row>
    <row r="6655" spans="1:5" ht="40.5">
      <c r="A6655" s="446">
        <v>95315</v>
      </c>
      <c r="B6655" s="447" t="s">
        <v>2730</v>
      </c>
      <c r="C6655" s="446" t="s">
        <v>19</v>
      </c>
      <c r="D6655" s="448">
        <v>0.12</v>
      </c>
      <c r="E6655" s="210"/>
    </row>
    <row r="6656" spans="1:5" ht="40.5">
      <c r="A6656" s="446">
        <v>95316</v>
      </c>
      <c r="B6656" s="447" t="s">
        <v>2731</v>
      </c>
      <c r="C6656" s="446" t="s">
        <v>19</v>
      </c>
      <c r="D6656" s="448">
        <v>0.26</v>
      </c>
      <c r="E6656" s="210"/>
    </row>
    <row r="6657" spans="1:5" ht="40.5">
      <c r="A6657" s="446">
        <v>95317</v>
      </c>
      <c r="B6657" s="447" t="s">
        <v>2732</v>
      </c>
      <c r="C6657" s="446" t="s">
        <v>19</v>
      </c>
      <c r="D6657" s="448">
        <v>0.12</v>
      </c>
      <c r="E6657" s="210"/>
    </row>
    <row r="6658" spans="1:5" ht="40.5">
      <c r="A6658" s="446">
        <v>95318</v>
      </c>
      <c r="B6658" s="447" t="s">
        <v>2733</v>
      </c>
      <c r="C6658" s="446" t="s">
        <v>19</v>
      </c>
      <c r="D6658" s="448">
        <v>0.11</v>
      </c>
      <c r="E6658" s="210"/>
    </row>
    <row r="6659" spans="1:5" ht="40.5">
      <c r="A6659" s="446">
        <v>95319</v>
      </c>
      <c r="B6659" s="447" t="s">
        <v>2734</v>
      </c>
      <c r="C6659" s="446" t="s">
        <v>19</v>
      </c>
      <c r="D6659" s="448">
        <v>7.0000000000000007E-2</v>
      </c>
      <c r="E6659" s="210"/>
    </row>
    <row r="6660" spans="1:5" ht="40.5">
      <c r="A6660" s="446">
        <v>95320</v>
      </c>
      <c r="B6660" s="447" t="s">
        <v>2735</v>
      </c>
      <c r="C6660" s="446" t="s">
        <v>19</v>
      </c>
      <c r="D6660" s="448">
        <v>0.08</v>
      </c>
      <c r="E6660" s="210"/>
    </row>
    <row r="6661" spans="1:5" ht="40.5">
      <c r="A6661" s="446">
        <v>95321</v>
      </c>
      <c r="B6661" s="447" t="s">
        <v>2736</v>
      </c>
      <c r="C6661" s="446" t="s">
        <v>19</v>
      </c>
      <c r="D6661" s="448">
        <v>0.08</v>
      </c>
      <c r="E6661" s="210"/>
    </row>
    <row r="6662" spans="1:5" ht="40.5">
      <c r="A6662" s="446">
        <v>95322</v>
      </c>
      <c r="B6662" s="447" t="s">
        <v>2737</v>
      </c>
      <c r="C6662" s="446" t="s">
        <v>19</v>
      </c>
      <c r="D6662" s="448">
        <v>0.03</v>
      </c>
      <c r="E6662" s="210"/>
    </row>
    <row r="6663" spans="1:5" ht="40.5">
      <c r="A6663" s="446">
        <v>95323</v>
      </c>
      <c r="B6663" s="447" t="s">
        <v>2738</v>
      </c>
      <c r="C6663" s="446" t="s">
        <v>19</v>
      </c>
      <c r="D6663" s="448">
        <v>0.11</v>
      </c>
      <c r="E6663" s="210"/>
    </row>
    <row r="6664" spans="1:5" ht="40.5">
      <c r="A6664" s="446">
        <v>95324</v>
      </c>
      <c r="B6664" s="447" t="s">
        <v>2739</v>
      </c>
      <c r="C6664" s="446" t="s">
        <v>19</v>
      </c>
      <c r="D6664" s="448">
        <v>0.14000000000000001</v>
      </c>
      <c r="E6664" s="210"/>
    </row>
    <row r="6665" spans="1:5" ht="40.5">
      <c r="A6665" s="446">
        <v>95325</v>
      </c>
      <c r="B6665" s="447" t="s">
        <v>2740</v>
      </c>
      <c r="C6665" s="446" t="s">
        <v>19</v>
      </c>
      <c r="D6665" s="448">
        <v>0.12</v>
      </c>
      <c r="E6665" s="210"/>
    </row>
    <row r="6666" spans="1:5" ht="40.5">
      <c r="A6666" s="446">
        <v>95326</v>
      </c>
      <c r="B6666" s="447" t="s">
        <v>2741</v>
      </c>
      <c r="C6666" s="446" t="s">
        <v>19</v>
      </c>
      <c r="D6666" s="448">
        <v>0.03</v>
      </c>
      <c r="E6666" s="210"/>
    </row>
    <row r="6667" spans="1:5" ht="27">
      <c r="A6667" s="446">
        <v>95328</v>
      </c>
      <c r="B6667" s="447" t="s">
        <v>2742</v>
      </c>
      <c r="C6667" s="446" t="s">
        <v>19</v>
      </c>
      <c r="D6667" s="448">
        <v>0.11</v>
      </c>
      <c r="E6667" s="210"/>
    </row>
    <row r="6668" spans="1:5" ht="40.5">
      <c r="A6668" s="446">
        <v>95329</v>
      </c>
      <c r="B6668" s="447" t="s">
        <v>2743</v>
      </c>
      <c r="C6668" s="446" t="s">
        <v>19</v>
      </c>
      <c r="D6668" s="448">
        <v>0.15</v>
      </c>
      <c r="E6668" s="210"/>
    </row>
    <row r="6669" spans="1:5" ht="40.5">
      <c r="A6669" s="446">
        <v>95330</v>
      </c>
      <c r="B6669" s="447" t="s">
        <v>2744</v>
      </c>
      <c r="C6669" s="446" t="s">
        <v>19</v>
      </c>
      <c r="D6669" s="448">
        <v>0.11</v>
      </c>
      <c r="E6669" s="210"/>
    </row>
    <row r="6670" spans="1:5" ht="40.5">
      <c r="A6670" s="446">
        <v>95331</v>
      </c>
      <c r="B6670" s="447" t="s">
        <v>2745</v>
      </c>
      <c r="C6670" s="446" t="s">
        <v>19</v>
      </c>
      <c r="D6670" s="448">
        <v>0.06</v>
      </c>
      <c r="E6670" s="210"/>
    </row>
    <row r="6671" spans="1:5" ht="27">
      <c r="A6671" s="446">
        <v>95332</v>
      </c>
      <c r="B6671" s="447" t="s">
        <v>2746</v>
      </c>
      <c r="C6671" s="446" t="s">
        <v>19</v>
      </c>
      <c r="D6671" s="448">
        <v>0.37</v>
      </c>
      <c r="E6671" s="210"/>
    </row>
    <row r="6672" spans="1:5" ht="40.5">
      <c r="A6672" s="446">
        <v>95333</v>
      </c>
      <c r="B6672" s="447" t="s">
        <v>2747</v>
      </c>
      <c r="C6672" s="446" t="s">
        <v>19</v>
      </c>
      <c r="D6672" s="448">
        <v>0.37</v>
      </c>
      <c r="E6672" s="210"/>
    </row>
    <row r="6673" spans="1:5" ht="27">
      <c r="A6673" s="446">
        <v>95334</v>
      </c>
      <c r="B6673" s="447" t="s">
        <v>2748</v>
      </c>
      <c r="C6673" s="446" t="s">
        <v>19</v>
      </c>
      <c r="D6673" s="448">
        <v>0.31</v>
      </c>
      <c r="E6673" s="210"/>
    </row>
    <row r="6674" spans="1:5" ht="40.5">
      <c r="A6674" s="446">
        <v>95335</v>
      </c>
      <c r="B6674" s="447" t="s">
        <v>2749</v>
      </c>
      <c r="C6674" s="446" t="s">
        <v>19</v>
      </c>
      <c r="D6674" s="448">
        <v>0.18</v>
      </c>
      <c r="E6674" s="210"/>
    </row>
    <row r="6675" spans="1:5" ht="27">
      <c r="A6675" s="446">
        <v>95337</v>
      </c>
      <c r="B6675" s="447" t="s">
        <v>556</v>
      </c>
      <c r="C6675" s="446" t="s">
        <v>19</v>
      </c>
      <c r="D6675" s="448">
        <v>0.11</v>
      </c>
      <c r="E6675" s="210"/>
    </row>
    <row r="6676" spans="1:5" ht="40.5">
      <c r="A6676" s="446">
        <v>95338</v>
      </c>
      <c r="B6676" s="447" t="s">
        <v>2750</v>
      </c>
      <c r="C6676" s="446" t="s">
        <v>19</v>
      </c>
      <c r="D6676" s="448">
        <v>0.21</v>
      </c>
      <c r="E6676" s="210"/>
    </row>
    <row r="6677" spans="1:5" ht="27">
      <c r="A6677" s="446">
        <v>95339</v>
      </c>
      <c r="B6677" s="447" t="s">
        <v>2751</v>
      </c>
      <c r="C6677" s="446" t="s">
        <v>19</v>
      </c>
      <c r="D6677" s="448">
        <v>0.17</v>
      </c>
      <c r="E6677" s="210"/>
    </row>
    <row r="6678" spans="1:5" ht="27">
      <c r="A6678" s="446">
        <v>95340</v>
      </c>
      <c r="B6678" s="447" t="s">
        <v>2752</v>
      </c>
      <c r="C6678" s="446" t="s">
        <v>19</v>
      </c>
      <c r="D6678" s="448">
        <v>0.14000000000000001</v>
      </c>
      <c r="E6678" s="210"/>
    </row>
    <row r="6679" spans="1:5" ht="40.5">
      <c r="A6679" s="446">
        <v>95341</v>
      </c>
      <c r="B6679" s="447" t="s">
        <v>2753</v>
      </c>
      <c r="C6679" s="446" t="s">
        <v>19</v>
      </c>
      <c r="D6679" s="448">
        <v>0.14000000000000001</v>
      </c>
      <c r="E6679" s="210"/>
    </row>
    <row r="6680" spans="1:5" ht="40.5">
      <c r="A6680" s="446">
        <v>95342</v>
      </c>
      <c r="B6680" s="447" t="s">
        <v>2754</v>
      </c>
      <c r="C6680" s="446" t="s">
        <v>19</v>
      </c>
      <c r="D6680" s="448">
        <v>0.09</v>
      </c>
      <c r="E6680" s="210"/>
    </row>
    <row r="6681" spans="1:5" ht="40.5">
      <c r="A6681" s="446">
        <v>95343</v>
      </c>
      <c r="B6681" s="447" t="s">
        <v>2755</v>
      </c>
      <c r="C6681" s="446" t="s">
        <v>19</v>
      </c>
      <c r="D6681" s="448">
        <v>0.11</v>
      </c>
      <c r="E6681" s="210"/>
    </row>
    <row r="6682" spans="1:5" ht="40.5">
      <c r="A6682" s="446">
        <v>95344</v>
      </c>
      <c r="B6682" s="447" t="s">
        <v>2756</v>
      </c>
      <c r="C6682" s="446" t="s">
        <v>19</v>
      </c>
      <c r="D6682" s="448">
        <v>7.0000000000000007E-2</v>
      </c>
      <c r="E6682" s="210"/>
    </row>
    <row r="6683" spans="1:5" ht="40.5">
      <c r="A6683" s="446">
        <v>95345</v>
      </c>
      <c r="B6683" s="447" t="s">
        <v>2757</v>
      </c>
      <c r="C6683" s="446" t="s">
        <v>19</v>
      </c>
      <c r="D6683" s="448">
        <v>0.33</v>
      </c>
      <c r="E6683" s="210"/>
    </row>
    <row r="6684" spans="1:5" ht="40.5">
      <c r="A6684" s="446">
        <v>95346</v>
      </c>
      <c r="B6684" s="447" t="s">
        <v>2758</v>
      </c>
      <c r="C6684" s="446" t="s">
        <v>19</v>
      </c>
      <c r="D6684" s="448">
        <v>0.03</v>
      </c>
      <c r="E6684" s="210"/>
    </row>
    <row r="6685" spans="1:5" ht="40.5">
      <c r="A6685" s="446">
        <v>95347</v>
      </c>
      <c r="B6685" s="447" t="s">
        <v>2759</v>
      </c>
      <c r="C6685" s="446" t="s">
        <v>19</v>
      </c>
      <c r="D6685" s="448">
        <v>0.04</v>
      </c>
      <c r="E6685" s="210"/>
    </row>
    <row r="6686" spans="1:5" ht="40.5">
      <c r="A6686" s="446">
        <v>95348</v>
      </c>
      <c r="B6686" s="447" t="s">
        <v>2760</v>
      </c>
      <c r="C6686" s="446" t="s">
        <v>19</v>
      </c>
      <c r="D6686" s="448">
        <v>0.05</v>
      </c>
      <c r="E6686" s="210"/>
    </row>
    <row r="6687" spans="1:5" ht="40.5">
      <c r="A6687" s="446">
        <v>95349</v>
      </c>
      <c r="B6687" s="447" t="s">
        <v>2761</v>
      </c>
      <c r="C6687" s="446" t="s">
        <v>19</v>
      </c>
      <c r="D6687" s="448">
        <v>0.03</v>
      </c>
      <c r="E6687" s="210"/>
    </row>
    <row r="6688" spans="1:5" ht="40.5">
      <c r="A6688" s="446">
        <v>95350</v>
      </c>
      <c r="B6688" s="447" t="s">
        <v>2762</v>
      </c>
      <c r="C6688" s="446" t="s">
        <v>19</v>
      </c>
      <c r="D6688" s="448">
        <v>0.04</v>
      </c>
      <c r="E6688" s="210"/>
    </row>
    <row r="6689" spans="1:5" ht="40.5">
      <c r="A6689" s="446">
        <v>95351</v>
      </c>
      <c r="B6689" s="447" t="s">
        <v>2763</v>
      </c>
      <c r="C6689" s="446" t="s">
        <v>19</v>
      </c>
      <c r="D6689" s="448">
        <v>0.15</v>
      </c>
      <c r="E6689" s="210"/>
    </row>
    <row r="6690" spans="1:5" ht="27">
      <c r="A6690" s="446">
        <v>95352</v>
      </c>
      <c r="B6690" s="447" t="s">
        <v>2764</v>
      </c>
      <c r="C6690" s="446" t="s">
        <v>19</v>
      </c>
      <c r="D6690" s="448">
        <v>0.04</v>
      </c>
      <c r="E6690" s="210"/>
    </row>
    <row r="6691" spans="1:5" ht="40.5">
      <c r="A6691" s="446">
        <v>95354</v>
      </c>
      <c r="B6691" s="447" t="s">
        <v>2765</v>
      </c>
      <c r="C6691" s="446" t="s">
        <v>19</v>
      </c>
      <c r="D6691" s="448">
        <v>0.05</v>
      </c>
      <c r="E6691" s="210"/>
    </row>
    <row r="6692" spans="1:5" ht="40.5">
      <c r="A6692" s="446">
        <v>95355</v>
      </c>
      <c r="B6692" s="447" t="s">
        <v>2766</v>
      </c>
      <c r="C6692" s="446" t="s">
        <v>19</v>
      </c>
      <c r="D6692" s="448">
        <v>0.06</v>
      </c>
      <c r="E6692" s="210"/>
    </row>
    <row r="6693" spans="1:5" ht="40.5">
      <c r="A6693" s="446">
        <v>95356</v>
      </c>
      <c r="B6693" s="447" t="s">
        <v>2767</v>
      </c>
      <c r="C6693" s="446" t="s">
        <v>19</v>
      </c>
      <c r="D6693" s="448">
        <v>7.0000000000000007E-2</v>
      </c>
      <c r="E6693" s="210"/>
    </row>
    <row r="6694" spans="1:5" ht="40.5">
      <c r="A6694" s="446">
        <v>95357</v>
      </c>
      <c r="B6694" s="447" t="s">
        <v>2768</v>
      </c>
      <c r="C6694" s="446" t="s">
        <v>19</v>
      </c>
      <c r="D6694" s="448">
        <v>0.11</v>
      </c>
      <c r="E6694" s="210"/>
    </row>
    <row r="6695" spans="1:5" ht="40.5">
      <c r="A6695" s="446">
        <v>95358</v>
      </c>
      <c r="B6695" s="447" t="s">
        <v>2769</v>
      </c>
      <c r="C6695" s="446" t="s">
        <v>19</v>
      </c>
      <c r="D6695" s="448">
        <v>0.11</v>
      </c>
      <c r="E6695" s="210"/>
    </row>
    <row r="6696" spans="1:5" ht="40.5">
      <c r="A6696" s="446">
        <v>95359</v>
      </c>
      <c r="B6696" s="447" t="s">
        <v>2770</v>
      </c>
      <c r="C6696" s="446" t="s">
        <v>19</v>
      </c>
      <c r="D6696" s="448">
        <v>0.11</v>
      </c>
      <c r="E6696" s="210"/>
    </row>
    <row r="6697" spans="1:5" ht="40.5">
      <c r="A6697" s="446">
        <v>95360</v>
      </c>
      <c r="B6697" s="447" t="s">
        <v>2771</v>
      </c>
      <c r="C6697" s="446" t="s">
        <v>19</v>
      </c>
      <c r="D6697" s="448">
        <v>0.08</v>
      </c>
      <c r="E6697" s="210"/>
    </row>
    <row r="6698" spans="1:5" ht="40.5">
      <c r="A6698" s="446">
        <v>95361</v>
      </c>
      <c r="B6698" s="447" t="s">
        <v>2772</v>
      </c>
      <c r="C6698" s="446" t="s">
        <v>19</v>
      </c>
      <c r="D6698" s="448">
        <v>0.04</v>
      </c>
      <c r="E6698" s="210"/>
    </row>
    <row r="6699" spans="1:5" ht="40.5">
      <c r="A6699" s="446">
        <v>95362</v>
      </c>
      <c r="B6699" s="447" t="s">
        <v>2773</v>
      </c>
      <c r="C6699" s="446" t="s">
        <v>19</v>
      </c>
      <c r="D6699" s="448">
        <v>7.0000000000000007E-2</v>
      </c>
      <c r="E6699" s="210"/>
    </row>
    <row r="6700" spans="1:5" ht="40.5">
      <c r="A6700" s="446">
        <v>95363</v>
      </c>
      <c r="B6700" s="447" t="s">
        <v>2774</v>
      </c>
      <c r="C6700" s="446" t="s">
        <v>19</v>
      </c>
      <c r="D6700" s="448">
        <v>0.09</v>
      </c>
      <c r="E6700" s="210"/>
    </row>
    <row r="6701" spans="1:5" ht="40.5">
      <c r="A6701" s="446">
        <v>95364</v>
      </c>
      <c r="B6701" s="447" t="s">
        <v>2775</v>
      </c>
      <c r="C6701" s="446" t="s">
        <v>19</v>
      </c>
      <c r="D6701" s="448">
        <v>0.06</v>
      </c>
      <c r="E6701" s="210"/>
    </row>
    <row r="6702" spans="1:5" ht="40.5">
      <c r="A6702" s="446">
        <v>95365</v>
      </c>
      <c r="B6702" s="447" t="s">
        <v>2776</v>
      </c>
      <c r="C6702" s="446" t="s">
        <v>19</v>
      </c>
      <c r="D6702" s="448">
        <v>7.0000000000000007E-2</v>
      </c>
      <c r="E6702" s="210"/>
    </row>
    <row r="6703" spans="1:5" ht="40.5">
      <c r="A6703" s="446">
        <v>95366</v>
      </c>
      <c r="B6703" s="447" t="s">
        <v>2777</v>
      </c>
      <c r="C6703" s="446" t="s">
        <v>19</v>
      </c>
      <c r="D6703" s="448">
        <v>0.06</v>
      </c>
      <c r="E6703" s="210"/>
    </row>
    <row r="6704" spans="1:5" ht="54">
      <c r="A6704" s="446">
        <v>95367</v>
      </c>
      <c r="B6704" s="447" t="s">
        <v>2778</v>
      </c>
      <c r="C6704" s="446" t="s">
        <v>19</v>
      </c>
      <c r="D6704" s="448">
        <v>0.06</v>
      </c>
      <c r="E6704" s="210"/>
    </row>
    <row r="6705" spans="1:5" ht="40.5">
      <c r="A6705" s="446">
        <v>95368</v>
      </c>
      <c r="B6705" s="447" t="s">
        <v>2779</v>
      </c>
      <c r="C6705" s="446" t="s">
        <v>19</v>
      </c>
      <c r="D6705" s="448">
        <v>0.1</v>
      </c>
      <c r="E6705" s="210"/>
    </row>
    <row r="6706" spans="1:5" ht="40.5">
      <c r="A6706" s="446">
        <v>95369</v>
      </c>
      <c r="B6706" s="447" t="s">
        <v>2780</v>
      </c>
      <c r="C6706" s="446" t="s">
        <v>19</v>
      </c>
      <c r="D6706" s="448">
        <v>0.06</v>
      </c>
      <c r="E6706" s="210"/>
    </row>
    <row r="6707" spans="1:5" ht="27">
      <c r="A6707" s="446">
        <v>95370</v>
      </c>
      <c r="B6707" s="447" t="s">
        <v>2781</v>
      </c>
      <c r="C6707" s="446" t="s">
        <v>19</v>
      </c>
      <c r="D6707" s="448">
        <v>0.16</v>
      </c>
      <c r="E6707" s="210"/>
    </row>
    <row r="6708" spans="1:5" ht="27">
      <c r="A6708" s="446">
        <v>95371</v>
      </c>
      <c r="B6708" s="447" t="s">
        <v>557</v>
      </c>
      <c r="C6708" s="446" t="s">
        <v>19</v>
      </c>
      <c r="D6708" s="448">
        <v>0.2</v>
      </c>
      <c r="E6708" s="210"/>
    </row>
    <row r="6709" spans="1:5" ht="27">
      <c r="A6709" s="446">
        <v>95372</v>
      </c>
      <c r="B6709" s="447" t="s">
        <v>558</v>
      </c>
      <c r="C6709" s="446" t="s">
        <v>19</v>
      </c>
      <c r="D6709" s="448">
        <v>0.14000000000000001</v>
      </c>
      <c r="E6709" s="210"/>
    </row>
    <row r="6710" spans="1:5" ht="40.5">
      <c r="A6710" s="446">
        <v>95373</v>
      </c>
      <c r="B6710" s="447" t="s">
        <v>2782</v>
      </c>
      <c r="C6710" s="446" t="s">
        <v>19</v>
      </c>
      <c r="D6710" s="448">
        <v>0.16</v>
      </c>
      <c r="E6710" s="210"/>
    </row>
    <row r="6711" spans="1:5" ht="40.5">
      <c r="A6711" s="446">
        <v>95374</v>
      </c>
      <c r="B6711" s="447" t="s">
        <v>2783</v>
      </c>
      <c r="C6711" s="446" t="s">
        <v>19</v>
      </c>
      <c r="D6711" s="448">
        <v>0.15</v>
      </c>
      <c r="E6711" s="210"/>
    </row>
    <row r="6712" spans="1:5" ht="27">
      <c r="A6712" s="446">
        <v>95375</v>
      </c>
      <c r="B6712" s="447" t="s">
        <v>559</v>
      </c>
      <c r="C6712" s="446" t="s">
        <v>19</v>
      </c>
      <c r="D6712" s="448">
        <v>0.14000000000000001</v>
      </c>
      <c r="E6712" s="210"/>
    </row>
    <row r="6713" spans="1:5" ht="27">
      <c r="A6713" s="446">
        <v>95376</v>
      </c>
      <c r="B6713" s="447" t="s">
        <v>2784</v>
      </c>
      <c r="C6713" s="446" t="s">
        <v>19</v>
      </c>
      <c r="D6713" s="448">
        <v>0.03</v>
      </c>
      <c r="E6713" s="210"/>
    </row>
    <row r="6714" spans="1:5" ht="27">
      <c r="A6714" s="446">
        <v>95377</v>
      </c>
      <c r="B6714" s="447" t="s">
        <v>2785</v>
      </c>
      <c r="C6714" s="446" t="s">
        <v>19</v>
      </c>
      <c r="D6714" s="448">
        <v>0.11</v>
      </c>
      <c r="E6714" s="210"/>
    </row>
    <row r="6715" spans="1:5" ht="27">
      <c r="A6715" s="446">
        <v>95378</v>
      </c>
      <c r="B6715" s="447" t="s">
        <v>560</v>
      </c>
      <c r="C6715" s="446" t="s">
        <v>19</v>
      </c>
      <c r="D6715" s="448">
        <v>0.15</v>
      </c>
      <c r="E6715" s="210"/>
    </row>
    <row r="6716" spans="1:5" ht="27">
      <c r="A6716" s="446">
        <v>95379</v>
      </c>
      <c r="B6716" s="447" t="s">
        <v>561</v>
      </c>
      <c r="C6716" s="446" t="s">
        <v>19</v>
      </c>
      <c r="D6716" s="448">
        <v>0.11</v>
      </c>
      <c r="E6716" s="210"/>
    </row>
    <row r="6717" spans="1:5" ht="40.5">
      <c r="A6717" s="446">
        <v>95380</v>
      </c>
      <c r="B6717" s="447" t="s">
        <v>2786</v>
      </c>
      <c r="C6717" s="446" t="s">
        <v>19</v>
      </c>
      <c r="D6717" s="448">
        <v>0.15</v>
      </c>
      <c r="E6717" s="210"/>
    </row>
    <row r="6718" spans="1:5" ht="40.5">
      <c r="A6718" s="446">
        <v>95382</v>
      </c>
      <c r="B6718" s="447" t="s">
        <v>2787</v>
      </c>
      <c r="C6718" s="446" t="s">
        <v>19</v>
      </c>
      <c r="D6718" s="448">
        <v>0.13</v>
      </c>
      <c r="E6718" s="210"/>
    </row>
    <row r="6719" spans="1:5" ht="40.5">
      <c r="A6719" s="446">
        <v>95383</v>
      </c>
      <c r="B6719" s="447" t="s">
        <v>2788</v>
      </c>
      <c r="C6719" s="446" t="s">
        <v>19</v>
      </c>
      <c r="D6719" s="448">
        <v>0.11</v>
      </c>
      <c r="E6719" s="210"/>
    </row>
    <row r="6720" spans="1:5" ht="40.5">
      <c r="A6720" s="446">
        <v>95384</v>
      </c>
      <c r="B6720" s="447" t="s">
        <v>2789</v>
      </c>
      <c r="C6720" s="446" t="s">
        <v>19</v>
      </c>
      <c r="D6720" s="448">
        <v>0.14000000000000001</v>
      </c>
      <c r="E6720" s="210"/>
    </row>
    <row r="6721" spans="1:5" ht="27">
      <c r="A6721" s="446">
        <v>95385</v>
      </c>
      <c r="B6721" s="447" t="s">
        <v>2790</v>
      </c>
      <c r="C6721" s="446" t="s">
        <v>19</v>
      </c>
      <c r="D6721" s="448">
        <v>0.12</v>
      </c>
      <c r="E6721" s="210"/>
    </row>
    <row r="6722" spans="1:5" ht="27">
      <c r="A6722" s="446">
        <v>95386</v>
      </c>
      <c r="B6722" s="447" t="s">
        <v>2791</v>
      </c>
      <c r="C6722" s="446" t="s">
        <v>19</v>
      </c>
      <c r="D6722" s="448">
        <v>0.08</v>
      </c>
      <c r="E6722" s="210"/>
    </row>
    <row r="6723" spans="1:5" ht="27">
      <c r="A6723" s="446">
        <v>95387</v>
      </c>
      <c r="B6723" s="447" t="s">
        <v>2792</v>
      </c>
      <c r="C6723" s="446" t="s">
        <v>19</v>
      </c>
      <c r="D6723" s="448">
        <v>0.13</v>
      </c>
      <c r="E6723" s="210"/>
    </row>
    <row r="6724" spans="1:5" ht="27">
      <c r="A6724" s="446">
        <v>95388</v>
      </c>
      <c r="B6724" s="447" t="s">
        <v>2793</v>
      </c>
      <c r="C6724" s="446" t="s">
        <v>19</v>
      </c>
      <c r="D6724" s="448">
        <v>0.05</v>
      </c>
      <c r="E6724" s="210"/>
    </row>
    <row r="6725" spans="1:5" ht="40.5">
      <c r="A6725" s="446">
        <v>95389</v>
      </c>
      <c r="B6725" s="447" t="s">
        <v>2794</v>
      </c>
      <c r="C6725" s="446" t="s">
        <v>19</v>
      </c>
      <c r="D6725" s="448">
        <v>0.05</v>
      </c>
      <c r="E6725" s="210"/>
    </row>
    <row r="6726" spans="1:5" ht="27">
      <c r="A6726" s="446">
        <v>95390</v>
      </c>
      <c r="B6726" s="447" t="s">
        <v>2795</v>
      </c>
      <c r="C6726" s="446" t="s">
        <v>19</v>
      </c>
      <c r="D6726" s="448">
        <v>0.04</v>
      </c>
      <c r="E6726" s="210"/>
    </row>
    <row r="6727" spans="1:5" ht="40.5">
      <c r="A6727" s="446">
        <v>95391</v>
      </c>
      <c r="B6727" s="447" t="s">
        <v>2796</v>
      </c>
      <c r="C6727" s="446" t="s">
        <v>19</v>
      </c>
      <c r="D6727" s="448">
        <v>7.0000000000000007E-2</v>
      </c>
      <c r="E6727" s="210"/>
    </row>
    <row r="6728" spans="1:5" ht="27">
      <c r="A6728" s="446">
        <v>95392</v>
      </c>
      <c r="B6728" s="447" t="s">
        <v>2797</v>
      </c>
      <c r="C6728" s="446" t="s">
        <v>19</v>
      </c>
      <c r="D6728" s="448">
        <v>0.04</v>
      </c>
      <c r="E6728" s="210"/>
    </row>
    <row r="6729" spans="1:5" ht="40.5">
      <c r="A6729" s="446">
        <v>95393</v>
      </c>
      <c r="B6729" s="447" t="s">
        <v>2798</v>
      </c>
      <c r="C6729" s="446" t="s">
        <v>19</v>
      </c>
      <c r="D6729" s="448">
        <v>0.19</v>
      </c>
      <c r="E6729" s="210"/>
    </row>
    <row r="6730" spans="1:5" ht="40.5">
      <c r="A6730" s="446">
        <v>95394</v>
      </c>
      <c r="B6730" s="447" t="s">
        <v>2799</v>
      </c>
      <c r="C6730" s="446" t="s">
        <v>19</v>
      </c>
      <c r="D6730" s="448">
        <v>0.33</v>
      </c>
      <c r="E6730" s="210"/>
    </row>
    <row r="6731" spans="1:5" ht="40.5">
      <c r="A6731" s="446">
        <v>95395</v>
      </c>
      <c r="B6731" s="447" t="s">
        <v>2800</v>
      </c>
      <c r="C6731" s="446" t="s">
        <v>19</v>
      </c>
      <c r="D6731" s="448">
        <v>0.48</v>
      </c>
      <c r="E6731" s="210"/>
    </row>
    <row r="6732" spans="1:5" ht="40.5">
      <c r="A6732" s="446">
        <v>95396</v>
      </c>
      <c r="B6732" s="447" t="s">
        <v>2801</v>
      </c>
      <c r="C6732" s="446" t="s">
        <v>19</v>
      </c>
      <c r="D6732" s="448">
        <v>0.63</v>
      </c>
      <c r="E6732" s="210"/>
    </row>
    <row r="6733" spans="1:5" ht="40.5">
      <c r="A6733" s="446">
        <v>95397</v>
      </c>
      <c r="B6733" s="447" t="s">
        <v>2802</v>
      </c>
      <c r="C6733" s="446" t="s">
        <v>19</v>
      </c>
      <c r="D6733" s="448">
        <v>0.06</v>
      </c>
      <c r="E6733" s="210"/>
    </row>
    <row r="6734" spans="1:5" ht="40.5">
      <c r="A6734" s="446">
        <v>95398</v>
      </c>
      <c r="B6734" s="447" t="s">
        <v>2803</v>
      </c>
      <c r="C6734" s="446" t="s">
        <v>19</v>
      </c>
      <c r="D6734" s="448">
        <v>0.03</v>
      </c>
      <c r="E6734" s="210"/>
    </row>
    <row r="6735" spans="1:5" ht="40.5">
      <c r="A6735" s="446">
        <v>95399</v>
      </c>
      <c r="B6735" s="447" t="s">
        <v>2804</v>
      </c>
      <c r="C6735" s="446" t="s">
        <v>19</v>
      </c>
      <c r="D6735" s="448">
        <v>0.05</v>
      </c>
      <c r="E6735" s="210"/>
    </row>
    <row r="6736" spans="1:5" ht="40.5">
      <c r="A6736" s="446">
        <v>95400</v>
      </c>
      <c r="B6736" s="447" t="s">
        <v>2805</v>
      </c>
      <c r="C6736" s="446" t="s">
        <v>19</v>
      </c>
      <c r="D6736" s="448">
        <v>0.06</v>
      </c>
      <c r="E6736" s="210"/>
    </row>
    <row r="6737" spans="1:5" ht="40.5">
      <c r="A6737" s="446">
        <v>95401</v>
      </c>
      <c r="B6737" s="447" t="s">
        <v>2806</v>
      </c>
      <c r="C6737" s="446" t="s">
        <v>19</v>
      </c>
      <c r="D6737" s="448">
        <v>0.27</v>
      </c>
      <c r="E6737" s="210"/>
    </row>
    <row r="6738" spans="1:5" ht="40.5">
      <c r="A6738" s="446">
        <v>95402</v>
      </c>
      <c r="B6738" s="447" t="s">
        <v>2807</v>
      </c>
      <c r="C6738" s="446" t="s">
        <v>19</v>
      </c>
      <c r="D6738" s="448">
        <v>0.82</v>
      </c>
      <c r="E6738" s="210"/>
    </row>
    <row r="6739" spans="1:5" ht="40.5">
      <c r="A6739" s="446">
        <v>95403</v>
      </c>
      <c r="B6739" s="447" t="s">
        <v>2808</v>
      </c>
      <c r="C6739" s="446" t="s">
        <v>19</v>
      </c>
      <c r="D6739" s="448">
        <v>0.93</v>
      </c>
      <c r="E6739" s="210"/>
    </row>
    <row r="6740" spans="1:5" ht="40.5">
      <c r="A6740" s="446">
        <v>95404</v>
      </c>
      <c r="B6740" s="447" t="s">
        <v>2809</v>
      </c>
      <c r="C6740" s="446" t="s">
        <v>19</v>
      </c>
      <c r="D6740" s="448">
        <v>1.27</v>
      </c>
      <c r="E6740" s="210"/>
    </row>
    <row r="6741" spans="1:5" ht="40.5">
      <c r="A6741" s="446">
        <v>95405</v>
      </c>
      <c r="B6741" s="447" t="s">
        <v>2810</v>
      </c>
      <c r="C6741" s="446" t="s">
        <v>19</v>
      </c>
      <c r="D6741" s="448">
        <v>0.41</v>
      </c>
      <c r="E6741" s="210"/>
    </row>
    <row r="6742" spans="1:5" ht="27">
      <c r="A6742" s="446">
        <v>95406</v>
      </c>
      <c r="B6742" s="447" t="s">
        <v>2811</v>
      </c>
      <c r="C6742" s="446" t="s">
        <v>19</v>
      </c>
      <c r="D6742" s="448">
        <v>0.08</v>
      </c>
      <c r="E6742" s="210"/>
    </row>
    <row r="6743" spans="1:5" ht="40.5">
      <c r="A6743" s="446">
        <v>95407</v>
      </c>
      <c r="B6743" s="447" t="s">
        <v>2812</v>
      </c>
      <c r="C6743" s="446" t="s">
        <v>19</v>
      </c>
      <c r="D6743" s="448">
        <v>1.81</v>
      </c>
      <c r="E6743" s="210"/>
    </row>
    <row r="6744" spans="1:5" ht="40.5">
      <c r="A6744" s="446">
        <v>95408</v>
      </c>
      <c r="B6744" s="447" t="s">
        <v>2813</v>
      </c>
      <c r="C6744" s="446" t="s">
        <v>84</v>
      </c>
      <c r="D6744" s="448">
        <v>5.57</v>
      </c>
      <c r="E6744" s="210"/>
    </row>
    <row r="6745" spans="1:5" ht="40.5">
      <c r="A6745" s="446">
        <v>95409</v>
      </c>
      <c r="B6745" s="447" t="s">
        <v>2814</v>
      </c>
      <c r="C6745" s="446" t="s">
        <v>84</v>
      </c>
      <c r="D6745" s="448">
        <v>10.54</v>
      </c>
      <c r="E6745" s="210"/>
    </row>
    <row r="6746" spans="1:5" ht="40.5">
      <c r="A6746" s="446">
        <v>95410</v>
      </c>
      <c r="B6746" s="447" t="s">
        <v>2815</v>
      </c>
      <c r="C6746" s="446" t="s">
        <v>84</v>
      </c>
      <c r="D6746" s="448">
        <v>7.95</v>
      </c>
      <c r="E6746" s="210"/>
    </row>
    <row r="6747" spans="1:5" ht="40.5">
      <c r="A6747" s="446">
        <v>95411</v>
      </c>
      <c r="B6747" s="447" t="s">
        <v>2816</v>
      </c>
      <c r="C6747" s="446" t="s">
        <v>84</v>
      </c>
      <c r="D6747" s="448">
        <v>8.43</v>
      </c>
      <c r="E6747" s="210"/>
    </row>
    <row r="6748" spans="1:5" ht="40.5">
      <c r="A6748" s="446">
        <v>95412</v>
      </c>
      <c r="B6748" s="447" t="s">
        <v>2817</v>
      </c>
      <c r="C6748" s="446" t="s">
        <v>84</v>
      </c>
      <c r="D6748" s="448">
        <v>8.42</v>
      </c>
      <c r="E6748" s="210"/>
    </row>
    <row r="6749" spans="1:5" ht="27">
      <c r="A6749" s="446">
        <v>95413</v>
      </c>
      <c r="B6749" s="447" t="s">
        <v>2818</v>
      </c>
      <c r="C6749" s="446" t="s">
        <v>84</v>
      </c>
      <c r="D6749" s="448">
        <v>6.77</v>
      </c>
      <c r="E6749" s="210"/>
    </row>
    <row r="6750" spans="1:5" ht="40.5">
      <c r="A6750" s="446">
        <v>95414</v>
      </c>
      <c r="B6750" s="447" t="s">
        <v>2819</v>
      </c>
      <c r="C6750" s="446" t="s">
        <v>84</v>
      </c>
      <c r="D6750" s="448">
        <v>27.01</v>
      </c>
      <c r="E6750" s="210"/>
    </row>
    <row r="6751" spans="1:5" ht="40.5">
      <c r="A6751" s="446">
        <v>95415</v>
      </c>
      <c r="B6751" s="447" t="s">
        <v>2820</v>
      </c>
      <c r="C6751" s="446" t="s">
        <v>84</v>
      </c>
      <c r="D6751" s="448">
        <v>112.16</v>
      </c>
      <c r="E6751" s="210"/>
    </row>
    <row r="6752" spans="1:5" ht="40.5">
      <c r="A6752" s="446">
        <v>95416</v>
      </c>
      <c r="B6752" s="447" t="s">
        <v>2821</v>
      </c>
      <c r="C6752" s="446" t="s">
        <v>84</v>
      </c>
      <c r="D6752" s="448">
        <v>5.46</v>
      </c>
      <c r="E6752" s="210"/>
    </row>
    <row r="6753" spans="1:5" ht="40.5">
      <c r="A6753" s="446">
        <v>95417</v>
      </c>
      <c r="B6753" s="447" t="s">
        <v>2822</v>
      </c>
      <c r="C6753" s="446" t="s">
        <v>84</v>
      </c>
      <c r="D6753" s="448">
        <v>127.66</v>
      </c>
      <c r="E6753" s="210"/>
    </row>
    <row r="6754" spans="1:5" ht="40.5">
      <c r="A6754" s="446">
        <v>95418</v>
      </c>
      <c r="B6754" s="447" t="s">
        <v>2823</v>
      </c>
      <c r="C6754" s="446" t="s">
        <v>84</v>
      </c>
      <c r="D6754" s="448">
        <v>174.51</v>
      </c>
      <c r="E6754" s="210"/>
    </row>
    <row r="6755" spans="1:5" ht="40.5">
      <c r="A6755" s="446">
        <v>95419</v>
      </c>
      <c r="B6755" s="447" t="s">
        <v>2824</v>
      </c>
      <c r="C6755" s="446" t="s">
        <v>84</v>
      </c>
      <c r="D6755" s="448">
        <v>46.95</v>
      </c>
      <c r="E6755" s="210"/>
    </row>
    <row r="6756" spans="1:5" ht="40.5">
      <c r="A6756" s="446">
        <v>95420</v>
      </c>
      <c r="B6756" s="447" t="s">
        <v>2825</v>
      </c>
      <c r="C6756" s="446" t="s">
        <v>84</v>
      </c>
      <c r="D6756" s="448">
        <v>66.69</v>
      </c>
      <c r="E6756" s="210"/>
    </row>
    <row r="6757" spans="1:5" ht="40.5">
      <c r="A6757" s="446">
        <v>95421</v>
      </c>
      <c r="B6757" s="447" t="s">
        <v>2826</v>
      </c>
      <c r="C6757" s="446" t="s">
        <v>84</v>
      </c>
      <c r="D6757" s="448">
        <v>88.17</v>
      </c>
      <c r="E6757" s="210"/>
    </row>
    <row r="6758" spans="1:5" ht="40.5">
      <c r="A6758" s="446">
        <v>95422</v>
      </c>
      <c r="B6758" s="447" t="s">
        <v>2827</v>
      </c>
      <c r="C6758" s="446" t="s">
        <v>84</v>
      </c>
      <c r="D6758" s="448">
        <v>37.56</v>
      </c>
      <c r="E6758" s="210"/>
    </row>
    <row r="6759" spans="1:5" ht="40.5">
      <c r="A6759" s="446">
        <v>95423</v>
      </c>
      <c r="B6759" s="447" t="s">
        <v>2828</v>
      </c>
      <c r="C6759" s="446" t="s">
        <v>84</v>
      </c>
      <c r="D6759" s="448">
        <v>57.01</v>
      </c>
      <c r="E6759" s="210"/>
    </row>
    <row r="6760" spans="1:5" ht="27">
      <c r="A6760" s="446">
        <v>95424</v>
      </c>
      <c r="B6760" s="447" t="s">
        <v>2829</v>
      </c>
      <c r="C6760" s="446" t="s">
        <v>84</v>
      </c>
      <c r="D6760" s="448">
        <v>11.13</v>
      </c>
      <c r="E6760" s="210"/>
    </row>
    <row r="6761" spans="1:5" ht="27">
      <c r="A6761" s="446">
        <v>100288</v>
      </c>
      <c r="B6761" s="447" t="s">
        <v>4241</v>
      </c>
      <c r="C6761" s="446" t="s">
        <v>19</v>
      </c>
      <c r="D6761" s="448">
        <v>0.03</v>
      </c>
      <c r="E6761" s="210"/>
    </row>
    <row r="6762" spans="1:5" ht="27">
      <c r="A6762" s="446">
        <v>100289</v>
      </c>
      <c r="B6762" s="447" t="s">
        <v>4242</v>
      </c>
      <c r="C6762" s="446" t="s">
        <v>19</v>
      </c>
      <c r="D6762" s="448">
        <v>14.32</v>
      </c>
      <c r="E6762" s="210"/>
    </row>
    <row r="6763" spans="1:5" ht="40.5">
      <c r="A6763" s="446">
        <v>100290</v>
      </c>
      <c r="B6763" s="447" t="s">
        <v>4243</v>
      </c>
      <c r="C6763" s="446" t="s">
        <v>19</v>
      </c>
      <c r="D6763" s="448">
        <v>0.03</v>
      </c>
      <c r="E6763" s="210"/>
    </row>
    <row r="6764" spans="1:5" ht="40.5">
      <c r="A6764" s="446">
        <v>100291</v>
      </c>
      <c r="B6764" s="447" t="s">
        <v>4244</v>
      </c>
      <c r="C6764" s="446" t="s">
        <v>19</v>
      </c>
      <c r="D6764" s="448">
        <v>0.1</v>
      </c>
      <c r="E6764" s="210"/>
    </row>
    <row r="6765" spans="1:5" ht="40.5">
      <c r="A6765" s="446">
        <v>100292</v>
      </c>
      <c r="B6765" s="447" t="s">
        <v>4245</v>
      </c>
      <c r="C6765" s="446" t="s">
        <v>19</v>
      </c>
      <c r="D6765" s="448">
        <v>0.41</v>
      </c>
      <c r="E6765" s="210"/>
    </row>
    <row r="6766" spans="1:5" ht="40.5">
      <c r="A6766" s="446">
        <v>100293</v>
      </c>
      <c r="B6766" s="447" t="s">
        <v>4246</v>
      </c>
      <c r="C6766" s="446" t="s">
        <v>19</v>
      </c>
      <c r="D6766" s="448">
        <v>0.1</v>
      </c>
      <c r="E6766" s="210"/>
    </row>
    <row r="6767" spans="1:5" ht="40.5">
      <c r="A6767" s="446">
        <v>100294</v>
      </c>
      <c r="B6767" s="447" t="s">
        <v>4247</v>
      </c>
      <c r="C6767" s="446" t="s">
        <v>19</v>
      </c>
      <c r="D6767" s="448">
        <v>0.19</v>
      </c>
      <c r="E6767" s="210"/>
    </row>
    <row r="6768" spans="1:5" ht="40.5">
      <c r="A6768" s="446">
        <v>100295</v>
      </c>
      <c r="B6768" s="447" t="s">
        <v>4248</v>
      </c>
      <c r="C6768" s="446" t="s">
        <v>19</v>
      </c>
      <c r="D6768" s="448">
        <v>0.3</v>
      </c>
      <c r="E6768" s="210"/>
    </row>
    <row r="6769" spans="1:5" ht="40.5">
      <c r="A6769" s="446">
        <v>100296</v>
      </c>
      <c r="B6769" s="447" t="s">
        <v>4249</v>
      </c>
      <c r="C6769" s="446" t="s">
        <v>19</v>
      </c>
      <c r="D6769" s="448">
        <v>0.65</v>
      </c>
      <c r="E6769" s="210"/>
    </row>
    <row r="6770" spans="1:5" ht="40.5">
      <c r="A6770" s="446">
        <v>100297</v>
      </c>
      <c r="B6770" s="447" t="s">
        <v>4250</v>
      </c>
      <c r="C6770" s="446" t="s">
        <v>19</v>
      </c>
      <c r="D6770" s="448">
        <v>0.73</v>
      </c>
      <c r="E6770" s="210"/>
    </row>
    <row r="6771" spans="1:5" ht="40.5">
      <c r="A6771" s="446">
        <v>100298</v>
      </c>
      <c r="B6771" s="447" t="s">
        <v>4251</v>
      </c>
      <c r="C6771" s="446" t="s">
        <v>19</v>
      </c>
      <c r="D6771" s="448">
        <v>0.3</v>
      </c>
      <c r="E6771" s="210"/>
    </row>
    <row r="6772" spans="1:5" ht="40.5">
      <c r="A6772" s="446">
        <v>100299</v>
      </c>
      <c r="B6772" s="447" t="s">
        <v>4252</v>
      </c>
      <c r="C6772" s="446" t="s">
        <v>19</v>
      </c>
      <c r="D6772" s="448">
        <v>0.26</v>
      </c>
      <c r="E6772" s="210"/>
    </row>
    <row r="6773" spans="1:5" ht="27">
      <c r="A6773" s="446">
        <v>100300</v>
      </c>
      <c r="B6773" s="447" t="s">
        <v>4253</v>
      </c>
      <c r="C6773" s="446" t="s">
        <v>19</v>
      </c>
      <c r="D6773" s="448">
        <v>11.72</v>
      </c>
      <c r="E6773" s="210"/>
    </row>
    <row r="6774" spans="1:5" ht="27">
      <c r="A6774" s="446">
        <v>100301</v>
      </c>
      <c r="B6774" s="447" t="s">
        <v>4254</v>
      </c>
      <c r="C6774" s="446" t="s">
        <v>19</v>
      </c>
      <c r="D6774" s="448">
        <v>14.83</v>
      </c>
      <c r="E6774" s="210"/>
    </row>
    <row r="6775" spans="1:5" ht="27">
      <c r="A6775" s="446">
        <v>100302</v>
      </c>
      <c r="B6775" s="447" t="s">
        <v>4255</v>
      </c>
      <c r="C6775" s="446" t="s">
        <v>19</v>
      </c>
      <c r="D6775" s="448">
        <v>116.16</v>
      </c>
      <c r="E6775" s="210"/>
    </row>
    <row r="6776" spans="1:5" ht="27">
      <c r="A6776" s="446">
        <v>100303</v>
      </c>
      <c r="B6776" s="447" t="s">
        <v>4256</v>
      </c>
      <c r="C6776" s="446" t="s">
        <v>19</v>
      </c>
      <c r="D6776" s="448">
        <v>13.86</v>
      </c>
      <c r="E6776" s="210"/>
    </row>
    <row r="6777" spans="1:5" ht="27">
      <c r="A6777" s="446">
        <v>100304</v>
      </c>
      <c r="B6777" s="447" t="s">
        <v>4257</v>
      </c>
      <c r="C6777" s="446" t="s">
        <v>19</v>
      </c>
      <c r="D6777" s="448">
        <v>55.76</v>
      </c>
      <c r="E6777" s="210"/>
    </row>
    <row r="6778" spans="1:5" ht="27">
      <c r="A6778" s="446">
        <v>100305</v>
      </c>
      <c r="B6778" s="447" t="s">
        <v>4258</v>
      </c>
      <c r="C6778" s="446" t="s">
        <v>19</v>
      </c>
      <c r="D6778" s="448">
        <v>81.12</v>
      </c>
      <c r="E6778" s="210"/>
    </row>
    <row r="6779" spans="1:5" ht="27">
      <c r="A6779" s="446">
        <v>100306</v>
      </c>
      <c r="B6779" s="447" t="s">
        <v>4259</v>
      </c>
      <c r="C6779" s="446" t="s">
        <v>19</v>
      </c>
      <c r="D6779" s="448">
        <v>91.35</v>
      </c>
      <c r="E6779" s="210"/>
    </row>
    <row r="6780" spans="1:5" ht="27">
      <c r="A6780" s="446">
        <v>100307</v>
      </c>
      <c r="B6780" s="447" t="s">
        <v>4260</v>
      </c>
      <c r="C6780" s="446" t="s">
        <v>19</v>
      </c>
      <c r="D6780" s="448">
        <v>17.899999999999999</v>
      </c>
      <c r="E6780" s="210"/>
    </row>
    <row r="6781" spans="1:5" ht="27">
      <c r="A6781" s="446">
        <v>100308</v>
      </c>
      <c r="B6781" s="447" t="s">
        <v>4261</v>
      </c>
      <c r="C6781" s="446" t="s">
        <v>19</v>
      </c>
      <c r="D6781" s="448">
        <v>19.649999999999999</v>
      </c>
      <c r="E6781" s="210"/>
    </row>
    <row r="6782" spans="1:5" ht="27">
      <c r="A6782" s="446">
        <v>100309</v>
      </c>
      <c r="B6782" s="447" t="s">
        <v>4269</v>
      </c>
      <c r="C6782" s="446" t="s">
        <v>19</v>
      </c>
      <c r="D6782" s="448">
        <v>22.19</v>
      </c>
      <c r="E6782" s="210"/>
    </row>
    <row r="6783" spans="1:5" ht="40.5">
      <c r="A6783" s="446">
        <v>100310</v>
      </c>
      <c r="B6783" s="447" t="s">
        <v>4262</v>
      </c>
      <c r="C6783" s="446" t="s">
        <v>84</v>
      </c>
      <c r="D6783" s="448">
        <v>5.19</v>
      </c>
      <c r="E6783" s="210"/>
    </row>
    <row r="6784" spans="1:5" ht="40.5">
      <c r="A6784" s="446">
        <v>100311</v>
      </c>
      <c r="B6784" s="447" t="s">
        <v>4263</v>
      </c>
      <c r="C6784" s="446" t="s">
        <v>84</v>
      </c>
      <c r="D6784" s="448">
        <v>56.83</v>
      </c>
      <c r="E6784" s="210"/>
    </row>
    <row r="6785" spans="1:5" ht="40.5">
      <c r="A6785" s="446">
        <v>100312</v>
      </c>
      <c r="B6785" s="447" t="s">
        <v>4264</v>
      </c>
      <c r="C6785" s="446" t="s">
        <v>84</v>
      </c>
      <c r="D6785" s="448">
        <v>69.39</v>
      </c>
      <c r="E6785" s="210"/>
    </row>
    <row r="6786" spans="1:5" ht="40.5">
      <c r="A6786" s="446">
        <v>100313</v>
      </c>
      <c r="B6786" s="447" t="s">
        <v>4265</v>
      </c>
      <c r="C6786" s="446" t="s">
        <v>84</v>
      </c>
      <c r="D6786" s="448">
        <v>88.51</v>
      </c>
      <c r="E6786" s="210"/>
    </row>
    <row r="6787" spans="1:5" ht="40.5">
      <c r="A6787" s="446">
        <v>100314</v>
      </c>
      <c r="B6787" s="447" t="s">
        <v>4266</v>
      </c>
      <c r="C6787" s="446" t="s">
        <v>84</v>
      </c>
      <c r="D6787" s="448">
        <v>99.85</v>
      </c>
      <c r="E6787" s="210"/>
    </row>
    <row r="6788" spans="1:5" ht="40.5">
      <c r="A6788" s="446">
        <v>100315</v>
      </c>
      <c r="B6788" s="447" t="s">
        <v>4267</v>
      </c>
      <c r="C6788" s="446" t="s">
        <v>84</v>
      </c>
      <c r="D6788" s="448">
        <v>35.97</v>
      </c>
      <c r="E6788" s="210"/>
    </row>
    <row r="6789" spans="1:5" ht="27">
      <c r="A6789" s="446">
        <v>100316</v>
      </c>
      <c r="B6789" s="447" t="s">
        <v>4253</v>
      </c>
      <c r="C6789" s="446" t="s">
        <v>84</v>
      </c>
      <c r="D6789" s="448">
        <v>2091.6799999999998</v>
      </c>
      <c r="E6789" s="210"/>
    </row>
    <row r="6790" spans="1:5" ht="27">
      <c r="A6790" s="446">
        <v>100317</v>
      </c>
      <c r="B6790" s="447" t="s">
        <v>4268</v>
      </c>
      <c r="C6790" s="446" t="s">
        <v>84</v>
      </c>
      <c r="D6790" s="448">
        <v>20575.43</v>
      </c>
      <c r="E6790" s="210"/>
    </row>
    <row r="6791" spans="1:5" ht="27">
      <c r="A6791" s="446">
        <v>100318</v>
      </c>
      <c r="B6791" s="447" t="s">
        <v>4257</v>
      </c>
      <c r="C6791" s="446" t="s">
        <v>84</v>
      </c>
      <c r="D6791" s="448">
        <v>9926.82</v>
      </c>
      <c r="E6791" s="210"/>
    </row>
    <row r="6792" spans="1:5" ht="27">
      <c r="A6792" s="446">
        <v>100319</v>
      </c>
      <c r="B6792" s="447" t="s">
        <v>4258</v>
      </c>
      <c r="C6792" s="446" t="s">
        <v>84</v>
      </c>
      <c r="D6792" s="448">
        <v>14357.51</v>
      </c>
      <c r="E6792" s="210"/>
    </row>
    <row r="6793" spans="1:5" ht="27">
      <c r="A6793" s="446">
        <v>100320</v>
      </c>
      <c r="B6793" s="447" t="s">
        <v>4259</v>
      </c>
      <c r="C6793" s="446" t="s">
        <v>84</v>
      </c>
      <c r="D6793" s="448">
        <v>16169.94</v>
      </c>
      <c r="E6793" s="210"/>
    </row>
    <row r="6794" spans="1:5" ht="27">
      <c r="A6794" s="446">
        <v>100321</v>
      </c>
      <c r="B6794" s="447" t="s">
        <v>4269</v>
      </c>
      <c r="C6794" s="446" t="s">
        <v>84</v>
      </c>
      <c r="D6794" s="448">
        <v>3938.02</v>
      </c>
      <c r="E6794" s="210"/>
    </row>
    <row r="6795" spans="1:5" ht="27">
      <c r="A6795" s="446">
        <v>100533</v>
      </c>
      <c r="B6795" s="447" t="s">
        <v>4477</v>
      </c>
      <c r="C6795" s="446" t="s">
        <v>19</v>
      </c>
      <c r="D6795" s="448">
        <v>14.37</v>
      </c>
      <c r="E6795" s="210"/>
    </row>
    <row r="6796" spans="1:5" ht="27">
      <c r="A6796" s="446">
        <v>100534</v>
      </c>
      <c r="B6796" s="447" t="s">
        <v>4477</v>
      </c>
      <c r="C6796" s="446" t="s">
        <v>84</v>
      </c>
      <c r="D6796" s="448">
        <v>2563.42</v>
      </c>
      <c r="E6796" s="210"/>
    </row>
    <row r="6797" spans="1:5" ht="40.5">
      <c r="A6797" s="446">
        <v>100535</v>
      </c>
      <c r="B6797" s="447" t="s">
        <v>4478</v>
      </c>
      <c r="C6797" s="446" t="s">
        <v>19</v>
      </c>
      <c r="D6797" s="448">
        <v>0.16</v>
      </c>
      <c r="E6797" s="210"/>
    </row>
    <row r="6798" spans="1:5" ht="40.5">
      <c r="A6798" s="446">
        <v>100536</v>
      </c>
      <c r="B6798" s="447" t="s">
        <v>4479</v>
      </c>
      <c r="C6798" s="446" t="s">
        <v>84</v>
      </c>
      <c r="D6798" s="448">
        <v>22.63</v>
      </c>
      <c r="E6798" s="210"/>
    </row>
    <row r="6799" spans="1:5" ht="40.5">
      <c r="A6799" s="446">
        <v>101284</v>
      </c>
      <c r="B6799" s="447" t="s">
        <v>5610</v>
      </c>
      <c r="C6799" s="446" t="s">
        <v>19</v>
      </c>
      <c r="D6799" s="448">
        <v>1</v>
      </c>
      <c r="E6799" s="210"/>
    </row>
    <row r="6800" spans="1:5" ht="40.5">
      <c r="A6800" s="446">
        <v>101285</v>
      </c>
      <c r="B6800" s="447" t="s">
        <v>5611</v>
      </c>
      <c r="C6800" s="446" t="s">
        <v>19</v>
      </c>
      <c r="D6800" s="448">
        <v>0.26</v>
      </c>
      <c r="E6800" s="210"/>
    </row>
    <row r="6801" spans="1:5" ht="40.5">
      <c r="A6801" s="446">
        <v>101286</v>
      </c>
      <c r="B6801" s="447" t="s">
        <v>5612</v>
      </c>
      <c r="C6801" s="446" t="s">
        <v>84</v>
      </c>
      <c r="D6801" s="448">
        <v>10.63</v>
      </c>
      <c r="E6801" s="210"/>
    </row>
    <row r="6802" spans="1:5" ht="40.5">
      <c r="A6802" s="446">
        <v>101287</v>
      </c>
      <c r="B6802" s="447" t="s">
        <v>5613</v>
      </c>
      <c r="C6802" s="446" t="s">
        <v>84</v>
      </c>
      <c r="D6802" s="448">
        <v>35.9</v>
      </c>
      <c r="E6802" s="210"/>
    </row>
    <row r="6803" spans="1:5" ht="40.5">
      <c r="A6803" s="446">
        <v>101288</v>
      </c>
      <c r="B6803" s="447" t="s">
        <v>5614</v>
      </c>
      <c r="C6803" s="446" t="s">
        <v>84</v>
      </c>
      <c r="D6803" s="448">
        <v>8.15</v>
      </c>
      <c r="E6803" s="210"/>
    </row>
    <row r="6804" spans="1:5" ht="40.5">
      <c r="A6804" s="446">
        <v>101289</v>
      </c>
      <c r="B6804" s="447" t="s">
        <v>5615</v>
      </c>
      <c r="C6804" s="446" t="s">
        <v>84</v>
      </c>
      <c r="D6804" s="448">
        <v>11</v>
      </c>
      <c r="E6804" s="210"/>
    </row>
    <row r="6805" spans="1:5" ht="40.5">
      <c r="A6805" s="446">
        <v>101290</v>
      </c>
      <c r="B6805" s="447" t="s">
        <v>5616</v>
      </c>
      <c r="C6805" s="446" t="s">
        <v>84</v>
      </c>
      <c r="D6805" s="448">
        <v>14.15</v>
      </c>
      <c r="E6805" s="210"/>
    </row>
    <row r="6806" spans="1:5" ht="40.5">
      <c r="A6806" s="446">
        <v>101291</v>
      </c>
      <c r="B6806" s="447" t="s">
        <v>5617</v>
      </c>
      <c r="C6806" s="446" t="s">
        <v>84</v>
      </c>
      <c r="D6806" s="448">
        <v>11.41</v>
      </c>
      <c r="E6806" s="210"/>
    </row>
    <row r="6807" spans="1:5" ht="40.5">
      <c r="A6807" s="446">
        <v>101292</v>
      </c>
      <c r="B6807" s="447" t="s">
        <v>5618</v>
      </c>
      <c r="C6807" s="446" t="s">
        <v>84</v>
      </c>
      <c r="D6807" s="448">
        <v>14.73</v>
      </c>
      <c r="E6807" s="210"/>
    </row>
    <row r="6808" spans="1:5" ht="27">
      <c r="A6808" s="446">
        <v>101293</v>
      </c>
      <c r="B6808" s="447" t="s">
        <v>5619</v>
      </c>
      <c r="C6808" s="446" t="s">
        <v>84</v>
      </c>
      <c r="D6808" s="448">
        <v>15.25</v>
      </c>
      <c r="E6808" s="210"/>
    </row>
    <row r="6809" spans="1:5" ht="40.5">
      <c r="A6809" s="446">
        <v>101294</v>
      </c>
      <c r="B6809" s="447" t="s">
        <v>5620</v>
      </c>
      <c r="C6809" s="446" t="s">
        <v>84</v>
      </c>
      <c r="D6809" s="448">
        <v>17.03</v>
      </c>
      <c r="E6809" s="210"/>
    </row>
    <row r="6810" spans="1:5" ht="40.5">
      <c r="A6810" s="446">
        <v>101295</v>
      </c>
      <c r="B6810" s="447" t="s">
        <v>5621</v>
      </c>
      <c r="C6810" s="446" t="s">
        <v>84</v>
      </c>
      <c r="D6810" s="448">
        <v>14.29</v>
      </c>
      <c r="E6810" s="210"/>
    </row>
    <row r="6811" spans="1:5" ht="40.5">
      <c r="A6811" s="446">
        <v>101296</v>
      </c>
      <c r="B6811" s="447" t="s">
        <v>5622</v>
      </c>
      <c r="C6811" s="446" t="s">
        <v>84</v>
      </c>
      <c r="D6811" s="448">
        <v>17.38</v>
      </c>
      <c r="E6811" s="210"/>
    </row>
    <row r="6812" spans="1:5" ht="40.5">
      <c r="A6812" s="446">
        <v>101297</v>
      </c>
      <c r="B6812" s="447" t="s">
        <v>5623</v>
      </c>
      <c r="C6812" s="446" t="s">
        <v>84</v>
      </c>
      <c r="D6812" s="448">
        <v>15.27</v>
      </c>
      <c r="E6812" s="210"/>
    </row>
    <row r="6813" spans="1:5" ht="40.5">
      <c r="A6813" s="446">
        <v>101298</v>
      </c>
      <c r="B6813" s="447" t="s">
        <v>5624</v>
      </c>
      <c r="C6813" s="446" t="s">
        <v>84</v>
      </c>
      <c r="D6813" s="448">
        <v>9.8800000000000008</v>
      </c>
      <c r="E6813" s="210"/>
    </row>
    <row r="6814" spans="1:5" ht="40.5">
      <c r="A6814" s="446">
        <v>101299</v>
      </c>
      <c r="B6814" s="447" t="s">
        <v>5625</v>
      </c>
      <c r="C6814" s="446" t="s">
        <v>84</v>
      </c>
      <c r="D6814" s="448">
        <v>14.56</v>
      </c>
      <c r="E6814" s="210"/>
    </row>
    <row r="6815" spans="1:5" ht="40.5">
      <c r="A6815" s="446">
        <v>101300</v>
      </c>
      <c r="B6815" s="447" t="s">
        <v>5626</v>
      </c>
      <c r="C6815" s="446" t="s">
        <v>84</v>
      </c>
      <c r="D6815" s="448">
        <v>12.22</v>
      </c>
      <c r="E6815" s="210"/>
    </row>
    <row r="6816" spans="1:5" ht="40.5">
      <c r="A6816" s="446">
        <v>101301</v>
      </c>
      <c r="B6816" s="447" t="s">
        <v>5627</v>
      </c>
      <c r="C6816" s="446" t="s">
        <v>84</v>
      </c>
      <c r="D6816" s="448">
        <v>4.54</v>
      </c>
      <c r="E6816" s="210"/>
    </row>
    <row r="6817" spans="1:5" ht="40.5">
      <c r="A6817" s="446">
        <v>101302</v>
      </c>
      <c r="B6817" s="447" t="s">
        <v>5628</v>
      </c>
      <c r="C6817" s="446" t="s">
        <v>84</v>
      </c>
      <c r="D6817" s="448">
        <v>16.45</v>
      </c>
      <c r="E6817" s="210"/>
    </row>
    <row r="6818" spans="1:5" ht="40.5">
      <c r="A6818" s="446">
        <v>101303</v>
      </c>
      <c r="B6818" s="447" t="s">
        <v>5629</v>
      </c>
      <c r="C6818" s="446" t="s">
        <v>84</v>
      </c>
      <c r="D6818" s="448">
        <v>41.3</v>
      </c>
      <c r="E6818" s="210"/>
    </row>
    <row r="6819" spans="1:5" ht="40.5">
      <c r="A6819" s="446">
        <v>101304</v>
      </c>
      <c r="B6819" s="447" t="s">
        <v>5630</v>
      </c>
      <c r="C6819" s="446" t="s">
        <v>84</v>
      </c>
      <c r="D6819" s="448">
        <v>19.600000000000001</v>
      </c>
      <c r="E6819" s="210"/>
    </row>
    <row r="6820" spans="1:5" ht="40.5">
      <c r="A6820" s="446">
        <v>101305</v>
      </c>
      <c r="B6820" s="447" t="s">
        <v>5631</v>
      </c>
      <c r="C6820" s="446" t="s">
        <v>84</v>
      </c>
      <c r="D6820" s="448">
        <v>16.87</v>
      </c>
      <c r="E6820" s="210"/>
    </row>
    <row r="6821" spans="1:5" ht="27">
      <c r="A6821" s="446">
        <v>101307</v>
      </c>
      <c r="B6821" s="447" t="s">
        <v>5632</v>
      </c>
      <c r="C6821" s="446" t="s">
        <v>84</v>
      </c>
      <c r="D6821" s="448">
        <v>15.08</v>
      </c>
      <c r="E6821" s="210"/>
    </row>
    <row r="6822" spans="1:5" ht="40.5">
      <c r="A6822" s="446">
        <v>101308</v>
      </c>
      <c r="B6822" s="447" t="s">
        <v>5633</v>
      </c>
      <c r="C6822" s="446" t="s">
        <v>84</v>
      </c>
      <c r="D6822" s="448">
        <v>10.8</v>
      </c>
      <c r="E6822" s="210"/>
    </row>
    <row r="6823" spans="1:5" ht="40.5">
      <c r="A6823" s="446">
        <v>101309</v>
      </c>
      <c r="B6823" s="447" t="s">
        <v>5634</v>
      </c>
      <c r="C6823" s="446" t="s">
        <v>84</v>
      </c>
      <c r="D6823" s="448">
        <v>15.44</v>
      </c>
      <c r="E6823" s="210"/>
    </row>
    <row r="6824" spans="1:5" ht="40.5">
      <c r="A6824" s="446">
        <v>101310</v>
      </c>
      <c r="B6824" s="447" t="s">
        <v>5635</v>
      </c>
      <c r="C6824" s="446" t="s">
        <v>84</v>
      </c>
      <c r="D6824" s="448">
        <v>21.41</v>
      </c>
      <c r="E6824" s="210"/>
    </row>
    <row r="6825" spans="1:5" ht="40.5">
      <c r="A6825" s="446">
        <v>101311</v>
      </c>
      <c r="B6825" s="447" t="s">
        <v>5636</v>
      </c>
      <c r="C6825" s="446" t="s">
        <v>84</v>
      </c>
      <c r="D6825" s="448">
        <v>15.25</v>
      </c>
      <c r="E6825" s="210"/>
    </row>
    <row r="6826" spans="1:5" ht="40.5">
      <c r="A6826" s="446">
        <v>101312</v>
      </c>
      <c r="B6826" s="447" t="s">
        <v>5637</v>
      </c>
      <c r="C6826" s="446" t="s">
        <v>84</v>
      </c>
      <c r="D6826" s="448">
        <v>9.3800000000000008</v>
      </c>
      <c r="E6826" s="210"/>
    </row>
    <row r="6827" spans="1:5" ht="27">
      <c r="A6827" s="446">
        <v>101313</v>
      </c>
      <c r="B6827" s="447" t="s">
        <v>5638</v>
      </c>
      <c r="C6827" s="446" t="s">
        <v>84</v>
      </c>
      <c r="D6827" s="448">
        <v>51.04</v>
      </c>
      <c r="E6827" s="210"/>
    </row>
    <row r="6828" spans="1:5" ht="40.5">
      <c r="A6828" s="446">
        <v>101314</v>
      </c>
      <c r="B6828" s="447" t="s">
        <v>5639</v>
      </c>
      <c r="C6828" s="446" t="s">
        <v>84</v>
      </c>
      <c r="D6828" s="448">
        <v>51.04</v>
      </c>
      <c r="E6828" s="210"/>
    </row>
    <row r="6829" spans="1:5" ht="27">
      <c r="A6829" s="446">
        <v>101315</v>
      </c>
      <c r="B6829" s="447" t="s">
        <v>5640</v>
      </c>
      <c r="C6829" s="446" t="s">
        <v>84</v>
      </c>
      <c r="D6829" s="448">
        <v>42.75</v>
      </c>
      <c r="E6829" s="210"/>
    </row>
    <row r="6830" spans="1:5" ht="40.5">
      <c r="A6830" s="446">
        <v>101316</v>
      </c>
      <c r="B6830" s="447" t="s">
        <v>5641</v>
      </c>
      <c r="C6830" s="446" t="s">
        <v>84</v>
      </c>
      <c r="D6830" s="448">
        <v>24.52</v>
      </c>
      <c r="E6830" s="210"/>
    </row>
    <row r="6831" spans="1:5" ht="40.5">
      <c r="A6831" s="446">
        <v>101317</v>
      </c>
      <c r="B6831" s="447" t="s">
        <v>5642</v>
      </c>
      <c r="C6831" s="446" t="s">
        <v>84</v>
      </c>
      <c r="D6831" s="448">
        <v>136.84</v>
      </c>
      <c r="E6831" s="210"/>
    </row>
    <row r="6832" spans="1:5" ht="40.5">
      <c r="A6832" s="446">
        <v>101318</v>
      </c>
      <c r="B6832" s="447" t="s">
        <v>5643</v>
      </c>
      <c r="C6832" s="446" t="s">
        <v>84</v>
      </c>
      <c r="D6832" s="448">
        <v>246.99</v>
      </c>
      <c r="E6832" s="210"/>
    </row>
    <row r="6833" spans="1:5" ht="40.5">
      <c r="A6833" s="446">
        <v>101319</v>
      </c>
      <c r="B6833" s="447" t="s">
        <v>5644</v>
      </c>
      <c r="C6833" s="446" t="s">
        <v>84</v>
      </c>
      <c r="D6833" s="448">
        <v>36.61</v>
      </c>
      <c r="E6833" s="210"/>
    </row>
    <row r="6834" spans="1:5" ht="40.5">
      <c r="A6834" s="446">
        <v>101320</v>
      </c>
      <c r="B6834" s="447" t="s">
        <v>5645</v>
      </c>
      <c r="C6834" s="446" t="s">
        <v>84</v>
      </c>
      <c r="D6834" s="448">
        <v>12.53</v>
      </c>
      <c r="E6834" s="210"/>
    </row>
    <row r="6835" spans="1:5" ht="27">
      <c r="A6835" s="446">
        <v>101322</v>
      </c>
      <c r="B6835" s="447" t="s">
        <v>5646</v>
      </c>
      <c r="C6835" s="446" t="s">
        <v>84</v>
      </c>
      <c r="D6835" s="448">
        <v>15.25</v>
      </c>
      <c r="E6835" s="210"/>
    </row>
    <row r="6836" spans="1:5" ht="40.5">
      <c r="A6836" s="446">
        <v>101323</v>
      </c>
      <c r="B6836" s="447" t="s">
        <v>5647</v>
      </c>
      <c r="C6836" s="446" t="s">
        <v>84</v>
      </c>
      <c r="D6836" s="448">
        <v>29.76</v>
      </c>
      <c r="E6836" s="210"/>
    </row>
    <row r="6837" spans="1:5" ht="40.5">
      <c r="A6837" s="446">
        <v>101324</v>
      </c>
      <c r="B6837" s="447" t="s">
        <v>5648</v>
      </c>
      <c r="C6837" s="446" t="s">
        <v>84</v>
      </c>
      <c r="D6837" s="448">
        <v>5.25</v>
      </c>
      <c r="E6837" s="210"/>
    </row>
    <row r="6838" spans="1:5" ht="40.5">
      <c r="A6838" s="446">
        <v>101325</v>
      </c>
      <c r="B6838" s="447" t="s">
        <v>5649</v>
      </c>
      <c r="C6838" s="446" t="s">
        <v>84</v>
      </c>
      <c r="D6838" s="448">
        <v>15.06</v>
      </c>
      <c r="E6838" s="210"/>
    </row>
    <row r="6839" spans="1:5" ht="27">
      <c r="A6839" s="446">
        <v>101326</v>
      </c>
      <c r="B6839" s="447" t="s">
        <v>5650</v>
      </c>
      <c r="C6839" s="446" t="s">
        <v>84</v>
      </c>
      <c r="D6839" s="448">
        <v>6.56</v>
      </c>
      <c r="E6839" s="210"/>
    </row>
    <row r="6840" spans="1:5" ht="40.5">
      <c r="A6840" s="446">
        <v>101327</v>
      </c>
      <c r="B6840" s="447" t="s">
        <v>5651</v>
      </c>
      <c r="C6840" s="446" t="s">
        <v>84</v>
      </c>
      <c r="D6840" s="448">
        <v>4.49</v>
      </c>
      <c r="E6840" s="210"/>
    </row>
    <row r="6841" spans="1:5" ht="40.5">
      <c r="A6841" s="446">
        <v>101328</v>
      </c>
      <c r="B6841" s="447" t="s">
        <v>5652</v>
      </c>
      <c r="C6841" s="446" t="s">
        <v>84</v>
      </c>
      <c r="D6841" s="448">
        <v>7.44</v>
      </c>
      <c r="E6841" s="210"/>
    </row>
    <row r="6842" spans="1:5" ht="27">
      <c r="A6842" s="446">
        <v>101329</v>
      </c>
      <c r="B6842" s="447" t="s">
        <v>5653</v>
      </c>
      <c r="C6842" s="446" t="s">
        <v>84</v>
      </c>
      <c r="D6842" s="448">
        <v>24</v>
      </c>
      <c r="E6842" s="210"/>
    </row>
    <row r="6843" spans="1:5" ht="27">
      <c r="A6843" s="446">
        <v>101330</v>
      </c>
      <c r="B6843" s="447" t="s">
        <v>5654</v>
      </c>
      <c r="C6843" s="446" t="s">
        <v>84</v>
      </c>
      <c r="D6843" s="448">
        <v>20.04</v>
      </c>
      <c r="E6843" s="210"/>
    </row>
    <row r="6844" spans="1:5" ht="40.5">
      <c r="A6844" s="446">
        <v>101331</v>
      </c>
      <c r="B6844" s="447" t="s">
        <v>5655</v>
      </c>
      <c r="C6844" s="446" t="s">
        <v>84</v>
      </c>
      <c r="D6844" s="448">
        <v>19.3</v>
      </c>
      <c r="E6844" s="210"/>
    </row>
    <row r="6845" spans="1:5" ht="40.5">
      <c r="A6845" s="446">
        <v>101332</v>
      </c>
      <c r="B6845" s="447" t="s">
        <v>5656</v>
      </c>
      <c r="C6845" s="446" t="s">
        <v>84</v>
      </c>
      <c r="D6845" s="448">
        <v>5.16</v>
      </c>
      <c r="E6845" s="210"/>
    </row>
    <row r="6846" spans="1:5" ht="40.5">
      <c r="A6846" s="446">
        <v>101333</v>
      </c>
      <c r="B6846" s="447" t="s">
        <v>5657</v>
      </c>
      <c r="C6846" s="446" t="s">
        <v>84</v>
      </c>
      <c r="D6846" s="448">
        <v>12.62</v>
      </c>
      <c r="E6846" s="210"/>
    </row>
    <row r="6847" spans="1:5" ht="40.5">
      <c r="A6847" s="446">
        <v>101334</v>
      </c>
      <c r="B6847" s="447" t="s">
        <v>5658</v>
      </c>
      <c r="C6847" s="446" t="s">
        <v>84</v>
      </c>
      <c r="D6847" s="448">
        <v>41.59</v>
      </c>
      <c r="E6847" s="210"/>
    </row>
    <row r="6848" spans="1:5" ht="40.5">
      <c r="A6848" s="446">
        <v>101335</v>
      </c>
      <c r="B6848" s="447" t="s">
        <v>5659</v>
      </c>
      <c r="C6848" s="446" t="s">
        <v>84</v>
      </c>
      <c r="D6848" s="448">
        <v>6.08</v>
      </c>
      <c r="E6848" s="210"/>
    </row>
    <row r="6849" spans="1:5" ht="40.5">
      <c r="A6849" s="446">
        <v>101336</v>
      </c>
      <c r="B6849" s="447" t="s">
        <v>5660</v>
      </c>
      <c r="C6849" s="446" t="s">
        <v>84</v>
      </c>
      <c r="D6849" s="448">
        <v>20.98</v>
      </c>
      <c r="E6849" s="210"/>
    </row>
    <row r="6850" spans="1:5" ht="27">
      <c r="A6850" s="446">
        <v>101337</v>
      </c>
      <c r="B6850" s="447" t="s">
        <v>5661</v>
      </c>
      <c r="C6850" s="446" t="s">
        <v>84</v>
      </c>
      <c r="D6850" s="448">
        <v>5.73</v>
      </c>
      <c r="E6850" s="210"/>
    </row>
    <row r="6851" spans="1:5" ht="40.5">
      <c r="A6851" s="446">
        <v>101338</v>
      </c>
      <c r="B6851" s="447" t="s">
        <v>5662</v>
      </c>
      <c r="C6851" s="446" t="s">
        <v>84</v>
      </c>
      <c r="D6851" s="448">
        <v>9.6300000000000008</v>
      </c>
      <c r="E6851" s="210"/>
    </row>
    <row r="6852" spans="1:5" ht="40.5">
      <c r="A6852" s="446">
        <v>101339</v>
      </c>
      <c r="B6852" s="447" t="s">
        <v>5663</v>
      </c>
      <c r="C6852" s="446" t="s">
        <v>84</v>
      </c>
      <c r="D6852" s="448">
        <v>8.25</v>
      </c>
      <c r="E6852" s="210"/>
    </row>
    <row r="6853" spans="1:5" ht="40.5">
      <c r="A6853" s="446">
        <v>101340</v>
      </c>
      <c r="B6853" s="447" t="s">
        <v>5664</v>
      </c>
      <c r="C6853" s="446" t="s">
        <v>84</v>
      </c>
      <c r="D6853" s="448">
        <v>7.97</v>
      </c>
      <c r="E6853" s="210"/>
    </row>
    <row r="6854" spans="1:5" ht="40.5">
      <c r="A6854" s="446">
        <v>101341</v>
      </c>
      <c r="B6854" s="447" t="s">
        <v>5665</v>
      </c>
      <c r="C6854" s="446" t="s">
        <v>84</v>
      </c>
      <c r="D6854" s="448">
        <v>8.68</v>
      </c>
      <c r="E6854" s="210"/>
    </row>
    <row r="6855" spans="1:5" ht="40.5">
      <c r="A6855" s="446">
        <v>101342</v>
      </c>
      <c r="B6855" s="447" t="s">
        <v>5666</v>
      </c>
      <c r="C6855" s="446" t="s">
        <v>84</v>
      </c>
      <c r="D6855" s="448">
        <v>10.16</v>
      </c>
      <c r="E6855" s="210"/>
    </row>
    <row r="6856" spans="1:5" ht="40.5">
      <c r="A6856" s="446">
        <v>101343</v>
      </c>
      <c r="B6856" s="447" t="s">
        <v>5667</v>
      </c>
      <c r="C6856" s="446" t="s">
        <v>84</v>
      </c>
      <c r="D6856" s="448">
        <v>15.25</v>
      </c>
      <c r="E6856" s="210"/>
    </row>
    <row r="6857" spans="1:5" ht="40.5">
      <c r="A6857" s="446">
        <v>101344</v>
      </c>
      <c r="B6857" s="447" t="s">
        <v>5668</v>
      </c>
      <c r="C6857" s="446" t="s">
        <v>84</v>
      </c>
      <c r="D6857" s="448">
        <v>15.67</v>
      </c>
      <c r="E6857" s="210"/>
    </row>
    <row r="6858" spans="1:5" ht="40.5">
      <c r="A6858" s="446">
        <v>101345</v>
      </c>
      <c r="B6858" s="447" t="s">
        <v>5669</v>
      </c>
      <c r="C6858" s="446" t="s">
        <v>84</v>
      </c>
      <c r="D6858" s="448">
        <v>15.75</v>
      </c>
      <c r="E6858" s="210"/>
    </row>
    <row r="6859" spans="1:5" ht="40.5">
      <c r="A6859" s="446">
        <v>101346</v>
      </c>
      <c r="B6859" s="447" t="s">
        <v>5670</v>
      </c>
      <c r="C6859" s="446" t="s">
        <v>84</v>
      </c>
      <c r="D6859" s="448">
        <v>13.65</v>
      </c>
      <c r="E6859" s="210"/>
    </row>
    <row r="6860" spans="1:5" ht="40.5">
      <c r="A6860" s="446">
        <v>101347</v>
      </c>
      <c r="B6860" s="447" t="s">
        <v>5671</v>
      </c>
      <c r="C6860" s="446" t="s">
        <v>84</v>
      </c>
      <c r="D6860" s="448">
        <v>11.62</v>
      </c>
      <c r="E6860" s="210"/>
    </row>
    <row r="6861" spans="1:5" ht="40.5">
      <c r="A6861" s="446">
        <v>101348</v>
      </c>
      <c r="B6861" s="447" t="s">
        <v>5672</v>
      </c>
      <c r="C6861" s="446" t="s">
        <v>84</v>
      </c>
      <c r="D6861" s="448">
        <v>6.69</v>
      </c>
      <c r="E6861" s="210"/>
    </row>
    <row r="6862" spans="1:5" ht="40.5">
      <c r="A6862" s="446">
        <v>101349</v>
      </c>
      <c r="B6862" s="447" t="s">
        <v>5673</v>
      </c>
      <c r="C6862" s="446" t="s">
        <v>84</v>
      </c>
      <c r="D6862" s="448">
        <v>10.33</v>
      </c>
      <c r="E6862" s="210"/>
    </row>
    <row r="6863" spans="1:5" ht="40.5">
      <c r="A6863" s="446">
        <v>101350</v>
      </c>
      <c r="B6863" s="447" t="s">
        <v>5674</v>
      </c>
      <c r="C6863" s="446" t="s">
        <v>84</v>
      </c>
      <c r="D6863" s="448">
        <v>12.68</v>
      </c>
      <c r="E6863" s="210"/>
    </row>
    <row r="6864" spans="1:5" ht="40.5">
      <c r="A6864" s="446">
        <v>101351</v>
      </c>
      <c r="B6864" s="447" t="s">
        <v>5675</v>
      </c>
      <c r="C6864" s="446" t="s">
        <v>84</v>
      </c>
      <c r="D6864" s="448">
        <v>9.26</v>
      </c>
      <c r="E6864" s="210"/>
    </row>
    <row r="6865" spans="1:5" ht="40.5">
      <c r="A6865" s="446">
        <v>101352</v>
      </c>
      <c r="B6865" s="447" t="s">
        <v>5676</v>
      </c>
      <c r="C6865" s="446" t="s">
        <v>84</v>
      </c>
      <c r="D6865" s="448">
        <v>10.67</v>
      </c>
      <c r="E6865" s="210"/>
    </row>
    <row r="6866" spans="1:5" ht="40.5">
      <c r="A6866" s="446">
        <v>101353</v>
      </c>
      <c r="B6866" s="447" t="s">
        <v>5677</v>
      </c>
      <c r="C6866" s="446" t="s">
        <v>84</v>
      </c>
      <c r="D6866" s="448">
        <v>8.48</v>
      </c>
      <c r="E6866" s="210"/>
    </row>
    <row r="6867" spans="1:5" ht="40.5">
      <c r="A6867" s="446">
        <v>101354</v>
      </c>
      <c r="B6867" s="447" t="s">
        <v>5678</v>
      </c>
      <c r="C6867" s="446" t="s">
        <v>84</v>
      </c>
      <c r="D6867" s="448">
        <v>11.71</v>
      </c>
      <c r="E6867" s="210"/>
    </row>
    <row r="6868" spans="1:5" ht="54">
      <c r="A6868" s="446">
        <v>101355</v>
      </c>
      <c r="B6868" s="447" t="s">
        <v>5679</v>
      </c>
      <c r="C6868" s="446" t="s">
        <v>84</v>
      </c>
      <c r="D6868" s="448">
        <v>9.16</v>
      </c>
      <c r="E6868" s="210"/>
    </row>
    <row r="6869" spans="1:5" ht="27">
      <c r="A6869" s="446">
        <v>101356</v>
      </c>
      <c r="B6869" s="447" t="s">
        <v>5680</v>
      </c>
      <c r="C6869" s="446" t="s">
        <v>84</v>
      </c>
      <c r="D6869" s="448">
        <v>22.86</v>
      </c>
      <c r="E6869" s="210"/>
    </row>
    <row r="6870" spans="1:5" ht="27">
      <c r="A6870" s="446">
        <v>101357</v>
      </c>
      <c r="B6870" s="447" t="s">
        <v>5681</v>
      </c>
      <c r="C6870" s="446" t="s">
        <v>84</v>
      </c>
      <c r="D6870" s="448">
        <v>28.08</v>
      </c>
      <c r="E6870" s="210"/>
    </row>
    <row r="6871" spans="1:5" ht="27">
      <c r="A6871" s="446">
        <v>101358</v>
      </c>
      <c r="B6871" s="447" t="s">
        <v>5682</v>
      </c>
      <c r="C6871" s="446" t="s">
        <v>84</v>
      </c>
      <c r="D6871" s="448">
        <v>19.600000000000001</v>
      </c>
      <c r="E6871" s="210"/>
    </row>
    <row r="6872" spans="1:5" ht="40.5">
      <c r="A6872" s="446">
        <v>101359</v>
      </c>
      <c r="B6872" s="447" t="s">
        <v>5683</v>
      </c>
      <c r="C6872" s="446" t="s">
        <v>84</v>
      </c>
      <c r="D6872" s="448">
        <v>22.6</v>
      </c>
      <c r="E6872" s="210"/>
    </row>
    <row r="6873" spans="1:5" ht="40.5">
      <c r="A6873" s="446">
        <v>101360</v>
      </c>
      <c r="B6873" s="447" t="s">
        <v>5684</v>
      </c>
      <c r="C6873" s="446" t="s">
        <v>84</v>
      </c>
      <c r="D6873" s="448">
        <v>21.09</v>
      </c>
      <c r="E6873" s="210"/>
    </row>
    <row r="6874" spans="1:5" ht="40.5">
      <c r="A6874" s="446">
        <v>101361</v>
      </c>
      <c r="B6874" s="447" t="s">
        <v>5685</v>
      </c>
      <c r="C6874" s="446" t="s">
        <v>84</v>
      </c>
      <c r="D6874" s="448">
        <v>20.190000000000001</v>
      </c>
      <c r="E6874" s="210"/>
    </row>
    <row r="6875" spans="1:5" ht="27">
      <c r="A6875" s="446">
        <v>101362</v>
      </c>
      <c r="B6875" s="447" t="s">
        <v>5686</v>
      </c>
      <c r="C6875" s="446" t="s">
        <v>84</v>
      </c>
      <c r="D6875" s="448">
        <v>4.3899999999999997</v>
      </c>
      <c r="E6875" s="210"/>
    </row>
    <row r="6876" spans="1:5" ht="27">
      <c r="A6876" s="446">
        <v>101363</v>
      </c>
      <c r="B6876" s="447" t="s">
        <v>5687</v>
      </c>
      <c r="C6876" s="446" t="s">
        <v>84</v>
      </c>
      <c r="D6876" s="448">
        <v>15.25</v>
      </c>
      <c r="E6876" s="210"/>
    </row>
    <row r="6877" spans="1:5" ht="40.5">
      <c r="A6877" s="446">
        <v>101364</v>
      </c>
      <c r="B6877" s="447" t="s">
        <v>5688</v>
      </c>
      <c r="C6877" s="446" t="s">
        <v>84</v>
      </c>
      <c r="D6877" s="448">
        <v>20.9</v>
      </c>
      <c r="E6877" s="210"/>
    </row>
    <row r="6878" spans="1:5" ht="27">
      <c r="A6878" s="446">
        <v>101365</v>
      </c>
      <c r="B6878" s="447" t="s">
        <v>5689</v>
      </c>
      <c r="C6878" s="446" t="s">
        <v>84</v>
      </c>
      <c r="D6878" s="448">
        <v>15.25</v>
      </c>
      <c r="E6878" s="210"/>
    </row>
    <row r="6879" spans="1:5" ht="40.5">
      <c r="A6879" s="446">
        <v>101366</v>
      </c>
      <c r="B6879" s="447" t="s">
        <v>5690</v>
      </c>
      <c r="C6879" s="446" t="s">
        <v>84</v>
      </c>
      <c r="D6879" s="448">
        <v>20.440000000000001</v>
      </c>
      <c r="E6879" s="210"/>
    </row>
    <row r="6880" spans="1:5" ht="40.5">
      <c r="A6880" s="446">
        <v>101367</v>
      </c>
      <c r="B6880" s="447" t="s">
        <v>5691</v>
      </c>
      <c r="C6880" s="446" t="s">
        <v>84</v>
      </c>
      <c r="D6880" s="448">
        <v>18.71</v>
      </c>
      <c r="E6880" s="210"/>
    </row>
    <row r="6881" spans="1:5" ht="40.5">
      <c r="A6881" s="446">
        <v>101368</v>
      </c>
      <c r="B6881" s="447" t="s">
        <v>5692</v>
      </c>
      <c r="C6881" s="446" t="s">
        <v>84</v>
      </c>
      <c r="D6881" s="448">
        <v>16.03</v>
      </c>
      <c r="E6881" s="210"/>
    </row>
    <row r="6882" spans="1:5" ht="40.5">
      <c r="A6882" s="446">
        <v>101369</v>
      </c>
      <c r="B6882" s="447" t="s">
        <v>5693</v>
      </c>
      <c r="C6882" s="446" t="s">
        <v>84</v>
      </c>
      <c r="D6882" s="448">
        <v>20.22</v>
      </c>
      <c r="E6882" s="210"/>
    </row>
    <row r="6883" spans="1:5" ht="27">
      <c r="A6883" s="446">
        <v>101370</v>
      </c>
      <c r="B6883" s="447" t="s">
        <v>5694</v>
      </c>
      <c r="C6883" s="446" t="s">
        <v>84</v>
      </c>
      <c r="D6883" s="448">
        <v>16.649999999999999</v>
      </c>
      <c r="E6883" s="210"/>
    </row>
    <row r="6884" spans="1:5" ht="27">
      <c r="A6884" s="446">
        <v>101371</v>
      </c>
      <c r="B6884" s="447" t="s">
        <v>5695</v>
      </c>
      <c r="C6884" s="446" t="s">
        <v>84</v>
      </c>
      <c r="D6884" s="448">
        <v>18.78</v>
      </c>
      <c r="E6884" s="210"/>
    </row>
    <row r="6885" spans="1:5" ht="27">
      <c r="A6885" s="446">
        <v>101372</v>
      </c>
      <c r="B6885" s="447" t="s">
        <v>5696</v>
      </c>
      <c r="C6885" s="446" t="s">
        <v>84</v>
      </c>
      <c r="D6885" s="448">
        <v>5.25</v>
      </c>
      <c r="E6885" s="210"/>
    </row>
    <row r="6886" spans="1:5" ht="27">
      <c r="A6886" s="446">
        <v>101373</v>
      </c>
      <c r="B6886" s="447" t="s">
        <v>5697</v>
      </c>
      <c r="C6886" s="446" t="s">
        <v>19</v>
      </c>
      <c r="D6886" s="448">
        <v>124.77</v>
      </c>
      <c r="E6886" s="210"/>
    </row>
    <row r="6887" spans="1:5" ht="27">
      <c r="A6887" s="446">
        <v>101374</v>
      </c>
      <c r="B6887" s="447" t="s">
        <v>120</v>
      </c>
      <c r="C6887" s="446" t="s">
        <v>84</v>
      </c>
      <c r="D6887" s="448">
        <v>2418.4</v>
      </c>
      <c r="E6887" s="210"/>
    </row>
    <row r="6888" spans="1:5" ht="27">
      <c r="A6888" s="446">
        <v>101375</v>
      </c>
      <c r="B6888" s="447" t="s">
        <v>5698</v>
      </c>
      <c r="C6888" s="446" t="s">
        <v>84</v>
      </c>
      <c r="D6888" s="448">
        <v>2515.77</v>
      </c>
      <c r="E6888" s="210"/>
    </row>
    <row r="6889" spans="1:5" ht="27">
      <c r="A6889" s="446">
        <v>101376</v>
      </c>
      <c r="B6889" s="447" t="s">
        <v>5699</v>
      </c>
      <c r="C6889" s="446" t="s">
        <v>84</v>
      </c>
      <c r="D6889" s="448">
        <v>1851.91</v>
      </c>
      <c r="E6889" s="210"/>
    </row>
    <row r="6890" spans="1:5" ht="27">
      <c r="A6890" s="446">
        <v>101377</v>
      </c>
      <c r="B6890" s="447" t="s">
        <v>122</v>
      </c>
      <c r="C6890" s="446" t="s">
        <v>84</v>
      </c>
      <c r="D6890" s="448">
        <v>2477.4699999999998</v>
      </c>
      <c r="E6890" s="210"/>
    </row>
    <row r="6891" spans="1:5" ht="27">
      <c r="A6891" s="446">
        <v>101378</v>
      </c>
      <c r="B6891" s="447" t="s">
        <v>4254</v>
      </c>
      <c r="C6891" s="446" t="s">
        <v>84</v>
      </c>
      <c r="D6891" s="448">
        <v>2682.32</v>
      </c>
      <c r="E6891" s="210"/>
    </row>
    <row r="6892" spans="1:5" ht="27">
      <c r="A6892" s="446">
        <v>101379</v>
      </c>
      <c r="B6892" s="447" t="s">
        <v>5700</v>
      </c>
      <c r="C6892" s="446" t="s">
        <v>84</v>
      </c>
      <c r="D6892" s="448">
        <v>2541.77</v>
      </c>
      <c r="E6892" s="210"/>
    </row>
    <row r="6893" spans="1:5" ht="27">
      <c r="A6893" s="446">
        <v>101380</v>
      </c>
      <c r="B6893" s="447" t="s">
        <v>124</v>
      </c>
      <c r="C6893" s="446" t="s">
        <v>84</v>
      </c>
      <c r="D6893" s="448">
        <v>3051.83</v>
      </c>
      <c r="E6893" s="210"/>
    </row>
    <row r="6894" spans="1:5" ht="13.5">
      <c r="A6894" s="446">
        <v>101381</v>
      </c>
      <c r="B6894" s="447" t="s">
        <v>125</v>
      </c>
      <c r="C6894" s="446" t="s">
        <v>84</v>
      </c>
      <c r="D6894" s="448">
        <v>3155.15</v>
      </c>
      <c r="E6894" s="210"/>
    </row>
    <row r="6895" spans="1:5" ht="27">
      <c r="A6895" s="446">
        <v>101382</v>
      </c>
      <c r="B6895" s="447" t="s">
        <v>5701</v>
      </c>
      <c r="C6895" s="446" t="s">
        <v>84</v>
      </c>
      <c r="D6895" s="448">
        <v>2669.46</v>
      </c>
      <c r="E6895" s="210"/>
    </row>
    <row r="6896" spans="1:5" ht="27">
      <c r="A6896" s="446">
        <v>101383</v>
      </c>
      <c r="B6896" s="447" t="s">
        <v>4256</v>
      </c>
      <c r="C6896" s="446" t="s">
        <v>84</v>
      </c>
      <c r="D6896" s="448">
        <v>2498.0300000000002</v>
      </c>
      <c r="E6896" s="210"/>
    </row>
    <row r="6897" spans="1:5" ht="27">
      <c r="A6897" s="446">
        <v>101384</v>
      </c>
      <c r="B6897" s="447" t="s">
        <v>1093</v>
      </c>
      <c r="C6897" s="446" t="s">
        <v>84</v>
      </c>
      <c r="D6897" s="448">
        <v>2426.5100000000002</v>
      </c>
      <c r="E6897" s="210"/>
    </row>
    <row r="6898" spans="1:5" ht="27">
      <c r="A6898" s="446">
        <v>101385</v>
      </c>
      <c r="B6898" s="447" t="s">
        <v>5702</v>
      </c>
      <c r="C6898" s="446" t="s">
        <v>84</v>
      </c>
      <c r="D6898" s="448">
        <v>3568.38</v>
      </c>
      <c r="E6898" s="210"/>
    </row>
    <row r="6899" spans="1:5" ht="27">
      <c r="A6899" s="446">
        <v>101386</v>
      </c>
      <c r="B6899" s="447" t="s">
        <v>128</v>
      </c>
      <c r="C6899" s="446" t="s">
        <v>84</v>
      </c>
      <c r="D6899" s="448">
        <v>2129.29</v>
      </c>
      <c r="E6899" s="210"/>
    </row>
    <row r="6900" spans="1:5" ht="27">
      <c r="A6900" s="446">
        <v>101387</v>
      </c>
      <c r="B6900" s="447" t="s">
        <v>5703</v>
      </c>
      <c r="C6900" s="446" t="s">
        <v>84</v>
      </c>
      <c r="D6900" s="448">
        <v>2532.38</v>
      </c>
      <c r="E6900" s="210"/>
    </row>
    <row r="6901" spans="1:5" ht="27">
      <c r="A6901" s="446">
        <v>101388</v>
      </c>
      <c r="B6901" s="447" t="s">
        <v>130</v>
      </c>
      <c r="C6901" s="446" t="s">
        <v>84</v>
      </c>
      <c r="D6901" s="448">
        <v>2650.62</v>
      </c>
      <c r="E6901" s="210"/>
    </row>
    <row r="6902" spans="1:5" ht="27">
      <c r="A6902" s="446">
        <v>101389</v>
      </c>
      <c r="B6902" s="447" t="s">
        <v>131</v>
      </c>
      <c r="C6902" s="446" t="s">
        <v>84</v>
      </c>
      <c r="D6902" s="448">
        <v>1217.03</v>
      </c>
      <c r="E6902" s="210"/>
    </row>
    <row r="6903" spans="1:5" ht="27">
      <c r="A6903" s="446">
        <v>101390</v>
      </c>
      <c r="B6903" s="447" t="s">
        <v>5704</v>
      </c>
      <c r="C6903" s="446" t="s">
        <v>84</v>
      </c>
      <c r="D6903" s="448">
        <v>3813.55</v>
      </c>
      <c r="E6903" s="210"/>
    </row>
    <row r="6904" spans="1:5" ht="27">
      <c r="A6904" s="446">
        <v>101391</v>
      </c>
      <c r="B6904" s="447" t="s">
        <v>5705</v>
      </c>
      <c r="C6904" s="446" t="s">
        <v>84</v>
      </c>
      <c r="D6904" s="448">
        <v>3159.5</v>
      </c>
      <c r="E6904" s="210"/>
    </row>
    <row r="6905" spans="1:5" ht="27">
      <c r="A6905" s="446">
        <v>101392</v>
      </c>
      <c r="B6905" s="447" t="s">
        <v>5706</v>
      </c>
      <c r="C6905" s="446" t="s">
        <v>84</v>
      </c>
      <c r="D6905" s="448">
        <v>2288.77</v>
      </c>
      <c r="E6905" s="210"/>
    </row>
    <row r="6906" spans="1:5" ht="13.5">
      <c r="A6906" s="446">
        <v>101394</v>
      </c>
      <c r="B6906" s="447" t="s">
        <v>134</v>
      </c>
      <c r="C6906" s="446" t="s">
        <v>84</v>
      </c>
      <c r="D6906" s="448">
        <v>3128.13</v>
      </c>
      <c r="E6906" s="210"/>
    </row>
    <row r="6907" spans="1:5" ht="27">
      <c r="A6907" s="446">
        <v>101395</v>
      </c>
      <c r="B6907" s="447" t="s">
        <v>5707</v>
      </c>
      <c r="C6907" s="446" t="s">
        <v>84</v>
      </c>
      <c r="D6907" s="448">
        <v>2621.69</v>
      </c>
      <c r="E6907" s="210"/>
    </row>
    <row r="6908" spans="1:5" ht="27">
      <c r="A6908" s="446">
        <v>101396</v>
      </c>
      <c r="B6908" s="447" t="s">
        <v>5708</v>
      </c>
      <c r="C6908" s="446" t="s">
        <v>84</v>
      </c>
      <c r="D6908" s="448">
        <v>3363.73</v>
      </c>
      <c r="E6908" s="210"/>
    </row>
    <row r="6909" spans="1:5" ht="27">
      <c r="A6909" s="446">
        <v>101397</v>
      </c>
      <c r="B6909" s="447" t="s">
        <v>40</v>
      </c>
      <c r="C6909" s="446" t="s">
        <v>84</v>
      </c>
      <c r="D6909" s="448">
        <v>3135.07</v>
      </c>
      <c r="E6909" s="210"/>
    </row>
    <row r="6910" spans="1:5" ht="27">
      <c r="A6910" s="446">
        <v>101398</v>
      </c>
      <c r="B6910" s="447" t="s">
        <v>5709</v>
      </c>
      <c r="C6910" s="446" t="s">
        <v>84</v>
      </c>
      <c r="D6910" s="448">
        <v>2049.16</v>
      </c>
      <c r="E6910" s="210"/>
    </row>
    <row r="6911" spans="1:5" ht="13.5">
      <c r="A6911" s="446">
        <v>101399</v>
      </c>
      <c r="B6911" s="447" t="s">
        <v>45</v>
      </c>
      <c r="C6911" s="446" t="s">
        <v>84</v>
      </c>
      <c r="D6911" s="448">
        <v>3272.98</v>
      </c>
      <c r="E6911" s="210"/>
    </row>
    <row r="6912" spans="1:5" ht="27">
      <c r="A6912" s="446">
        <v>101400</v>
      </c>
      <c r="B6912" s="447" t="s">
        <v>5710</v>
      </c>
      <c r="C6912" s="446" t="s">
        <v>84</v>
      </c>
      <c r="D6912" s="448">
        <v>3272.98</v>
      </c>
      <c r="E6912" s="210"/>
    </row>
    <row r="6913" spans="1:5" ht="27">
      <c r="A6913" s="446">
        <v>101401</v>
      </c>
      <c r="B6913" s="447" t="s">
        <v>136</v>
      </c>
      <c r="C6913" s="446" t="s">
        <v>84</v>
      </c>
      <c r="D6913" s="448">
        <v>3292.51</v>
      </c>
      <c r="E6913" s="210"/>
    </row>
    <row r="6914" spans="1:5" ht="27">
      <c r="A6914" s="446">
        <v>101402</v>
      </c>
      <c r="B6914" s="447" t="s">
        <v>44</v>
      </c>
      <c r="C6914" s="446" t="s">
        <v>84</v>
      </c>
      <c r="D6914" s="448">
        <v>3161.86</v>
      </c>
      <c r="E6914" s="210"/>
    </row>
    <row r="6915" spans="1:5" ht="27">
      <c r="A6915" s="446">
        <v>101403</v>
      </c>
      <c r="B6915" s="447" t="s">
        <v>5697</v>
      </c>
      <c r="C6915" s="446" t="s">
        <v>84</v>
      </c>
      <c r="D6915" s="448">
        <v>22078.02</v>
      </c>
      <c r="E6915" s="210"/>
    </row>
    <row r="6916" spans="1:5" ht="27">
      <c r="A6916" s="446">
        <v>101404</v>
      </c>
      <c r="B6916" s="447" t="s">
        <v>421</v>
      </c>
      <c r="C6916" s="446" t="s">
        <v>84</v>
      </c>
      <c r="D6916" s="448">
        <v>13674.76</v>
      </c>
      <c r="E6916" s="210"/>
    </row>
    <row r="6917" spans="1:5" ht="27">
      <c r="A6917" s="446">
        <v>101405</v>
      </c>
      <c r="B6917" s="447" t="s">
        <v>422</v>
      </c>
      <c r="C6917" s="446" t="s">
        <v>84</v>
      </c>
      <c r="D6917" s="448">
        <v>13334.3</v>
      </c>
      <c r="E6917" s="210"/>
    </row>
    <row r="6918" spans="1:5" ht="13.5">
      <c r="A6918" s="446">
        <v>101407</v>
      </c>
      <c r="B6918" s="447" t="s">
        <v>137</v>
      </c>
      <c r="C6918" s="446" t="s">
        <v>84</v>
      </c>
      <c r="D6918" s="448">
        <v>3155.15</v>
      </c>
      <c r="E6918" s="210"/>
    </row>
    <row r="6919" spans="1:5" ht="27">
      <c r="A6919" s="446">
        <v>101408</v>
      </c>
      <c r="B6919" s="447" t="s">
        <v>138</v>
      </c>
      <c r="C6919" s="446" t="s">
        <v>84</v>
      </c>
      <c r="D6919" s="448">
        <v>3314.35</v>
      </c>
      <c r="E6919" s="210"/>
    </row>
    <row r="6920" spans="1:5" ht="27">
      <c r="A6920" s="446">
        <v>101409</v>
      </c>
      <c r="B6920" s="447" t="s">
        <v>5711</v>
      </c>
      <c r="C6920" s="446" t="s">
        <v>84</v>
      </c>
      <c r="D6920" s="448">
        <v>2424.88</v>
      </c>
      <c r="E6920" s="210"/>
    </row>
    <row r="6921" spans="1:5" ht="13.5">
      <c r="A6921" s="446">
        <v>101410</v>
      </c>
      <c r="B6921" s="447" t="s">
        <v>192</v>
      </c>
      <c r="C6921" s="446" t="s">
        <v>84</v>
      </c>
      <c r="D6921" s="448">
        <v>3068.75</v>
      </c>
      <c r="E6921" s="210"/>
    </row>
    <row r="6922" spans="1:5" ht="27">
      <c r="A6922" s="446">
        <v>101411</v>
      </c>
      <c r="B6922" s="447" t="s">
        <v>5712</v>
      </c>
      <c r="C6922" s="446" t="s">
        <v>84</v>
      </c>
      <c r="D6922" s="448">
        <v>1839.91</v>
      </c>
      <c r="E6922" s="210"/>
    </row>
    <row r="6923" spans="1:5" ht="27">
      <c r="A6923" s="446">
        <v>101412</v>
      </c>
      <c r="B6923" s="447" t="s">
        <v>5713</v>
      </c>
      <c r="C6923" s="446" t="s">
        <v>84</v>
      </c>
      <c r="D6923" s="448">
        <v>3316.1</v>
      </c>
      <c r="E6923" s="210"/>
    </row>
    <row r="6924" spans="1:5" ht="13.5">
      <c r="A6924" s="446">
        <v>101413</v>
      </c>
      <c r="B6924" s="447" t="s">
        <v>140</v>
      </c>
      <c r="C6924" s="446" t="s">
        <v>84</v>
      </c>
      <c r="D6924" s="448">
        <v>3193.45</v>
      </c>
      <c r="E6924" s="210"/>
    </row>
    <row r="6925" spans="1:5" ht="27">
      <c r="A6925" s="446">
        <v>101414</v>
      </c>
      <c r="B6925" s="447" t="s">
        <v>5714</v>
      </c>
      <c r="C6925" s="446" t="s">
        <v>84</v>
      </c>
      <c r="D6925" s="448">
        <v>3213.52</v>
      </c>
      <c r="E6925" s="210"/>
    </row>
    <row r="6926" spans="1:5" ht="27">
      <c r="A6926" s="446">
        <v>101415</v>
      </c>
      <c r="B6926" s="447" t="s">
        <v>5715</v>
      </c>
      <c r="C6926" s="446" t="s">
        <v>84</v>
      </c>
      <c r="D6926" s="448">
        <v>3306.05</v>
      </c>
      <c r="E6926" s="210"/>
    </row>
    <row r="6927" spans="1:5" ht="27">
      <c r="A6927" s="446">
        <v>101416</v>
      </c>
      <c r="B6927" s="447" t="s">
        <v>4261</v>
      </c>
      <c r="C6927" s="446" t="s">
        <v>84</v>
      </c>
      <c r="D6927" s="448">
        <v>3515.98</v>
      </c>
      <c r="E6927" s="210"/>
    </row>
    <row r="6928" spans="1:5" ht="27">
      <c r="A6928" s="446">
        <v>101417</v>
      </c>
      <c r="B6928" s="447" t="s">
        <v>5716</v>
      </c>
      <c r="C6928" s="446" t="s">
        <v>84</v>
      </c>
      <c r="D6928" s="448">
        <v>3204.98</v>
      </c>
      <c r="E6928" s="210"/>
    </row>
    <row r="6929" spans="1:5" ht="27">
      <c r="A6929" s="446">
        <v>101418</v>
      </c>
      <c r="B6929" s="447" t="s">
        <v>5717</v>
      </c>
      <c r="C6929" s="446" t="s">
        <v>84</v>
      </c>
      <c r="D6929" s="448">
        <v>2276.0500000000002</v>
      </c>
      <c r="E6929" s="210"/>
    </row>
    <row r="6930" spans="1:5" ht="27">
      <c r="A6930" s="446">
        <v>101419</v>
      </c>
      <c r="B6930" s="447" t="s">
        <v>5718</v>
      </c>
      <c r="C6930" s="446" t="s">
        <v>84</v>
      </c>
      <c r="D6930" s="448">
        <v>3456.5</v>
      </c>
      <c r="E6930" s="210"/>
    </row>
    <row r="6931" spans="1:5" ht="27">
      <c r="A6931" s="446">
        <v>101420</v>
      </c>
      <c r="B6931" s="447" t="s">
        <v>5719</v>
      </c>
      <c r="C6931" s="446" t="s">
        <v>84</v>
      </c>
      <c r="D6931" s="448">
        <v>2433.56</v>
      </c>
      <c r="E6931" s="210"/>
    </row>
    <row r="6932" spans="1:5" ht="27">
      <c r="A6932" s="446">
        <v>101421</v>
      </c>
      <c r="B6932" s="447" t="s">
        <v>5720</v>
      </c>
      <c r="C6932" s="446" t="s">
        <v>84</v>
      </c>
      <c r="D6932" s="448">
        <v>3216.74</v>
      </c>
      <c r="E6932" s="210"/>
    </row>
    <row r="6933" spans="1:5" ht="27">
      <c r="A6933" s="446">
        <v>101422</v>
      </c>
      <c r="B6933" s="447" t="s">
        <v>5721</v>
      </c>
      <c r="C6933" s="446" t="s">
        <v>84</v>
      </c>
      <c r="D6933" s="448">
        <v>2400.4699999999998</v>
      </c>
      <c r="E6933" s="210"/>
    </row>
    <row r="6934" spans="1:5" ht="27">
      <c r="A6934" s="446">
        <v>101423</v>
      </c>
      <c r="B6934" s="447" t="s">
        <v>5722</v>
      </c>
      <c r="C6934" s="446" t="s">
        <v>84</v>
      </c>
      <c r="D6934" s="448">
        <v>2728.6</v>
      </c>
      <c r="E6934" s="210"/>
    </row>
    <row r="6935" spans="1:5" ht="27">
      <c r="A6935" s="446">
        <v>101424</v>
      </c>
      <c r="B6935" s="447" t="s">
        <v>5723</v>
      </c>
      <c r="C6935" s="446" t="s">
        <v>84</v>
      </c>
      <c r="D6935" s="448">
        <v>2902.46</v>
      </c>
      <c r="E6935" s="210"/>
    </row>
    <row r="6936" spans="1:5" ht="13.5">
      <c r="A6936" s="446">
        <v>101425</v>
      </c>
      <c r="B6936" s="447" t="s">
        <v>5724</v>
      </c>
      <c r="C6936" s="446" t="s">
        <v>84</v>
      </c>
      <c r="D6936" s="448">
        <v>1475.07</v>
      </c>
      <c r="E6936" s="210"/>
    </row>
    <row r="6937" spans="1:5" ht="27">
      <c r="A6937" s="446">
        <v>101426</v>
      </c>
      <c r="B6937" s="447" t="s">
        <v>5725</v>
      </c>
      <c r="C6937" s="446" t="s">
        <v>84</v>
      </c>
      <c r="D6937" s="448">
        <v>2653.17</v>
      </c>
      <c r="E6937" s="210"/>
    </row>
    <row r="6938" spans="1:5" ht="27">
      <c r="A6938" s="446">
        <v>101427</v>
      </c>
      <c r="B6938" s="447" t="s">
        <v>153</v>
      </c>
      <c r="C6938" s="446" t="s">
        <v>84</v>
      </c>
      <c r="D6938" s="448">
        <v>2353.6799999999998</v>
      </c>
      <c r="E6938" s="210"/>
    </row>
    <row r="6939" spans="1:5" ht="27">
      <c r="A6939" s="446">
        <v>101428</v>
      </c>
      <c r="B6939" s="447" t="s">
        <v>5726</v>
      </c>
      <c r="C6939" s="446" t="s">
        <v>84</v>
      </c>
      <c r="D6939" s="448">
        <v>2290.62</v>
      </c>
      <c r="E6939" s="210"/>
    </row>
    <row r="6940" spans="1:5" ht="40.5">
      <c r="A6940" s="446">
        <v>101429</v>
      </c>
      <c r="B6940" s="447" t="s">
        <v>5727</v>
      </c>
      <c r="C6940" s="446" t="s">
        <v>84</v>
      </c>
      <c r="D6940" s="448">
        <v>2447.0300000000002</v>
      </c>
      <c r="E6940" s="210"/>
    </row>
    <row r="6941" spans="1:5" ht="27">
      <c r="A6941" s="446">
        <v>101430</v>
      </c>
      <c r="B6941" s="447" t="s">
        <v>5728</v>
      </c>
      <c r="C6941" s="446" t="s">
        <v>84</v>
      </c>
      <c r="D6941" s="448">
        <v>2769.94</v>
      </c>
      <c r="E6941" s="210"/>
    </row>
    <row r="6942" spans="1:5" ht="27">
      <c r="A6942" s="446">
        <v>101431</v>
      </c>
      <c r="B6942" s="447" t="s">
        <v>156</v>
      </c>
      <c r="C6942" s="446" t="s">
        <v>84</v>
      </c>
      <c r="D6942" s="448">
        <v>2985.99</v>
      </c>
      <c r="E6942" s="210"/>
    </row>
    <row r="6943" spans="1:5" ht="27">
      <c r="A6943" s="446">
        <v>101432</v>
      </c>
      <c r="B6943" s="447" t="s">
        <v>5729</v>
      </c>
      <c r="C6943" s="446" t="s">
        <v>84</v>
      </c>
      <c r="D6943" s="448">
        <v>2306.9</v>
      </c>
      <c r="E6943" s="210"/>
    </row>
    <row r="6944" spans="1:5" ht="27">
      <c r="A6944" s="446">
        <v>101433</v>
      </c>
      <c r="B6944" s="447" t="s">
        <v>158</v>
      </c>
      <c r="C6944" s="446" t="s">
        <v>84</v>
      </c>
      <c r="D6944" s="448">
        <v>2316.5300000000002</v>
      </c>
      <c r="E6944" s="210"/>
    </row>
    <row r="6945" spans="1:5" ht="27">
      <c r="A6945" s="446">
        <v>101434</v>
      </c>
      <c r="B6945" s="447" t="s">
        <v>5730</v>
      </c>
      <c r="C6945" s="446" t="s">
        <v>84</v>
      </c>
      <c r="D6945" s="448">
        <v>2730.75</v>
      </c>
      <c r="E6945" s="210"/>
    </row>
    <row r="6946" spans="1:5" ht="27">
      <c r="A6946" s="446">
        <v>101435</v>
      </c>
      <c r="B6946" s="447" t="s">
        <v>5731</v>
      </c>
      <c r="C6946" s="446" t="s">
        <v>84</v>
      </c>
      <c r="D6946" s="448">
        <v>2406.9299999999998</v>
      </c>
      <c r="E6946" s="210"/>
    </row>
    <row r="6947" spans="1:5" ht="27">
      <c r="A6947" s="446">
        <v>101436</v>
      </c>
      <c r="B6947" s="447" t="s">
        <v>160</v>
      </c>
      <c r="C6947" s="446" t="s">
        <v>84</v>
      </c>
      <c r="D6947" s="448">
        <v>2011.4</v>
      </c>
      <c r="E6947" s="210"/>
    </row>
    <row r="6948" spans="1:5" ht="27">
      <c r="A6948" s="446">
        <v>101437</v>
      </c>
      <c r="B6948" s="447" t="s">
        <v>5732</v>
      </c>
      <c r="C6948" s="446" t="s">
        <v>84</v>
      </c>
      <c r="D6948" s="448">
        <v>2807.79</v>
      </c>
      <c r="E6948" s="210"/>
    </row>
    <row r="6949" spans="1:5" ht="27">
      <c r="A6949" s="446">
        <v>101438</v>
      </c>
      <c r="B6949" s="447" t="s">
        <v>162</v>
      </c>
      <c r="C6949" s="446" t="s">
        <v>84</v>
      </c>
      <c r="D6949" s="448">
        <v>3319.92</v>
      </c>
      <c r="E6949" s="210"/>
    </row>
    <row r="6950" spans="1:5" ht="27">
      <c r="A6950" s="446">
        <v>101439</v>
      </c>
      <c r="B6950" s="447" t="s">
        <v>163</v>
      </c>
      <c r="C6950" s="446" t="s">
        <v>84</v>
      </c>
      <c r="D6950" s="448">
        <v>2572.7399999999998</v>
      </c>
      <c r="E6950" s="210"/>
    </row>
    <row r="6951" spans="1:5" ht="40.5">
      <c r="A6951" s="446">
        <v>101440</v>
      </c>
      <c r="B6951" s="447" t="s">
        <v>5733</v>
      </c>
      <c r="C6951" s="446" t="s">
        <v>84</v>
      </c>
      <c r="D6951" s="448">
        <v>2880.95</v>
      </c>
      <c r="E6951" s="210"/>
    </row>
    <row r="6952" spans="1:5" ht="27">
      <c r="A6952" s="446">
        <v>101441</v>
      </c>
      <c r="B6952" s="447" t="s">
        <v>165</v>
      </c>
      <c r="C6952" s="446" t="s">
        <v>84</v>
      </c>
      <c r="D6952" s="448">
        <v>2403.79</v>
      </c>
      <c r="E6952" s="210"/>
    </row>
    <row r="6953" spans="1:5" ht="40.5">
      <c r="A6953" s="446">
        <v>101442</v>
      </c>
      <c r="B6953" s="447" t="s">
        <v>5734</v>
      </c>
      <c r="C6953" s="446" t="s">
        <v>84</v>
      </c>
      <c r="D6953" s="448">
        <v>2421.5300000000002</v>
      </c>
      <c r="E6953" s="210"/>
    </row>
    <row r="6954" spans="1:5" ht="40.5">
      <c r="A6954" s="446">
        <v>101443</v>
      </c>
      <c r="B6954" s="447" t="s">
        <v>1095</v>
      </c>
      <c r="C6954" s="446" t="s">
        <v>84</v>
      </c>
      <c r="D6954" s="448">
        <v>2551.73</v>
      </c>
      <c r="E6954" s="210"/>
    </row>
    <row r="6955" spans="1:5" ht="13.5">
      <c r="A6955" s="446">
        <v>101444</v>
      </c>
      <c r="B6955" s="447" t="s">
        <v>168</v>
      </c>
      <c r="C6955" s="446" t="s">
        <v>84</v>
      </c>
      <c r="D6955" s="448">
        <v>3565.31</v>
      </c>
      <c r="E6955" s="210"/>
    </row>
    <row r="6956" spans="1:5" ht="13.5">
      <c r="A6956" s="446">
        <v>101445</v>
      </c>
      <c r="B6956" s="447" t="s">
        <v>41</v>
      </c>
      <c r="C6956" s="446" t="s">
        <v>84</v>
      </c>
      <c r="D6956" s="448">
        <v>3167.98</v>
      </c>
      <c r="E6956" s="210"/>
    </row>
    <row r="6957" spans="1:5" ht="13.5">
      <c r="A6957" s="446">
        <v>101446</v>
      </c>
      <c r="B6957" s="447" t="s">
        <v>169</v>
      </c>
      <c r="C6957" s="446" t="s">
        <v>84</v>
      </c>
      <c r="D6957" s="448">
        <v>3361.2</v>
      </c>
      <c r="E6957" s="210"/>
    </row>
    <row r="6958" spans="1:5" ht="27">
      <c r="A6958" s="446">
        <v>101447</v>
      </c>
      <c r="B6958" s="447" t="s">
        <v>170</v>
      </c>
      <c r="C6958" s="446" t="s">
        <v>84</v>
      </c>
      <c r="D6958" s="448">
        <v>3734.05</v>
      </c>
      <c r="E6958" s="210"/>
    </row>
    <row r="6959" spans="1:5" ht="27">
      <c r="A6959" s="446">
        <v>101448</v>
      </c>
      <c r="B6959" s="447" t="s">
        <v>171</v>
      </c>
      <c r="C6959" s="446" t="s">
        <v>84</v>
      </c>
      <c r="D6959" s="448">
        <v>3545.71</v>
      </c>
      <c r="E6959" s="210"/>
    </row>
    <row r="6960" spans="1:5" ht="27">
      <c r="A6960" s="446">
        <v>101449</v>
      </c>
      <c r="B6960" s="447" t="s">
        <v>5735</v>
      </c>
      <c r="C6960" s="446" t="s">
        <v>84</v>
      </c>
      <c r="D6960" s="448">
        <v>2311.42</v>
      </c>
      <c r="E6960" s="210"/>
    </row>
    <row r="6961" spans="1:5" ht="13.5">
      <c r="A6961" s="446">
        <v>101450</v>
      </c>
      <c r="B6961" s="447" t="s">
        <v>173</v>
      </c>
      <c r="C6961" s="446" t="s">
        <v>84</v>
      </c>
      <c r="D6961" s="448">
        <v>2123.8000000000002</v>
      </c>
      <c r="E6961" s="210"/>
    </row>
    <row r="6962" spans="1:5" ht="13.5">
      <c r="A6962" s="446">
        <v>101451</v>
      </c>
      <c r="B6962" s="447" t="s">
        <v>43</v>
      </c>
      <c r="C6962" s="446" t="s">
        <v>84</v>
      </c>
      <c r="D6962" s="448">
        <v>3155.15</v>
      </c>
      <c r="E6962" s="210"/>
    </row>
    <row r="6963" spans="1:5" ht="27">
      <c r="A6963" s="446">
        <v>101452</v>
      </c>
      <c r="B6963" s="447" t="s">
        <v>5736</v>
      </c>
      <c r="C6963" s="446" t="s">
        <v>84</v>
      </c>
      <c r="D6963" s="448">
        <v>2521.3000000000002</v>
      </c>
      <c r="E6963" s="210"/>
    </row>
    <row r="6964" spans="1:5" ht="13.5">
      <c r="A6964" s="446">
        <v>101453</v>
      </c>
      <c r="B6964" s="447" t="s">
        <v>174</v>
      </c>
      <c r="C6964" s="446" t="s">
        <v>84</v>
      </c>
      <c r="D6964" s="448">
        <v>3278.31</v>
      </c>
      <c r="E6964" s="210"/>
    </row>
    <row r="6965" spans="1:5" ht="27">
      <c r="A6965" s="446">
        <v>101454</v>
      </c>
      <c r="B6965" s="447" t="s">
        <v>5737</v>
      </c>
      <c r="C6965" s="446" t="s">
        <v>84</v>
      </c>
      <c r="D6965" s="448">
        <v>4108.03</v>
      </c>
      <c r="E6965" s="210"/>
    </row>
    <row r="6966" spans="1:5" ht="27">
      <c r="A6966" s="446">
        <v>101455</v>
      </c>
      <c r="B6966" s="447" t="s">
        <v>175</v>
      </c>
      <c r="C6966" s="446" t="s">
        <v>84</v>
      </c>
      <c r="D6966" s="448">
        <v>3688.39</v>
      </c>
      <c r="E6966" s="210"/>
    </row>
    <row r="6967" spans="1:5" ht="27">
      <c r="A6967" s="446">
        <v>101456</v>
      </c>
      <c r="B6967" s="447" t="s">
        <v>5738</v>
      </c>
      <c r="C6967" s="446" t="s">
        <v>84</v>
      </c>
      <c r="D6967" s="448">
        <v>3732.88</v>
      </c>
      <c r="E6967" s="210"/>
    </row>
    <row r="6968" spans="1:5" ht="27">
      <c r="A6968" s="446">
        <v>101457</v>
      </c>
      <c r="B6968" s="447" t="s">
        <v>5739</v>
      </c>
      <c r="C6968" s="446" t="s">
        <v>84</v>
      </c>
      <c r="D6968" s="448">
        <v>3780.82</v>
      </c>
      <c r="E6968" s="210"/>
    </row>
    <row r="6969" spans="1:5" ht="13.5">
      <c r="A6969" s="446">
        <v>101458</v>
      </c>
      <c r="B6969" s="447" t="s">
        <v>5740</v>
      </c>
      <c r="C6969" s="446" t="s">
        <v>84</v>
      </c>
      <c r="D6969" s="448">
        <v>3358.97</v>
      </c>
      <c r="E6969" s="210"/>
    </row>
    <row r="6970" spans="1:5" ht="13.5">
      <c r="A6970" s="446">
        <v>101459</v>
      </c>
      <c r="B6970" s="447" t="s">
        <v>180</v>
      </c>
      <c r="C6970" s="446" t="s">
        <v>84</v>
      </c>
      <c r="D6970" s="448">
        <v>3057.53</v>
      </c>
      <c r="E6970" s="210"/>
    </row>
    <row r="6971" spans="1:5" ht="27">
      <c r="A6971" s="446">
        <v>101460</v>
      </c>
      <c r="B6971" s="447" t="s">
        <v>4242</v>
      </c>
      <c r="C6971" s="446" t="s">
        <v>84</v>
      </c>
      <c r="D6971" s="448">
        <v>2582.3200000000002</v>
      </c>
      <c r="E6971" s="210"/>
    </row>
    <row r="6972" spans="1:5" ht="38.25">
      <c r="A6972" s="449">
        <v>1363</v>
      </c>
      <c r="B6972" s="450" t="s">
        <v>7794</v>
      </c>
      <c r="C6972" s="449" t="s">
        <v>684</v>
      </c>
      <c r="D6972" s="451">
        <v>22.44</v>
      </c>
      <c r="E6972" s="210"/>
    </row>
    <row r="6973" spans="1:5" ht="51">
      <c r="A6973" s="449">
        <v>1344</v>
      </c>
      <c r="B6973" s="450" t="s">
        <v>7795</v>
      </c>
      <c r="C6973" s="449" t="s">
        <v>679</v>
      </c>
      <c r="D6973" s="451">
        <v>51.3</v>
      </c>
      <c r="E6973" s="210"/>
    </row>
    <row r="6974" spans="1:5" ht="51">
      <c r="A6974" s="449">
        <v>1342</v>
      </c>
      <c r="B6974" s="450" t="s">
        <v>7796</v>
      </c>
      <c r="C6974" s="449" t="s">
        <v>679</v>
      </c>
      <c r="D6974" s="451">
        <v>90.68</v>
      </c>
      <c r="E6974" s="210"/>
    </row>
    <row r="6975" spans="1:5" ht="51">
      <c r="A6975" s="449">
        <v>1349</v>
      </c>
      <c r="B6975" s="450" t="s">
        <v>7797</v>
      </c>
      <c r="C6975" s="449" t="s">
        <v>679</v>
      </c>
      <c r="D6975" s="451">
        <v>129.33000000000001</v>
      </c>
      <c r="E6975" s="210"/>
    </row>
    <row r="6976" spans="1:5" ht="38.25">
      <c r="A6976" s="449">
        <v>1350</v>
      </c>
      <c r="B6976" s="450" t="s">
        <v>7798</v>
      </c>
      <c r="C6976" s="449" t="s">
        <v>679</v>
      </c>
      <c r="D6976" s="451">
        <v>59.5</v>
      </c>
      <c r="E6976" s="210"/>
    </row>
    <row r="6977" spans="1:5" ht="38.25">
      <c r="A6977" s="449">
        <v>1359</v>
      </c>
      <c r="B6977" s="450" t="s">
        <v>7799</v>
      </c>
      <c r="C6977" s="449" t="s">
        <v>679</v>
      </c>
      <c r="D6977" s="451">
        <v>117.09</v>
      </c>
      <c r="E6977" s="210"/>
    </row>
    <row r="6978" spans="1:5" ht="38.25">
      <c r="A6978" s="449">
        <v>1351</v>
      </c>
      <c r="B6978" s="450" t="s">
        <v>7800</v>
      </c>
      <c r="C6978" s="449" t="s">
        <v>679</v>
      </c>
      <c r="D6978" s="451">
        <v>37.729999999999997</v>
      </c>
      <c r="E6978" s="210"/>
    </row>
    <row r="6979" spans="1:5" ht="51">
      <c r="A6979" s="449">
        <v>2418</v>
      </c>
      <c r="B6979" s="450" t="s">
        <v>7801</v>
      </c>
      <c r="C6979" s="449" t="s">
        <v>679</v>
      </c>
      <c r="D6979" s="451">
        <v>8.3000000000000007</v>
      </c>
      <c r="E6979" s="210"/>
    </row>
    <row r="6980" spans="1:5" ht="38.25">
      <c r="A6980" s="449">
        <v>6086</v>
      </c>
      <c r="B6980" s="450" t="s">
        <v>7802</v>
      </c>
      <c r="C6980" s="449" t="s">
        <v>688</v>
      </c>
      <c r="D6980" s="451">
        <v>79.02</v>
      </c>
      <c r="E6980" s="210"/>
    </row>
    <row r="6981" spans="1:5" ht="51">
      <c r="A6981" s="449">
        <v>3378</v>
      </c>
      <c r="B6981" s="450" t="s">
        <v>7803</v>
      </c>
      <c r="C6981" s="449" t="s">
        <v>679</v>
      </c>
      <c r="D6981" s="451">
        <v>63.92</v>
      </c>
      <c r="E6981" s="210"/>
    </row>
    <row r="6982" spans="1:5" ht="63.75">
      <c r="A6982" s="449">
        <v>3380</v>
      </c>
      <c r="B6982" s="450" t="s">
        <v>7804</v>
      </c>
      <c r="C6982" s="449" t="s">
        <v>679</v>
      </c>
      <c r="D6982" s="451">
        <v>44.75</v>
      </c>
      <c r="E6982" s="210"/>
    </row>
    <row r="6983" spans="1:5" ht="51">
      <c r="A6983" s="449">
        <v>3379</v>
      </c>
      <c r="B6983" s="450" t="s">
        <v>7805</v>
      </c>
      <c r="C6983" s="449" t="s">
        <v>679</v>
      </c>
      <c r="D6983" s="451">
        <v>43.2</v>
      </c>
      <c r="E6983" s="210"/>
    </row>
    <row r="6984" spans="1:5" ht="38.25">
      <c r="A6984" s="449">
        <v>615</v>
      </c>
      <c r="B6984" s="450" t="s">
        <v>7806</v>
      </c>
      <c r="C6984" s="449" t="s">
        <v>684</v>
      </c>
      <c r="D6984" s="451">
        <v>502.03</v>
      </c>
      <c r="E6984" s="210"/>
    </row>
    <row r="6985" spans="1:5" ht="63.75">
      <c r="A6985" s="449">
        <v>606</v>
      </c>
      <c r="B6985" s="450" t="s">
        <v>7807</v>
      </c>
      <c r="C6985" s="449" t="s">
        <v>684</v>
      </c>
      <c r="D6985" s="451">
        <v>788.64</v>
      </c>
      <c r="E6985" s="210"/>
    </row>
    <row r="6986" spans="1:5" ht="51">
      <c r="A6986" s="449">
        <v>13382</v>
      </c>
      <c r="B6986" s="450" t="s">
        <v>7808</v>
      </c>
      <c r="C6986" s="449" t="s">
        <v>679</v>
      </c>
      <c r="D6986" s="451">
        <v>371.8</v>
      </c>
      <c r="E6986" s="210"/>
    </row>
    <row r="6987" spans="1:5" ht="25.5">
      <c r="A6987" s="449">
        <v>4047</v>
      </c>
      <c r="B6987" s="450" t="s">
        <v>7809</v>
      </c>
      <c r="C6987" s="449" t="s">
        <v>688</v>
      </c>
      <c r="D6987" s="451">
        <v>15.99</v>
      </c>
      <c r="E6987" s="210"/>
    </row>
    <row r="6988" spans="1:5" ht="25.5">
      <c r="A6988" s="449">
        <v>7344</v>
      </c>
      <c r="B6988" s="450" t="s">
        <v>7810</v>
      </c>
      <c r="C6988" s="449" t="s">
        <v>688</v>
      </c>
      <c r="D6988" s="451">
        <v>66</v>
      </c>
      <c r="E6988" s="210"/>
    </row>
    <row r="6989" spans="1:5" ht="38.25">
      <c r="A6989" s="449">
        <v>40514</v>
      </c>
      <c r="B6989" s="450" t="s">
        <v>7811</v>
      </c>
      <c r="C6989" s="449" t="s">
        <v>678</v>
      </c>
      <c r="D6989" s="451">
        <v>24.28</v>
      </c>
      <c r="E6989" s="210"/>
    </row>
    <row r="6990" spans="1:5" ht="63.75">
      <c r="A6990" s="449">
        <v>11199</v>
      </c>
      <c r="B6990" s="450" t="s">
        <v>7812</v>
      </c>
      <c r="C6990" s="449" t="s">
        <v>679</v>
      </c>
      <c r="D6990" s="451">
        <v>1131.6199999999999</v>
      </c>
      <c r="E6990" s="210"/>
    </row>
    <row r="6991" spans="1:5" ht="25.5">
      <c r="A6991" s="449">
        <v>4053</v>
      </c>
      <c r="B6991" s="450" t="s">
        <v>7813</v>
      </c>
      <c r="C6991" s="449" t="s">
        <v>688</v>
      </c>
      <c r="D6991" s="451">
        <v>60.91</v>
      </c>
      <c r="E6991" s="210"/>
    </row>
    <row r="6992" spans="1:5" ht="25.5">
      <c r="A6992" s="449">
        <v>4056</v>
      </c>
      <c r="B6992" s="450" t="s">
        <v>7814</v>
      </c>
      <c r="C6992" s="449" t="s">
        <v>688</v>
      </c>
      <c r="D6992" s="451">
        <v>32.03</v>
      </c>
      <c r="E6992" s="210"/>
    </row>
    <row r="6993" spans="1:5" ht="38.25">
      <c r="A6993" s="449">
        <v>21136</v>
      </c>
      <c r="B6993" s="450" t="s">
        <v>7815</v>
      </c>
      <c r="C6993" s="449" t="s">
        <v>683</v>
      </c>
      <c r="D6993" s="451">
        <v>12.18</v>
      </c>
      <c r="E6993" s="210"/>
    </row>
    <row r="6994" spans="1:5" ht="38.25">
      <c r="A6994" s="449">
        <v>21128</v>
      </c>
      <c r="B6994" s="450" t="s">
        <v>7816</v>
      </c>
      <c r="C6994" s="449" t="s">
        <v>683</v>
      </c>
      <c r="D6994" s="451">
        <v>9.43</v>
      </c>
      <c r="E6994" s="210"/>
    </row>
    <row r="6995" spans="1:5" ht="38.25">
      <c r="A6995" s="449">
        <v>21130</v>
      </c>
      <c r="B6995" s="450" t="s">
        <v>7817</v>
      </c>
      <c r="C6995" s="449" t="s">
        <v>683</v>
      </c>
      <c r="D6995" s="451">
        <v>23.81</v>
      </c>
      <c r="E6995" s="210"/>
    </row>
    <row r="6996" spans="1:5" ht="38.25">
      <c r="A6996" s="449">
        <v>21135</v>
      </c>
      <c r="B6996" s="450" t="s">
        <v>7818</v>
      </c>
      <c r="C6996" s="449" t="s">
        <v>683</v>
      </c>
      <c r="D6996" s="451">
        <v>23.44</v>
      </c>
      <c r="E6996" s="210"/>
    </row>
    <row r="6997" spans="1:5" ht="38.25">
      <c r="A6997" s="449">
        <v>38605</v>
      </c>
      <c r="B6997" s="450" t="s">
        <v>7819</v>
      </c>
      <c r="C6997" s="449" t="s">
        <v>679</v>
      </c>
      <c r="D6997" s="451">
        <v>134.51</v>
      </c>
      <c r="E6997" s="210"/>
    </row>
    <row r="6998" spans="1:5" ht="25.5">
      <c r="A6998" s="449">
        <v>11270</v>
      </c>
      <c r="B6998" s="450" t="s">
        <v>7820</v>
      </c>
      <c r="C6998" s="449" t="s">
        <v>679</v>
      </c>
      <c r="D6998" s="451">
        <v>1.71</v>
      </c>
      <c r="E6998" s="210"/>
    </row>
    <row r="6999" spans="1:5" ht="25.5">
      <c r="A6999" s="449">
        <v>412</v>
      </c>
      <c r="B6999" s="450" t="s">
        <v>7821</v>
      </c>
      <c r="C6999" s="449" t="s">
        <v>679</v>
      </c>
      <c r="D6999" s="451">
        <v>1.23</v>
      </c>
      <c r="E6999" s="210"/>
    </row>
    <row r="7000" spans="1:5" ht="25.5">
      <c r="A7000" s="449">
        <v>414</v>
      </c>
      <c r="B7000" s="450" t="s">
        <v>7822</v>
      </c>
      <c r="C7000" s="449" t="s">
        <v>679</v>
      </c>
      <c r="D7000" s="451">
        <v>7.0000000000000007E-2</v>
      </c>
      <c r="E7000" s="210"/>
    </row>
    <row r="7001" spans="1:5" ht="25.5">
      <c r="A7001" s="449">
        <v>410</v>
      </c>
      <c r="B7001" s="450" t="s">
        <v>7823</v>
      </c>
      <c r="C7001" s="449" t="s">
        <v>679</v>
      </c>
      <c r="D7001" s="451">
        <v>0.19</v>
      </c>
      <c r="E7001" s="210"/>
    </row>
    <row r="7002" spans="1:5" ht="25.5">
      <c r="A7002" s="449">
        <v>411</v>
      </c>
      <c r="B7002" s="450" t="s">
        <v>7824</v>
      </c>
      <c r="C7002" s="449" t="s">
        <v>679</v>
      </c>
      <c r="D7002" s="451">
        <v>0.24</v>
      </c>
      <c r="E7002" s="210"/>
    </row>
    <row r="7003" spans="1:5" ht="25.5">
      <c r="A7003" s="449">
        <v>408</v>
      </c>
      <c r="B7003" s="450" t="s">
        <v>7825</v>
      </c>
      <c r="C7003" s="449" t="s">
        <v>679</v>
      </c>
      <c r="D7003" s="451">
        <v>1.19</v>
      </c>
      <c r="E7003" s="210"/>
    </row>
    <row r="7004" spans="1:5" ht="38.25">
      <c r="A7004" s="449">
        <v>39131</v>
      </c>
      <c r="B7004" s="450" t="s">
        <v>7826</v>
      </c>
      <c r="C7004" s="449" t="s">
        <v>679</v>
      </c>
      <c r="D7004" s="451">
        <v>3.69</v>
      </c>
      <c r="E7004" s="210"/>
    </row>
    <row r="7005" spans="1:5" ht="38.25">
      <c r="A7005" s="449">
        <v>394</v>
      </c>
      <c r="B7005" s="450" t="s">
        <v>7827</v>
      </c>
      <c r="C7005" s="449" t="s">
        <v>679</v>
      </c>
      <c r="D7005" s="451">
        <v>3.73</v>
      </c>
      <c r="E7005" s="210"/>
    </row>
    <row r="7006" spans="1:5" ht="38.25">
      <c r="A7006" s="449">
        <v>39130</v>
      </c>
      <c r="B7006" s="450" t="s">
        <v>7828</v>
      </c>
      <c r="C7006" s="449" t="s">
        <v>679</v>
      </c>
      <c r="D7006" s="451">
        <v>3.37</v>
      </c>
      <c r="E7006" s="210"/>
    </row>
    <row r="7007" spans="1:5" ht="38.25">
      <c r="A7007" s="449">
        <v>395</v>
      </c>
      <c r="B7007" s="450" t="s">
        <v>7829</v>
      </c>
      <c r="C7007" s="449" t="s">
        <v>679</v>
      </c>
      <c r="D7007" s="451">
        <v>3.6</v>
      </c>
      <c r="E7007" s="210"/>
    </row>
    <row r="7008" spans="1:5" ht="38.25">
      <c r="A7008" s="449">
        <v>39127</v>
      </c>
      <c r="B7008" s="450" t="s">
        <v>7830</v>
      </c>
      <c r="C7008" s="449" t="s">
        <v>679</v>
      </c>
      <c r="D7008" s="451">
        <v>1.77</v>
      </c>
      <c r="E7008" s="210"/>
    </row>
    <row r="7009" spans="1:5" ht="38.25">
      <c r="A7009" s="449">
        <v>392</v>
      </c>
      <c r="B7009" s="450" t="s">
        <v>7831</v>
      </c>
      <c r="C7009" s="449" t="s">
        <v>679</v>
      </c>
      <c r="D7009" s="451">
        <v>1.82</v>
      </c>
      <c r="E7009" s="210"/>
    </row>
    <row r="7010" spans="1:5" ht="38.25">
      <c r="A7010" s="449">
        <v>39129</v>
      </c>
      <c r="B7010" s="450" t="s">
        <v>7832</v>
      </c>
      <c r="C7010" s="449" t="s">
        <v>679</v>
      </c>
      <c r="D7010" s="451">
        <v>2.0699999999999998</v>
      </c>
      <c r="E7010" s="210"/>
    </row>
    <row r="7011" spans="1:5" ht="38.25">
      <c r="A7011" s="449">
        <v>393</v>
      </c>
      <c r="B7011" s="450" t="s">
        <v>7833</v>
      </c>
      <c r="C7011" s="449" t="s">
        <v>679</v>
      </c>
      <c r="D7011" s="451">
        <v>2.17</v>
      </c>
      <c r="E7011" s="210"/>
    </row>
    <row r="7012" spans="1:5" ht="38.25">
      <c r="A7012" s="449">
        <v>39133</v>
      </c>
      <c r="B7012" s="450" t="s">
        <v>7834</v>
      </c>
      <c r="C7012" s="449" t="s">
        <v>679</v>
      </c>
      <c r="D7012" s="451">
        <v>4.84</v>
      </c>
      <c r="E7012" s="210"/>
    </row>
    <row r="7013" spans="1:5" ht="38.25">
      <c r="A7013" s="449">
        <v>397</v>
      </c>
      <c r="B7013" s="450" t="s">
        <v>7835</v>
      </c>
      <c r="C7013" s="449" t="s">
        <v>679</v>
      </c>
      <c r="D7013" s="451">
        <v>5.35</v>
      </c>
      <c r="E7013" s="210"/>
    </row>
    <row r="7014" spans="1:5" ht="38.25">
      <c r="A7014" s="449">
        <v>39132</v>
      </c>
      <c r="B7014" s="450" t="s">
        <v>7836</v>
      </c>
      <c r="C7014" s="449" t="s">
        <v>679</v>
      </c>
      <c r="D7014" s="451">
        <v>3.87</v>
      </c>
      <c r="E7014" s="210"/>
    </row>
    <row r="7015" spans="1:5" ht="38.25">
      <c r="A7015" s="449">
        <v>396</v>
      </c>
      <c r="B7015" s="450" t="s">
        <v>7837</v>
      </c>
      <c r="C7015" s="449" t="s">
        <v>679</v>
      </c>
      <c r="D7015" s="451">
        <v>4.1500000000000004</v>
      </c>
      <c r="E7015" s="210"/>
    </row>
    <row r="7016" spans="1:5" ht="38.25">
      <c r="A7016" s="449">
        <v>39135</v>
      </c>
      <c r="B7016" s="450" t="s">
        <v>7838</v>
      </c>
      <c r="C7016" s="449" t="s">
        <v>679</v>
      </c>
      <c r="D7016" s="451">
        <v>7.75</v>
      </c>
      <c r="E7016" s="210"/>
    </row>
    <row r="7017" spans="1:5" ht="38.25">
      <c r="A7017" s="449">
        <v>39128</v>
      </c>
      <c r="B7017" s="450" t="s">
        <v>7839</v>
      </c>
      <c r="C7017" s="449" t="s">
        <v>679</v>
      </c>
      <c r="D7017" s="451">
        <v>1.93</v>
      </c>
      <c r="E7017" s="210"/>
    </row>
    <row r="7018" spans="1:5" ht="38.25">
      <c r="A7018" s="449">
        <v>400</v>
      </c>
      <c r="B7018" s="450" t="s">
        <v>7840</v>
      </c>
      <c r="C7018" s="449" t="s">
        <v>679</v>
      </c>
      <c r="D7018" s="451">
        <v>1.89</v>
      </c>
      <c r="E7018" s="210"/>
    </row>
    <row r="7019" spans="1:5" ht="38.25">
      <c r="A7019" s="449">
        <v>39125</v>
      </c>
      <c r="B7019" s="450" t="s">
        <v>7841</v>
      </c>
      <c r="C7019" s="449" t="s">
        <v>679</v>
      </c>
      <c r="D7019" s="451">
        <v>1.93</v>
      </c>
      <c r="E7019" s="210"/>
    </row>
    <row r="7020" spans="1:5" ht="38.25">
      <c r="A7020" s="449">
        <v>39134</v>
      </c>
      <c r="B7020" s="450" t="s">
        <v>7842</v>
      </c>
      <c r="C7020" s="449" t="s">
        <v>679</v>
      </c>
      <c r="D7020" s="451">
        <v>6.46</v>
      </c>
      <c r="E7020" s="210"/>
    </row>
    <row r="7021" spans="1:5" ht="38.25">
      <c r="A7021" s="449">
        <v>398</v>
      </c>
      <c r="B7021" s="450" t="s">
        <v>7843</v>
      </c>
      <c r="C7021" s="449" t="s">
        <v>679</v>
      </c>
      <c r="D7021" s="451">
        <v>5.95</v>
      </c>
      <c r="E7021" s="210"/>
    </row>
    <row r="7022" spans="1:5" ht="38.25">
      <c r="A7022" s="449">
        <v>39126</v>
      </c>
      <c r="B7022" s="450" t="s">
        <v>7844</v>
      </c>
      <c r="C7022" s="449" t="s">
        <v>679</v>
      </c>
      <c r="D7022" s="451">
        <v>8.7200000000000006</v>
      </c>
      <c r="E7022" s="210"/>
    </row>
    <row r="7023" spans="1:5" ht="38.25">
      <c r="A7023" s="449">
        <v>399</v>
      </c>
      <c r="B7023" s="450" t="s">
        <v>7845</v>
      </c>
      <c r="C7023" s="449" t="s">
        <v>679</v>
      </c>
      <c r="D7023" s="451">
        <v>7.68</v>
      </c>
      <c r="E7023" s="210"/>
    </row>
    <row r="7024" spans="1:5" ht="25.5">
      <c r="A7024" s="449">
        <v>39158</v>
      </c>
      <c r="B7024" s="450" t="s">
        <v>7846</v>
      </c>
      <c r="C7024" s="449" t="s">
        <v>679</v>
      </c>
      <c r="D7024" s="451">
        <v>20.63</v>
      </c>
      <c r="E7024" s="210"/>
    </row>
    <row r="7025" spans="1:5" ht="25.5">
      <c r="A7025" s="449">
        <v>39141</v>
      </c>
      <c r="B7025" s="450" t="s">
        <v>7847</v>
      </c>
      <c r="C7025" s="449" t="s">
        <v>679</v>
      </c>
      <c r="D7025" s="451">
        <v>1.5</v>
      </c>
      <c r="E7025" s="210"/>
    </row>
    <row r="7026" spans="1:5" ht="25.5">
      <c r="A7026" s="449">
        <v>39140</v>
      </c>
      <c r="B7026" s="450" t="s">
        <v>7848</v>
      </c>
      <c r="C7026" s="449" t="s">
        <v>679</v>
      </c>
      <c r="D7026" s="451">
        <v>1.36</v>
      </c>
      <c r="E7026" s="210"/>
    </row>
    <row r="7027" spans="1:5" ht="25.5">
      <c r="A7027" s="449">
        <v>39137</v>
      </c>
      <c r="B7027" s="450" t="s">
        <v>7849</v>
      </c>
      <c r="C7027" s="449" t="s">
        <v>679</v>
      </c>
      <c r="D7027" s="451">
        <v>0.78</v>
      </c>
      <c r="E7027" s="210"/>
    </row>
    <row r="7028" spans="1:5" ht="25.5">
      <c r="A7028" s="449">
        <v>39139</v>
      </c>
      <c r="B7028" s="450" t="s">
        <v>7850</v>
      </c>
      <c r="C7028" s="449" t="s">
        <v>679</v>
      </c>
      <c r="D7028" s="451">
        <v>1.1299999999999999</v>
      </c>
      <c r="E7028" s="210"/>
    </row>
    <row r="7029" spans="1:5" ht="25.5">
      <c r="A7029" s="449">
        <v>39143</v>
      </c>
      <c r="B7029" s="450" t="s">
        <v>7851</v>
      </c>
      <c r="C7029" s="449" t="s">
        <v>679</v>
      </c>
      <c r="D7029" s="451">
        <v>3.09</v>
      </c>
      <c r="E7029" s="210"/>
    </row>
    <row r="7030" spans="1:5" ht="25.5">
      <c r="A7030" s="449">
        <v>39142</v>
      </c>
      <c r="B7030" s="450" t="s">
        <v>7852</v>
      </c>
      <c r="C7030" s="449" t="s">
        <v>679</v>
      </c>
      <c r="D7030" s="451">
        <v>2.21</v>
      </c>
      <c r="E7030" s="210"/>
    </row>
    <row r="7031" spans="1:5" ht="25.5">
      <c r="A7031" s="449">
        <v>39138</v>
      </c>
      <c r="B7031" s="450" t="s">
        <v>7853</v>
      </c>
      <c r="C7031" s="449" t="s">
        <v>679</v>
      </c>
      <c r="D7031" s="451">
        <v>0.83</v>
      </c>
      <c r="E7031" s="210"/>
    </row>
    <row r="7032" spans="1:5" ht="25.5">
      <c r="A7032" s="449">
        <v>39136</v>
      </c>
      <c r="B7032" s="450" t="s">
        <v>7854</v>
      </c>
      <c r="C7032" s="449" t="s">
        <v>679</v>
      </c>
      <c r="D7032" s="451">
        <v>0.55000000000000004</v>
      </c>
      <c r="E7032" s="210"/>
    </row>
    <row r="7033" spans="1:5" ht="25.5">
      <c r="A7033" s="449">
        <v>39144</v>
      </c>
      <c r="B7033" s="450" t="s">
        <v>7855</v>
      </c>
      <c r="C7033" s="449" t="s">
        <v>679</v>
      </c>
      <c r="D7033" s="451">
        <v>3.6</v>
      </c>
      <c r="E7033" s="210"/>
    </row>
    <row r="7034" spans="1:5" ht="25.5">
      <c r="A7034" s="449">
        <v>39145</v>
      </c>
      <c r="B7034" s="450" t="s">
        <v>7856</v>
      </c>
      <c r="C7034" s="449" t="s">
        <v>679</v>
      </c>
      <c r="D7034" s="451">
        <v>5.93</v>
      </c>
      <c r="E7034" s="210"/>
    </row>
    <row r="7035" spans="1:5" ht="38.25">
      <c r="A7035" s="449">
        <v>12615</v>
      </c>
      <c r="B7035" s="450" t="s">
        <v>7857</v>
      </c>
      <c r="C7035" s="449" t="s">
        <v>679</v>
      </c>
      <c r="D7035" s="451">
        <v>4.26</v>
      </c>
      <c r="E7035" s="210"/>
    </row>
    <row r="7036" spans="1:5" ht="38.25">
      <c r="A7036" s="449">
        <v>11927</v>
      </c>
      <c r="B7036" s="450" t="s">
        <v>7858</v>
      </c>
      <c r="C7036" s="449" t="s">
        <v>679</v>
      </c>
      <c r="D7036" s="451">
        <v>5.12</v>
      </c>
      <c r="E7036" s="210"/>
    </row>
    <row r="7037" spans="1:5" ht="38.25">
      <c r="A7037" s="449">
        <v>11928</v>
      </c>
      <c r="B7037" s="450" t="s">
        <v>7859</v>
      </c>
      <c r="C7037" s="449" t="s">
        <v>679</v>
      </c>
      <c r="D7037" s="451">
        <v>5.86</v>
      </c>
      <c r="E7037" s="210"/>
    </row>
    <row r="7038" spans="1:5" ht="38.25">
      <c r="A7038" s="449">
        <v>11929</v>
      </c>
      <c r="B7038" s="450" t="s">
        <v>7860</v>
      </c>
      <c r="C7038" s="449" t="s">
        <v>679</v>
      </c>
      <c r="D7038" s="451">
        <v>9.07</v>
      </c>
      <c r="E7038" s="210"/>
    </row>
    <row r="7039" spans="1:5" ht="25.5">
      <c r="A7039" s="449">
        <v>36801</v>
      </c>
      <c r="B7039" s="450" t="s">
        <v>7861</v>
      </c>
      <c r="C7039" s="449" t="s">
        <v>679</v>
      </c>
      <c r="D7039" s="451">
        <v>23.48</v>
      </c>
      <c r="E7039" s="210"/>
    </row>
    <row r="7040" spans="1:5" ht="38.25">
      <c r="A7040" s="449">
        <v>36246</v>
      </c>
      <c r="B7040" s="450" t="s">
        <v>7862</v>
      </c>
      <c r="C7040" s="449" t="s">
        <v>683</v>
      </c>
      <c r="D7040" s="451">
        <v>4.21</v>
      </c>
      <c r="E7040" s="210"/>
    </row>
    <row r="7041" spans="1:5" ht="25.5">
      <c r="A7041" s="449">
        <v>37600</v>
      </c>
      <c r="B7041" s="450" t="s">
        <v>7863</v>
      </c>
      <c r="C7041" s="449" t="s">
        <v>679</v>
      </c>
      <c r="D7041" s="451">
        <v>93.16</v>
      </c>
      <c r="E7041" s="210"/>
    </row>
    <row r="7042" spans="1:5" ht="25.5">
      <c r="A7042" s="449">
        <v>37599</v>
      </c>
      <c r="B7042" s="450" t="s">
        <v>7864</v>
      </c>
      <c r="C7042" s="449" t="s">
        <v>679</v>
      </c>
      <c r="D7042" s="451">
        <v>86.71</v>
      </c>
      <c r="E7042" s="210"/>
    </row>
    <row r="7043" spans="1:5" ht="25.5">
      <c r="A7043" s="449">
        <v>1</v>
      </c>
      <c r="B7043" s="450" t="s">
        <v>7865</v>
      </c>
      <c r="C7043" s="449" t="s">
        <v>676</v>
      </c>
      <c r="D7043" s="451">
        <v>65.400000000000006</v>
      </c>
      <c r="E7043" s="210"/>
    </row>
    <row r="7044" spans="1:5" ht="25.5">
      <c r="A7044" s="449">
        <v>3</v>
      </c>
      <c r="B7044" s="450" t="s">
        <v>7866</v>
      </c>
      <c r="C7044" s="449" t="s">
        <v>678</v>
      </c>
      <c r="D7044" s="451">
        <v>5.17</v>
      </c>
      <c r="E7044" s="210"/>
    </row>
    <row r="7045" spans="1:5" ht="25.5">
      <c r="A7045" s="449">
        <v>43054</v>
      </c>
      <c r="B7045" s="450" t="s">
        <v>7867</v>
      </c>
      <c r="C7045" s="449" t="s">
        <v>676</v>
      </c>
      <c r="D7045" s="451">
        <v>14.72</v>
      </c>
      <c r="E7045" s="210"/>
    </row>
    <row r="7046" spans="1:5">
      <c r="A7046" s="449">
        <v>42402</v>
      </c>
      <c r="B7046" s="450" t="s">
        <v>7868</v>
      </c>
      <c r="C7046" s="449" t="s">
        <v>676</v>
      </c>
      <c r="D7046" s="451">
        <v>14.07</v>
      </c>
      <c r="E7046" s="210"/>
    </row>
    <row r="7047" spans="1:5">
      <c r="A7047" s="449">
        <v>42403</v>
      </c>
      <c r="B7047" s="450" t="s">
        <v>7869</v>
      </c>
      <c r="C7047" s="449" t="s">
        <v>676</v>
      </c>
      <c r="D7047" s="451">
        <v>18.05</v>
      </c>
      <c r="E7047" s="210"/>
    </row>
    <row r="7048" spans="1:5">
      <c r="A7048" s="449">
        <v>42404</v>
      </c>
      <c r="B7048" s="450" t="s">
        <v>7870</v>
      </c>
      <c r="C7048" s="449" t="s">
        <v>676</v>
      </c>
      <c r="D7048" s="451">
        <v>17.95</v>
      </c>
      <c r="E7048" s="210"/>
    </row>
    <row r="7049" spans="1:5">
      <c r="A7049" s="449">
        <v>42405</v>
      </c>
      <c r="B7049" s="450" t="s">
        <v>7871</v>
      </c>
      <c r="C7049" s="449" t="s">
        <v>676</v>
      </c>
      <c r="D7049" s="451">
        <v>19.12</v>
      </c>
      <c r="E7049" s="210"/>
    </row>
    <row r="7050" spans="1:5">
      <c r="A7050" s="449">
        <v>34341</v>
      </c>
      <c r="B7050" s="450" t="s">
        <v>7872</v>
      </c>
      <c r="C7050" s="449" t="s">
        <v>676</v>
      </c>
      <c r="D7050" s="451">
        <v>16.600000000000001</v>
      </c>
      <c r="E7050" s="210"/>
    </row>
    <row r="7051" spans="1:5">
      <c r="A7051" s="449">
        <v>43053</v>
      </c>
      <c r="B7051" s="450" t="s">
        <v>7873</v>
      </c>
      <c r="C7051" s="449" t="s">
        <v>676</v>
      </c>
      <c r="D7051" s="451">
        <v>13.15</v>
      </c>
      <c r="E7051" s="210"/>
    </row>
    <row r="7052" spans="1:5" ht="25.5">
      <c r="A7052" s="449">
        <v>43058</v>
      </c>
      <c r="B7052" s="450" t="s">
        <v>7874</v>
      </c>
      <c r="C7052" s="449" t="s">
        <v>676</v>
      </c>
      <c r="D7052" s="451">
        <v>13.64</v>
      </c>
      <c r="E7052" s="210"/>
    </row>
    <row r="7053" spans="1:5">
      <c r="A7053" s="449">
        <v>34</v>
      </c>
      <c r="B7053" s="450" t="s">
        <v>7875</v>
      </c>
      <c r="C7053" s="449" t="s">
        <v>676</v>
      </c>
      <c r="D7053" s="451">
        <v>13.7</v>
      </c>
      <c r="E7053" s="210"/>
    </row>
    <row r="7054" spans="1:5">
      <c r="A7054" s="449">
        <v>43055</v>
      </c>
      <c r="B7054" s="450" t="s">
        <v>7876</v>
      </c>
      <c r="C7054" s="449" t="s">
        <v>676</v>
      </c>
      <c r="D7054" s="451">
        <v>11.87</v>
      </c>
      <c r="E7054" s="210"/>
    </row>
    <row r="7055" spans="1:5">
      <c r="A7055" s="449">
        <v>43056</v>
      </c>
      <c r="B7055" s="450" t="s">
        <v>7877</v>
      </c>
      <c r="C7055" s="449" t="s">
        <v>676</v>
      </c>
      <c r="D7055" s="451">
        <v>13.69</v>
      </c>
      <c r="E7055" s="210"/>
    </row>
    <row r="7056" spans="1:5">
      <c r="A7056" s="449">
        <v>43057</v>
      </c>
      <c r="B7056" s="450" t="s">
        <v>7878</v>
      </c>
      <c r="C7056" s="449" t="s">
        <v>676</v>
      </c>
      <c r="D7056" s="451">
        <v>15.04</v>
      </c>
      <c r="E7056" s="210"/>
    </row>
    <row r="7057" spans="1:5">
      <c r="A7057" s="449">
        <v>34449</v>
      </c>
      <c r="B7057" s="450" t="s">
        <v>7879</v>
      </c>
      <c r="C7057" s="449" t="s">
        <v>676</v>
      </c>
      <c r="D7057" s="451">
        <v>16.079999999999998</v>
      </c>
      <c r="E7057" s="210"/>
    </row>
    <row r="7058" spans="1:5">
      <c r="A7058" s="449">
        <v>32</v>
      </c>
      <c r="B7058" s="450" t="s">
        <v>7880</v>
      </c>
      <c r="C7058" s="449" t="s">
        <v>676</v>
      </c>
      <c r="D7058" s="451">
        <v>14.46</v>
      </c>
      <c r="E7058" s="210"/>
    </row>
    <row r="7059" spans="1:5">
      <c r="A7059" s="449">
        <v>33</v>
      </c>
      <c r="B7059" s="450" t="s">
        <v>7881</v>
      </c>
      <c r="C7059" s="449" t="s">
        <v>676</v>
      </c>
      <c r="D7059" s="451">
        <v>14.54</v>
      </c>
      <c r="E7059" s="210"/>
    </row>
    <row r="7060" spans="1:5" ht="25.5">
      <c r="A7060" s="449">
        <v>43061</v>
      </c>
      <c r="B7060" s="450" t="s">
        <v>7882</v>
      </c>
      <c r="C7060" s="449" t="s">
        <v>676</v>
      </c>
      <c r="D7060" s="451">
        <v>13.59</v>
      </c>
      <c r="E7060" s="210"/>
    </row>
    <row r="7061" spans="1:5" ht="25.5">
      <c r="A7061" s="449">
        <v>43059</v>
      </c>
      <c r="B7061" s="450" t="s">
        <v>7883</v>
      </c>
      <c r="C7061" s="449" t="s">
        <v>676</v>
      </c>
      <c r="D7061" s="451">
        <v>12.97</v>
      </c>
      <c r="E7061" s="210"/>
    </row>
    <row r="7062" spans="1:5" ht="25.5">
      <c r="A7062" s="449">
        <v>43062</v>
      </c>
      <c r="B7062" s="450" t="s">
        <v>7884</v>
      </c>
      <c r="C7062" s="449" t="s">
        <v>676</v>
      </c>
      <c r="D7062" s="451">
        <v>14.37</v>
      </c>
      <c r="E7062" s="210"/>
    </row>
    <row r="7063" spans="1:5">
      <c r="A7063" s="449">
        <v>43060</v>
      </c>
      <c r="B7063" s="450" t="s">
        <v>7885</v>
      </c>
      <c r="C7063" s="449" t="s">
        <v>676</v>
      </c>
      <c r="D7063" s="451">
        <v>11.3</v>
      </c>
      <c r="E7063" s="210"/>
    </row>
    <row r="7064" spans="1:5" ht="38.25">
      <c r="A7064" s="449">
        <v>20063</v>
      </c>
      <c r="B7064" s="450" t="s">
        <v>7886</v>
      </c>
      <c r="C7064" s="449" t="s">
        <v>679</v>
      </c>
      <c r="D7064" s="451">
        <v>4.2300000000000004</v>
      </c>
      <c r="E7064" s="210"/>
    </row>
    <row r="7065" spans="1:5" ht="38.25">
      <c r="A7065" s="449">
        <v>40410</v>
      </c>
      <c r="B7065" s="450" t="s">
        <v>7887</v>
      </c>
      <c r="C7065" s="449" t="s">
        <v>679</v>
      </c>
      <c r="D7065" s="451">
        <v>24.22</v>
      </c>
      <c r="E7065" s="210"/>
    </row>
    <row r="7066" spans="1:5" ht="38.25">
      <c r="A7066" s="449">
        <v>40411</v>
      </c>
      <c r="B7066" s="450" t="s">
        <v>7888</v>
      </c>
      <c r="C7066" s="449" t="s">
        <v>679</v>
      </c>
      <c r="D7066" s="451">
        <v>26.28</v>
      </c>
      <c r="E7066" s="210"/>
    </row>
    <row r="7067" spans="1:5" ht="38.25">
      <c r="A7067" s="449">
        <v>40412</v>
      </c>
      <c r="B7067" s="450" t="s">
        <v>7889</v>
      </c>
      <c r="C7067" s="449" t="s">
        <v>679</v>
      </c>
      <c r="D7067" s="451">
        <v>29.5</v>
      </c>
      <c r="E7067" s="210"/>
    </row>
    <row r="7068" spans="1:5" ht="25.5">
      <c r="A7068" s="449">
        <v>38838</v>
      </c>
      <c r="B7068" s="450" t="s">
        <v>7890</v>
      </c>
      <c r="C7068" s="449" t="s">
        <v>679</v>
      </c>
      <c r="D7068" s="451">
        <v>11.73</v>
      </c>
      <c r="E7068" s="210"/>
    </row>
    <row r="7069" spans="1:5" ht="25.5">
      <c r="A7069" s="449">
        <v>38839</v>
      </c>
      <c r="B7069" s="450" t="s">
        <v>7891</v>
      </c>
      <c r="C7069" s="449" t="s">
        <v>679</v>
      </c>
      <c r="D7069" s="451">
        <v>13.81</v>
      </c>
      <c r="E7069" s="210"/>
    </row>
    <row r="7070" spans="1:5" ht="51">
      <c r="A7070" s="449">
        <v>55</v>
      </c>
      <c r="B7070" s="450" t="s">
        <v>7892</v>
      </c>
      <c r="C7070" s="449" t="s">
        <v>679</v>
      </c>
      <c r="D7070" s="451">
        <v>4.88</v>
      </c>
      <c r="E7070" s="210"/>
    </row>
    <row r="7071" spans="1:5" ht="51">
      <c r="A7071" s="449">
        <v>61</v>
      </c>
      <c r="B7071" s="450" t="s">
        <v>7893</v>
      </c>
      <c r="C7071" s="449" t="s">
        <v>679</v>
      </c>
      <c r="D7071" s="451">
        <v>4.6100000000000003</v>
      </c>
      <c r="E7071" s="210"/>
    </row>
    <row r="7072" spans="1:5" ht="51">
      <c r="A7072" s="449">
        <v>62</v>
      </c>
      <c r="B7072" s="450" t="s">
        <v>7894</v>
      </c>
      <c r="C7072" s="449" t="s">
        <v>679</v>
      </c>
      <c r="D7072" s="451">
        <v>9.56</v>
      </c>
      <c r="E7072" s="210"/>
    </row>
    <row r="7073" spans="1:5" ht="38.25">
      <c r="A7073" s="449">
        <v>77</v>
      </c>
      <c r="B7073" s="450" t="s">
        <v>7895</v>
      </c>
      <c r="C7073" s="449" t="s">
        <v>679</v>
      </c>
      <c r="D7073" s="451">
        <v>1.1200000000000001</v>
      </c>
      <c r="E7073" s="210"/>
    </row>
    <row r="7074" spans="1:5" ht="25.5">
      <c r="A7074" s="449">
        <v>76</v>
      </c>
      <c r="B7074" s="450" t="s">
        <v>7896</v>
      </c>
      <c r="C7074" s="449" t="s">
        <v>679</v>
      </c>
      <c r="D7074" s="451">
        <v>1.1399999999999999</v>
      </c>
      <c r="E7074" s="210"/>
    </row>
    <row r="7075" spans="1:5" ht="25.5">
      <c r="A7075" s="449">
        <v>67</v>
      </c>
      <c r="B7075" s="450" t="s">
        <v>7897</v>
      </c>
      <c r="C7075" s="449" t="s">
        <v>679</v>
      </c>
      <c r="D7075" s="451">
        <v>10.98</v>
      </c>
      <c r="E7075" s="210"/>
    </row>
    <row r="7076" spans="1:5" ht="25.5">
      <c r="A7076" s="449">
        <v>71</v>
      </c>
      <c r="B7076" s="450" t="s">
        <v>7898</v>
      </c>
      <c r="C7076" s="449" t="s">
        <v>679</v>
      </c>
      <c r="D7076" s="451">
        <v>20.18</v>
      </c>
      <c r="E7076" s="210"/>
    </row>
    <row r="7077" spans="1:5" ht="25.5">
      <c r="A7077" s="449">
        <v>73</v>
      </c>
      <c r="B7077" s="450" t="s">
        <v>7899</v>
      </c>
      <c r="C7077" s="449" t="s">
        <v>679</v>
      </c>
      <c r="D7077" s="451">
        <v>15.07</v>
      </c>
      <c r="E7077" s="210"/>
    </row>
    <row r="7078" spans="1:5" ht="25.5">
      <c r="A7078" s="449">
        <v>103</v>
      </c>
      <c r="B7078" s="450" t="s">
        <v>7900</v>
      </c>
      <c r="C7078" s="449" t="s">
        <v>679</v>
      </c>
      <c r="D7078" s="451">
        <v>44.81</v>
      </c>
      <c r="E7078" s="210"/>
    </row>
    <row r="7079" spans="1:5" ht="25.5">
      <c r="A7079" s="449">
        <v>107</v>
      </c>
      <c r="B7079" s="450" t="s">
        <v>7901</v>
      </c>
      <c r="C7079" s="449" t="s">
        <v>679</v>
      </c>
      <c r="D7079" s="451">
        <v>0.7</v>
      </c>
      <c r="E7079" s="210"/>
    </row>
    <row r="7080" spans="1:5" ht="25.5">
      <c r="A7080" s="449">
        <v>65</v>
      </c>
      <c r="B7080" s="450" t="s">
        <v>7902</v>
      </c>
      <c r="C7080" s="449" t="s">
        <v>679</v>
      </c>
      <c r="D7080" s="451">
        <v>0.86</v>
      </c>
      <c r="E7080" s="210"/>
    </row>
    <row r="7081" spans="1:5" ht="25.5">
      <c r="A7081" s="449">
        <v>108</v>
      </c>
      <c r="B7081" s="450" t="s">
        <v>7903</v>
      </c>
      <c r="C7081" s="449" t="s">
        <v>679</v>
      </c>
      <c r="D7081" s="451">
        <v>1.79</v>
      </c>
      <c r="E7081" s="210"/>
    </row>
    <row r="7082" spans="1:5" ht="25.5">
      <c r="A7082" s="449">
        <v>110</v>
      </c>
      <c r="B7082" s="450" t="s">
        <v>7904</v>
      </c>
      <c r="C7082" s="449" t="s">
        <v>679</v>
      </c>
      <c r="D7082" s="451">
        <v>6.92</v>
      </c>
      <c r="E7082" s="210"/>
    </row>
    <row r="7083" spans="1:5" ht="25.5">
      <c r="A7083" s="449">
        <v>109</v>
      </c>
      <c r="B7083" s="450" t="s">
        <v>7905</v>
      </c>
      <c r="C7083" s="449" t="s">
        <v>679</v>
      </c>
      <c r="D7083" s="451">
        <v>3.41</v>
      </c>
      <c r="E7083" s="210"/>
    </row>
    <row r="7084" spans="1:5" ht="25.5">
      <c r="A7084" s="449">
        <v>111</v>
      </c>
      <c r="B7084" s="450" t="s">
        <v>7906</v>
      </c>
      <c r="C7084" s="449" t="s">
        <v>679</v>
      </c>
      <c r="D7084" s="451">
        <v>7.98</v>
      </c>
      <c r="E7084" s="210"/>
    </row>
    <row r="7085" spans="1:5" ht="25.5">
      <c r="A7085" s="449">
        <v>112</v>
      </c>
      <c r="B7085" s="450" t="s">
        <v>7907</v>
      </c>
      <c r="C7085" s="449" t="s">
        <v>679</v>
      </c>
      <c r="D7085" s="451">
        <v>4.34</v>
      </c>
      <c r="E7085" s="210"/>
    </row>
    <row r="7086" spans="1:5" ht="25.5">
      <c r="A7086" s="449">
        <v>113</v>
      </c>
      <c r="B7086" s="450" t="s">
        <v>7908</v>
      </c>
      <c r="C7086" s="449" t="s">
        <v>679</v>
      </c>
      <c r="D7086" s="451">
        <v>11.79</v>
      </c>
      <c r="E7086" s="210"/>
    </row>
    <row r="7087" spans="1:5" ht="25.5">
      <c r="A7087" s="449">
        <v>104</v>
      </c>
      <c r="B7087" s="450" t="s">
        <v>7909</v>
      </c>
      <c r="C7087" s="449" t="s">
        <v>679</v>
      </c>
      <c r="D7087" s="451">
        <v>17.14</v>
      </c>
      <c r="E7087" s="210"/>
    </row>
    <row r="7088" spans="1:5" ht="25.5">
      <c r="A7088" s="449">
        <v>102</v>
      </c>
      <c r="B7088" s="450" t="s">
        <v>7910</v>
      </c>
      <c r="C7088" s="449" t="s">
        <v>679</v>
      </c>
      <c r="D7088" s="451">
        <v>28.14</v>
      </c>
      <c r="E7088" s="210"/>
    </row>
    <row r="7089" spans="1:5" ht="38.25">
      <c r="A7089" s="449">
        <v>95</v>
      </c>
      <c r="B7089" s="450" t="s">
        <v>7911</v>
      </c>
      <c r="C7089" s="449" t="s">
        <v>679</v>
      </c>
      <c r="D7089" s="451">
        <v>9.5299999999999994</v>
      </c>
      <c r="E7089" s="210"/>
    </row>
    <row r="7090" spans="1:5" ht="38.25">
      <c r="A7090" s="449">
        <v>96</v>
      </c>
      <c r="B7090" s="450" t="s">
        <v>7912</v>
      </c>
      <c r="C7090" s="449" t="s">
        <v>679</v>
      </c>
      <c r="D7090" s="451">
        <v>10.95</v>
      </c>
      <c r="E7090" s="210"/>
    </row>
    <row r="7091" spans="1:5" ht="38.25">
      <c r="A7091" s="449">
        <v>97</v>
      </c>
      <c r="B7091" s="450" t="s">
        <v>7913</v>
      </c>
      <c r="C7091" s="449" t="s">
        <v>679</v>
      </c>
      <c r="D7091" s="451">
        <v>14.23</v>
      </c>
      <c r="E7091" s="210"/>
    </row>
    <row r="7092" spans="1:5" ht="38.25">
      <c r="A7092" s="449">
        <v>98</v>
      </c>
      <c r="B7092" s="450" t="s">
        <v>7914</v>
      </c>
      <c r="C7092" s="449" t="s">
        <v>679</v>
      </c>
      <c r="D7092" s="451">
        <v>19.18</v>
      </c>
      <c r="E7092" s="210"/>
    </row>
    <row r="7093" spans="1:5" ht="38.25">
      <c r="A7093" s="449">
        <v>99</v>
      </c>
      <c r="B7093" s="450" t="s">
        <v>7915</v>
      </c>
      <c r="C7093" s="449" t="s">
        <v>679</v>
      </c>
      <c r="D7093" s="451">
        <v>23.26</v>
      </c>
      <c r="E7093" s="210"/>
    </row>
    <row r="7094" spans="1:5" ht="38.25">
      <c r="A7094" s="449">
        <v>100</v>
      </c>
      <c r="B7094" s="450" t="s">
        <v>7916</v>
      </c>
      <c r="C7094" s="449" t="s">
        <v>679</v>
      </c>
      <c r="D7094" s="451">
        <v>32.44</v>
      </c>
      <c r="E7094" s="210"/>
    </row>
    <row r="7095" spans="1:5" ht="25.5">
      <c r="A7095" s="449">
        <v>75</v>
      </c>
      <c r="B7095" s="450" t="s">
        <v>7917</v>
      </c>
      <c r="C7095" s="449" t="s">
        <v>679</v>
      </c>
      <c r="D7095" s="451">
        <v>338.16</v>
      </c>
      <c r="E7095" s="210"/>
    </row>
    <row r="7096" spans="1:5" ht="25.5">
      <c r="A7096" s="449">
        <v>114</v>
      </c>
      <c r="B7096" s="450" t="s">
        <v>7918</v>
      </c>
      <c r="C7096" s="449" t="s">
        <v>679</v>
      </c>
      <c r="D7096" s="451">
        <v>12.32</v>
      </c>
      <c r="E7096" s="210"/>
    </row>
    <row r="7097" spans="1:5" ht="25.5">
      <c r="A7097" s="449">
        <v>68</v>
      </c>
      <c r="B7097" s="450" t="s">
        <v>7919</v>
      </c>
      <c r="C7097" s="449" t="s">
        <v>679</v>
      </c>
      <c r="D7097" s="451">
        <v>18.84</v>
      </c>
      <c r="E7097" s="210"/>
    </row>
    <row r="7098" spans="1:5" ht="25.5">
      <c r="A7098" s="449">
        <v>86</v>
      </c>
      <c r="B7098" s="450" t="s">
        <v>7920</v>
      </c>
      <c r="C7098" s="449" t="s">
        <v>679</v>
      </c>
      <c r="D7098" s="451">
        <v>35.03</v>
      </c>
      <c r="E7098" s="210"/>
    </row>
    <row r="7099" spans="1:5" ht="25.5">
      <c r="A7099" s="449">
        <v>66</v>
      </c>
      <c r="B7099" s="450" t="s">
        <v>7921</v>
      </c>
      <c r="C7099" s="449" t="s">
        <v>679</v>
      </c>
      <c r="D7099" s="451">
        <v>35.15</v>
      </c>
      <c r="E7099" s="210"/>
    </row>
    <row r="7100" spans="1:5" ht="25.5">
      <c r="A7100" s="449">
        <v>69</v>
      </c>
      <c r="B7100" s="450" t="s">
        <v>7922</v>
      </c>
      <c r="C7100" s="449" t="s">
        <v>679</v>
      </c>
      <c r="D7100" s="451">
        <v>53.73</v>
      </c>
      <c r="E7100" s="210"/>
    </row>
    <row r="7101" spans="1:5" ht="25.5">
      <c r="A7101" s="449">
        <v>83</v>
      </c>
      <c r="B7101" s="450" t="s">
        <v>7923</v>
      </c>
      <c r="C7101" s="449" t="s">
        <v>679</v>
      </c>
      <c r="D7101" s="451">
        <v>171.61</v>
      </c>
      <c r="E7101" s="210"/>
    </row>
    <row r="7102" spans="1:5" ht="25.5">
      <c r="A7102" s="449">
        <v>74</v>
      </c>
      <c r="B7102" s="450" t="s">
        <v>7924</v>
      </c>
      <c r="C7102" s="449" t="s">
        <v>679</v>
      </c>
      <c r="D7102" s="451">
        <v>239.59</v>
      </c>
      <c r="E7102" s="210"/>
    </row>
    <row r="7103" spans="1:5" ht="38.25">
      <c r="A7103" s="449">
        <v>106</v>
      </c>
      <c r="B7103" s="450" t="s">
        <v>7925</v>
      </c>
      <c r="C7103" s="449" t="s">
        <v>679</v>
      </c>
      <c r="D7103" s="451">
        <v>363.98</v>
      </c>
      <c r="E7103" s="210"/>
    </row>
    <row r="7104" spans="1:5" ht="38.25">
      <c r="A7104" s="449">
        <v>87</v>
      </c>
      <c r="B7104" s="450" t="s">
        <v>7926</v>
      </c>
      <c r="C7104" s="449" t="s">
        <v>679</v>
      </c>
      <c r="D7104" s="451">
        <v>17.3</v>
      </c>
      <c r="E7104" s="210"/>
    </row>
    <row r="7105" spans="1:5" ht="25.5">
      <c r="A7105" s="449">
        <v>88</v>
      </c>
      <c r="B7105" s="450" t="s">
        <v>7927</v>
      </c>
      <c r="C7105" s="449" t="s">
        <v>679</v>
      </c>
      <c r="D7105" s="451">
        <v>19.309999999999999</v>
      </c>
      <c r="E7105" s="210"/>
    </row>
    <row r="7106" spans="1:5" ht="38.25">
      <c r="A7106" s="449">
        <v>89</v>
      </c>
      <c r="B7106" s="450" t="s">
        <v>7928</v>
      </c>
      <c r="C7106" s="449" t="s">
        <v>679</v>
      </c>
      <c r="D7106" s="451">
        <v>28.55</v>
      </c>
      <c r="E7106" s="210"/>
    </row>
    <row r="7107" spans="1:5" ht="38.25">
      <c r="A7107" s="449">
        <v>90</v>
      </c>
      <c r="B7107" s="450" t="s">
        <v>7929</v>
      </c>
      <c r="C7107" s="449" t="s">
        <v>679</v>
      </c>
      <c r="D7107" s="451">
        <v>32.71</v>
      </c>
      <c r="E7107" s="210"/>
    </row>
    <row r="7108" spans="1:5" ht="25.5">
      <c r="A7108" s="449">
        <v>81</v>
      </c>
      <c r="B7108" s="450" t="s">
        <v>7930</v>
      </c>
      <c r="C7108" s="449" t="s">
        <v>679</v>
      </c>
      <c r="D7108" s="451">
        <v>55.94</v>
      </c>
      <c r="E7108" s="210"/>
    </row>
    <row r="7109" spans="1:5" ht="38.25">
      <c r="A7109" s="449">
        <v>82</v>
      </c>
      <c r="B7109" s="450" t="s">
        <v>7931</v>
      </c>
      <c r="C7109" s="449" t="s">
        <v>679</v>
      </c>
      <c r="D7109" s="451">
        <v>217.17</v>
      </c>
      <c r="E7109" s="210"/>
    </row>
    <row r="7110" spans="1:5" ht="25.5">
      <c r="A7110" s="449">
        <v>105</v>
      </c>
      <c r="B7110" s="450" t="s">
        <v>7932</v>
      </c>
      <c r="C7110" s="449" t="s">
        <v>679</v>
      </c>
      <c r="D7110" s="451">
        <v>254.26</v>
      </c>
      <c r="E7110" s="210"/>
    </row>
    <row r="7111" spans="1:5" ht="25.5">
      <c r="A7111" s="449">
        <v>60</v>
      </c>
      <c r="B7111" s="450" t="s">
        <v>7933</v>
      </c>
      <c r="C7111" s="449" t="s">
        <v>679</v>
      </c>
      <c r="D7111" s="451">
        <v>6.33</v>
      </c>
      <c r="E7111" s="210"/>
    </row>
    <row r="7112" spans="1:5" ht="25.5">
      <c r="A7112" s="449">
        <v>72</v>
      </c>
      <c r="B7112" s="450" t="s">
        <v>7934</v>
      </c>
      <c r="C7112" s="449" t="s">
        <v>679</v>
      </c>
      <c r="D7112" s="451">
        <v>34.200000000000003</v>
      </c>
      <c r="E7112" s="210"/>
    </row>
    <row r="7113" spans="1:5" ht="25.5">
      <c r="A7113" s="449">
        <v>70</v>
      </c>
      <c r="B7113" s="450" t="s">
        <v>7935</v>
      </c>
      <c r="C7113" s="449" t="s">
        <v>679</v>
      </c>
      <c r="D7113" s="451">
        <v>28.6</v>
      </c>
      <c r="E7113" s="210"/>
    </row>
    <row r="7114" spans="1:5" ht="25.5">
      <c r="A7114" s="449">
        <v>85</v>
      </c>
      <c r="B7114" s="450" t="s">
        <v>7936</v>
      </c>
      <c r="C7114" s="449" t="s">
        <v>679</v>
      </c>
      <c r="D7114" s="451">
        <v>41.51</v>
      </c>
      <c r="E7114" s="210"/>
    </row>
    <row r="7115" spans="1:5" ht="25.5">
      <c r="A7115" s="449">
        <v>84</v>
      </c>
      <c r="B7115" s="450" t="s">
        <v>7937</v>
      </c>
      <c r="C7115" s="449" t="s">
        <v>679</v>
      </c>
      <c r="D7115" s="451">
        <v>0.48</v>
      </c>
      <c r="E7115" s="210"/>
    </row>
    <row r="7116" spans="1:5" ht="25.5">
      <c r="A7116" s="449">
        <v>37997</v>
      </c>
      <c r="B7116" s="450" t="s">
        <v>7938</v>
      </c>
      <c r="C7116" s="449" t="s">
        <v>679</v>
      </c>
      <c r="D7116" s="451">
        <v>8.74</v>
      </c>
      <c r="E7116" s="210"/>
    </row>
    <row r="7117" spans="1:5" ht="25.5">
      <c r="A7117" s="449">
        <v>37998</v>
      </c>
      <c r="B7117" s="450" t="s">
        <v>7939</v>
      </c>
      <c r="C7117" s="449" t="s">
        <v>679</v>
      </c>
      <c r="D7117" s="451">
        <v>9.06</v>
      </c>
      <c r="E7117" s="210"/>
    </row>
    <row r="7118" spans="1:5" ht="38.25">
      <c r="A7118" s="449">
        <v>10899</v>
      </c>
      <c r="B7118" s="450" t="s">
        <v>7940</v>
      </c>
      <c r="C7118" s="449" t="s">
        <v>679</v>
      </c>
      <c r="D7118" s="451">
        <v>66.8</v>
      </c>
      <c r="E7118" s="210"/>
    </row>
    <row r="7119" spans="1:5" ht="38.25">
      <c r="A7119" s="449">
        <v>10900</v>
      </c>
      <c r="B7119" s="450" t="s">
        <v>7941</v>
      </c>
      <c r="C7119" s="449" t="s">
        <v>679</v>
      </c>
      <c r="D7119" s="451">
        <v>52.28</v>
      </c>
      <c r="E7119" s="210"/>
    </row>
    <row r="7120" spans="1:5" ht="25.5">
      <c r="A7120" s="449">
        <v>46</v>
      </c>
      <c r="B7120" s="450" t="s">
        <v>7942</v>
      </c>
      <c r="C7120" s="449" t="s">
        <v>679</v>
      </c>
      <c r="D7120" s="451">
        <v>52.23</v>
      </c>
      <c r="E7120" s="210"/>
    </row>
    <row r="7121" spans="1:5" ht="25.5">
      <c r="A7121" s="449">
        <v>51</v>
      </c>
      <c r="B7121" s="450" t="s">
        <v>7943</v>
      </c>
      <c r="C7121" s="449" t="s">
        <v>679</v>
      </c>
      <c r="D7121" s="451">
        <v>144.1</v>
      </c>
      <c r="E7121" s="210"/>
    </row>
    <row r="7122" spans="1:5" ht="25.5">
      <c r="A7122" s="449">
        <v>12863</v>
      </c>
      <c r="B7122" s="450" t="s">
        <v>7944</v>
      </c>
      <c r="C7122" s="449" t="s">
        <v>679</v>
      </c>
      <c r="D7122" s="451">
        <v>33.19</v>
      </c>
      <c r="E7122" s="210"/>
    </row>
    <row r="7123" spans="1:5" ht="25.5">
      <c r="A7123" s="449">
        <v>50</v>
      </c>
      <c r="B7123" s="450" t="s">
        <v>7945</v>
      </c>
      <c r="C7123" s="449" t="s">
        <v>679</v>
      </c>
      <c r="D7123" s="451">
        <v>75.25</v>
      </c>
      <c r="E7123" s="210"/>
    </row>
    <row r="7124" spans="1:5" ht="25.5">
      <c r="A7124" s="449">
        <v>47</v>
      </c>
      <c r="B7124" s="450" t="s">
        <v>7946</v>
      </c>
      <c r="C7124" s="449" t="s">
        <v>679</v>
      </c>
      <c r="D7124" s="451">
        <v>89.31</v>
      </c>
      <c r="E7124" s="210"/>
    </row>
    <row r="7125" spans="1:5" ht="25.5">
      <c r="A7125" s="449">
        <v>48</v>
      </c>
      <c r="B7125" s="450" t="s">
        <v>7947</v>
      </c>
      <c r="C7125" s="449" t="s">
        <v>679</v>
      </c>
      <c r="D7125" s="451">
        <v>23.3</v>
      </c>
      <c r="E7125" s="210"/>
    </row>
    <row r="7126" spans="1:5" ht="25.5">
      <c r="A7126" s="449">
        <v>52</v>
      </c>
      <c r="B7126" s="450" t="s">
        <v>7948</v>
      </c>
      <c r="C7126" s="449" t="s">
        <v>679</v>
      </c>
      <c r="D7126" s="451">
        <v>17.7</v>
      </c>
      <c r="E7126" s="210"/>
    </row>
    <row r="7127" spans="1:5" ht="25.5">
      <c r="A7127" s="449">
        <v>43</v>
      </c>
      <c r="B7127" s="450" t="s">
        <v>7949</v>
      </c>
      <c r="C7127" s="449" t="s">
        <v>679</v>
      </c>
      <c r="D7127" s="451">
        <v>59.73</v>
      </c>
      <c r="E7127" s="210"/>
    </row>
    <row r="7128" spans="1:5">
      <c r="A7128" s="449">
        <v>4791</v>
      </c>
      <c r="B7128" s="450" t="s">
        <v>7950</v>
      </c>
      <c r="C7128" s="449" t="s">
        <v>676</v>
      </c>
      <c r="D7128" s="451">
        <v>13.42</v>
      </c>
      <c r="E7128" s="210"/>
    </row>
    <row r="7129" spans="1:5" ht="38.25">
      <c r="A7129" s="449">
        <v>157</v>
      </c>
      <c r="B7129" s="450" t="s">
        <v>7951</v>
      </c>
      <c r="C7129" s="449" t="s">
        <v>676</v>
      </c>
      <c r="D7129" s="451">
        <v>113.03</v>
      </c>
      <c r="E7129" s="210"/>
    </row>
    <row r="7130" spans="1:5" ht="25.5">
      <c r="A7130" s="449">
        <v>156</v>
      </c>
      <c r="B7130" s="450" t="s">
        <v>7952</v>
      </c>
      <c r="C7130" s="449" t="s">
        <v>676</v>
      </c>
      <c r="D7130" s="451">
        <v>40.24</v>
      </c>
      <c r="E7130" s="210"/>
    </row>
    <row r="7131" spans="1:5" ht="25.5">
      <c r="A7131" s="449">
        <v>131</v>
      </c>
      <c r="B7131" s="450" t="s">
        <v>7953</v>
      </c>
      <c r="C7131" s="449" t="s">
        <v>676</v>
      </c>
      <c r="D7131" s="451">
        <v>34.409999999999997</v>
      </c>
      <c r="E7131" s="210"/>
    </row>
    <row r="7132" spans="1:5" ht="38.25">
      <c r="A7132" s="449">
        <v>39719</v>
      </c>
      <c r="B7132" s="450" t="s">
        <v>7954</v>
      </c>
      <c r="C7132" s="449" t="s">
        <v>678</v>
      </c>
      <c r="D7132" s="451">
        <v>108.84</v>
      </c>
      <c r="E7132" s="210"/>
    </row>
    <row r="7133" spans="1:5">
      <c r="A7133" s="449">
        <v>21114</v>
      </c>
      <c r="B7133" s="450" t="s">
        <v>7955</v>
      </c>
      <c r="C7133" s="449" t="s">
        <v>679</v>
      </c>
      <c r="D7133" s="451">
        <v>23.32</v>
      </c>
      <c r="E7133" s="210"/>
    </row>
    <row r="7134" spans="1:5" ht="25.5">
      <c r="A7134" s="449">
        <v>119</v>
      </c>
      <c r="B7134" s="450" t="s">
        <v>7956</v>
      </c>
      <c r="C7134" s="449" t="s">
        <v>679</v>
      </c>
      <c r="D7134" s="451">
        <v>9.1999999999999993</v>
      </c>
      <c r="E7134" s="210"/>
    </row>
    <row r="7135" spans="1:5" ht="25.5">
      <c r="A7135" s="449">
        <v>20080</v>
      </c>
      <c r="B7135" s="450" t="s">
        <v>7957</v>
      </c>
      <c r="C7135" s="449" t="s">
        <v>679</v>
      </c>
      <c r="D7135" s="451">
        <v>26.38</v>
      </c>
      <c r="E7135" s="210"/>
    </row>
    <row r="7136" spans="1:5" ht="25.5">
      <c r="A7136" s="449">
        <v>122</v>
      </c>
      <c r="B7136" s="450" t="s">
        <v>7958</v>
      </c>
      <c r="C7136" s="449" t="s">
        <v>679</v>
      </c>
      <c r="D7136" s="451">
        <v>83.11</v>
      </c>
      <c r="E7136" s="210"/>
    </row>
    <row r="7137" spans="1:5" ht="25.5">
      <c r="A7137" s="449">
        <v>3410</v>
      </c>
      <c r="B7137" s="450" t="s">
        <v>7959</v>
      </c>
      <c r="C7137" s="449" t="s">
        <v>676</v>
      </c>
      <c r="D7137" s="451">
        <v>30.64</v>
      </c>
      <c r="E7137" s="210"/>
    </row>
    <row r="7138" spans="1:5" ht="38.25">
      <c r="A7138" s="449">
        <v>124</v>
      </c>
      <c r="B7138" s="450" t="s">
        <v>7960</v>
      </c>
      <c r="C7138" s="449" t="s">
        <v>678</v>
      </c>
      <c r="D7138" s="451">
        <v>13.27</v>
      </c>
      <c r="E7138" s="210"/>
    </row>
    <row r="7139" spans="1:5" ht="25.5">
      <c r="A7139" s="449">
        <v>7334</v>
      </c>
      <c r="B7139" s="450" t="s">
        <v>7961</v>
      </c>
      <c r="C7139" s="449" t="s">
        <v>678</v>
      </c>
      <c r="D7139" s="451">
        <v>25.18</v>
      </c>
      <c r="E7139" s="210"/>
    </row>
    <row r="7140" spans="1:5" ht="38.25">
      <c r="A7140" s="449">
        <v>123</v>
      </c>
      <c r="B7140" s="450" t="s">
        <v>7962</v>
      </c>
      <c r="C7140" s="449" t="s">
        <v>678</v>
      </c>
      <c r="D7140" s="451">
        <v>5.43</v>
      </c>
      <c r="E7140" s="210"/>
    </row>
    <row r="7141" spans="1:5" ht="25.5">
      <c r="A7141" s="449">
        <v>127</v>
      </c>
      <c r="B7141" s="450" t="s">
        <v>7963</v>
      </c>
      <c r="C7141" s="449" t="s">
        <v>678</v>
      </c>
      <c r="D7141" s="451">
        <v>12.96</v>
      </c>
      <c r="E7141" s="210"/>
    </row>
    <row r="7142" spans="1:5" ht="25.5">
      <c r="A7142" s="449">
        <v>41373</v>
      </c>
      <c r="B7142" s="450" t="s">
        <v>7964</v>
      </c>
      <c r="C7142" s="449" t="s">
        <v>678</v>
      </c>
      <c r="D7142" s="451">
        <v>18.059999999999999</v>
      </c>
      <c r="E7142" s="210"/>
    </row>
    <row r="7143" spans="1:5" ht="38.25">
      <c r="A7143" s="449">
        <v>133</v>
      </c>
      <c r="B7143" s="450" t="s">
        <v>7965</v>
      </c>
      <c r="C7143" s="449" t="s">
        <v>678</v>
      </c>
      <c r="D7143" s="451">
        <v>5.38</v>
      </c>
      <c r="E7143" s="210"/>
    </row>
    <row r="7144" spans="1:5" ht="38.25">
      <c r="A7144" s="449">
        <v>43617</v>
      </c>
      <c r="B7144" s="450" t="s">
        <v>7966</v>
      </c>
      <c r="C7144" s="449" t="s">
        <v>678</v>
      </c>
      <c r="D7144" s="451">
        <v>6.01</v>
      </c>
      <c r="E7144" s="210"/>
    </row>
    <row r="7145" spans="1:5" ht="38.25">
      <c r="A7145" s="449">
        <v>132</v>
      </c>
      <c r="B7145" s="450" t="s">
        <v>7967</v>
      </c>
      <c r="C7145" s="449" t="s">
        <v>678</v>
      </c>
      <c r="D7145" s="451">
        <v>5.58</v>
      </c>
      <c r="E7145" s="210"/>
    </row>
    <row r="7146" spans="1:5" ht="38.25">
      <c r="A7146" s="449">
        <v>43618</v>
      </c>
      <c r="B7146" s="450" t="s">
        <v>7968</v>
      </c>
      <c r="C7146" s="449" t="s">
        <v>676</v>
      </c>
      <c r="D7146" s="451">
        <v>14.05</v>
      </c>
      <c r="E7146" s="210"/>
    </row>
    <row r="7147" spans="1:5" ht="63.75">
      <c r="A7147" s="449">
        <v>37476</v>
      </c>
      <c r="B7147" s="450" t="s">
        <v>7969</v>
      </c>
      <c r="C7147" s="449" t="s">
        <v>679</v>
      </c>
      <c r="D7147" s="451">
        <v>3311.09</v>
      </c>
      <c r="E7147" s="210"/>
    </row>
    <row r="7148" spans="1:5" ht="63.75">
      <c r="A7148" s="449">
        <v>37478</v>
      </c>
      <c r="B7148" s="450" t="s">
        <v>7970</v>
      </c>
      <c r="C7148" s="449" t="s">
        <v>679</v>
      </c>
      <c r="D7148" s="451">
        <v>4147.22</v>
      </c>
      <c r="E7148" s="210"/>
    </row>
    <row r="7149" spans="1:5" ht="63.75">
      <c r="A7149" s="449">
        <v>37477</v>
      </c>
      <c r="B7149" s="450" t="s">
        <v>7971</v>
      </c>
      <c r="C7149" s="449" t="s">
        <v>679</v>
      </c>
      <c r="D7149" s="451">
        <v>5618.82</v>
      </c>
      <c r="E7149" s="210"/>
    </row>
    <row r="7150" spans="1:5" ht="63.75">
      <c r="A7150" s="449">
        <v>37479</v>
      </c>
      <c r="B7150" s="450" t="s">
        <v>7972</v>
      </c>
      <c r="C7150" s="449" t="s">
        <v>679</v>
      </c>
      <c r="D7150" s="451">
        <v>6663.99</v>
      </c>
      <c r="E7150" s="210"/>
    </row>
    <row r="7151" spans="1:5" ht="25.5">
      <c r="A7151" s="449">
        <v>4319</v>
      </c>
      <c r="B7151" s="450" t="s">
        <v>7973</v>
      </c>
      <c r="C7151" s="449" t="s">
        <v>679</v>
      </c>
      <c r="D7151" s="451">
        <v>1.6</v>
      </c>
      <c r="E7151" s="210"/>
    </row>
    <row r="7152" spans="1:5" ht="25.5">
      <c r="A7152" s="449">
        <v>42409</v>
      </c>
      <c r="B7152" s="450" t="s">
        <v>7974</v>
      </c>
      <c r="C7152" s="449" t="s">
        <v>676</v>
      </c>
      <c r="D7152" s="451">
        <v>8.85</v>
      </c>
      <c r="E7152" s="210"/>
    </row>
    <row r="7153" spans="1:5" ht="25.5">
      <c r="A7153" s="449">
        <v>40553</v>
      </c>
      <c r="B7153" s="450" t="s">
        <v>7975</v>
      </c>
      <c r="C7153" s="449" t="s">
        <v>677</v>
      </c>
      <c r="D7153" s="451">
        <v>36.4</v>
      </c>
      <c r="E7153" s="210"/>
    </row>
    <row r="7154" spans="1:5">
      <c r="A7154" s="449">
        <v>6114</v>
      </c>
      <c r="B7154" s="450" t="s">
        <v>7976</v>
      </c>
      <c r="C7154" s="449" t="s">
        <v>682</v>
      </c>
      <c r="D7154" s="451">
        <v>9.52</v>
      </c>
      <c r="E7154" s="210"/>
    </row>
    <row r="7155" spans="1:5">
      <c r="A7155" s="449">
        <v>40912</v>
      </c>
      <c r="B7155" s="450" t="s">
        <v>7977</v>
      </c>
      <c r="C7155" s="449" t="s">
        <v>797</v>
      </c>
      <c r="D7155" s="451">
        <v>1688.71</v>
      </c>
      <c r="E7155" s="210"/>
    </row>
    <row r="7156" spans="1:5">
      <c r="A7156" s="449">
        <v>247</v>
      </c>
      <c r="B7156" s="450" t="s">
        <v>7978</v>
      </c>
      <c r="C7156" s="449" t="s">
        <v>682</v>
      </c>
      <c r="D7156" s="451">
        <v>9.93</v>
      </c>
      <c r="E7156" s="210"/>
    </row>
    <row r="7157" spans="1:5">
      <c r="A7157" s="449">
        <v>40919</v>
      </c>
      <c r="B7157" s="450" t="s">
        <v>7979</v>
      </c>
      <c r="C7157" s="449" t="s">
        <v>797</v>
      </c>
      <c r="D7157" s="451">
        <v>1760.22</v>
      </c>
      <c r="E7157" s="210"/>
    </row>
    <row r="7158" spans="1:5">
      <c r="A7158" s="449">
        <v>25958</v>
      </c>
      <c r="B7158" s="450" t="s">
        <v>7980</v>
      </c>
      <c r="C7158" s="449" t="s">
        <v>682</v>
      </c>
      <c r="D7158" s="451">
        <v>7.3</v>
      </c>
      <c r="E7158" s="210"/>
    </row>
    <row r="7159" spans="1:5" ht="25.5">
      <c r="A7159" s="449">
        <v>40984</v>
      </c>
      <c r="B7159" s="450" t="s">
        <v>7981</v>
      </c>
      <c r="C7159" s="449" t="s">
        <v>797</v>
      </c>
      <c r="D7159" s="451">
        <v>1293.8599999999999</v>
      </c>
      <c r="E7159" s="210"/>
    </row>
    <row r="7160" spans="1:5">
      <c r="A7160" s="449">
        <v>248</v>
      </c>
      <c r="B7160" s="450" t="s">
        <v>7982</v>
      </c>
      <c r="C7160" s="449" t="s">
        <v>682</v>
      </c>
      <c r="D7160" s="451">
        <v>9.85</v>
      </c>
      <c r="E7160" s="210"/>
    </row>
    <row r="7161" spans="1:5" ht="25.5">
      <c r="A7161" s="449">
        <v>41086</v>
      </c>
      <c r="B7161" s="450" t="s">
        <v>7983</v>
      </c>
      <c r="C7161" s="449" t="s">
        <v>797</v>
      </c>
      <c r="D7161" s="451">
        <v>1747.41</v>
      </c>
      <c r="E7161" s="210"/>
    </row>
    <row r="7162" spans="1:5">
      <c r="A7162" s="449">
        <v>34466</v>
      </c>
      <c r="B7162" s="450" t="s">
        <v>7984</v>
      </c>
      <c r="C7162" s="449" t="s">
        <v>682</v>
      </c>
      <c r="D7162" s="451">
        <v>9.85</v>
      </c>
      <c r="E7162" s="210"/>
    </row>
    <row r="7163" spans="1:5">
      <c r="A7163" s="449">
        <v>41083</v>
      </c>
      <c r="B7163" s="450" t="s">
        <v>7985</v>
      </c>
      <c r="C7163" s="449" t="s">
        <v>797</v>
      </c>
      <c r="D7163" s="451">
        <v>1747.41</v>
      </c>
      <c r="E7163" s="210"/>
    </row>
    <row r="7164" spans="1:5">
      <c r="A7164" s="449">
        <v>252</v>
      </c>
      <c r="B7164" s="450" t="s">
        <v>7986</v>
      </c>
      <c r="C7164" s="449" t="s">
        <v>682</v>
      </c>
      <c r="D7164" s="451">
        <v>10.199999999999999</v>
      </c>
      <c r="E7164" s="181"/>
    </row>
    <row r="7165" spans="1:5">
      <c r="A7165" s="449">
        <v>40909</v>
      </c>
      <c r="B7165" s="450" t="s">
        <v>7987</v>
      </c>
      <c r="C7165" s="449" t="s">
        <v>797</v>
      </c>
      <c r="D7165" s="451">
        <v>1811.3</v>
      </c>
      <c r="E7165" s="210"/>
    </row>
    <row r="7166" spans="1:5">
      <c r="A7166" s="449">
        <v>242</v>
      </c>
      <c r="B7166" s="450" t="s">
        <v>7988</v>
      </c>
      <c r="C7166" s="449" t="s">
        <v>682</v>
      </c>
      <c r="D7166" s="451">
        <v>13.18</v>
      </c>
      <c r="E7166" s="210"/>
    </row>
    <row r="7167" spans="1:5">
      <c r="A7167" s="449">
        <v>41085</v>
      </c>
      <c r="B7167" s="450" t="s">
        <v>7989</v>
      </c>
      <c r="C7167" s="449" t="s">
        <v>797</v>
      </c>
      <c r="D7167" s="451">
        <v>2338.48</v>
      </c>
      <c r="E7167" s="210"/>
    </row>
    <row r="7168" spans="1:5" ht="38.25">
      <c r="A7168" s="449">
        <v>427</v>
      </c>
      <c r="B7168" s="450" t="s">
        <v>7990</v>
      </c>
      <c r="C7168" s="449" t="s">
        <v>679</v>
      </c>
      <c r="D7168" s="451">
        <v>7.56</v>
      </c>
      <c r="E7168" s="210"/>
    </row>
    <row r="7169" spans="1:5" ht="38.25">
      <c r="A7169" s="449">
        <v>417</v>
      </c>
      <c r="B7169" s="450" t="s">
        <v>7991</v>
      </c>
      <c r="C7169" s="449" t="s">
        <v>679</v>
      </c>
      <c r="D7169" s="451">
        <v>3.56</v>
      </c>
      <c r="E7169" s="210"/>
    </row>
    <row r="7170" spans="1:5" ht="38.25">
      <c r="A7170" s="449">
        <v>11273</v>
      </c>
      <c r="B7170" s="450" t="s">
        <v>7992</v>
      </c>
      <c r="C7170" s="449" t="s">
        <v>679</v>
      </c>
      <c r="D7170" s="451">
        <v>11.06</v>
      </c>
      <c r="E7170" s="210"/>
    </row>
    <row r="7171" spans="1:5" ht="38.25">
      <c r="A7171" s="449">
        <v>11272</v>
      </c>
      <c r="B7171" s="450" t="s">
        <v>7993</v>
      </c>
      <c r="C7171" s="449" t="s">
        <v>679</v>
      </c>
      <c r="D7171" s="451">
        <v>6.68</v>
      </c>
      <c r="E7171" s="210"/>
    </row>
    <row r="7172" spans="1:5" ht="38.25">
      <c r="A7172" s="449">
        <v>11275</v>
      </c>
      <c r="B7172" s="450" t="s">
        <v>7994</v>
      </c>
      <c r="C7172" s="449" t="s">
        <v>679</v>
      </c>
      <c r="D7172" s="451">
        <v>2.68</v>
      </c>
      <c r="E7172" s="210"/>
    </row>
    <row r="7173" spans="1:5" ht="38.25">
      <c r="A7173" s="449">
        <v>11274</v>
      </c>
      <c r="B7173" s="450" t="s">
        <v>7995</v>
      </c>
      <c r="C7173" s="449" t="s">
        <v>679</v>
      </c>
      <c r="D7173" s="451">
        <v>2.04</v>
      </c>
      <c r="E7173" s="210"/>
    </row>
    <row r="7174" spans="1:5" ht="25.5">
      <c r="A7174" s="449">
        <v>38470</v>
      </c>
      <c r="B7174" s="450" t="s">
        <v>7996</v>
      </c>
      <c r="C7174" s="449" t="s">
        <v>679</v>
      </c>
      <c r="D7174" s="451">
        <v>34.4</v>
      </c>
      <c r="E7174" s="210"/>
    </row>
    <row r="7175" spans="1:5">
      <c r="A7175" s="449">
        <v>38547</v>
      </c>
      <c r="B7175" s="450" t="s">
        <v>7997</v>
      </c>
      <c r="C7175" s="449" t="s">
        <v>679</v>
      </c>
      <c r="D7175" s="451">
        <v>93.87</v>
      </c>
      <c r="E7175" s="210"/>
    </row>
    <row r="7176" spans="1:5" ht="25.5">
      <c r="A7176" s="449">
        <v>38469</v>
      </c>
      <c r="B7176" s="450" t="s">
        <v>7998</v>
      </c>
      <c r="C7176" s="449" t="s">
        <v>679</v>
      </c>
      <c r="D7176" s="451">
        <v>100.93</v>
      </c>
      <c r="E7176" s="210"/>
    </row>
    <row r="7177" spans="1:5">
      <c r="A7177" s="449">
        <v>38467</v>
      </c>
      <c r="B7177" s="450" t="s">
        <v>7999</v>
      </c>
      <c r="C7177" s="449" t="s">
        <v>679</v>
      </c>
      <c r="D7177" s="451">
        <v>56.79</v>
      </c>
      <c r="E7177" s="210"/>
    </row>
    <row r="7178" spans="1:5">
      <c r="A7178" s="449">
        <v>38468</v>
      </c>
      <c r="B7178" s="450" t="s">
        <v>8000</v>
      </c>
      <c r="C7178" s="449" t="s">
        <v>679</v>
      </c>
      <c r="D7178" s="451">
        <v>62.49</v>
      </c>
      <c r="E7178" s="210"/>
    </row>
    <row r="7179" spans="1:5" ht="25.5">
      <c r="A7179" s="449">
        <v>38471</v>
      </c>
      <c r="B7179" s="450" t="s">
        <v>8001</v>
      </c>
      <c r="C7179" s="449" t="s">
        <v>679</v>
      </c>
      <c r="D7179" s="451">
        <v>81.16</v>
      </c>
      <c r="E7179" s="210"/>
    </row>
    <row r="7180" spans="1:5">
      <c r="A7180" s="449">
        <v>37370</v>
      </c>
      <c r="B7180" s="450" t="s">
        <v>8002</v>
      </c>
      <c r="C7180" s="449" t="s">
        <v>682</v>
      </c>
      <c r="D7180" s="451">
        <v>0.96</v>
      </c>
      <c r="E7180" s="210"/>
    </row>
    <row r="7181" spans="1:5">
      <c r="A7181" s="449">
        <v>40862</v>
      </c>
      <c r="B7181" s="450" t="s">
        <v>8003</v>
      </c>
      <c r="C7181" s="449" t="s">
        <v>797</v>
      </c>
      <c r="D7181" s="451">
        <v>181.89</v>
      </c>
      <c r="E7181" s="210"/>
    </row>
    <row r="7182" spans="1:5" ht="38.25">
      <c r="A7182" s="449">
        <v>10658</v>
      </c>
      <c r="B7182" s="450" t="s">
        <v>8004</v>
      </c>
      <c r="C7182" s="449" t="s">
        <v>679</v>
      </c>
      <c r="D7182" s="451">
        <v>7000</v>
      </c>
      <c r="E7182" s="210"/>
    </row>
    <row r="7183" spans="1:5">
      <c r="A7183" s="449">
        <v>253</v>
      </c>
      <c r="B7183" s="450" t="s">
        <v>8005</v>
      </c>
      <c r="C7183" s="449" t="s">
        <v>682</v>
      </c>
      <c r="D7183" s="451">
        <v>13.66</v>
      </c>
      <c r="E7183" s="210"/>
    </row>
    <row r="7184" spans="1:5">
      <c r="A7184" s="449">
        <v>40809</v>
      </c>
      <c r="B7184" s="450" t="s">
        <v>8006</v>
      </c>
      <c r="C7184" s="449" t="s">
        <v>797</v>
      </c>
      <c r="D7184" s="451">
        <v>2420.84</v>
      </c>
      <c r="E7184" s="210"/>
    </row>
    <row r="7185" spans="1:5" ht="63.75">
      <c r="A7185" s="449">
        <v>42428</v>
      </c>
      <c r="B7185" s="450" t="s">
        <v>8007</v>
      </c>
      <c r="C7185" s="449" t="s">
        <v>679</v>
      </c>
      <c r="D7185" s="451">
        <v>1740</v>
      </c>
      <c r="E7185" s="210"/>
    </row>
    <row r="7186" spans="1:5">
      <c r="A7186" s="449">
        <v>583</v>
      </c>
      <c r="B7186" s="450" t="s">
        <v>8008</v>
      </c>
      <c r="C7186" s="449" t="s">
        <v>676</v>
      </c>
      <c r="D7186" s="451">
        <v>39.79</v>
      </c>
      <c r="E7186" s="210"/>
    </row>
    <row r="7187" spans="1:5" ht="25.5">
      <c r="A7187" s="449">
        <v>299</v>
      </c>
      <c r="B7187" s="450" t="s">
        <v>8009</v>
      </c>
      <c r="C7187" s="449" t="s">
        <v>679</v>
      </c>
      <c r="D7187" s="451">
        <v>4.95</v>
      </c>
      <c r="E7187" s="210"/>
    </row>
    <row r="7188" spans="1:5" ht="25.5">
      <c r="A7188" s="449">
        <v>298</v>
      </c>
      <c r="B7188" s="450" t="s">
        <v>8010</v>
      </c>
      <c r="C7188" s="449" t="s">
        <v>679</v>
      </c>
      <c r="D7188" s="451">
        <v>4.9800000000000004</v>
      </c>
      <c r="E7188" s="210"/>
    </row>
    <row r="7189" spans="1:5" ht="25.5">
      <c r="A7189" s="449">
        <v>295</v>
      </c>
      <c r="B7189" s="450" t="s">
        <v>8011</v>
      </c>
      <c r="C7189" s="449" t="s">
        <v>679</v>
      </c>
      <c r="D7189" s="451">
        <v>2.97</v>
      </c>
      <c r="E7189" s="210"/>
    </row>
    <row r="7190" spans="1:5" ht="25.5">
      <c r="A7190" s="449">
        <v>296</v>
      </c>
      <c r="B7190" s="450" t="s">
        <v>8012</v>
      </c>
      <c r="C7190" s="449" t="s">
        <v>679</v>
      </c>
      <c r="D7190" s="451">
        <v>3.08</v>
      </c>
      <c r="E7190" s="210"/>
    </row>
    <row r="7191" spans="1:5" ht="25.5">
      <c r="A7191" s="449">
        <v>297</v>
      </c>
      <c r="B7191" s="450" t="s">
        <v>8013</v>
      </c>
      <c r="C7191" s="449" t="s">
        <v>679</v>
      </c>
      <c r="D7191" s="451">
        <v>4.34</v>
      </c>
      <c r="E7191" s="210"/>
    </row>
    <row r="7192" spans="1:5" ht="25.5">
      <c r="A7192" s="449">
        <v>301</v>
      </c>
      <c r="B7192" s="450" t="s">
        <v>8014</v>
      </c>
      <c r="C7192" s="449" t="s">
        <v>679</v>
      </c>
      <c r="D7192" s="451">
        <v>5.45</v>
      </c>
      <c r="E7192" s="210"/>
    </row>
    <row r="7193" spans="1:5" ht="25.5">
      <c r="A7193" s="449">
        <v>300</v>
      </c>
      <c r="B7193" s="450" t="s">
        <v>8015</v>
      </c>
      <c r="C7193" s="449" t="s">
        <v>679</v>
      </c>
      <c r="D7193" s="451">
        <v>22.9</v>
      </c>
      <c r="E7193" s="210"/>
    </row>
    <row r="7194" spans="1:5" ht="25.5">
      <c r="A7194" s="449">
        <v>20084</v>
      </c>
      <c r="B7194" s="450" t="s">
        <v>8016</v>
      </c>
      <c r="C7194" s="449" t="s">
        <v>679</v>
      </c>
      <c r="D7194" s="451">
        <v>2.97</v>
      </c>
      <c r="E7194" s="210"/>
    </row>
    <row r="7195" spans="1:5" ht="25.5">
      <c r="A7195" s="449">
        <v>20085</v>
      </c>
      <c r="B7195" s="450" t="s">
        <v>8017</v>
      </c>
      <c r="C7195" s="449" t="s">
        <v>679</v>
      </c>
      <c r="D7195" s="451">
        <v>2.75</v>
      </c>
      <c r="E7195" s="210"/>
    </row>
    <row r="7196" spans="1:5" ht="25.5">
      <c r="A7196" s="449">
        <v>311</v>
      </c>
      <c r="B7196" s="450" t="s">
        <v>8018</v>
      </c>
      <c r="C7196" s="449" t="s">
        <v>679</v>
      </c>
      <c r="D7196" s="451">
        <v>17.72</v>
      </c>
      <c r="E7196" s="210"/>
    </row>
    <row r="7197" spans="1:5" ht="25.5">
      <c r="A7197" s="449">
        <v>318</v>
      </c>
      <c r="B7197" s="450" t="s">
        <v>8019</v>
      </c>
      <c r="C7197" s="449" t="s">
        <v>679</v>
      </c>
      <c r="D7197" s="451">
        <v>31.04</v>
      </c>
      <c r="E7197" s="210"/>
    </row>
    <row r="7198" spans="1:5" ht="25.5">
      <c r="A7198" s="449">
        <v>319</v>
      </c>
      <c r="B7198" s="450" t="s">
        <v>8020</v>
      </c>
      <c r="C7198" s="449" t="s">
        <v>679</v>
      </c>
      <c r="D7198" s="451">
        <v>58.62</v>
      </c>
      <c r="E7198" s="210"/>
    </row>
    <row r="7199" spans="1:5" ht="25.5">
      <c r="A7199" s="449">
        <v>320</v>
      </c>
      <c r="B7199" s="450" t="s">
        <v>8021</v>
      </c>
      <c r="C7199" s="449" t="s">
        <v>679</v>
      </c>
      <c r="D7199" s="451">
        <v>186.37</v>
      </c>
      <c r="E7199" s="210"/>
    </row>
    <row r="7200" spans="1:5" ht="25.5">
      <c r="A7200" s="449">
        <v>314</v>
      </c>
      <c r="B7200" s="450" t="s">
        <v>8022</v>
      </c>
      <c r="C7200" s="449" t="s">
        <v>679</v>
      </c>
      <c r="D7200" s="451">
        <v>286.26</v>
      </c>
      <c r="E7200" s="210"/>
    </row>
    <row r="7201" spans="1:5" ht="25.5">
      <c r="A7201" s="449">
        <v>303</v>
      </c>
      <c r="B7201" s="450" t="s">
        <v>8023</v>
      </c>
      <c r="C7201" s="449" t="s">
        <v>679</v>
      </c>
      <c r="D7201" s="451">
        <v>7.43</v>
      </c>
      <c r="E7201" s="210"/>
    </row>
    <row r="7202" spans="1:5" ht="25.5">
      <c r="A7202" s="449">
        <v>305</v>
      </c>
      <c r="B7202" s="450" t="s">
        <v>8024</v>
      </c>
      <c r="C7202" s="449" t="s">
        <v>679</v>
      </c>
      <c r="D7202" s="451">
        <v>19.37</v>
      </c>
      <c r="E7202" s="210"/>
    </row>
    <row r="7203" spans="1:5" ht="25.5">
      <c r="A7203" s="449">
        <v>306</v>
      </c>
      <c r="B7203" s="450" t="s">
        <v>8025</v>
      </c>
      <c r="C7203" s="449" t="s">
        <v>679</v>
      </c>
      <c r="D7203" s="451">
        <v>23.28</v>
      </c>
      <c r="E7203" s="210"/>
    </row>
    <row r="7204" spans="1:5" ht="25.5">
      <c r="A7204" s="449">
        <v>307</v>
      </c>
      <c r="B7204" s="450" t="s">
        <v>8026</v>
      </c>
      <c r="C7204" s="449" t="s">
        <v>679</v>
      </c>
      <c r="D7204" s="451">
        <v>45.96</v>
      </c>
      <c r="E7204" s="210"/>
    </row>
    <row r="7205" spans="1:5" ht="25.5">
      <c r="A7205" s="449">
        <v>309</v>
      </c>
      <c r="B7205" s="450" t="s">
        <v>8027</v>
      </c>
      <c r="C7205" s="449" t="s">
        <v>679</v>
      </c>
      <c r="D7205" s="451">
        <v>94.19</v>
      </c>
      <c r="E7205" s="210"/>
    </row>
    <row r="7206" spans="1:5" ht="25.5">
      <c r="A7206" s="449">
        <v>310</v>
      </c>
      <c r="B7206" s="450" t="s">
        <v>8028</v>
      </c>
      <c r="C7206" s="449" t="s">
        <v>679</v>
      </c>
      <c r="D7206" s="451">
        <v>119.45</v>
      </c>
      <c r="E7206" s="210"/>
    </row>
    <row r="7207" spans="1:5" ht="25.5">
      <c r="A7207" s="449">
        <v>328</v>
      </c>
      <c r="B7207" s="450" t="s">
        <v>8029</v>
      </c>
      <c r="C7207" s="449" t="s">
        <v>679</v>
      </c>
      <c r="D7207" s="451">
        <v>14.25</v>
      </c>
      <c r="E7207" s="210"/>
    </row>
    <row r="7208" spans="1:5" ht="25.5">
      <c r="A7208" s="449">
        <v>325</v>
      </c>
      <c r="B7208" s="450" t="s">
        <v>8030</v>
      </c>
      <c r="C7208" s="449" t="s">
        <v>679</v>
      </c>
      <c r="D7208" s="451">
        <v>5.53</v>
      </c>
      <c r="E7208" s="210"/>
    </row>
    <row r="7209" spans="1:5" ht="25.5">
      <c r="A7209" s="449">
        <v>20326</v>
      </c>
      <c r="B7209" s="450" t="s">
        <v>8031</v>
      </c>
      <c r="C7209" s="449" t="s">
        <v>679</v>
      </c>
      <c r="D7209" s="451">
        <v>14.8</v>
      </c>
      <c r="E7209" s="210"/>
    </row>
    <row r="7210" spans="1:5" ht="25.5">
      <c r="A7210" s="449">
        <v>329</v>
      </c>
      <c r="B7210" s="450" t="s">
        <v>8032</v>
      </c>
      <c r="C7210" s="449" t="s">
        <v>679</v>
      </c>
      <c r="D7210" s="451">
        <v>18.22</v>
      </c>
      <c r="E7210" s="210"/>
    </row>
    <row r="7211" spans="1:5" ht="25.5">
      <c r="A7211" s="449">
        <v>308</v>
      </c>
      <c r="B7211" s="450" t="s">
        <v>8033</v>
      </c>
      <c r="C7211" s="449" t="s">
        <v>679</v>
      </c>
      <c r="D7211" s="451">
        <v>61.38</v>
      </c>
      <c r="E7211" s="210"/>
    </row>
    <row r="7212" spans="1:5" ht="25.5">
      <c r="A7212" s="449">
        <v>39642</v>
      </c>
      <c r="B7212" s="450" t="s">
        <v>8034</v>
      </c>
      <c r="C7212" s="449" t="s">
        <v>679</v>
      </c>
      <c r="D7212" s="451">
        <v>3.73</v>
      </c>
      <c r="E7212" s="210"/>
    </row>
    <row r="7213" spans="1:5" ht="25.5">
      <c r="A7213" s="449">
        <v>39641</v>
      </c>
      <c r="B7213" s="450" t="s">
        <v>8035</v>
      </c>
      <c r="C7213" s="449" t="s">
        <v>679</v>
      </c>
      <c r="D7213" s="451">
        <v>2.59</v>
      </c>
      <c r="E7213" s="210"/>
    </row>
    <row r="7214" spans="1:5" ht="25.5">
      <c r="A7214" s="449">
        <v>39643</v>
      </c>
      <c r="B7214" s="450" t="s">
        <v>8036</v>
      </c>
      <c r="C7214" s="449" t="s">
        <v>679</v>
      </c>
      <c r="D7214" s="451">
        <v>10.35</v>
      </c>
      <c r="E7214" s="210"/>
    </row>
    <row r="7215" spans="1:5" ht="25.5">
      <c r="A7215" s="449">
        <v>39644</v>
      </c>
      <c r="B7215" s="450" t="s">
        <v>8037</v>
      </c>
      <c r="C7215" s="449" t="s">
        <v>679</v>
      </c>
      <c r="D7215" s="451">
        <v>13.37</v>
      </c>
      <c r="E7215" s="210"/>
    </row>
    <row r="7216" spans="1:5" ht="25.5">
      <c r="A7216" s="449">
        <v>39645</v>
      </c>
      <c r="B7216" s="450" t="s">
        <v>8038</v>
      </c>
      <c r="C7216" s="449" t="s">
        <v>679</v>
      </c>
      <c r="D7216" s="451">
        <v>17.27</v>
      </c>
      <c r="E7216" s="210"/>
    </row>
    <row r="7217" spans="1:5" ht="25.5">
      <c r="A7217" s="449">
        <v>41610</v>
      </c>
      <c r="B7217" s="450" t="s">
        <v>8039</v>
      </c>
      <c r="C7217" s="449" t="s">
        <v>679</v>
      </c>
      <c r="D7217" s="451">
        <v>614.29</v>
      </c>
      <c r="E7217" s="210"/>
    </row>
    <row r="7218" spans="1:5" ht="25.5">
      <c r="A7218" s="449">
        <v>41611</v>
      </c>
      <c r="B7218" s="450" t="s">
        <v>8040</v>
      </c>
      <c r="C7218" s="449" t="s">
        <v>679</v>
      </c>
      <c r="D7218" s="451">
        <v>968.24</v>
      </c>
      <c r="E7218" s="210"/>
    </row>
    <row r="7219" spans="1:5" ht="25.5">
      <c r="A7219" s="449">
        <v>41612</v>
      </c>
      <c r="B7219" s="450" t="s">
        <v>8041</v>
      </c>
      <c r="C7219" s="449" t="s">
        <v>679</v>
      </c>
      <c r="D7219" s="451">
        <v>1359.55</v>
      </c>
      <c r="E7219" s="210"/>
    </row>
    <row r="7220" spans="1:5" ht="38.25">
      <c r="A7220" s="449">
        <v>41637</v>
      </c>
      <c r="B7220" s="450" t="s">
        <v>8042</v>
      </c>
      <c r="C7220" s="449" t="s">
        <v>679</v>
      </c>
      <c r="D7220" s="451">
        <v>127.09</v>
      </c>
      <c r="E7220" s="210"/>
    </row>
    <row r="7221" spans="1:5" ht="38.25">
      <c r="A7221" s="449">
        <v>41638</v>
      </c>
      <c r="B7221" s="450" t="s">
        <v>8043</v>
      </c>
      <c r="C7221" s="449" t="s">
        <v>679</v>
      </c>
      <c r="D7221" s="451">
        <v>165.55</v>
      </c>
      <c r="E7221" s="210"/>
    </row>
    <row r="7222" spans="1:5" ht="38.25">
      <c r="A7222" s="449">
        <v>41639</v>
      </c>
      <c r="B7222" s="450" t="s">
        <v>8044</v>
      </c>
      <c r="C7222" s="449" t="s">
        <v>679</v>
      </c>
      <c r="D7222" s="451">
        <v>400.5</v>
      </c>
      <c r="E7222" s="210"/>
    </row>
    <row r="7223" spans="1:5" ht="25.5">
      <c r="A7223" s="449">
        <v>11789</v>
      </c>
      <c r="B7223" s="450" t="s">
        <v>8045</v>
      </c>
      <c r="C7223" s="449" t="s">
        <v>679</v>
      </c>
      <c r="D7223" s="451">
        <v>1.01</v>
      </c>
      <c r="E7223" s="210"/>
    </row>
    <row r="7224" spans="1:5" ht="38.25">
      <c r="A7224" s="449">
        <v>20975</v>
      </c>
      <c r="B7224" s="450" t="s">
        <v>8046</v>
      </c>
      <c r="C7224" s="449" t="s">
        <v>679</v>
      </c>
      <c r="D7224" s="451">
        <v>10.47</v>
      </c>
      <c r="E7224" s="210"/>
    </row>
    <row r="7225" spans="1:5" ht="38.25">
      <c r="A7225" s="449">
        <v>20976</v>
      </c>
      <c r="B7225" s="450" t="s">
        <v>8047</v>
      </c>
      <c r="C7225" s="449" t="s">
        <v>679</v>
      </c>
      <c r="D7225" s="451">
        <v>15.83</v>
      </c>
      <c r="E7225" s="210"/>
    </row>
    <row r="7226" spans="1:5" ht="25.5">
      <c r="A7226" s="449">
        <v>40340</v>
      </c>
      <c r="B7226" s="450" t="s">
        <v>8048</v>
      </c>
      <c r="C7226" s="449" t="s">
        <v>679</v>
      </c>
      <c r="D7226" s="451">
        <v>144.33000000000001</v>
      </c>
      <c r="E7226" s="210"/>
    </row>
    <row r="7227" spans="1:5" ht="25.5">
      <c r="A7227" s="449">
        <v>40341</v>
      </c>
      <c r="B7227" s="450" t="s">
        <v>8049</v>
      </c>
      <c r="C7227" s="449" t="s">
        <v>679</v>
      </c>
      <c r="D7227" s="451">
        <v>170.9</v>
      </c>
      <c r="E7227" s="210"/>
    </row>
    <row r="7228" spans="1:5" ht="25.5">
      <c r="A7228" s="449">
        <v>40342</v>
      </c>
      <c r="B7228" s="450" t="s">
        <v>8050</v>
      </c>
      <c r="C7228" s="449" t="s">
        <v>679</v>
      </c>
      <c r="D7228" s="451">
        <v>216.66</v>
      </c>
      <c r="E7228" s="210"/>
    </row>
    <row r="7229" spans="1:5" ht="25.5">
      <c r="A7229" s="449">
        <v>40343</v>
      </c>
      <c r="B7229" s="450" t="s">
        <v>8051</v>
      </c>
      <c r="C7229" s="449" t="s">
        <v>679</v>
      </c>
      <c r="D7229" s="451">
        <v>265.8</v>
      </c>
      <c r="E7229" s="210"/>
    </row>
    <row r="7230" spans="1:5" ht="25.5">
      <c r="A7230" s="449">
        <v>40344</v>
      </c>
      <c r="B7230" s="450" t="s">
        <v>8052</v>
      </c>
      <c r="C7230" s="449" t="s">
        <v>679</v>
      </c>
      <c r="D7230" s="451">
        <v>281.02999999999997</v>
      </c>
      <c r="E7230" s="210"/>
    </row>
    <row r="7231" spans="1:5" ht="25.5">
      <c r="A7231" s="449">
        <v>40345</v>
      </c>
      <c r="B7231" s="450" t="s">
        <v>8053</v>
      </c>
      <c r="C7231" s="449" t="s">
        <v>679</v>
      </c>
      <c r="D7231" s="451">
        <v>350.88</v>
      </c>
      <c r="E7231" s="210"/>
    </row>
    <row r="7232" spans="1:5" ht="25.5">
      <c r="A7232" s="449">
        <v>40346</v>
      </c>
      <c r="B7232" s="450" t="s">
        <v>8054</v>
      </c>
      <c r="C7232" s="449" t="s">
        <v>679</v>
      </c>
      <c r="D7232" s="451">
        <v>330.08</v>
      </c>
      <c r="E7232" s="210"/>
    </row>
    <row r="7233" spans="1:5" ht="25.5">
      <c r="A7233" s="449">
        <v>40347</v>
      </c>
      <c r="B7233" s="450" t="s">
        <v>8055</v>
      </c>
      <c r="C7233" s="449" t="s">
        <v>679</v>
      </c>
      <c r="D7233" s="451">
        <v>408.13</v>
      </c>
      <c r="E7233" s="210"/>
    </row>
    <row r="7234" spans="1:5" ht="25.5">
      <c r="A7234" s="449">
        <v>38840</v>
      </c>
      <c r="B7234" s="450" t="s">
        <v>8056</v>
      </c>
      <c r="C7234" s="449" t="s">
        <v>679</v>
      </c>
      <c r="D7234" s="451">
        <v>3.29</v>
      </c>
      <c r="E7234" s="210"/>
    </row>
    <row r="7235" spans="1:5" ht="25.5">
      <c r="A7235" s="449">
        <v>38841</v>
      </c>
      <c r="B7235" s="450" t="s">
        <v>8057</v>
      </c>
      <c r="C7235" s="449" t="s">
        <v>679</v>
      </c>
      <c r="D7235" s="451">
        <v>3.64</v>
      </c>
      <c r="E7235" s="210"/>
    </row>
    <row r="7236" spans="1:5" ht="25.5">
      <c r="A7236" s="449">
        <v>38842</v>
      </c>
      <c r="B7236" s="450" t="s">
        <v>8058</v>
      </c>
      <c r="C7236" s="449" t="s">
        <v>679</v>
      </c>
      <c r="D7236" s="451">
        <v>7.2</v>
      </c>
      <c r="E7236" s="210"/>
    </row>
    <row r="7237" spans="1:5" ht="25.5">
      <c r="A7237" s="449">
        <v>38843</v>
      </c>
      <c r="B7237" s="450" t="s">
        <v>8059</v>
      </c>
      <c r="C7237" s="449" t="s">
        <v>679</v>
      </c>
      <c r="D7237" s="451">
        <v>11.25</v>
      </c>
      <c r="E7237" s="210"/>
    </row>
    <row r="7238" spans="1:5" ht="51">
      <c r="A7238" s="449">
        <v>43424</v>
      </c>
      <c r="B7238" s="450" t="s">
        <v>8060</v>
      </c>
      <c r="C7238" s="449" t="s">
        <v>679</v>
      </c>
      <c r="D7238" s="451">
        <v>514.66999999999996</v>
      </c>
      <c r="E7238" s="210"/>
    </row>
    <row r="7239" spans="1:5" ht="51">
      <c r="A7239" s="449">
        <v>43426</v>
      </c>
      <c r="B7239" s="450" t="s">
        <v>8061</v>
      </c>
      <c r="C7239" s="449" t="s">
        <v>679</v>
      </c>
      <c r="D7239" s="451">
        <v>1775.11</v>
      </c>
      <c r="E7239" s="210"/>
    </row>
    <row r="7240" spans="1:5" ht="51">
      <c r="A7240" s="449">
        <v>12565</v>
      </c>
      <c r="B7240" s="450" t="s">
        <v>8062</v>
      </c>
      <c r="C7240" s="449" t="s">
        <v>679</v>
      </c>
      <c r="D7240" s="451">
        <v>622.51</v>
      </c>
      <c r="E7240" s="210"/>
    </row>
    <row r="7241" spans="1:5" ht="51">
      <c r="A7241" s="449">
        <v>12567</v>
      </c>
      <c r="B7241" s="450" t="s">
        <v>8063</v>
      </c>
      <c r="C7241" s="449" t="s">
        <v>679</v>
      </c>
      <c r="D7241" s="451">
        <v>836.13</v>
      </c>
      <c r="E7241" s="210"/>
    </row>
    <row r="7242" spans="1:5" ht="51">
      <c r="A7242" s="449">
        <v>12568</v>
      </c>
      <c r="B7242" s="450" t="s">
        <v>8064</v>
      </c>
      <c r="C7242" s="449" t="s">
        <v>679</v>
      </c>
      <c r="D7242" s="451">
        <v>1170.58</v>
      </c>
      <c r="E7242" s="210"/>
    </row>
    <row r="7243" spans="1:5" ht="38.25">
      <c r="A7243" s="449">
        <v>43441</v>
      </c>
      <c r="B7243" s="450" t="s">
        <v>8065</v>
      </c>
      <c r="C7243" s="449" t="s">
        <v>679</v>
      </c>
      <c r="D7243" s="451">
        <v>150.5</v>
      </c>
      <c r="E7243" s="210"/>
    </row>
    <row r="7244" spans="1:5" ht="38.25">
      <c r="A7244" s="449">
        <v>43423</v>
      </c>
      <c r="B7244" s="450" t="s">
        <v>8066</v>
      </c>
      <c r="C7244" s="449" t="s">
        <v>679</v>
      </c>
      <c r="D7244" s="451">
        <v>70.23</v>
      </c>
      <c r="E7244" s="210"/>
    </row>
    <row r="7245" spans="1:5" ht="38.25">
      <c r="A7245" s="449">
        <v>12532</v>
      </c>
      <c r="B7245" s="450" t="s">
        <v>8067</v>
      </c>
      <c r="C7245" s="449" t="s">
        <v>679</v>
      </c>
      <c r="D7245" s="451">
        <v>108.32</v>
      </c>
      <c r="E7245" s="210"/>
    </row>
    <row r="7246" spans="1:5" ht="63.75">
      <c r="A7246" s="449">
        <v>43444</v>
      </c>
      <c r="B7246" s="450" t="s">
        <v>8068</v>
      </c>
      <c r="C7246" s="449" t="s">
        <v>679</v>
      </c>
      <c r="D7246" s="451">
        <v>363.71</v>
      </c>
      <c r="E7246" s="210"/>
    </row>
    <row r="7247" spans="1:5" ht="63.75">
      <c r="A7247" s="449">
        <v>12551</v>
      </c>
      <c r="B7247" s="450" t="s">
        <v>8069</v>
      </c>
      <c r="C7247" s="449" t="s">
        <v>679</v>
      </c>
      <c r="D7247" s="451">
        <v>259.5</v>
      </c>
      <c r="E7247" s="210"/>
    </row>
    <row r="7248" spans="1:5" ht="63.75">
      <c r="A7248" s="449">
        <v>43442</v>
      </c>
      <c r="B7248" s="450" t="s">
        <v>8070</v>
      </c>
      <c r="C7248" s="449" t="s">
        <v>679</v>
      </c>
      <c r="D7248" s="451">
        <v>200.67</v>
      </c>
      <c r="E7248" s="210"/>
    </row>
    <row r="7249" spans="1:5" ht="63.75">
      <c r="A7249" s="449">
        <v>43443</v>
      </c>
      <c r="B7249" s="450" t="s">
        <v>8071</v>
      </c>
      <c r="C7249" s="449" t="s">
        <v>679</v>
      </c>
      <c r="D7249" s="451">
        <v>263.38</v>
      </c>
      <c r="E7249" s="210"/>
    </row>
    <row r="7250" spans="1:5" ht="63.75">
      <c r="A7250" s="449">
        <v>12544</v>
      </c>
      <c r="B7250" s="450" t="s">
        <v>8072</v>
      </c>
      <c r="C7250" s="449" t="s">
        <v>679</v>
      </c>
      <c r="D7250" s="451">
        <v>142.13999999999999</v>
      </c>
      <c r="E7250" s="210"/>
    </row>
    <row r="7251" spans="1:5" ht="63.75">
      <c r="A7251" s="449">
        <v>12547</v>
      </c>
      <c r="B7251" s="450" t="s">
        <v>8073</v>
      </c>
      <c r="C7251" s="449" t="s">
        <v>679</v>
      </c>
      <c r="D7251" s="451">
        <v>191.17</v>
      </c>
      <c r="E7251" s="210"/>
    </row>
    <row r="7252" spans="1:5" ht="63.75">
      <c r="A7252" s="449">
        <v>43445</v>
      </c>
      <c r="B7252" s="450" t="s">
        <v>8074</v>
      </c>
      <c r="C7252" s="449" t="s">
        <v>679</v>
      </c>
      <c r="D7252" s="451">
        <v>501.68</v>
      </c>
      <c r="E7252" s="210"/>
    </row>
    <row r="7253" spans="1:5" ht="63.75">
      <c r="A7253" s="449">
        <v>12563</v>
      </c>
      <c r="B7253" s="450" t="s">
        <v>8075</v>
      </c>
      <c r="C7253" s="449" t="s">
        <v>679</v>
      </c>
      <c r="D7253" s="451">
        <v>358.93</v>
      </c>
      <c r="E7253" s="210"/>
    </row>
    <row r="7254" spans="1:5" ht="51">
      <c r="A7254" s="449">
        <v>43425</v>
      </c>
      <c r="B7254" s="450" t="s">
        <v>8076</v>
      </c>
      <c r="C7254" s="449" t="s">
        <v>679</v>
      </c>
      <c r="D7254" s="451">
        <v>225.75</v>
      </c>
      <c r="E7254" s="210"/>
    </row>
    <row r="7255" spans="1:5" ht="51">
      <c r="A7255" s="449">
        <v>43446</v>
      </c>
      <c r="B7255" s="450" t="s">
        <v>8077</v>
      </c>
      <c r="C7255" s="449" t="s">
        <v>679</v>
      </c>
      <c r="D7255" s="451">
        <v>476.59</v>
      </c>
      <c r="E7255" s="210"/>
    </row>
    <row r="7256" spans="1:5" ht="51">
      <c r="A7256" s="449">
        <v>43447</v>
      </c>
      <c r="B7256" s="450" t="s">
        <v>8078</v>
      </c>
      <c r="C7256" s="449" t="s">
        <v>679</v>
      </c>
      <c r="D7256" s="451">
        <v>585.29</v>
      </c>
      <c r="E7256" s="210"/>
    </row>
    <row r="7257" spans="1:5" ht="51">
      <c r="A7257" s="449">
        <v>43448</v>
      </c>
      <c r="B7257" s="450" t="s">
        <v>8079</v>
      </c>
      <c r="C7257" s="449" t="s">
        <v>679</v>
      </c>
      <c r="D7257" s="451">
        <v>819.41</v>
      </c>
      <c r="E7257" s="210"/>
    </row>
    <row r="7258" spans="1:5" ht="51">
      <c r="A7258" s="449">
        <v>13761</v>
      </c>
      <c r="B7258" s="450" t="s">
        <v>8080</v>
      </c>
      <c r="C7258" s="449" t="s">
        <v>679</v>
      </c>
      <c r="D7258" s="451">
        <v>4861.24</v>
      </c>
      <c r="E7258" s="210"/>
    </row>
    <row r="7259" spans="1:5" ht="63.75">
      <c r="A7259" s="449">
        <v>12888</v>
      </c>
      <c r="B7259" s="450" t="s">
        <v>8081</v>
      </c>
      <c r="C7259" s="449" t="s">
        <v>798</v>
      </c>
      <c r="D7259" s="451">
        <v>104.77</v>
      </c>
      <c r="E7259" s="210"/>
    </row>
    <row r="7260" spans="1:5" ht="25.5">
      <c r="A7260" s="449">
        <v>12889</v>
      </c>
      <c r="B7260" s="450" t="s">
        <v>8082</v>
      </c>
      <c r="C7260" s="449" t="s">
        <v>798</v>
      </c>
      <c r="D7260" s="451">
        <v>68.42</v>
      </c>
      <c r="E7260" s="210"/>
    </row>
    <row r="7261" spans="1:5" ht="51">
      <c r="A7261" s="449">
        <v>4814</v>
      </c>
      <c r="B7261" s="450" t="s">
        <v>8083</v>
      </c>
      <c r="C7261" s="449" t="s">
        <v>679</v>
      </c>
      <c r="D7261" s="451">
        <v>77.27</v>
      </c>
      <c r="E7261" s="210"/>
    </row>
    <row r="7262" spans="1:5" ht="25.5">
      <c r="A7262" s="449">
        <v>25967</v>
      </c>
      <c r="B7262" s="450" t="s">
        <v>8084</v>
      </c>
      <c r="C7262" s="449" t="s">
        <v>679</v>
      </c>
      <c r="D7262" s="451">
        <v>2368.59</v>
      </c>
      <c r="E7262" s="210"/>
    </row>
    <row r="7263" spans="1:5" ht="25.5">
      <c r="A7263" s="449">
        <v>6122</v>
      </c>
      <c r="B7263" s="450" t="s">
        <v>8085</v>
      </c>
      <c r="C7263" s="449" t="s">
        <v>682</v>
      </c>
      <c r="D7263" s="451">
        <v>13.13</v>
      </c>
      <c r="E7263" s="210"/>
    </row>
    <row r="7264" spans="1:5" ht="25.5">
      <c r="A7264" s="449">
        <v>40810</v>
      </c>
      <c r="B7264" s="450" t="s">
        <v>8086</v>
      </c>
      <c r="C7264" s="449" t="s">
        <v>797</v>
      </c>
      <c r="D7264" s="451">
        <v>2329.2399999999998</v>
      </c>
      <c r="E7264" s="210"/>
    </row>
    <row r="7265" spans="1:5" ht="25.5">
      <c r="A7265" s="449">
        <v>21100</v>
      </c>
      <c r="B7265" s="450" t="s">
        <v>8087</v>
      </c>
      <c r="C7265" s="449" t="s">
        <v>679</v>
      </c>
      <c r="D7265" s="451">
        <v>2766.6</v>
      </c>
      <c r="E7265" s="210"/>
    </row>
    <row r="7266" spans="1:5" ht="51">
      <c r="A7266" s="449">
        <v>11816</v>
      </c>
      <c r="B7266" s="450" t="s">
        <v>8088</v>
      </c>
      <c r="C7266" s="449" t="s">
        <v>679</v>
      </c>
      <c r="D7266" s="451">
        <v>2950</v>
      </c>
      <c r="E7266" s="210"/>
    </row>
    <row r="7267" spans="1:5" ht="51">
      <c r="A7267" s="449">
        <v>11814</v>
      </c>
      <c r="B7267" s="450" t="s">
        <v>8089</v>
      </c>
      <c r="C7267" s="449" t="s">
        <v>679</v>
      </c>
      <c r="D7267" s="451">
        <v>6421.41</v>
      </c>
      <c r="E7267" s="210"/>
    </row>
    <row r="7268" spans="1:5" ht="63.75">
      <c r="A7268" s="449">
        <v>14186</v>
      </c>
      <c r="B7268" s="450" t="s">
        <v>8090</v>
      </c>
      <c r="C7268" s="449" t="s">
        <v>679</v>
      </c>
      <c r="D7268" s="451">
        <v>8062.94</v>
      </c>
      <c r="E7268" s="210"/>
    </row>
    <row r="7269" spans="1:5" ht="51">
      <c r="A7269" s="449">
        <v>14185</v>
      </c>
      <c r="B7269" s="450" t="s">
        <v>8091</v>
      </c>
      <c r="C7269" s="449" t="s">
        <v>679</v>
      </c>
      <c r="D7269" s="451">
        <v>10444.66</v>
      </c>
      <c r="E7269" s="210"/>
    </row>
    <row r="7270" spans="1:5" ht="51">
      <c r="A7270" s="449">
        <v>11811</v>
      </c>
      <c r="B7270" s="450" t="s">
        <v>8092</v>
      </c>
      <c r="C7270" s="449" t="s">
        <v>679</v>
      </c>
      <c r="D7270" s="451">
        <v>3993.64</v>
      </c>
      <c r="E7270" s="210"/>
    </row>
    <row r="7271" spans="1:5" ht="25.5">
      <c r="A7271" s="449">
        <v>26038</v>
      </c>
      <c r="B7271" s="450" t="s">
        <v>8093</v>
      </c>
      <c r="C7271" s="449" t="s">
        <v>679</v>
      </c>
      <c r="D7271" s="451">
        <v>286109.71999999997</v>
      </c>
      <c r="E7271" s="210"/>
    </row>
    <row r="7272" spans="1:5" ht="38.25">
      <c r="A7272" s="449">
        <v>34482</v>
      </c>
      <c r="B7272" s="450" t="s">
        <v>8094</v>
      </c>
      <c r="C7272" s="449" t="s">
        <v>679</v>
      </c>
      <c r="D7272" s="451">
        <v>5423.12</v>
      </c>
      <c r="E7272" s="210"/>
    </row>
    <row r="7273" spans="1:5" ht="38.25">
      <c r="A7273" s="449">
        <v>34469</v>
      </c>
      <c r="B7273" s="450" t="s">
        <v>8095</v>
      </c>
      <c r="C7273" s="449" t="s">
        <v>679</v>
      </c>
      <c r="D7273" s="451">
        <v>8388.89</v>
      </c>
      <c r="E7273" s="210"/>
    </row>
    <row r="7274" spans="1:5" ht="38.25">
      <c r="A7274" s="449">
        <v>34472</v>
      </c>
      <c r="B7274" s="450" t="s">
        <v>8096</v>
      </c>
      <c r="C7274" s="449" t="s">
        <v>679</v>
      </c>
      <c r="D7274" s="451">
        <v>2581</v>
      </c>
      <c r="E7274" s="210"/>
    </row>
    <row r="7275" spans="1:5" ht="38.25">
      <c r="A7275" s="449">
        <v>34476</v>
      </c>
      <c r="B7275" s="450" t="s">
        <v>8097</v>
      </c>
      <c r="C7275" s="449" t="s">
        <v>679</v>
      </c>
      <c r="D7275" s="451">
        <v>4375.16</v>
      </c>
      <c r="E7275" s="210"/>
    </row>
    <row r="7276" spans="1:5" ht="38.25">
      <c r="A7276" s="449">
        <v>34477</v>
      </c>
      <c r="B7276" s="450" t="s">
        <v>8098</v>
      </c>
      <c r="C7276" s="449" t="s">
        <v>679</v>
      </c>
      <c r="D7276" s="451">
        <v>5806.68</v>
      </c>
      <c r="E7276" s="210"/>
    </row>
    <row r="7277" spans="1:5" ht="51">
      <c r="A7277" s="449">
        <v>42425</v>
      </c>
      <c r="B7277" s="450" t="s">
        <v>8099</v>
      </c>
      <c r="C7277" s="449" t="s">
        <v>679</v>
      </c>
      <c r="D7277" s="451">
        <v>2222.92</v>
      </c>
      <c r="E7277" s="210"/>
    </row>
    <row r="7278" spans="1:5" ht="51">
      <c r="A7278" s="449">
        <v>42422</v>
      </c>
      <c r="B7278" s="450" t="s">
        <v>8100</v>
      </c>
      <c r="C7278" s="449" t="s">
        <v>679</v>
      </c>
      <c r="D7278" s="451">
        <v>3300</v>
      </c>
      <c r="E7278" s="210"/>
    </row>
    <row r="7279" spans="1:5" ht="51">
      <c r="A7279" s="449">
        <v>43184</v>
      </c>
      <c r="B7279" s="450" t="s">
        <v>8101</v>
      </c>
      <c r="C7279" s="449" t="s">
        <v>679</v>
      </c>
      <c r="D7279" s="451">
        <v>4560.91</v>
      </c>
      <c r="E7279" s="210"/>
    </row>
    <row r="7280" spans="1:5" ht="51">
      <c r="A7280" s="449">
        <v>42424</v>
      </c>
      <c r="B7280" s="450" t="s">
        <v>8102</v>
      </c>
      <c r="C7280" s="449" t="s">
        <v>679</v>
      </c>
      <c r="D7280" s="451">
        <v>1985.26</v>
      </c>
      <c r="E7280" s="210"/>
    </row>
    <row r="7281" spans="1:5" ht="63.75">
      <c r="A7281" s="449">
        <v>42421</v>
      </c>
      <c r="B7281" s="450" t="s">
        <v>8103</v>
      </c>
      <c r="C7281" s="449" t="s">
        <v>679</v>
      </c>
      <c r="D7281" s="451">
        <v>18075.59</v>
      </c>
      <c r="E7281" s="210"/>
    </row>
    <row r="7282" spans="1:5" ht="51">
      <c r="A7282" s="449">
        <v>42416</v>
      </c>
      <c r="B7282" s="450" t="s">
        <v>8104</v>
      </c>
      <c r="C7282" s="449" t="s">
        <v>679</v>
      </c>
      <c r="D7282" s="451">
        <v>8558.23</v>
      </c>
      <c r="E7282" s="210"/>
    </row>
    <row r="7283" spans="1:5" ht="51">
      <c r="A7283" s="449">
        <v>42417</v>
      </c>
      <c r="B7283" s="450" t="s">
        <v>8105</v>
      </c>
      <c r="C7283" s="449" t="s">
        <v>679</v>
      </c>
      <c r="D7283" s="451">
        <v>9594.48</v>
      </c>
      <c r="E7283" s="210"/>
    </row>
    <row r="7284" spans="1:5" ht="51">
      <c r="A7284" s="449">
        <v>42419</v>
      </c>
      <c r="B7284" s="450" t="s">
        <v>8106</v>
      </c>
      <c r="C7284" s="449" t="s">
        <v>679</v>
      </c>
      <c r="D7284" s="451">
        <v>10839.73</v>
      </c>
      <c r="E7284" s="210"/>
    </row>
    <row r="7285" spans="1:5" ht="51">
      <c r="A7285" s="449">
        <v>42420</v>
      </c>
      <c r="B7285" s="450" t="s">
        <v>8107</v>
      </c>
      <c r="C7285" s="449" t="s">
        <v>679</v>
      </c>
      <c r="D7285" s="451">
        <v>14898.4</v>
      </c>
      <c r="E7285" s="210"/>
    </row>
    <row r="7286" spans="1:5" ht="51">
      <c r="A7286" s="449">
        <v>43195</v>
      </c>
      <c r="B7286" s="450" t="s">
        <v>8108</v>
      </c>
      <c r="C7286" s="449" t="s">
        <v>679</v>
      </c>
      <c r="D7286" s="451">
        <v>5245.94</v>
      </c>
      <c r="E7286" s="210"/>
    </row>
    <row r="7287" spans="1:5" ht="51">
      <c r="A7287" s="449">
        <v>43196</v>
      </c>
      <c r="B7287" s="450" t="s">
        <v>8109</v>
      </c>
      <c r="C7287" s="449" t="s">
        <v>679</v>
      </c>
      <c r="D7287" s="451">
        <v>6501.59</v>
      </c>
      <c r="E7287" s="210"/>
    </row>
    <row r="7288" spans="1:5" ht="51">
      <c r="A7288" s="449">
        <v>43198</v>
      </c>
      <c r="B7288" s="450" t="s">
        <v>8110</v>
      </c>
      <c r="C7288" s="449" t="s">
        <v>679</v>
      </c>
      <c r="D7288" s="451">
        <v>9661.2000000000007</v>
      </c>
      <c r="E7288" s="210"/>
    </row>
    <row r="7289" spans="1:5" ht="51">
      <c r="A7289" s="449">
        <v>43199</v>
      </c>
      <c r="B7289" s="450" t="s">
        <v>8111</v>
      </c>
      <c r="C7289" s="449" t="s">
        <v>679</v>
      </c>
      <c r="D7289" s="451">
        <v>10015.219999999999</v>
      </c>
      <c r="E7289" s="210"/>
    </row>
    <row r="7290" spans="1:5" ht="51">
      <c r="A7290" s="449">
        <v>43200</v>
      </c>
      <c r="B7290" s="450" t="s">
        <v>8112</v>
      </c>
      <c r="C7290" s="449" t="s">
        <v>679</v>
      </c>
      <c r="D7290" s="451">
        <v>11493.2</v>
      </c>
      <c r="E7290" s="210"/>
    </row>
    <row r="7291" spans="1:5" ht="51">
      <c r="A7291" s="449">
        <v>39556</v>
      </c>
      <c r="B7291" s="450" t="s">
        <v>8113</v>
      </c>
      <c r="C7291" s="449" t="s">
        <v>679</v>
      </c>
      <c r="D7291" s="451">
        <v>6277.25</v>
      </c>
      <c r="E7291" s="210"/>
    </row>
    <row r="7292" spans="1:5" ht="51">
      <c r="A7292" s="449">
        <v>39557</v>
      </c>
      <c r="B7292" s="450" t="s">
        <v>8114</v>
      </c>
      <c r="C7292" s="449" t="s">
        <v>679</v>
      </c>
      <c r="D7292" s="451">
        <v>6759.22</v>
      </c>
      <c r="E7292" s="210"/>
    </row>
    <row r="7293" spans="1:5" ht="51">
      <c r="A7293" s="449">
        <v>39559</v>
      </c>
      <c r="B7293" s="450" t="s">
        <v>8115</v>
      </c>
      <c r="C7293" s="449" t="s">
        <v>679</v>
      </c>
      <c r="D7293" s="451">
        <v>9988.83</v>
      </c>
      <c r="E7293" s="210"/>
    </row>
    <row r="7294" spans="1:5" ht="51">
      <c r="A7294" s="449">
        <v>39560</v>
      </c>
      <c r="B7294" s="450" t="s">
        <v>8116</v>
      </c>
      <c r="C7294" s="449" t="s">
        <v>679</v>
      </c>
      <c r="D7294" s="451">
        <v>11556.11</v>
      </c>
      <c r="E7294" s="210"/>
    </row>
    <row r="7295" spans="1:5" ht="51">
      <c r="A7295" s="449">
        <v>39561</v>
      </c>
      <c r="B7295" s="450" t="s">
        <v>8117</v>
      </c>
      <c r="C7295" s="449" t="s">
        <v>679</v>
      </c>
      <c r="D7295" s="451">
        <v>12089.16</v>
      </c>
      <c r="E7295" s="210"/>
    </row>
    <row r="7296" spans="1:5" ht="51">
      <c r="A7296" s="449">
        <v>43190</v>
      </c>
      <c r="B7296" s="450" t="s">
        <v>8118</v>
      </c>
      <c r="C7296" s="449" t="s">
        <v>679</v>
      </c>
      <c r="D7296" s="451">
        <v>1784.04</v>
      </c>
      <c r="E7296" s="210"/>
    </row>
    <row r="7297" spans="1:5" ht="51">
      <c r="A7297" s="449">
        <v>39555</v>
      </c>
      <c r="B7297" s="450" t="s">
        <v>8119</v>
      </c>
      <c r="C7297" s="449" t="s">
        <v>679</v>
      </c>
      <c r="D7297" s="451">
        <v>1929.87</v>
      </c>
      <c r="E7297" s="210"/>
    </row>
    <row r="7298" spans="1:5" ht="51">
      <c r="A7298" s="449">
        <v>43191</v>
      </c>
      <c r="B7298" s="450" t="s">
        <v>8120</v>
      </c>
      <c r="C7298" s="449" t="s">
        <v>679</v>
      </c>
      <c r="D7298" s="451">
        <v>2566.9899999999998</v>
      </c>
      <c r="E7298" s="210"/>
    </row>
    <row r="7299" spans="1:5" ht="51">
      <c r="A7299" s="449">
        <v>39548</v>
      </c>
      <c r="B7299" s="450" t="s">
        <v>8121</v>
      </c>
      <c r="C7299" s="449" t="s">
        <v>679</v>
      </c>
      <c r="D7299" s="451">
        <v>2862.6</v>
      </c>
      <c r="E7299" s="210"/>
    </row>
    <row r="7300" spans="1:5" ht="51">
      <c r="A7300" s="449">
        <v>43192</v>
      </c>
      <c r="B7300" s="450" t="s">
        <v>8122</v>
      </c>
      <c r="C7300" s="449" t="s">
        <v>679</v>
      </c>
      <c r="D7300" s="451">
        <v>3362.53</v>
      </c>
      <c r="E7300" s="210"/>
    </row>
    <row r="7301" spans="1:5" ht="51">
      <c r="A7301" s="449">
        <v>39554</v>
      </c>
      <c r="B7301" s="450" t="s">
        <v>8123</v>
      </c>
      <c r="C7301" s="449" t="s">
        <v>679</v>
      </c>
      <c r="D7301" s="451">
        <v>3785.35</v>
      </c>
      <c r="E7301" s="210"/>
    </row>
    <row r="7302" spans="1:5" ht="51">
      <c r="A7302" s="449">
        <v>43194</v>
      </c>
      <c r="B7302" s="450" t="s">
        <v>8124</v>
      </c>
      <c r="C7302" s="449" t="s">
        <v>679</v>
      </c>
      <c r="D7302" s="451">
        <v>1528.33</v>
      </c>
      <c r="E7302" s="210"/>
    </row>
    <row r="7303" spans="1:5" ht="51">
      <c r="A7303" s="449">
        <v>39551</v>
      </c>
      <c r="B7303" s="450" t="s">
        <v>8125</v>
      </c>
      <c r="C7303" s="449" t="s">
        <v>679</v>
      </c>
      <c r="D7303" s="451">
        <v>1682.86</v>
      </c>
      <c r="E7303" s="210"/>
    </row>
    <row r="7304" spans="1:5" ht="51">
      <c r="A7304" s="449">
        <v>43185</v>
      </c>
      <c r="B7304" s="450" t="s">
        <v>8126</v>
      </c>
      <c r="C7304" s="449" t="s">
        <v>679</v>
      </c>
      <c r="D7304" s="451">
        <v>4782.38</v>
      </c>
      <c r="E7304" s="210"/>
    </row>
    <row r="7305" spans="1:5" ht="51">
      <c r="A7305" s="449">
        <v>43186</v>
      </c>
      <c r="B7305" s="450" t="s">
        <v>8127</v>
      </c>
      <c r="C7305" s="449" t="s">
        <v>679</v>
      </c>
      <c r="D7305" s="451">
        <v>5044.45</v>
      </c>
      <c r="E7305" s="210"/>
    </row>
    <row r="7306" spans="1:5" ht="51">
      <c r="A7306" s="449">
        <v>43187</v>
      </c>
      <c r="B7306" s="450" t="s">
        <v>8128</v>
      </c>
      <c r="C7306" s="449" t="s">
        <v>679</v>
      </c>
      <c r="D7306" s="451">
        <v>6694.03</v>
      </c>
      <c r="E7306" s="210"/>
    </row>
    <row r="7307" spans="1:5" ht="51">
      <c r="A7307" s="449">
        <v>43188</v>
      </c>
      <c r="B7307" s="450" t="s">
        <v>8129</v>
      </c>
      <c r="C7307" s="449" t="s">
        <v>679</v>
      </c>
      <c r="D7307" s="451">
        <v>8110.71</v>
      </c>
      <c r="E7307" s="210"/>
    </row>
    <row r="7308" spans="1:5" ht="51">
      <c r="A7308" s="449">
        <v>43189</v>
      </c>
      <c r="B7308" s="450" t="s">
        <v>8130</v>
      </c>
      <c r="C7308" s="449" t="s">
        <v>679</v>
      </c>
      <c r="D7308" s="451">
        <v>9123.2000000000007</v>
      </c>
      <c r="E7308" s="210"/>
    </row>
    <row r="7309" spans="1:5">
      <c r="A7309" s="449">
        <v>39580</v>
      </c>
      <c r="B7309" s="450" t="s">
        <v>8131</v>
      </c>
      <c r="C7309" s="449" t="s">
        <v>679</v>
      </c>
      <c r="D7309" s="451">
        <v>71894.52</v>
      </c>
      <c r="E7309" s="210"/>
    </row>
    <row r="7310" spans="1:5">
      <c r="A7310" s="449">
        <v>39577</v>
      </c>
      <c r="B7310" s="450" t="s">
        <v>8132</v>
      </c>
      <c r="C7310" s="449" t="s">
        <v>679</v>
      </c>
      <c r="D7310" s="451">
        <v>22502.83</v>
      </c>
      <c r="E7310" s="210"/>
    </row>
    <row r="7311" spans="1:5">
      <c r="A7311" s="449">
        <v>39578</v>
      </c>
      <c r="B7311" s="450" t="s">
        <v>8133</v>
      </c>
      <c r="C7311" s="449" t="s">
        <v>679</v>
      </c>
      <c r="D7311" s="451">
        <v>29040.35</v>
      </c>
      <c r="E7311" s="210"/>
    </row>
    <row r="7312" spans="1:5">
      <c r="A7312" s="449">
        <v>39579</v>
      </c>
      <c r="B7312" s="450" t="s">
        <v>8134</v>
      </c>
      <c r="C7312" s="449" t="s">
        <v>679</v>
      </c>
      <c r="D7312" s="451">
        <v>42251.44</v>
      </c>
      <c r="E7312" s="210"/>
    </row>
    <row r="7313" spans="1:5" ht="51">
      <c r="A7313" s="449">
        <v>39826</v>
      </c>
      <c r="B7313" s="450" t="s">
        <v>8135</v>
      </c>
      <c r="C7313" s="449" t="s">
        <v>679</v>
      </c>
      <c r="D7313" s="451">
        <v>5189.24</v>
      </c>
      <c r="E7313" s="210"/>
    </row>
    <row r="7314" spans="1:5" ht="25.5">
      <c r="A7314" s="449">
        <v>10700</v>
      </c>
      <c r="B7314" s="450" t="s">
        <v>8136</v>
      </c>
      <c r="C7314" s="449" t="s">
        <v>679</v>
      </c>
      <c r="D7314" s="451">
        <v>23388.69</v>
      </c>
      <c r="E7314" s="210"/>
    </row>
    <row r="7315" spans="1:5" ht="25.5">
      <c r="A7315" s="449">
        <v>346</v>
      </c>
      <c r="B7315" s="450" t="s">
        <v>8137</v>
      </c>
      <c r="C7315" s="449" t="s">
        <v>676</v>
      </c>
      <c r="D7315" s="451">
        <v>23.68</v>
      </c>
      <c r="E7315" s="210"/>
    </row>
    <row r="7316" spans="1:5" ht="25.5">
      <c r="A7316" s="449">
        <v>3312</v>
      </c>
      <c r="B7316" s="450" t="s">
        <v>8138</v>
      </c>
      <c r="C7316" s="449" t="s">
        <v>676</v>
      </c>
      <c r="D7316" s="451">
        <v>21.12</v>
      </c>
      <c r="E7316" s="210"/>
    </row>
    <row r="7317" spans="1:5" ht="25.5">
      <c r="A7317" s="449">
        <v>339</v>
      </c>
      <c r="B7317" s="450" t="s">
        <v>8139</v>
      </c>
      <c r="C7317" s="449" t="s">
        <v>683</v>
      </c>
      <c r="D7317" s="451">
        <v>1.22</v>
      </c>
      <c r="E7317" s="210"/>
    </row>
    <row r="7318" spans="1:5" ht="25.5">
      <c r="A7318" s="449">
        <v>340</v>
      </c>
      <c r="B7318" s="450" t="s">
        <v>8140</v>
      </c>
      <c r="C7318" s="449" t="s">
        <v>683</v>
      </c>
      <c r="D7318" s="451">
        <v>1.1000000000000001</v>
      </c>
      <c r="E7318" s="210"/>
    </row>
    <row r="7319" spans="1:5" ht="38.25">
      <c r="A7319" s="449">
        <v>43130</v>
      </c>
      <c r="B7319" s="450" t="s">
        <v>8141</v>
      </c>
      <c r="C7319" s="449" t="s">
        <v>676</v>
      </c>
      <c r="D7319" s="451">
        <v>19.989999999999998</v>
      </c>
      <c r="E7319" s="210"/>
    </row>
    <row r="7320" spans="1:5" ht="25.5">
      <c r="A7320" s="449">
        <v>344</v>
      </c>
      <c r="B7320" s="450" t="s">
        <v>8142</v>
      </c>
      <c r="C7320" s="449" t="s">
        <v>676</v>
      </c>
      <c r="D7320" s="451">
        <v>26.28</v>
      </c>
      <c r="E7320" s="210"/>
    </row>
    <row r="7321" spans="1:5" ht="25.5">
      <c r="A7321" s="449">
        <v>345</v>
      </c>
      <c r="B7321" s="450" t="s">
        <v>8143</v>
      </c>
      <c r="C7321" s="449" t="s">
        <v>676</v>
      </c>
      <c r="D7321" s="451">
        <v>28.51</v>
      </c>
      <c r="E7321" s="210"/>
    </row>
    <row r="7322" spans="1:5" ht="38.25">
      <c r="A7322" s="449">
        <v>43131</v>
      </c>
      <c r="B7322" s="450" t="s">
        <v>8144</v>
      </c>
      <c r="C7322" s="449" t="s">
        <v>676</v>
      </c>
      <c r="D7322" s="451">
        <v>23.22</v>
      </c>
      <c r="E7322" s="210"/>
    </row>
    <row r="7323" spans="1:5" ht="25.5">
      <c r="A7323" s="449">
        <v>3313</v>
      </c>
      <c r="B7323" s="450" t="s">
        <v>8145</v>
      </c>
      <c r="C7323" s="449" t="s">
        <v>676</v>
      </c>
      <c r="D7323" s="451">
        <v>27.18</v>
      </c>
      <c r="E7323" s="210"/>
    </row>
    <row r="7324" spans="1:5" ht="25.5">
      <c r="A7324" s="449">
        <v>43132</v>
      </c>
      <c r="B7324" s="450" t="s">
        <v>8146</v>
      </c>
      <c r="C7324" s="449" t="s">
        <v>676</v>
      </c>
      <c r="D7324" s="451">
        <v>19.989999999999998</v>
      </c>
      <c r="E7324" s="210"/>
    </row>
    <row r="7325" spans="1:5" ht="25.5">
      <c r="A7325" s="449">
        <v>366</v>
      </c>
      <c r="B7325" s="450" t="s">
        <v>8147</v>
      </c>
      <c r="C7325" s="449" t="s">
        <v>677</v>
      </c>
      <c r="D7325" s="451">
        <v>81</v>
      </c>
      <c r="E7325" s="210"/>
    </row>
    <row r="7326" spans="1:5" ht="25.5">
      <c r="A7326" s="449">
        <v>367</v>
      </c>
      <c r="B7326" s="450" t="s">
        <v>8148</v>
      </c>
      <c r="C7326" s="449" t="s">
        <v>677</v>
      </c>
      <c r="D7326" s="451">
        <v>76.5</v>
      </c>
      <c r="E7326" s="210"/>
    </row>
    <row r="7327" spans="1:5" ht="25.5">
      <c r="A7327" s="449">
        <v>370</v>
      </c>
      <c r="B7327" s="450" t="s">
        <v>8149</v>
      </c>
      <c r="C7327" s="449" t="s">
        <v>677</v>
      </c>
      <c r="D7327" s="451">
        <v>74.59</v>
      </c>
      <c r="E7327" s="210"/>
    </row>
    <row r="7328" spans="1:5" ht="38.25">
      <c r="A7328" s="449">
        <v>368</v>
      </c>
      <c r="B7328" s="450" t="s">
        <v>8150</v>
      </c>
      <c r="C7328" s="449" t="s">
        <v>677</v>
      </c>
      <c r="D7328" s="451">
        <v>57.37</v>
      </c>
      <c r="E7328" s="210"/>
    </row>
    <row r="7329" spans="1:5" ht="38.25">
      <c r="A7329" s="449">
        <v>11075</v>
      </c>
      <c r="B7329" s="450" t="s">
        <v>8151</v>
      </c>
      <c r="C7329" s="449" t="s">
        <v>677</v>
      </c>
      <c r="D7329" s="451">
        <v>1252.68</v>
      </c>
      <c r="E7329" s="210"/>
    </row>
    <row r="7330" spans="1:5">
      <c r="A7330" s="449">
        <v>1381</v>
      </c>
      <c r="B7330" s="450" t="s">
        <v>8152</v>
      </c>
      <c r="C7330" s="449" t="s">
        <v>676</v>
      </c>
      <c r="D7330" s="451">
        <v>0.78</v>
      </c>
      <c r="E7330" s="210"/>
    </row>
    <row r="7331" spans="1:5">
      <c r="A7331" s="449">
        <v>34353</v>
      </c>
      <c r="B7331" s="450" t="s">
        <v>8153</v>
      </c>
      <c r="C7331" s="449" t="s">
        <v>676</v>
      </c>
      <c r="D7331" s="451">
        <v>1.45</v>
      </c>
      <c r="E7331" s="210"/>
    </row>
    <row r="7332" spans="1:5">
      <c r="A7332" s="449">
        <v>37595</v>
      </c>
      <c r="B7332" s="450" t="s">
        <v>8154</v>
      </c>
      <c r="C7332" s="449" t="s">
        <v>676</v>
      </c>
      <c r="D7332" s="451">
        <v>2.39</v>
      </c>
      <c r="E7332" s="210"/>
    </row>
    <row r="7333" spans="1:5">
      <c r="A7333" s="449">
        <v>37596</v>
      </c>
      <c r="B7333" s="450" t="s">
        <v>8155</v>
      </c>
      <c r="C7333" s="449" t="s">
        <v>676</v>
      </c>
      <c r="D7333" s="451">
        <v>2.75</v>
      </c>
      <c r="E7333" s="210"/>
    </row>
    <row r="7334" spans="1:5" ht="38.25">
      <c r="A7334" s="449">
        <v>371</v>
      </c>
      <c r="B7334" s="450" t="s">
        <v>8156</v>
      </c>
      <c r="C7334" s="449" t="s">
        <v>676</v>
      </c>
      <c r="D7334" s="451">
        <v>0.85</v>
      </c>
      <c r="E7334" s="210"/>
    </row>
    <row r="7335" spans="1:5" ht="25.5">
      <c r="A7335" s="449">
        <v>37553</v>
      </c>
      <c r="B7335" s="450" t="s">
        <v>8157</v>
      </c>
      <c r="C7335" s="449" t="s">
        <v>676</v>
      </c>
      <c r="D7335" s="451">
        <v>1.59</v>
      </c>
      <c r="E7335" s="210"/>
    </row>
    <row r="7336" spans="1:5" ht="25.5">
      <c r="A7336" s="449">
        <v>37552</v>
      </c>
      <c r="B7336" s="450" t="s">
        <v>8158</v>
      </c>
      <c r="C7336" s="449" t="s">
        <v>676</v>
      </c>
      <c r="D7336" s="451">
        <v>2.56</v>
      </c>
      <c r="E7336" s="210"/>
    </row>
    <row r="7337" spans="1:5" ht="25.5">
      <c r="A7337" s="449">
        <v>36880</v>
      </c>
      <c r="B7337" s="450" t="s">
        <v>8159</v>
      </c>
      <c r="C7337" s="449" t="s">
        <v>676</v>
      </c>
      <c r="D7337" s="451">
        <v>2.6</v>
      </c>
      <c r="E7337" s="210"/>
    </row>
    <row r="7338" spans="1:5">
      <c r="A7338" s="449">
        <v>34355</v>
      </c>
      <c r="B7338" s="450" t="s">
        <v>8160</v>
      </c>
      <c r="C7338" s="449" t="s">
        <v>676</v>
      </c>
      <c r="D7338" s="451">
        <v>2.2400000000000002</v>
      </c>
      <c r="E7338" s="210"/>
    </row>
    <row r="7339" spans="1:5" ht="25.5">
      <c r="A7339" s="449">
        <v>130</v>
      </c>
      <c r="B7339" s="450" t="s">
        <v>8161</v>
      </c>
      <c r="C7339" s="449" t="s">
        <v>676</v>
      </c>
      <c r="D7339" s="451">
        <v>3.09</v>
      </c>
      <c r="E7339" s="210"/>
    </row>
    <row r="7340" spans="1:5" ht="38.25">
      <c r="A7340" s="449">
        <v>135</v>
      </c>
      <c r="B7340" s="450" t="s">
        <v>8162</v>
      </c>
      <c r="C7340" s="449" t="s">
        <v>676</v>
      </c>
      <c r="D7340" s="451">
        <v>2.4900000000000002</v>
      </c>
      <c r="E7340" s="210"/>
    </row>
    <row r="7341" spans="1:5">
      <c r="A7341" s="449">
        <v>36886</v>
      </c>
      <c r="B7341" s="450" t="s">
        <v>8163</v>
      </c>
      <c r="C7341" s="449" t="s">
        <v>676</v>
      </c>
      <c r="D7341" s="451">
        <v>0.8</v>
      </c>
      <c r="E7341" s="210"/>
    </row>
    <row r="7342" spans="1:5" ht="38.25">
      <c r="A7342" s="449">
        <v>38546</v>
      </c>
      <c r="B7342" s="450" t="s">
        <v>8164</v>
      </c>
      <c r="C7342" s="449" t="s">
        <v>677</v>
      </c>
      <c r="D7342" s="451">
        <v>455.55</v>
      </c>
      <c r="E7342" s="210"/>
    </row>
    <row r="7343" spans="1:5">
      <c r="A7343" s="449">
        <v>34549</v>
      </c>
      <c r="B7343" s="450" t="s">
        <v>8165</v>
      </c>
      <c r="C7343" s="449" t="s">
        <v>677</v>
      </c>
      <c r="D7343" s="451">
        <v>205.31</v>
      </c>
      <c r="E7343" s="210"/>
    </row>
    <row r="7344" spans="1:5" ht="25.5">
      <c r="A7344" s="449">
        <v>6081</v>
      </c>
      <c r="B7344" s="450" t="s">
        <v>8166</v>
      </c>
      <c r="C7344" s="449" t="s">
        <v>677</v>
      </c>
      <c r="D7344" s="451">
        <v>29.08</v>
      </c>
      <c r="E7344" s="210"/>
    </row>
    <row r="7345" spans="1:5" ht="25.5">
      <c r="A7345" s="449">
        <v>6077</v>
      </c>
      <c r="B7345" s="450" t="s">
        <v>8167</v>
      </c>
      <c r="C7345" s="449" t="s">
        <v>677</v>
      </c>
      <c r="D7345" s="451">
        <v>16.760000000000002</v>
      </c>
      <c r="E7345" s="210"/>
    </row>
    <row r="7346" spans="1:5" ht="38.25">
      <c r="A7346" s="449">
        <v>6079</v>
      </c>
      <c r="B7346" s="450" t="s">
        <v>8168</v>
      </c>
      <c r="C7346" s="449" t="s">
        <v>677</v>
      </c>
      <c r="D7346" s="451">
        <v>9.58</v>
      </c>
      <c r="E7346" s="210"/>
    </row>
    <row r="7347" spans="1:5" ht="38.25">
      <c r="A7347" s="449">
        <v>1091</v>
      </c>
      <c r="B7347" s="450" t="s">
        <v>8169</v>
      </c>
      <c r="C7347" s="449" t="s">
        <v>679</v>
      </c>
      <c r="D7347" s="451">
        <v>30.12</v>
      </c>
      <c r="E7347" s="210"/>
    </row>
    <row r="7348" spans="1:5" ht="38.25">
      <c r="A7348" s="449">
        <v>1094</v>
      </c>
      <c r="B7348" s="450" t="s">
        <v>8170</v>
      </c>
      <c r="C7348" s="449" t="s">
        <v>679</v>
      </c>
      <c r="D7348" s="451">
        <v>21.07</v>
      </c>
      <c r="E7348" s="210"/>
    </row>
    <row r="7349" spans="1:5" ht="38.25">
      <c r="A7349" s="449">
        <v>1095</v>
      </c>
      <c r="B7349" s="450" t="s">
        <v>8171</v>
      </c>
      <c r="C7349" s="449" t="s">
        <v>679</v>
      </c>
      <c r="D7349" s="451">
        <v>44.78</v>
      </c>
      <c r="E7349" s="210"/>
    </row>
    <row r="7350" spans="1:5" ht="38.25">
      <c r="A7350" s="449">
        <v>1092</v>
      </c>
      <c r="B7350" s="450" t="s">
        <v>8172</v>
      </c>
      <c r="C7350" s="449" t="s">
        <v>679</v>
      </c>
      <c r="D7350" s="451">
        <v>34.65</v>
      </c>
      <c r="E7350" s="210"/>
    </row>
    <row r="7351" spans="1:5" ht="38.25">
      <c r="A7351" s="449">
        <v>1093</v>
      </c>
      <c r="B7351" s="450" t="s">
        <v>8173</v>
      </c>
      <c r="C7351" s="449" t="s">
        <v>679</v>
      </c>
      <c r="D7351" s="451">
        <v>80.92</v>
      </c>
      <c r="E7351" s="210"/>
    </row>
    <row r="7352" spans="1:5" ht="38.25">
      <c r="A7352" s="449">
        <v>1090</v>
      </c>
      <c r="B7352" s="450" t="s">
        <v>8174</v>
      </c>
      <c r="C7352" s="449" t="s">
        <v>679</v>
      </c>
      <c r="D7352" s="451">
        <v>57.93</v>
      </c>
      <c r="E7352" s="210"/>
    </row>
    <row r="7353" spans="1:5" ht="38.25">
      <c r="A7353" s="449">
        <v>1096</v>
      </c>
      <c r="B7353" s="450" t="s">
        <v>8175</v>
      </c>
      <c r="C7353" s="449" t="s">
        <v>679</v>
      </c>
      <c r="D7353" s="451">
        <v>104.26</v>
      </c>
      <c r="E7353" s="210"/>
    </row>
    <row r="7354" spans="1:5" ht="38.25">
      <c r="A7354" s="449">
        <v>1097</v>
      </c>
      <c r="B7354" s="450" t="s">
        <v>8176</v>
      </c>
      <c r="C7354" s="449" t="s">
        <v>679</v>
      </c>
      <c r="D7354" s="451">
        <v>88.51</v>
      </c>
      <c r="E7354" s="210"/>
    </row>
    <row r="7355" spans="1:5">
      <c r="A7355" s="449">
        <v>378</v>
      </c>
      <c r="B7355" s="450" t="s">
        <v>8177</v>
      </c>
      <c r="C7355" s="449" t="s">
        <v>682</v>
      </c>
      <c r="D7355" s="451">
        <v>13.66</v>
      </c>
      <c r="E7355" s="210"/>
    </row>
    <row r="7356" spans="1:5">
      <c r="A7356" s="449">
        <v>40911</v>
      </c>
      <c r="B7356" s="450" t="s">
        <v>8178</v>
      </c>
      <c r="C7356" s="449" t="s">
        <v>797</v>
      </c>
      <c r="D7356" s="451">
        <v>2420.84</v>
      </c>
      <c r="E7356" s="210"/>
    </row>
    <row r="7357" spans="1:5">
      <c r="A7357" s="449">
        <v>33939</v>
      </c>
      <c r="B7357" s="450" t="s">
        <v>8179</v>
      </c>
      <c r="C7357" s="449" t="s">
        <v>682</v>
      </c>
      <c r="D7357" s="451">
        <v>57.6</v>
      </c>
      <c r="E7357" s="210"/>
    </row>
    <row r="7358" spans="1:5">
      <c r="A7358" s="449">
        <v>40815</v>
      </c>
      <c r="B7358" s="450" t="s">
        <v>8180</v>
      </c>
      <c r="C7358" s="449" t="s">
        <v>797</v>
      </c>
      <c r="D7358" s="451">
        <v>10206.879999999999</v>
      </c>
      <c r="E7358" s="210"/>
    </row>
    <row r="7359" spans="1:5">
      <c r="A7359" s="449">
        <v>34760</v>
      </c>
      <c r="B7359" s="450" t="s">
        <v>8181</v>
      </c>
      <c r="C7359" s="449" t="s">
        <v>682</v>
      </c>
      <c r="D7359" s="451">
        <v>54.4</v>
      </c>
      <c r="E7359" s="210"/>
    </row>
    <row r="7360" spans="1:5">
      <c r="A7360" s="449">
        <v>40935</v>
      </c>
      <c r="B7360" s="450" t="s">
        <v>8182</v>
      </c>
      <c r="C7360" s="449" t="s">
        <v>797</v>
      </c>
      <c r="D7360" s="451">
        <v>9637.7800000000007</v>
      </c>
      <c r="E7360" s="210"/>
    </row>
    <row r="7361" spans="1:5">
      <c r="A7361" s="449">
        <v>33952</v>
      </c>
      <c r="B7361" s="450" t="s">
        <v>8183</v>
      </c>
      <c r="C7361" s="449" t="s">
        <v>682</v>
      </c>
      <c r="D7361" s="451">
        <v>81.819999999999993</v>
      </c>
      <c r="E7361" s="210"/>
    </row>
    <row r="7362" spans="1:5">
      <c r="A7362" s="449">
        <v>40816</v>
      </c>
      <c r="B7362" s="450" t="s">
        <v>8184</v>
      </c>
      <c r="C7362" s="449" t="s">
        <v>797</v>
      </c>
      <c r="D7362" s="451">
        <v>14498.02</v>
      </c>
      <c r="E7362" s="210"/>
    </row>
    <row r="7363" spans="1:5">
      <c r="A7363" s="449">
        <v>33953</v>
      </c>
      <c r="B7363" s="450" t="s">
        <v>8185</v>
      </c>
      <c r="C7363" s="449" t="s">
        <v>682</v>
      </c>
      <c r="D7363" s="451">
        <v>108.18</v>
      </c>
      <c r="E7363" s="210"/>
    </row>
    <row r="7364" spans="1:5">
      <c r="A7364" s="449">
        <v>40817</v>
      </c>
      <c r="B7364" s="450" t="s">
        <v>8186</v>
      </c>
      <c r="C7364" s="449" t="s">
        <v>797</v>
      </c>
      <c r="D7364" s="451">
        <v>19167.669999999998</v>
      </c>
      <c r="E7364" s="210"/>
    </row>
    <row r="7365" spans="1:5" ht="38.25">
      <c r="A7365" s="449">
        <v>13348</v>
      </c>
      <c r="B7365" s="450" t="s">
        <v>8187</v>
      </c>
      <c r="C7365" s="449" t="s">
        <v>679</v>
      </c>
      <c r="D7365" s="451">
        <v>1.03</v>
      </c>
      <c r="E7365" s="210"/>
    </row>
    <row r="7366" spans="1:5" ht="25.5">
      <c r="A7366" s="449">
        <v>39211</v>
      </c>
      <c r="B7366" s="450" t="s">
        <v>8188</v>
      </c>
      <c r="C7366" s="449" t="s">
        <v>679</v>
      </c>
      <c r="D7366" s="451">
        <v>1.1599999999999999</v>
      </c>
      <c r="E7366" s="210"/>
    </row>
    <row r="7367" spans="1:5" ht="25.5">
      <c r="A7367" s="449">
        <v>39212</v>
      </c>
      <c r="B7367" s="450" t="s">
        <v>8189</v>
      </c>
      <c r="C7367" s="449" t="s">
        <v>679</v>
      </c>
      <c r="D7367" s="451">
        <v>1.29</v>
      </c>
      <c r="E7367" s="210"/>
    </row>
    <row r="7368" spans="1:5" ht="25.5">
      <c r="A7368" s="449">
        <v>39208</v>
      </c>
      <c r="B7368" s="450" t="s">
        <v>8190</v>
      </c>
      <c r="C7368" s="449" t="s">
        <v>679</v>
      </c>
      <c r="D7368" s="451">
        <v>0.35</v>
      </c>
      <c r="E7368" s="210"/>
    </row>
    <row r="7369" spans="1:5" ht="25.5">
      <c r="A7369" s="449">
        <v>39210</v>
      </c>
      <c r="B7369" s="450" t="s">
        <v>8191</v>
      </c>
      <c r="C7369" s="449" t="s">
        <v>679</v>
      </c>
      <c r="D7369" s="451">
        <v>0.65</v>
      </c>
      <c r="E7369" s="210"/>
    </row>
    <row r="7370" spans="1:5" ht="25.5">
      <c r="A7370" s="449">
        <v>39214</v>
      </c>
      <c r="B7370" s="450" t="s">
        <v>8192</v>
      </c>
      <c r="C7370" s="449" t="s">
        <v>679</v>
      </c>
      <c r="D7370" s="451">
        <v>2.4</v>
      </c>
      <c r="E7370" s="210"/>
    </row>
    <row r="7371" spans="1:5" ht="25.5">
      <c r="A7371" s="449">
        <v>39213</v>
      </c>
      <c r="B7371" s="450" t="s">
        <v>8193</v>
      </c>
      <c r="C7371" s="449" t="s">
        <v>679</v>
      </c>
      <c r="D7371" s="451">
        <v>1.69</v>
      </c>
      <c r="E7371" s="210"/>
    </row>
    <row r="7372" spans="1:5" ht="25.5">
      <c r="A7372" s="449">
        <v>39209</v>
      </c>
      <c r="B7372" s="450" t="s">
        <v>8194</v>
      </c>
      <c r="C7372" s="449" t="s">
        <v>679</v>
      </c>
      <c r="D7372" s="451">
        <v>0.42</v>
      </c>
      <c r="E7372" s="210"/>
    </row>
    <row r="7373" spans="1:5" ht="25.5">
      <c r="A7373" s="449">
        <v>39207</v>
      </c>
      <c r="B7373" s="450" t="s">
        <v>8195</v>
      </c>
      <c r="C7373" s="449" t="s">
        <v>679</v>
      </c>
      <c r="D7373" s="451">
        <v>0.65</v>
      </c>
      <c r="E7373" s="210"/>
    </row>
    <row r="7374" spans="1:5" ht="25.5">
      <c r="A7374" s="449">
        <v>39215</v>
      </c>
      <c r="B7374" s="450" t="s">
        <v>8196</v>
      </c>
      <c r="C7374" s="449" t="s">
        <v>679</v>
      </c>
      <c r="D7374" s="451">
        <v>4.37</v>
      </c>
      <c r="E7374" s="210"/>
    </row>
    <row r="7375" spans="1:5" ht="25.5">
      <c r="A7375" s="449">
        <v>39216</v>
      </c>
      <c r="B7375" s="450" t="s">
        <v>8197</v>
      </c>
      <c r="C7375" s="449" t="s">
        <v>679</v>
      </c>
      <c r="D7375" s="451">
        <v>6.09</v>
      </c>
      <c r="E7375" s="210"/>
    </row>
    <row r="7376" spans="1:5" ht="51">
      <c r="A7376" s="449">
        <v>11267</v>
      </c>
      <c r="B7376" s="450" t="s">
        <v>8198</v>
      </c>
      <c r="C7376" s="449" t="s">
        <v>679</v>
      </c>
      <c r="D7376" s="451">
        <v>0.9</v>
      </c>
      <c r="E7376" s="210"/>
    </row>
    <row r="7377" spans="1:5" ht="38.25">
      <c r="A7377" s="449">
        <v>379</v>
      </c>
      <c r="B7377" s="450" t="s">
        <v>8199</v>
      </c>
      <c r="C7377" s="449" t="s">
        <v>679</v>
      </c>
      <c r="D7377" s="451">
        <v>0.9</v>
      </c>
      <c r="E7377" s="210"/>
    </row>
    <row r="7378" spans="1:5" ht="38.25">
      <c r="A7378" s="449">
        <v>510</v>
      </c>
      <c r="B7378" s="450" t="s">
        <v>8200</v>
      </c>
      <c r="C7378" s="449" t="s">
        <v>676</v>
      </c>
      <c r="D7378" s="451">
        <v>11.26</v>
      </c>
      <c r="E7378" s="210"/>
    </row>
    <row r="7379" spans="1:5" ht="38.25">
      <c r="A7379" s="449">
        <v>516</v>
      </c>
      <c r="B7379" s="450" t="s">
        <v>8201</v>
      </c>
      <c r="C7379" s="449" t="s">
        <v>676</v>
      </c>
      <c r="D7379" s="451">
        <v>13.34</v>
      </c>
      <c r="E7379" s="210"/>
    </row>
    <row r="7380" spans="1:5" ht="38.25">
      <c r="A7380" s="449">
        <v>509</v>
      </c>
      <c r="B7380" s="450" t="s">
        <v>8202</v>
      </c>
      <c r="C7380" s="449" t="s">
        <v>676</v>
      </c>
      <c r="D7380" s="451">
        <v>14.97</v>
      </c>
      <c r="E7380" s="210"/>
    </row>
    <row r="7381" spans="1:5">
      <c r="A7381" s="449">
        <v>40331</v>
      </c>
      <c r="B7381" s="450" t="s">
        <v>8203</v>
      </c>
      <c r="C7381" s="449" t="s">
        <v>682</v>
      </c>
      <c r="D7381" s="451">
        <v>11.86</v>
      </c>
      <c r="E7381" s="210"/>
    </row>
    <row r="7382" spans="1:5">
      <c r="A7382" s="449">
        <v>40930</v>
      </c>
      <c r="B7382" s="450" t="s">
        <v>8204</v>
      </c>
      <c r="C7382" s="449" t="s">
        <v>797</v>
      </c>
      <c r="D7382" s="451">
        <v>2102.5300000000002</v>
      </c>
      <c r="E7382" s="210"/>
    </row>
    <row r="7383" spans="1:5" ht="25.5">
      <c r="A7383" s="449">
        <v>11761</v>
      </c>
      <c r="B7383" s="450" t="s">
        <v>8205</v>
      </c>
      <c r="C7383" s="449" t="s">
        <v>679</v>
      </c>
      <c r="D7383" s="451">
        <v>81.93</v>
      </c>
      <c r="E7383" s="210"/>
    </row>
    <row r="7384" spans="1:5" ht="25.5">
      <c r="A7384" s="449">
        <v>377</v>
      </c>
      <c r="B7384" s="450" t="s">
        <v>8206</v>
      </c>
      <c r="C7384" s="449" t="s">
        <v>679</v>
      </c>
      <c r="D7384" s="451">
        <v>38.5</v>
      </c>
      <c r="E7384" s="210"/>
    </row>
    <row r="7385" spans="1:5" ht="25.5">
      <c r="A7385" s="449">
        <v>7588</v>
      </c>
      <c r="B7385" s="450" t="s">
        <v>8207</v>
      </c>
      <c r="C7385" s="449" t="s">
        <v>679</v>
      </c>
      <c r="D7385" s="451">
        <v>44.39</v>
      </c>
      <c r="E7385" s="210"/>
    </row>
    <row r="7386" spans="1:5">
      <c r="A7386" s="449">
        <v>34392</v>
      </c>
      <c r="B7386" s="450" t="s">
        <v>8208</v>
      </c>
      <c r="C7386" s="449" t="s">
        <v>682</v>
      </c>
      <c r="D7386" s="451">
        <v>10.46</v>
      </c>
      <c r="E7386" s="210"/>
    </row>
    <row r="7387" spans="1:5">
      <c r="A7387" s="449">
        <v>40908</v>
      </c>
      <c r="B7387" s="450" t="s">
        <v>8209</v>
      </c>
      <c r="C7387" s="449" t="s">
        <v>797</v>
      </c>
      <c r="D7387" s="451">
        <v>1854.96</v>
      </c>
      <c r="E7387" s="210"/>
    </row>
    <row r="7388" spans="1:5">
      <c r="A7388" s="449">
        <v>34551</v>
      </c>
      <c r="B7388" s="450" t="s">
        <v>8210</v>
      </c>
      <c r="C7388" s="449" t="s">
        <v>682</v>
      </c>
      <c r="D7388" s="451">
        <v>9.9499999999999993</v>
      </c>
      <c r="E7388" s="210"/>
    </row>
    <row r="7389" spans="1:5">
      <c r="A7389" s="449">
        <v>41078</v>
      </c>
      <c r="B7389" s="450" t="s">
        <v>8211</v>
      </c>
      <c r="C7389" s="449" t="s">
        <v>797</v>
      </c>
      <c r="D7389" s="451">
        <v>1764.68</v>
      </c>
      <c r="E7389" s="210"/>
    </row>
    <row r="7390" spans="1:5" ht="25.5">
      <c r="A7390" s="449">
        <v>246</v>
      </c>
      <c r="B7390" s="450" t="s">
        <v>8212</v>
      </c>
      <c r="C7390" s="449" t="s">
        <v>682</v>
      </c>
      <c r="D7390" s="451">
        <v>10</v>
      </c>
      <c r="E7390" s="210"/>
    </row>
    <row r="7391" spans="1:5" ht="25.5">
      <c r="A7391" s="449">
        <v>40927</v>
      </c>
      <c r="B7391" s="450" t="s">
        <v>8213</v>
      </c>
      <c r="C7391" s="449" t="s">
        <v>797</v>
      </c>
      <c r="D7391" s="451">
        <v>1774.08</v>
      </c>
      <c r="E7391" s="210"/>
    </row>
    <row r="7392" spans="1:5">
      <c r="A7392" s="449">
        <v>2350</v>
      </c>
      <c r="B7392" s="450" t="s">
        <v>8214</v>
      </c>
      <c r="C7392" s="449" t="s">
        <v>682</v>
      </c>
      <c r="D7392" s="451">
        <v>11.01</v>
      </c>
      <c r="E7392" s="210"/>
    </row>
    <row r="7393" spans="1:5">
      <c r="A7393" s="449">
        <v>40812</v>
      </c>
      <c r="B7393" s="450" t="s">
        <v>8215</v>
      </c>
      <c r="C7393" s="449" t="s">
        <v>797</v>
      </c>
      <c r="D7393" s="451">
        <v>1951.83</v>
      </c>
      <c r="E7393" s="210"/>
    </row>
    <row r="7394" spans="1:5" ht="25.5">
      <c r="A7394" s="449">
        <v>245</v>
      </c>
      <c r="B7394" s="450" t="s">
        <v>8216</v>
      </c>
      <c r="C7394" s="449" t="s">
        <v>682</v>
      </c>
      <c r="D7394" s="451">
        <v>18.739999999999998</v>
      </c>
      <c r="E7394" s="210"/>
    </row>
    <row r="7395" spans="1:5" ht="25.5">
      <c r="A7395" s="449">
        <v>41090</v>
      </c>
      <c r="B7395" s="450" t="s">
        <v>8217</v>
      </c>
      <c r="C7395" s="449" t="s">
        <v>797</v>
      </c>
      <c r="D7395" s="451">
        <v>3321.58</v>
      </c>
      <c r="E7395" s="210"/>
    </row>
    <row r="7396" spans="1:5">
      <c r="A7396" s="449">
        <v>251</v>
      </c>
      <c r="B7396" s="450" t="s">
        <v>8218</v>
      </c>
      <c r="C7396" s="449" t="s">
        <v>682</v>
      </c>
      <c r="D7396" s="451">
        <v>8.84</v>
      </c>
      <c r="E7396" s="210"/>
    </row>
    <row r="7397" spans="1:5">
      <c r="A7397" s="449">
        <v>40975</v>
      </c>
      <c r="B7397" s="450" t="s">
        <v>8219</v>
      </c>
      <c r="C7397" s="449" t="s">
        <v>797</v>
      </c>
      <c r="D7397" s="451">
        <v>1569.51</v>
      </c>
      <c r="E7397" s="210"/>
    </row>
    <row r="7398" spans="1:5">
      <c r="A7398" s="449">
        <v>6127</v>
      </c>
      <c r="B7398" s="450" t="s">
        <v>8220</v>
      </c>
      <c r="C7398" s="449" t="s">
        <v>682</v>
      </c>
      <c r="D7398" s="451">
        <v>10.15</v>
      </c>
      <c r="E7398" s="210"/>
    </row>
    <row r="7399" spans="1:5">
      <c r="A7399" s="449">
        <v>41072</v>
      </c>
      <c r="B7399" s="450" t="s">
        <v>8221</v>
      </c>
      <c r="C7399" s="449" t="s">
        <v>797</v>
      </c>
      <c r="D7399" s="451">
        <v>1798.76</v>
      </c>
      <c r="E7399" s="210"/>
    </row>
    <row r="7400" spans="1:5">
      <c r="A7400" s="449">
        <v>6121</v>
      </c>
      <c r="B7400" s="450" t="s">
        <v>8222</v>
      </c>
      <c r="C7400" s="449" t="s">
        <v>682</v>
      </c>
      <c r="D7400" s="451">
        <v>10.94</v>
      </c>
      <c r="E7400" s="210"/>
    </row>
    <row r="7401" spans="1:5">
      <c r="A7401" s="449">
        <v>41071</v>
      </c>
      <c r="B7401" s="450" t="s">
        <v>8223</v>
      </c>
      <c r="C7401" s="449" t="s">
        <v>797</v>
      </c>
      <c r="D7401" s="451">
        <v>1939.78</v>
      </c>
      <c r="E7401" s="210"/>
    </row>
    <row r="7402" spans="1:5">
      <c r="A7402" s="449">
        <v>244</v>
      </c>
      <c r="B7402" s="450" t="s">
        <v>8224</v>
      </c>
      <c r="C7402" s="449" t="s">
        <v>682</v>
      </c>
      <c r="D7402" s="451">
        <v>5.57</v>
      </c>
      <c r="E7402" s="210"/>
    </row>
    <row r="7403" spans="1:5">
      <c r="A7403" s="449">
        <v>41093</v>
      </c>
      <c r="B7403" s="450" t="s">
        <v>8225</v>
      </c>
      <c r="C7403" s="449" t="s">
        <v>797</v>
      </c>
      <c r="D7403" s="451">
        <v>988.87</v>
      </c>
      <c r="E7403" s="210"/>
    </row>
    <row r="7404" spans="1:5">
      <c r="A7404" s="449">
        <v>532</v>
      </c>
      <c r="B7404" s="450" t="s">
        <v>8226</v>
      </c>
      <c r="C7404" s="449" t="s">
        <v>682</v>
      </c>
      <c r="D7404" s="451">
        <v>20.170000000000002</v>
      </c>
      <c r="E7404" s="210"/>
    </row>
    <row r="7405" spans="1:5" ht="25.5">
      <c r="A7405" s="449">
        <v>40931</v>
      </c>
      <c r="B7405" s="450" t="s">
        <v>8227</v>
      </c>
      <c r="C7405" s="449" t="s">
        <v>797</v>
      </c>
      <c r="D7405" s="451">
        <v>3577.45</v>
      </c>
      <c r="E7405" s="210"/>
    </row>
    <row r="7406" spans="1:5" ht="25.5">
      <c r="A7406" s="449">
        <v>36150</v>
      </c>
      <c r="B7406" s="450" t="s">
        <v>8228</v>
      </c>
      <c r="C7406" s="449" t="s">
        <v>679</v>
      </c>
      <c r="D7406" s="451">
        <v>42.17</v>
      </c>
      <c r="E7406" s="210"/>
    </row>
    <row r="7407" spans="1:5">
      <c r="A7407" s="449">
        <v>4760</v>
      </c>
      <c r="B7407" s="450" t="s">
        <v>8229</v>
      </c>
      <c r="C7407" s="449" t="s">
        <v>682</v>
      </c>
      <c r="D7407" s="451">
        <v>13.66</v>
      </c>
      <c r="E7407" s="210"/>
    </row>
    <row r="7408" spans="1:5">
      <c r="A7408" s="449">
        <v>41069</v>
      </c>
      <c r="B7408" s="450" t="s">
        <v>8230</v>
      </c>
      <c r="C7408" s="449" t="s">
        <v>797</v>
      </c>
      <c r="D7408" s="451">
        <v>2420.84</v>
      </c>
      <c r="E7408" s="210"/>
    </row>
    <row r="7409" spans="1:5" ht="38.25">
      <c r="A7409" s="449">
        <v>10422</v>
      </c>
      <c r="B7409" s="450" t="s">
        <v>8231</v>
      </c>
      <c r="C7409" s="449" t="s">
        <v>679</v>
      </c>
      <c r="D7409" s="451">
        <v>309.26</v>
      </c>
      <c r="E7409" s="210"/>
    </row>
    <row r="7410" spans="1:5" ht="38.25">
      <c r="A7410" s="449">
        <v>44019</v>
      </c>
      <c r="B7410" s="450" t="s">
        <v>8232</v>
      </c>
      <c r="C7410" s="449" t="s">
        <v>679</v>
      </c>
      <c r="D7410" s="451">
        <v>428.09</v>
      </c>
      <c r="E7410" s="210"/>
    </row>
    <row r="7411" spans="1:5" ht="38.25">
      <c r="A7411" s="449">
        <v>36520</v>
      </c>
      <c r="B7411" s="450" t="s">
        <v>8233</v>
      </c>
      <c r="C7411" s="449" t="s">
        <v>679</v>
      </c>
      <c r="D7411" s="451">
        <v>520.51</v>
      </c>
      <c r="E7411" s="210"/>
    </row>
    <row r="7412" spans="1:5" ht="51">
      <c r="A7412" s="449">
        <v>42319</v>
      </c>
      <c r="B7412" s="450" t="s">
        <v>8234</v>
      </c>
      <c r="C7412" s="449" t="s">
        <v>679</v>
      </c>
      <c r="D7412" s="451">
        <v>466.4</v>
      </c>
      <c r="E7412" s="210"/>
    </row>
    <row r="7413" spans="1:5" ht="38.25">
      <c r="A7413" s="449">
        <v>10420</v>
      </c>
      <c r="B7413" s="450" t="s">
        <v>8235</v>
      </c>
      <c r="C7413" s="449" t="s">
        <v>679</v>
      </c>
      <c r="D7413" s="451">
        <v>165.45</v>
      </c>
      <c r="E7413" s="210"/>
    </row>
    <row r="7414" spans="1:5" ht="38.25">
      <c r="A7414" s="449">
        <v>10421</v>
      </c>
      <c r="B7414" s="450" t="s">
        <v>8236</v>
      </c>
      <c r="C7414" s="449" t="s">
        <v>679</v>
      </c>
      <c r="D7414" s="451">
        <v>181.81</v>
      </c>
      <c r="E7414" s="210"/>
    </row>
    <row r="7415" spans="1:5" ht="25.5">
      <c r="A7415" s="449">
        <v>11786</v>
      </c>
      <c r="B7415" s="450" t="s">
        <v>8237</v>
      </c>
      <c r="C7415" s="449" t="s">
        <v>679</v>
      </c>
      <c r="D7415" s="451">
        <v>366.59</v>
      </c>
      <c r="E7415" s="210"/>
    </row>
    <row r="7416" spans="1:5">
      <c r="A7416" s="449">
        <v>10</v>
      </c>
      <c r="B7416" s="450" t="s">
        <v>8238</v>
      </c>
      <c r="C7416" s="449" t="s">
        <v>679</v>
      </c>
      <c r="D7416" s="451">
        <v>14.3</v>
      </c>
      <c r="E7416" s="210"/>
    </row>
    <row r="7417" spans="1:5">
      <c r="A7417" s="449">
        <v>4815</v>
      </c>
      <c r="B7417" s="450" t="s">
        <v>8239</v>
      </c>
      <c r="C7417" s="449" t="s">
        <v>679</v>
      </c>
      <c r="D7417" s="451">
        <v>5.96</v>
      </c>
      <c r="E7417" s="210"/>
    </row>
    <row r="7418" spans="1:5" ht="25.5">
      <c r="A7418" s="449">
        <v>541</v>
      </c>
      <c r="B7418" s="450" t="s">
        <v>8240</v>
      </c>
      <c r="C7418" s="449" t="s">
        <v>679</v>
      </c>
      <c r="D7418" s="451">
        <v>174.45</v>
      </c>
      <c r="E7418" s="210"/>
    </row>
    <row r="7419" spans="1:5" ht="25.5">
      <c r="A7419" s="449">
        <v>542</v>
      </c>
      <c r="B7419" s="450" t="s">
        <v>8241</v>
      </c>
      <c r="C7419" s="449" t="s">
        <v>679</v>
      </c>
      <c r="D7419" s="451">
        <v>218.67</v>
      </c>
      <c r="E7419" s="210"/>
    </row>
    <row r="7420" spans="1:5" ht="25.5">
      <c r="A7420" s="449">
        <v>540</v>
      </c>
      <c r="B7420" s="450" t="s">
        <v>8242</v>
      </c>
      <c r="C7420" s="449" t="s">
        <v>679</v>
      </c>
      <c r="D7420" s="451">
        <v>492.78</v>
      </c>
      <c r="E7420" s="210"/>
    </row>
    <row r="7421" spans="1:5" ht="51">
      <c r="A7421" s="449">
        <v>38364</v>
      </c>
      <c r="B7421" s="450" t="s">
        <v>8243</v>
      </c>
      <c r="C7421" s="449" t="s">
        <v>679</v>
      </c>
      <c r="D7421" s="451">
        <v>587</v>
      </c>
      <c r="E7421" s="210"/>
    </row>
    <row r="7422" spans="1:5" ht="25.5">
      <c r="A7422" s="449">
        <v>11692</v>
      </c>
      <c r="B7422" s="450" t="s">
        <v>8244</v>
      </c>
      <c r="C7422" s="449" t="s">
        <v>684</v>
      </c>
      <c r="D7422" s="451">
        <v>455.27</v>
      </c>
      <c r="E7422" s="210"/>
    </row>
    <row r="7423" spans="1:5" ht="38.25">
      <c r="A7423" s="449">
        <v>1746</v>
      </c>
      <c r="B7423" s="450" t="s">
        <v>8245</v>
      </c>
      <c r="C7423" s="449" t="s">
        <v>679</v>
      </c>
      <c r="D7423" s="451">
        <v>237.3</v>
      </c>
      <c r="E7423" s="210"/>
    </row>
    <row r="7424" spans="1:5" ht="38.25">
      <c r="A7424" s="449">
        <v>1748</v>
      </c>
      <c r="B7424" s="450" t="s">
        <v>8246</v>
      </c>
      <c r="C7424" s="449" t="s">
        <v>679</v>
      </c>
      <c r="D7424" s="451">
        <v>315.55</v>
      </c>
      <c r="E7424" s="210"/>
    </row>
    <row r="7425" spans="1:5" ht="38.25">
      <c r="A7425" s="449">
        <v>1749</v>
      </c>
      <c r="B7425" s="450" t="s">
        <v>8247</v>
      </c>
      <c r="C7425" s="449" t="s">
        <v>679</v>
      </c>
      <c r="D7425" s="451">
        <v>457.18</v>
      </c>
      <c r="E7425" s="210"/>
    </row>
    <row r="7426" spans="1:5" ht="38.25">
      <c r="A7426" s="449">
        <v>37412</v>
      </c>
      <c r="B7426" s="450" t="s">
        <v>8248</v>
      </c>
      <c r="C7426" s="449" t="s">
        <v>679</v>
      </c>
      <c r="D7426" s="451">
        <v>231.96</v>
      </c>
      <c r="E7426" s="210"/>
    </row>
    <row r="7427" spans="1:5" ht="38.25">
      <c r="A7427" s="449">
        <v>1745</v>
      </c>
      <c r="B7427" s="450" t="s">
        <v>8249</v>
      </c>
      <c r="C7427" s="449" t="s">
        <v>679</v>
      </c>
      <c r="D7427" s="451">
        <v>275.83</v>
      </c>
      <c r="E7427" s="210"/>
    </row>
    <row r="7428" spans="1:5" ht="38.25">
      <c r="A7428" s="449">
        <v>1750</v>
      </c>
      <c r="B7428" s="450" t="s">
        <v>8250</v>
      </c>
      <c r="C7428" s="449" t="s">
        <v>679</v>
      </c>
      <c r="D7428" s="451">
        <v>644.58000000000004</v>
      </c>
      <c r="E7428" s="210"/>
    </row>
    <row r="7429" spans="1:5" ht="38.25">
      <c r="A7429" s="449">
        <v>11687</v>
      </c>
      <c r="B7429" s="450" t="s">
        <v>8251</v>
      </c>
      <c r="C7429" s="449" t="s">
        <v>683</v>
      </c>
      <c r="D7429" s="451">
        <v>1027.01</v>
      </c>
      <c r="E7429" s="210"/>
    </row>
    <row r="7430" spans="1:5" ht="38.25">
      <c r="A7430" s="449">
        <v>11689</v>
      </c>
      <c r="B7430" s="450" t="s">
        <v>8252</v>
      </c>
      <c r="C7430" s="449" t="s">
        <v>683</v>
      </c>
      <c r="D7430" s="451">
        <v>1286.78</v>
      </c>
      <c r="E7430" s="210"/>
    </row>
    <row r="7431" spans="1:5" ht="25.5">
      <c r="A7431" s="449">
        <v>11693</v>
      </c>
      <c r="B7431" s="450" t="s">
        <v>8253</v>
      </c>
      <c r="C7431" s="449" t="s">
        <v>684</v>
      </c>
      <c r="D7431" s="451">
        <v>193.43</v>
      </c>
      <c r="E7431" s="210"/>
    </row>
    <row r="7432" spans="1:5" ht="25.5">
      <c r="A7432" s="449">
        <v>36215</v>
      </c>
      <c r="B7432" s="450" t="s">
        <v>8254</v>
      </c>
      <c r="C7432" s="449" t="s">
        <v>679</v>
      </c>
      <c r="D7432" s="451">
        <v>1039.31</v>
      </c>
      <c r="E7432" s="210"/>
    </row>
    <row r="7433" spans="1:5" ht="63.75">
      <c r="A7433" s="449">
        <v>42439</v>
      </c>
      <c r="B7433" s="450" t="s">
        <v>8255</v>
      </c>
      <c r="C7433" s="449" t="s">
        <v>679</v>
      </c>
      <c r="D7433" s="451">
        <v>925.43</v>
      </c>
      <c r="E7433" s="210"/>
    </row>
    <row r="7434" spans="1:5">
      <c r="A7434" s="449">
        <v>38381</v>
      </c>
      <c r="B7434" s="450" t="s">
        <v>8256</v>
      </c>
      <c r="C7434" s="449" t="s">
        <v>679</v>
      </c>
      <c r="D7434" s="451">
        <v>10.039999999999999</v>
      </c>
      <c r="E7434" s="210"/>
    </row>
    <row r="7435" spans="1:5" ht="25.5">
      <c r="A7435" s="449">
        <v>39621</v>
      </c>
      <c r="B7435" s="450" t="s">
        <v>8257</v>
      </c>
      <c r="C7435" s="449" t="s">
        <v>690</v>
      </c>
      <c r="D7435" s="451">
        <v>989.31</v>
      </c>
      <c r="E7435" s="210"/>
    </row>
    <row r="7436" spans="1:5" ht="25.5">
      <c r="A7436" s="449">
        <v>39624</v>
      </c>
      <c r="B7436" s="450" t="s">
        <v>8258</v>
      </c>
      <c r="C7436" s="449" t="s">
        <v>690</v>
      </c>
      <c r="D7436" s="451">
        <v>1091.31</v>
      </c>
      <c r="E7436" s="210"/>
    </row>
    <row r="7437" spans="1:5" ht="25.5">
      <c r="A7437" s="449">
        <v>39615</v>
      </c>
      <c r="B7437" s="450" t="s">
        <v>8259</v>
      </c>
      <c r="C7437" s="449" t="s">
        <v>679</v>
      </c>
      <c r="D7437" s="451">
        <v>440.99</v>
      </c>
      <c r="E7437" s="210"/>
    </row>
    <row r="7438" spans="1:5" ht="25.5">
      <c r="A7438" s="449">
        <v>39620</v>
      </c>
      <c r="B7438" s="450" t="s">
        <v>8260</v>
      </c>
      <c r="C7438" s="449" t="s">
        <v>679</v>
      </c>
      <c r="D7438" s="451">
        <v>673.51</v>
      </c>
      <c r="E7438" s="210"/>
    </row>
    <row r="7439" spans="1:5" ht="25.5">
      <c r="A7439" s="449">
        <v>39623</v>
      </c>
      <c r="B7439" s="450" t="s">
        <v>8261</v>
      </c>
      <c r="C7439" s="449" t="s">
        <v>679</v>
      </c>
      <c r="D7439" s="451">
        <v>721.39</v>
      </c>
      <c r="E7439" s="210"/>
    </row>
    <row r="7440" spans="1:5" ht="25.5">
      <c r="A7440" s="449">
        <v>36207</v>
      </c>
      <c r="B7440" s="450" t="s">
        <v>8262</v>
      </c>
      <c r="C7440" s="449" t="s">
        <v>679</v>
      </c>
      <c r="D7440" s="451">
        <v>460.34</v>
      </c>
      <c r="E7440" s="210"/>
    </row>
    <row r="7441" spans="1:5" ht="25.5">
      <c r="A7441" s="449">
        <v>36209</v>
      </c>
      <c r="B7441" s="450" t="s">
        <v>8263</v>
      </c>
      <c r="C7441" s="449" t="s">
        <v>679</v>
      </c>
      <c r="D7441" s="451">
        <v>528.30999999999995</v>
      </c>
      <c r="E7441" s="210"/>
    </row>
    <row r="7442" spans="1:5" ht="38.25">
      <c r="A7442" s="449">
        <v>36210</v>
      </c>
      <c r="B7442" s="450" t="s">
        <v>8264</v>
      </c>
      <c r="C7442" s="449" t="s">
        <v>679</v>
      </c>
      <c r="D7442" s="451">
        <v>571.62</v>
      </c>
      <c r="E7442" s="210"/>
    </row>
    <row r="7443" spans="1:5" ht="25.5">
      <c r="A7443" s="449">
        <v>36204</v>
      </c>
      <c r="B7443" s="450" t="s">
        <v>8265</v>
      </c>
      <c r="C7443" s="449" t="s">
        <v>679</v>
      </c>
      <c r="D7443" s="451">
        <v>202.67</v>
      </c>
      <c r="E7443" s="210"/>
    </row>
    <row r="7444" spans="1:5" ht="25.5">
      <c r="A7444" s="449">
        <v>36205</v>
      </c>
      <c r="B7444" s="450" t="s">
        <v>8266</v>
      </c>
      <c r="C7444" s="449" t="s">
        <v>679</v>
      </c>
      <c r="D7444" s="451">
        <v>225.09</v>
      </c>
      <c r="E7444" s="210"/>
    </row>
    <row r="7445" spans="1:5" ht="25.5">
      <c r="A7445" s="449">
        <v>36081</v>
      </c>
      <c r="B7445" s="450" t="s">
        <v>8267</v>
      </c>
      <c r="C7445" s="449" t="s">
        <v>679</v>
      </c>
      <c r="D7445" s="451">
        <v>240</v>
      </c>
      <c r="E7445" s="210"/>
    </row>
    <row r="7446" spans="1:5" ht="25.5">
      <c r="A7446" s="449">
        <v>36206</v>
      </c>
      <c r="B7446" s="450" t="s">
        <v>8268</v>
      </c>
      <c r="C7446" s="449" t="s">
        <v>679</v>
      </c>
      <c r="D7446" s="451">
        <v>251.44</v>
      </c>
      <c r="E7446" s="210"/>
    </row>
    <row r="7447" spans="1:5" ht="25.5">
      <c r="A7447" s="449">
        <v>36218</v>
      </c>
      <c r="B7447" s="450" t="s">
        <v>8269</v>
      </c>
      <c r="C7447" s="449" t="s">
        <v>679</v>
      </c>
      <c r="D7447" s="451">
        <v>97.84</v>
      </c>
      <c r="E7447" s="210"/>
    </row>
    <row r="7448" spans="1:5" ht="25.5">
      <c r="A7448" s="449">
        <v>36220</v>
      </c>
      <c r="B7448" s="450" t="s">
        <v>8270</v>
      </c>
      <c r="C7448" s="449" t="s">
        <v>679</v>
      </c>
      <c r="D7448" s="451">
        <v>112.2</v>
      </c>
      <c r="E7448" s="210"/>
    </row>
    <row r="7449" spans="1:5" ht="25.5">
      <c r="A7449" s="449">
        <v>36080</v>
      </c>
      <c r="B7449" s="450" t="s">
        <v>8271</v>
      </c>
      <c r="C7449" s="449" t="s">
        <v>679</v>
      </c>
      <c r="D7449" s="451">
        <v>121.36</v>
      </c>
      <c r="E7449" s="210"/>
    </row>
    <row r="7450" spans="1:5" ht="25.5">
      <c r="A7450" s="449">
        <v>36223</v>
      </c>
      <c r="B7450" s="450" t="s">
        <v>8272</v>
      </c>
      <c r="C7450" s="449" t="s">
        <v>679</v>
      </c>
      <c r="D7450" s="451">
        <v>127.08</v>
      </c>
      <c r="E7450" s="210"/>
    </row>
    <row r="7451" spans="1:5" ht="25.5">
      <c r="A7451" s="449">
        <v>546</v>
      </c>
      <c r="B7451" s="450" t="s">
        <v>8273</v>
      </c>
      <c r="C7451" s="449" t="s">
        <v>676</v>
      </c>
      <c r="D7451" s="451">
        <v>12.5</v>
      </c>
      <c r="E7451" s="210"/>
    </row>
    <row r="7452" spans="1:5" ht="25.5">
      <c r="A7452" s="449">
        <v>566</v>
      </c>
      <c r="B7452" s="450" t="s">
        <v>8274</v>
      </c>
      <c r="C7452" s="449" t="s">
        <v>683</v>
      </c>
      <c r="D7452" s="451">
        <v>5.93</v>
      </c>
      <c r="E7452" s="210"/>
    </row>
    <row r="7453" spans="1:5" ht="25.5">
      <c r="A7453" s="449">
        <v>565</v>
      </c>
      <c r="B7453" s="450" t="s">
        <v>8275</v>
      </c>
      <c r="C7453" s="449" t="s">
        <v>683</v>
      </c>
      <c r="D7453" s="451">
        <v>21.62</v>
      </c>
      <c r="E7453" s="210"/>
    </row>
    <row r="7454" spans="1:5" ht="25.5">
      <c r="A7454" s="449">
        <v>555</v>
      </c>
      <c r="B7454" s="450" t="s">
        <v>8276</v>
      </c>
      <c r="C7454" s="449" t="s">
        <v>683</v>
      </c>
      <c r="D7454" s="451">
        <v>15.33</v>
      </c>
      <c r="E7454" s="210"/>
    </row>
    <row r="7455" spans="1:5" ht="25.5">
      <c r="A7455" s="449">
        <v>557</v>
      </c>
      <c r="B7455" s="450" t="s">
        <v>8277</v>
      </c>
      <c r="C7455" s="449" t="s">
        <v>683</v>
      </c>
      <c r="D7455" s="451">
        <v>48.1</v>
      </c>
      <c r="E7455" s="210"/>
    </row>
    <row r="7456" spans="1:5" ht="25.5">
      <c r="A7456" s="449">
        <v>552</v>
      </c>
      <c r="B7456" s="450" t="s">
        <v>8278</v>
      </c>
      <c r="C7456" s="449" t="s">
        <v>683</v>
      </c>
      <c r="D7456" s="451">
        <v>23.86</v>
      </c>
      <c r="E7456" s="210"/>
    </row>
    <row r="7457" spans="1:5" ht="25.5">
      <c r="A7457" s="449">
        <v>563</v>
      </c>
      <c r="B7457" s="450" t="s">
        <v>8279</v>
      </c>
      <c r="C7457" s="449" t="s">
        <v>683</v>
      </c>
      <c r="D7457" s="451">
        <v>35.86</v>
      </c>
      <c r="E7457" s="210"/>
    </row>
    <row r="7458" spans="1:5" ht="25.5">
      <c r="A7458" s="449">
        <v>549</v>
      </c>
      <c r="B7458" s="450" t="s">
        <v>8280</v>
      </c>
      <c r="C7458" s="449" t="s">
        <v>683</v>
      </c>
      <c r="D7458" s="451">
        <v>64.540000000000006</v>
      </c>
      <c r="E7458" s="210"/>
    </row>
    <row r="7459" spans="1:5" ht="25.5">
      <c r="A7459" s="449">
        <v>551</v>
      </c>
      <c r="B7459" s="450" t="s">
        <v>8281</v>
      </c>
      <c r="C7459" s="449" t="s">
        <v>683</v>
      </c>
      <c r="D7459" s="451">
        <v>127.79</v>
      </c>
      <c r="E7459" s="210"/>
    </row>
    <row r="7460" spans="1:5" ht="25.5">
      <c r="A7460" s="449">
        <v>559</v>
      </c>
      <c r="B7460" s="450" t="s">
        <v>8282</v>
      </c>
      <c r="C7460" s="449" t="s">
        <v>683</v>
      </c>
      <c r="D7460" s="451">
        <v>31.94</v>
      </c>
      <c r="E7460" s="210"/>
    </row>
    <row r="7461" spans="1:5" ht="25.5">
      <c r="A7461" s="449">
        <v>560</v>
      </c>
      <c r="B7461" s="450" t="s">
        <v>8283</v>
      </c>
      <c r="C7461" s="449" t="s">
        <v>683</v>
      </c>
      <c r="D7461" s="451">
        <v>39.96</v>
      </c>
      <c r="E7461" s="210"/>
    </row>
    <row r="7462" spans="1:5" ht="25.5">
      <c r="A7462" s="449">
        <v>547</v>
      </c>
      <c r="B7462" s="450" t="s">
        <v>8284</v>
      </c>
      <c r="C7462" s="449" t="s">
        <v>683</v>
      </c>
      <c r="D7462" s="451">
        <v>47.85</v>
      </c>
      <c r="E7462" s="210"/>
    </row>
    <row r="7463" spans="1:5" ht="25.5">
      <c r="A7463" s="449">
        <v>38127</v>
      </c>
      <c r="B7463" s="450" t="s">
        <v>8285</v>
      </c>
      <c r="C7463" s="449" t="s">
        <v>679</v>
      </c>
      <c r="D7463" s="451">
        <v>411.31</v>
      </c>
      <c r="E7463" s="210"/>
    </row>
    <row r="7464" spans="1:5" ht="25.5">
      <c r="A7464" s="449">
        <v>38060</v>
      </c>
      <c r="B7464" s="450" t="s">
        <v>8286</v>
      </c>
      <c r="C7464" s="449" t="s">
        <v>679</v>
      </c>
      <c r="D7464" s="451">
        <v>80.209999999999994</v>
      </c>
      <c r="E7464" s="210"/>
    </row>
    <row r="7465" spans="1:5" ht="25.5">
      <c r="A7465" s="449">
        <v>10956</v>
      </c>
      <c r="B7465" s="450" t="s">
        <v>8287</v>
      </c>
      <c r="C7465" s="449" t="s">
        <v>679</v>
      </c>
      <c r="D7465" s="451">
        <v>83.32</v>
      </c>
      <c r="E7465" s="210"/>
    </row>
    <row r="7466" spans="1:5">
      <c r="A7466" s="449">
        <v>39380</v>
      </c>
      <c r="B7466" s="450" t="s">
        <v>8288</v>
      </c>
      <c r="C7466" s="449" t="s">
        <v>679</v>
      </c>
      <c r="D7466" s="451">
        <v>19.34</v>
      </c>
      <c r="E7466" s="210"/>
    </row>
    <row r="7467" spans="1:5" ht="25.5">
      <c r="A7467" s="449">
        <v>13374</v>
      </c>
      <c r="B7467" s="450" t="s">
        <v>8289</v>
      </c>
      <c r="C7467" s="449" t="s">
        <v>679</v>
      </c>
      <c r="D7467" s="451">
        <v>81.58</v>
      </c>
      <c r="E7467" s="210"/>
    </row>
    <row r="7468" spans="1:5" ht="25.5">
      <c r="A7468" s="449">
        <v>37597</v>
      </c>
      <c r="B7468" s="450" t="s">
        <v>8290</v>
      </c>
      <c r="C7468" s="449" t="s">
        <v>679</v>
      </c>
      <c r="D7468" s="451">
        <v>533781.25</v>
      </c>
      <c r="E7468" s="210"/>
    </row>
    <row r="7469" spans="1:5" ht="89.25">
      <c r="A7469" s="449">
        <v>183</v>
      </c>
      <c r="B7469" s="450" t="s">
        <v>8291</v>
      </c>
      <c r="C7469" s="449" t="s">
        <v>681</v>
      </c>
      <c r="D7469" s="451">
        <v>111.99</v>
      </c>
      <c r="E7469" s="210"/>
    </row>
    <row r="7470" spans="1:5" ht="76.5">
      <c r="A7470" s="449">
        <v>184</v>
      </c>
      <c r="B7470" s="450" t="s">
        <v>8292</v>
      </c>
      <c r="C7470" s="449" t="s">
        <v>681</v>
      </c>
      <c r="D7470" s="451">
        <v>69.36</v>
      </c>
      <c r="E7470" s="210"/>
    </row>
    <row r="7471" spans="1:5" ht="89.25">
      <c r="A7471" s="449">
        <v>181</v>
      </c>
      <c r="B7471" s="450" t="s">
        <v>8293</v>
      </c>
      <c r="C7471" s="449" t="s">
        <v>681</v>
      </c>
      <c r="D7471" s="451">
        <v>149.56</v>
      </c>
      <c r="E7471" s="210"/>
    </row>
    <row r="7472" spans="1:5" ht="76.5">
      <c r="A7472" s="449">
        <v>20001</v>
      </c>
      <c r="B7472" s="450" t="s">
        <v>8294</v>
      </c>
      <c r="C7472" s="449" t="s">
        <v>681</v>
      </c>
      <c r="D7472" s="451">
        <v>86.7</v>
      </c>
      <c r="E7472" s="210"/>
    </row>
    <row r="7473" spans="1:5" ht="51">
      <c r="A7473" s="449">
        <v>39837</v>
      </c>
      <c r="B7473" s="450" t="s">
        <v>8295</v>
      </c>
      <c r="C7473" s="449" t="s">
        <v>681</v>
      </c>
      <c r="D7473" s="451">
        <v>285.39</v>
      </c>
      <c r="E7473" s="210"/>
    </row>
    <row r="7474" spans="1:5" ht="51">
      <c r="A7474" s="449">
        <v>10535</v>
      </c>
      <c r="B7474" s="450" t="s">
        <v>8296</v>
      </c>
      <c r="C7474" s="449" t="s">
        <v>679</v>
      </c>
      <c r="D7474" s="451">
        <v>4897.8999999999996</v>
      </c>
      <c r="E7474" s="210"/>
    </row>
    <row r="7475" spans="1:5" ht="38.25">
      <c r="A7475" s="449">
        <v>10537</v>
      </c>
      <c r="B7475" s="450" t="s">
        <v>8297</v>
      </c>
      <c r="C7475" s="449" t="s">
        <v>679</v>
      </c>
      <c r="D7475" s="451">
        <v>6679.4</v>
      </c>
      <c r="E7475" s="210"/>
    </row>
    <row r="7476" spans="1:5" ht="38.25">
      <c r="A7476" s="449">
        <v>13891</v>
      </c>
      <c r="B7476" s="450" t="s">
        <v>8298</v>
      </c>
      <c r="C7476" s="449" t="s">
        <v>679</v>
      </c>
      <c r="D7476" s="451">
        <v>6126.52</v>
      </c>
      <c r="E7476" s="210"/>
    </row>
    <row r="7477" spans="1:5" ht="38.25">
      <c r="A7477" s="449">
        <v>25975</v>
      </c>
      <c r="B7477" s="450" t="s">
        <v>8299</v>
      </c>
      <c r="C7477" s="449" t="s">
        <v>679</v>
      </c>
      <c r="D7477" s="451">
        <v>26647.89</v>
      </c>
      <c r="E7477" s="210"/>
    </row>
    <row r="7478" spans="1:5" ht="51">
      <c r="A7478" s="449">
        <v>36396</v>
      </c>
      <c r="B7478" s="450" t="s">
        <v>8300</v>
      </c>
      <c r="C7478" s="449" t="s">
        <v>679</v>
      </c>
      <c r="D7478" s="451">
        <v>5603.52</v>
      </c>
      <c r="E7478" s="210"/>
    </row>
    <row r="7479" spans="1:5" ht="51">
      <c r="A7479" s="449">
        <v>36397</v>
      </c>
      <c r="B7479" s="450" t="s">
        <v>8301</v>
      </c>
      <c r="C7479" s="449" t="s">
        <v>679</v>
      </c>
      <c r="D7479" s="451">
        <v>19923.66</v>
      </c>
      <c r="E7479" s="210"/>
    </row>
    <row r="7480" spans="1:5" ht="38.25">
      <c r="A7480" s="449">
        <v>36398</v>
      </c>
      <c r="B7480" s="450" t="s">
        <v>8302</v>
      </c>
      <c r="C7480" s="449" t="s">
        <v>679</v>
      </c>
      <c r="D7480" s="451">
        <v>24215.54</v>
      </c>
      <c r="E7480" s="210"/>
    </row>
    <row r="7481" spans="1:5">
      <c r="A7481" s="449">
        <v>647</v>
      </c>
      <c r="B7481" s="450" t="s">
        <v>8303</v>
      </c>
      <c r="C7481" s="449" t="s">
        <v>682</v>
      </c>
      <c r="D7481" s="451">
        <v>9.7100000000000009</v>
      </c>
      <c r="E7481" s="210"/>
    </row>
    <row r="7482" spans="1:5" ht="25.5">
      <c r="A7482" s="449">
        <v>40920</v>
      </c>
      <c r="B7482" s="450" t="s">
        <v>8304</v>
      </c>
      <c r="C7482" s="449" t="s">
        <v>797</v>
      </c>
      <c r="D7482" s="451">
        <v>1722</v>
      </c>
      <c r="E7482" s="210"/>
    </row>
    <row r="7483" spans="1:5" ht="38.25">
      <c r="A7483" s="449">
        <v>38783</v>
      </c>
      <c r="B7483" s="450" t="s">
        <v>8305</v>
      </c>
      <c r="C7483" s="449" t="s">
        <v>679</v>
      </c>
      <c r="D7483" s="451">
        <v>1.23</v>
      </c>
      <c r="E7483" s="210"/>
    </row>
    <row r="7484" spans="1:5" ht="25.5">
      <c r="A7484" s="449">
        <v>37593</v>
      </c>
      <c r="B7484" s="450" t="s">
        <v>8306</v>
      </c>
      <c r="C7484" s="449" t="s">
        <v>679</v>
      </c>
      <c r="D7484" s="451">
        <v>3.02</v>
      </c>
      <c r="E7484" s="210"/>
    </row>
    <row r="7485" spans="1:5" ht="25.5">
      <c r="A7485" s="449">
        <v>37594</v>
      </c>
      <c r="B7485" s="450" t="s">
        <v>8307</v>
      </c>
      <c r="C7485" s="449" t="s">
        <v>679</v>
      </c>
      <c r="D7485" s="451">
        <v>3.76</v>
      </c>
      <c r="E7485" s="210"/>
    </row>
    <row r="7486" spans="1:5" ht="25.5">
      <c r="A7486" s="449">
        <v>37592</v>
      </c>
      <c r="B7486" s="450" t="s">
        <v>8308</v>
      </c>
      <c r="C7486" s="449" t="s">
        <v>679</v>
      </c>
      <c r="D7486" s="451">
        <v>2.38</v>
      </c>
      <c r="E7486" s="210"/>
    </row>
    <row r="7487" spans="1:5" ht="25.5">
      <c r="A7487" s="449">
        <v>7266</v>
      </c>
      <c r="B7487" s="450" t="s">
        <v>8309</v>
      </c>
      <c r="C7487" s="449" t="s">
        <v>689</v>
      </c>
      <c r="D7487" s="451">
        <v>920</v>
      </c>
      <c r="E7487" s="210"/>
    </row>
    <row r="7488" spans="1:5" ht="25.5">
      <c r="A7488" s="449">
        <v>7270</v>
      </c>
      <c r="B7488" s="450" t="s">
        <v>8310</v>
      </c>
      <c r="C7488" s="449" t="s">
        <v>679</v>
      </c>
      <c r="D7488" s="451">
        <v>1.06</v>
      </c>
      <c r="E7488" s="210"/>
    </row>
    <row r="7489" spans="1:5" ht="25.5">
      <c r="A7489" s="449">
        <v>7267</v>
      </c>
      <c r="B7489" s="450" t="s">
        <v>8311</v>
      </c>
      <c r="C7489" s="449" t="s">
        <v>679</v>
      </c>
      <c r="D7489" s="451">
        <v>0.83</v>
      </c>
      <c r="E7489" s="210"/>
    </row>
    <row r="7490" spans="1:5" ht="25.5">
      <c r="A7490" s="449">
        <v>7269</v>
      </c>
      <c r="B7490" s="450" t="s">
        <v>8312</v>
      </c>
      <c r="C7490" s="449" t="s">
        <v>679</v>
      </c>
      <c r="D7490" s="451">
        <v>0.84</v>
      </c>
      <c r="E7490" s="210"/>
    </row>
    <row r="7491" spans="1:5" ht="25.5">
      <c r="A7491" s="449">
        <v>7271</v>
      </c>
      <c r="B7491" s="450" t="s">
        <v>8313</v>
      </c>
      <c r="C7491" s="449" t="s">
        <v>679</v>
      </c>
      <c r="D7491" s="451">
        <v>0.92</v>
      </c>
      <c r="E7491" s="210"/>
    </row>
    <row r="7492" spans="1:5" ht="25.5">
      <c r="A7492" s="449">
        <v>7268</v>
      </c>
      <c r="B7492" s="450" t="s">
        <v>8314</v>
      </c>
      <c r="C7492" s="449" t="s">
        <v>679</v>
      </c>
      <c r="D7492" s="451">
        <v>1.28</v>
      </c>
      <c r="E7492" s="210"/>
    </row>
    <row r="7493" spans="1:5" ht="25.5">
      <c r="A7493" s="449">
        <v>34556</v>
      </c>
      <c r="B7493" s="450" t="s">
        <v>8315</v>
      </c>
      <c r="C7493" s="449" t="s">
        <v>679</v>
      </c>
      <c r="D7493" s="451">
        <v>3.41</v>
      </c>
      <c r="E7493" s="210"/>
    </row>
    <row r="7494" spans="1:5" ht="25.5">
      <c r="A7494" s="449">
        <v>37873</v>
      </c>
      <c r="B7494" s="450" t="s">
        <v>8316</v>
      </c>
      <c r="C7494" s="449" t="s">
        <v>679</v>
      </c>
      <c r="D7494" s="451">
        <v>3.47</v>
      </c>
      <c r="E7494" s="210"/>
    </row>
    <row r="7495" spans="1:5" ht="25.5">
      <c r="A7495" s="449">
        <v>34564</v>
      </c>
      <c r="B7495" s="450" t="s">
        <v>8317</v>
      </c>
      <c r="C7495" s="449" t="s">
        <v>679</v>
      </c>
      <c r="D7495" s="451">
        <v>3.63</v>
      </c>
      <c r="E7495" s="210"/>
    </row>
    <row r="7496" spans="1:5" ht="25.5">
      <c r="A7496" s="449">
        <v>34565</v>
      </c>
      <c r="B7496" s="450" t="s">
        <v>8318</v>
      </c>
      <c r="C7496" s="449" t="s">
        <v>679</v>
      </c>
      <c r="D7496" s="451">
        <v>3.84</v>
      </c>
      <c r="E7496" s="210"/>
    </row>
    <row r="7497" spans="1:5" ht="25.5">
      <c r="A7497" s="449">
        <v>38590</v>
      </c>
      <c r="B7497" s="450" t="s">
        <v>8319</v>
      </c>
      <c r="C7497" s="449" t="s">
        <v>679</v>
      </c>
      <c r="D7497" s="451">
        <v>2.84</v>
      </c>
      <c r="E7497" s="210"/>
    </row>
    <row r="7498" spans="1:5" ht="25.5">
      <c r="A7498" s="449">
        <v>34566</v>
      </c>
      <c r="B7498" s="450" t="s">
        <v>8320</v>
      </c>
      <c r="C7498" s="449" t="s">
        <v>679</v>
      </c>
      <c r="D7498" s="451">
        <v>2.98</v>
      </c>
      <c r="E7498" s="210"/>
    </row>
    <row r="7499" spans="1:5" ht="25.5">
      <c r="A7499" s="449">
        <v>34567</v>
      </c>
      <c r="B7499" s="450" t="s">
        <v>8321</v>
      </c>
      <c r="C7499" s="449" t="s">
        <v>679</v>
      </c>
      <c r="D7499" s="451">
        <v>3.16</v>
      </c>
      <c r="E7499" s="210"/>
    </row>
    <row r="7500" spans="1:5" ht="25.5">
      <c r="A7500" s="449">
        <v>38591</v>
      </c>
      <c r="B7500" s="450" t="s">
        <v>8322</v>
      </c>
      <c r="C7500" s="449" t="s">
        <v>679</v>
      </c>
      <c r="D7500" s="451">
        <v>2.87</v>
      </c>
      <c r="E7500" s="210"/>
    </row>
    <row r="7501" spans="1:5" ht="25.5">
      <c r="A7501" s="449">
        <v>34568</v>
      </c>
      <c r="B7501" s="450" t="s">
        <v>8323</v>
      </c>
      <c r="C7501" s="449" t="s">
        <v>679</v>
      </c>
      <c r="D7501" s="451">
        <v>3.74</v>
      </c>
      <c r="E7501" s="210"/>
    </row>
    <row r="7502" spans="1:5" ht="25.5">
      <c r="A7502" s="449">
        <v>34569</v>
      </c>
      <c r="B7502" s="450" t="s">
        <v>8324</v>
      </c>
      <c r="C7502" s="449" t="s">
        <v>679</v>
      </c>
      <c r="D7502" s="451">
        <v>3.84</v>
      </c>
      <c r="E7502" s="210"/>
    </row>
    <row r="7503" spans="1:5" ht="25.5">
      <c r="A7503" s="449">
        <v>34570</v>
      </c>
      <c r="B7503" s="450" t="s">
        <v>8325</v>
      </c>
      <c r="C7503" s="449" t="s">
        <v>679</v>
      </c>
      <c r="D7503" s="451">
        <v>4.17</v>
      </c>
      <c r="E7503" s="210"/>
    </row>
    <row r="7504" spans="1:5" ht="25.5">
      <c r="A7504" s="449">
        <v>25070</v>
      </c>
      <c r="B7504" s="450" t="s">
        <v>8326</v>
      </c>
      <c r="C7504" s="449" t="s">
        <v>679</v>
      </c>
      <c r="D7504" s="451">
        <v>3.14</v>
      </c>
      <c r="E7504" s="210"/>
    </row>
    <row r="7505" spans="1:5" ht="25.5">
      <c r="A7505" s="449">
        <v>34571</v>
      </c>
      <c r="B7505" s="450" t="s">
        <v>8327</v>
      </c>
      <c r="C7505" s="449" t="s">
        <v>679</v>
      </c>
      <c r="D7505" s="451">
        <v>3.17</v>
      </c>
      <c r="E7505" s="210"/>
    </row>
    <row r="7506" spans="1:5" ht="25.5">
      <c r="A7506" s="449">
        <v>34573</v>
      </c>
      <c r="B7506" s="450" t="s">
        <v>8328</v>
      </c>
      <c r="C7506" s="449" t="s">
        <v>679</v>
      </c>
      <c r="D7506" s="451">
        <v>3.33</v>
      </c>
      <c r="E7506" s="210"/>
    </row>
    <row r="7507" spans="1:5" ht="25.5">
      <c r="A7507" s="449">
        <v>37107</v>
      </c>
      <c r="B7507" s="450" t="s">
        <v>8329</v>
      </c>
      <c r="C7507" s="449" t="s">
        <v>679</v>
      </c>
      <c r="D7507" s="451">
        <v>4.4000000000000004</v>
      </c>
      <c r="E7507" s="210"/>
    </row>
    <row r="7508" spans="1:5" ht="25.5">
      <c r="A7508" s="449">
        <v>34576</v>
      </c>
      <c r="B7508" s="450" t="s">
        <v>8330</v>
      </c>
      <c r="C7508" s="449" t="s">
        <v>679</v>
      </c>
      <c r="D7508" s="451">
        <v>4.8600000000000003</v>
      </c>
      <c r="E7508" s="210"/>
    </row>
    <row r="7509" spans="1:5" ht="25.5">
      <c r="A7509" s="449">
        <v>34577</v>
      </c>
      <c r="B7509" s="450" t="s">
        <v>8331</v>
      </c>
      <c r="C7509" s="449" t="s">
        <v>679</v>
      </c>
      <c r="D7509" s="451">
        <v>5.07</v>
      </c>
      <c r="E7509" s="210"/>
    </row>
    <row r="7510" spans="1:5" ht="25.5">
      <c r="A7510" s="449">
        <v>34578</v>
      </c>
      <c r="B7510" s="450" t="s">
        <v>8332</v>
      </c>
      <c r="C7510" s="449" t="s">
        <v>679</v>
      </c>
      <c r="D7510" s="451">
        <v>5.5</v>
      </c>
      <c r="E7510" s="210"/>
    </row>
    <row r="7511" spans="1:5" ht="25.5">
      <c r="A7511" s="449">
        <v>34579</v>
      </c>
      <c r="B7511" s="450" t="s">
        <v>8333</v>
      </c>
      <c r="C7511" s="449" t="s">
        <v>679</v>
      </c>
      <c r="D7511" s="451">
        <v>5.86</v>
      </c>
      <c r="E7511" s="210"/>
    </row>
    <row r="7512" spans="1:5" ht="25.5">
      <c r="A7512" s="449">
        <v>25067</v>
      </c>
      <c r="B7512" s="450" t="s">
        <v>8334</v>
      </c>
      <c r="C7512" s="449" t="s">
        <v>679</v>
      </c>
      <c r="D7512" s="451">
        <v>3.92</v>
      </c>
      <c r="E7512" s="210"/>
    </row>
    <row r="7513" spans="1:5" ht="25.5">
      <c r="A7513" s="449">
        <v>34580</v>
      </c>
      <c r="B7513" s="450" t="s">
        <v>8335</v>
      </c>
      <c r="C7513" s="449" t="s">
        <v>679</v>
      </c>
      <c r="D7513" s="451">
        <v>4.38</v>
      </c>
      <c r="E7513" s="210"/>
    </row>
    <row r="7514" spans="1:5" ht="25.5">
      <c r="A7514" s="449">
        <v>25071</v>
      </c>
      <c r="B7514" s="450" t="s">
        <v>8336</v>
      </c>
      <c r="C7514" s="449" t="s">
        <v>679</v>
      </c>
      <c r="D7514" s="451">
        <v>2.1800000000000002</v>
      </c>
      <c r="E7514" s="210"/>
    </row>
    <row r="7515" spans="1:5">
      <c r="A7515" s="449">
        <v>38395</v>
      </c>
      <c r="B7515" s="450" t="s">
        <v>8337</v>
      </c>
      <c r="C7515" s="449" t="s">
        <v>679</v>
      </c>
      <c r="D7515" s="451">
        <v>8.39</v>
      </c>
      <c r="E7515" s="210"/>
    </row>
    <row r="7516" spans="1:5" ht="25.5">
      <c r="A7516" s="449">
        <v>34583</v>
      </c>
      <c r="B7516" s="450" t="s">
        <v>8338</v>
      </c>
      <c r="C7516" s="449" t="s">
        <v>684</v>
      </c>
      <c r="D7516" s="451">
        <v>61.72</v>
      </c>
      <c r="E7516" s="210"/>
    </row>
    <row r="7517" spans="1:5" ht="25.5">
      <c r="A7517" s="449">
        <v>34584</v>
      </c>
      <c r="B7517" s="450" t="s">
        <v>8339</v>
      </c>
      <c r="C7517" s="449" t="s">
        <v>684</v>
      </c>
      <c r="D7517" s="451">
        <v>34.549999999999997</v>
      </c>
      <c r="E7517" s="210"/>
    </row>
    <row r="7518" spans="1:5" ht="51">
      <c r="A7518" s="449">
        <v>709</v>
      </c>
      <c r="B7518" s="450" t="s">
        <v>8340</v>
      </c>
      <c r="C7518" s="449" t="s">
        <v>684</v>
      </c>
      <c r="D7518" s="451">
        <v>883.19</v>
      </c>
      <c r="E7518" s="210"/>
    </row>
    <row r="7519" spans="1:5" ht="25.5">
      <c r="A7519" s="449">
        <v>34599</v>
      </c>
      <c r="B7519" s="450" t="s">
        <v>8341</v>
      </c>
      <c r="C7519" s="449" t="s">
        <v>679</v>
      </c>
      <c r="D7519" s="451">
        <v>2.2400000000000002</v>
      </c>
      <c r="E7519" s="210"/>
    </row>
    <row r="7520" spans="1:5" ht="25.5">
      <c r="A7520" s="449">
        <v>34592</v>
      </c>
      <c r="B7520" s="450" t="s">
        <v>8342</v>
      </c>
      <c r="C7520" s="449" t="s">
        <v>679</v>
      </c>
      <c r="D7520" s="451">
        <v>2.4900000000000002</v>
      </c>
      <c r="E7520" s="210"/>
    </row>
    <row r="7521" spans="1:5" ht="25.5">
      <c r="A7521" s="449">
        <v>37103</v>
      </c>
      <c r="B7521" s="450" t="s">
        <v>8343</v>
      </c>
      <c r="C7521" s="449" t="s">
        <v>679</v>
      </c>
      <c r="D7521" s="451">
        <v>2.85</v>
      </c>
      <c r="E7521" s="210"/>
    </row>
    <row r="7522" spans="1:5" ht="25.5">
      <c r="A7522" s="449">
        <v>34555</v>
      </c>
      <c r="B7522" s="450" t="s">
        <v>8344</v>
      </c>
      <c r="C7522" s="449" t="s">
        <v>679</v>
      </c>
      <c r="D7522" s="451">
        <v>3.62</v>
      </c>
      <c r="E7522" s="210"/>
    </row>
    <row r="7523" spans="1:5" ht="25.5">
      <c r="A7523" s="449">
        <v>674</v>
      </c>
      <c r="B7523" s="450" t="s">
        <v>8345</v>
      </c>
      <c r="C7523" s="449" t="s">
        <v>684</v>
      </c>
      <c r="D7523" s="451">
        <v>61.27</v>
      </c>
      <c r="E7523" s="210"/>
    </row>
    <row r="7524" spans="1:5" ht="25.5">
      <c r="A7524" s="449">
        <v>34600</v>
      </c>
      <c r="B7524" s="450" t="s">
        <v>8346</v>
      </c>
      <c r="C7524" s="449" t="s">
        <v>684</v>
      </c>
      <c r="D7524" s="451">
        <v>90</v>
      </c>
      <c r="E7524" s="210"/>
    </row>
    <row r="7525" spans="1:5" ht="25.5">
      <c r="A7525" s="449">
        <v>652</v>
      </c>
      <c r="B7525" s="450" t="s">
        <v>8347</v>
      </c>
      <c r="C7525" s="449" t="s">
        <v>684</v>
      </c>
      <c r="D7525" s="451">
        <v>137.87</v>
      </c>
      <c r="E7525" s="210"/>
    </row>
    <row r="7526" spans="1:5" ht="25.5">
      <c r="A7526" s="449">
        <v>651</v>
      </c>
      <c r="B7526" s="450" t="s">
        <v>8348</v>
      </c>
      <c r="C7526" s="449" t="s">
        <v>679</v>
      </c>
      <c r="D7526" s="451">
        <v>2.75</v>
      </c>
      <c r="E7526" s="210"/>
    </row>
    <row r="7527" spans="1:5" ht="25.5">
      <c r="A7527" s="449">
        <v>654</v>
      </c>
      <c r="B7527" s="450" t="s">
        <v>8349</v>
      </c>
      <c r="C7527" s="449" t="s">
        <v>679</v>
      </c>
      <c r="D7527" s="451">
        <v>3.41</v>
      </c>
      <c r="E7527" s="210"/>
    </row>
    <row r="7528" spans="1:5" ht="25.5">
      <c r="A7528" s="449">
        <v>650</v>
      </c>
      <c r="B7528" s="450" t="s">
        <v>8350</v>
      </c>
      <c r="C7528" s="449" t="s">
        <v>679</v>
      </c>
      <c r="D7528" s="451">
        <v>2.2000000000000002</v>
      </c>
      <c r="E7528" s="210"/>
    </row>
    <row r="7529" spans="1:5" ht="25.5">
      <c r="A7529" s="449">
        <v>716</v>
      </c>
      <c r="B7529" s="450" t="s">
        <v>8351</v>
      </c>
      <c r="C7529" s="449" t="s">
        <v>679</v>
      </c>
      <c r="D7529" s="451">
        <v>23.24</v>
      </c>
      <c r="E7529" s="210"/>
    </row>
    <row r="7530" spans="1:5" ht="25.5">
      <c r="A7530" s="449">
        <v>715</v>
      </c>
      <c r="B7530" s="450" t="s">
        <v>8352</v>
      </c>
      <c r="C7530" s="449" t="s">
        <v>679</v>
      </c>
      <c r="D7530" s="451">
        <v>22.99</v>
      </c>
      <c r="E7530" s="210"/>
    </row>
    <row r="7531" spans="1:5" ht="25.5">
      <c r="A7531" s="449">
        <v>718</v>
      </c>
      <c r="B7531" s="450" t="s">
        <v>8353</v>
      </c>
      <c r="C7531" s="449" t="s">
        <v>679</v>
      </c>
      <c r="D7531" s="451">
        <v>34.25</v>
      </c>
      <c r="E7531" s="210"/>
    </row>
    <row r="7532" spans="1:5" ht="25.5">
      <c r="A7532" s="449">
        <v>11981</v>
      </c>
      <c r="B7532" s="450" t="s">
        <v>8354</v>
      </c>
      <c r="C7532" s="449" t="s">
        <v>679</v>
      </c>
      <c r="D7532" s="451">
        <v>23.49</v>
      </c>
      <c r="E7532" s="210"/>
    </row>
    <row r="7533" spans="1:5" ht="25.5">
      <c r="A7533" s="449">
        <v>34586</v>
      </c>
      <c r="B7533" s="450" t="s">
        <v>8355</v>
      </c>
      <c r="C7533" s="449" t="s">
        <v>679</v>
      </c>
      <c r="D7533" s="451">
        <v>2.58</v>
      </c>
      <c r="E7533" s="210"/>
    </row>
    <row r="7534" spans="1:5" ht="25.5">
      <c r="A7534" s="449">
        <v>38603</v>
      </c>
      <c r="B7534" s="450" t="s">
        <v>8356</v>
      </c>
      <c r="C7534" s="449" t="s">
        <v>679</v>
      </c>
      <c r="D7534" s="451">
        <v>3.12</v>
      </c>
      <c r="E7534" s="210"/>
    </row>
    <row r="7535" spans="1:5" ht="25.5">
      <c r="A7535" s="449">
        <v>34588</v>
      </c>
      <c r="B7535" s="450" t="s">
        <v>8357</v>
      </c>
      <c r="C7535" s="449" t="s">
        <v>679</v>
      </c>
      <c r="D7535" s="451">
        <v>3.37</v>
      </c>
      <c r="E7535" s="210"/>
    </row>
    <row r="7536" spans="1:5" ht="25.5">
      <c r="A7536" s="449">
        <v>34590</v>
      </c>
      <c r="B7536" s="450" t="s">
        <v>8358</v>
      </c>
      <c r="C7536" s="449" t="s">
        <v>679</v>
      </c>
      <c r="D7536" s="451">
        <v>3.08</v>
      </c>
      <c r="E7536" s="210"/>
    </row>
    <row r="7537" spans="1:5" ht="25.5">
      <c r="A7537" s="449">
        <v>34591</v>
      </c>
      <c r="B7537" s="450" t="s">
        <v>8359</v>
      </c>
      <c r="C7537" s="449" t="s">
        <v>679</v>
      </c>
      <c r="D7537" s="451">
        <v>4.17</v>
      </c>
      <c r="E7537" s="210"/>
    </row>
    <row r="7538" spans="1:5" ht="25.5">
      <c r="A7538" s="449">
        <v>41372</v>
      </c>
      <c r="B7538" s="450" t="s">
        <v>8360</v>
      </c>
      <c r="C7538" s="449" t="s">
        <v>684</v>
      </c>
      <c r="D7538" s="451">
        <v>85.99</v>
      </c>
      <c r="E7538" s="210"/>
    </row>
    <row r="7539" spans="1:5" ht="25.5">
      <c r="A7539" s="449">
        <v>41371</v>
      </c>
      <c r="B7539" s="450" t="s">
        <v>8361</v>
      </c>
      <c r="C7539" s="449" t="s">
        <v>684</v>
      </c>
      <c r="D7539" s="451">
        <v>50.83</v>
      </c>
      <c r="E7539" s="210"/>
    </row>
    <row r="7540" spans="1:5" ht="51">
      <c r="A7540" s="449">
        <v>40517</v>
      </c>
      <c r="B7540" s="450" t="s">
        <v>8362</v>
      </c>
      <c r="C7540" s="449" t="s">
        <v>684</v>
      </c>
      <c r="D7540" s="451">
        <v>51.97</v>
      </c>
      <c r="E7540" s="210"/>
    </row>
    <row r="7541" spans="1:5" ht="63.75">
      <c r="A7541" s="449">
        <v>40515</v>
      </c>
      <c r="B7541" s="450" t="s">
        <v>8363</v>
      </c>
      <c r="C7541" s="449" t="s">
        <v>684</v>
      </c>
      <c r="D7541" s="451">
        <v>116.94</v>
      </c>
      <c r="E7541" s="210"/>
    </row>
    <row r="7542" spans="1:5" ht="76.5">
      <c r="A7542" s="449">
        <v>40529</v>
      </c>
      <c r="B7542" s="450" t="s">
        <v>8364</v>
      </c>
      <c r="C7542" s="449" t="s">
        <v>684</v>
      </c>
      <c r="D7542" s="451">
        <v>74.709999999999994</v>
      </c>
      <c r="E7542" s="210"/>
    </row>
    <row r="7543" spans="1:5" ht="76.5">
      <c r="A7543" s="449">
        <v>36170</v>
      </c>
      <c r="B7543" s="450" t="s">
        <v>8365</v>
      </c>
      <c r="C7543" s="449" t="s">
        <v>684</v>
      </c>
      <c r="D7543" s="451">
        <v>61.99</v>
      </c>
      <c r="E7543" s="210"/>
    </row>
    <row r="7544" spans="1:5" ht="76.5">
      <c r="A7544" s="449">
        <v>40524</v>
      </c>
      <c r="B7544" s="450" t="s">
        <v>8366</v>
      </c>
      <c r="C7544" s="449" t="s">
        <v>684</v>
      </c>
      <c r="D7544" s="451">
        <v>73.09</v>
      </c>
      <c r="E7544" s="210"/>
    </row>
    <row r="7545" spans="1:5" ht="63.75">
      <c r="A7545" s="449">
        <v>36156</v>
      </c>
      <c r="B7545" s="450" t="s">
        <v>8367</v>
      </c>
      <c r="C7545" s="449" t="s">
        <v>684</v>
      </c>
      <c r="D7545" s="451">
        <v>56.84</v>
      </c>
      <c r="E7545" s="210"/>
    </row>
    <row r="7546" spans="1:5" ht="76.5">
      <c r="A7546" s="449">
        <v>36155</v>
      </c>
      <c r="B7546" s="450" t="s">
        <v>8368</v>
      </c>
      <c r="C7546" s="449" t="s">
        <v>684</v>
      </c>
      <c r="D7546" s="451">
        <v>49.07</v>
      </c>
      <c r="E7546" s="210"/>
    </row>
    <row r="7547" spans="1:5" ht="63.75">
      <c r="A7547" s="449">
        <v>36154</v>
      </c>
      <c r="B7547" s="450" t="s">
        <v>8369</v>
      </c>
      <c r="C7547" s="449" t="s">
        <v>684</v>
      </c>
      <c r="D7547" s="451">
        <v>68.209999999999994</v>
      </c>
      <c r="E7547" s="210"/>
    </row>
    <row r="7548" spans="1:5" ht="51">
      <c r="A7548" s="449">
        <v>695</v>
      </c>
      <c r="B7548" s="450" t="s">
        <v>8370</v>
      </c>
      <c r="C7548" s="449" t="s">
        <v>684</v>
      </c>
      <c r="D7548" s="451">
        <v>50.1</v>
      </c>
      <c r="E7548" s="210"/>
    </row>
    <row r="7549" spans="1:5" ht="51">
      <c r="A7549" s="449">
        <v>679</v>
      </c>
      <c r="B7549" s="450" t="s">
        <v>8371</v>
      </c>
      <c r="C7549" s="449" t="s">
        <v>684</v>
      </c>
      <c r="D7549" s="451">
        <v>74.709999999999994</v>
      </c>
      <c r="E7549" s="210"/>
    </row>
    <row r="7550" spans="1:5" ht="51">
      <c r="A7550" s="449">
        <v>711</v>
      </c>
      <c r="B7550" s="450" t="s">
        <v>8372</v>
      </c>
      <c r="C7550" s="449" t="s">
        <v>684</v>
      </c>
      <c r="D7550" s="451">
        <v>49.42</v>
      </c>
      <c r="E7550" s="210"/>
    </row>
    <row r="7551" spans="1:5" ht="51">
      <c r="A7551" s="449">
        <v>712</v>
      </c>
      <c r="B7551" s="450" t="s">
        <v>8373</v>
      </c>
      <c r="C7551" s="449" t="s">
        <v>684</v>
      </c>
      <c r="D7551" s="451">
        <v>62.25</v>
      </c>
      <c r="E7551" s="210"/>
    </row>
    <row r="7552" spans="1:5" ht="38.25">
      <c r="A7552" s="449">
        <v>12614</v>
      </c>
      <c r="B7552" s="450" t="s">
        <v>8374</v>
      </c>
      <c r="C7552" s="449" t="s">
        <v>679</v>
      </c>
      <c r="D7552" s="451">
        <v>19.79</v>
      </c>
      <c r="E7552" s="210"/>
    </row>
    <row r="7553" spans="1:5" ht="25.5">
      <c r="A7553" s="449">
        <v>6140</v>
      </c>
      <c r="B7553" s="450" t="s">
        <v>8375</v>
      </c>
      <c r="C7553" s="449" t="s">
        <v>679</v>
      </c>
      <c r="D7553" s="451">
        <v>3.48</v>
      </c>
      <c r="E7553" s="210"/>
    </row>
    <row r="7554" spans="1:5" ht="25.5">
      <c r="A7554" s="449">
        <v>38399</v>
      </c>
      <c r="B7554" s="450" t="s">
        <v>8376</v>
      </c>
      <c r="C7554" s="449" t="s">
        <v>679</v>
      </c>
      <c r="D7554" s="451">
        <v>216.8</v>
      </c>
      <c r="E7554" s="210"/>
    </row>
    <row r="7555" spans="1:5" ht="63.75">
      <c r="A7555" s="449">
        <v>735</v>
      </c>
      <c r="B7555" s="450" t="s">
        <v>8377</v>
      </c>
      <c r="C7555" s="449" t="s">
        <v>679</v>
      </c>
      <c r="D7555" s="451">
        <v>2267.2800000000002</v>
      </c>
      <c r="E7555" s="210"/>
    </row>
    <row r="7556" spans="1:5" ht="63.75">
      <c r="A7556" s="449">
        <v>736</v>
      </c>
      <c r="B7556" s="450" t="s">
        <v>8378</v>
      </c>
      <c r="C7556" s="449" t="s">
        <v>679</v>
      </c>
      <c r="D7556" s="451">
        <v>1906.38</v>
      </c>
      <c r="E7556" s="210"/>
    </row>
    <row r="7557" spans="1:5" ht="51">
      <c r="A7557" s="449">
        <v>729</v>
      </c>
      <c r="B7557" s="450" t="s">
        <v>8379</v>
      </c>
      <c r="C7557" s="449" t="s">
        <v>679</v>
      </c>
      <c r="D7557" s="451">
        <v>776.87</v>
      </c>
      <c r="E7557" s="210"/>
    </row>
    <row r="7558" spans="1:5" ht="51">
      <c r="A7558" s="449">
        <v>39925</v>
      </c>
      <c r="B7558" s="450" t="s">
        <v>8380</v>
      </c>
      <c r="C7558" s="449" t="s">
        <v>679</v>
      </c>
      <c r="D7558" s="451">
        <v>11225.7</v>
      </c>
      <c r="E7558" s="210"/>
    </row>
    <row r="7559" spans="1:5" ht="51">
      <c r="A7559" s="449">
        <v>731</v>
      </c>
      <c r="B7559" s="450" t="s">
        <v>8381</v>
      </c>
      <c r="C7559" s="449" t="s">
        <v>679</v>
      </c>
      <c r="D7559" s="451">
        <v>756.08</v>
      </c>
      <c r="E7559" s="210"/>
    </row>
    <row r="7560" spans="1:5" ht="63.75">
      <c r="A7560" s="449">
        <v>10575</v>
      </c>
      <c r="B7560" s="450" t="s">
        <v>8382</v>
      </c>
      <c r="C7560" s="449" t="s">
        <v>679</v>
      </c>
      <c r="D7560" s="451">
        <v>1179.93</v>
      </c>
      <c r="E7560" s="210"/>
    </row>
    <row r="7561" spans="1:5" ht="51">
      <c r="A7561" s="449">
        <v>733</v>
      </c>
      <c r="B7561" s="450" t="s">
        <v>8383</v>
      </c>
      <c r="C7561" s="449" t="s">
        <v>679</v>
      </c>
      <c r="D7561" s="451">
        <v>1291.8800000000001</v>
      </c>
      <c r="E7561" s="210"/>
    </row>
    <row r="7562" spans="1:5" ht="51">
      <c r="A7562" s="449">
        <v>732</v>
      </c>
      <c r="B7562" s="450" t="s">
        <v>8384</v>
      </c>
      <c r="C7562" s="449" t="s">
        <v>679</v>
      </c>
      <c r="D7562" s="451">
        <v>1274.51</v>
      </c>
      <c r="E7562" s="210"/>
    </row>
    <row r="7563" spans="1:5" ht="51">
      <c r="A7563" s="449">
        <v>737</v>
      </c>
      <c r="B7563" s="450" t="s">
        <v>8385</v>
      </c>
      <c r="C7563" s="449" t="s">
        <v>679</v>
      </c>
      <c r="D7563" s="451">
        <v>7147.08</v>
      </c>
      <c r="E7563" s="210"/>
    </row>
    <row r="7564" spans="1:5" ht="51">
      <c r="A7564" s="449">
        <v>738</v>
      </c>
      <c r="B7564" s="450" t="s">
        <v>8386</v>
      </c>
      <c r="C7564" s="449" t="s">
        <v>679</v>
      </c>
      <c r="D7564" s="451">
        <v>3314.05</v>
      </c>
      <c r="E7564" s="210"/>
    </row>
    <row r="7565" spans="1:5" ht="63.75">
      <c r="A7565" s="449">
        <v>740</v>
      </c>
      <c r="B7565" s="450" t="s">
        <v>8387</v>
      </c>
      <c r="C7565" s="449" t="s">
        <v>679</v>
      </c>
      <c r="D7565" s="451">
        <v>6723.52</v>
      </c>
      <c r="E7565" s="210"/>
    </row>
    <row r="7566" spans="1:5" ht="51">
      <c r="A7566" s="449">
        <v>734</v>
      </c>
      <c r="B7566" s="450" t="s">
        <v>8388</v>
      </c>
      <c r="C7566" s="449" t="s">
        <v>679</v>
      </c>
      <c r="D7566" s="451">
        <v>1366.27</v>
      </c>
      <c r="E7566" s="210"/>
    </row>
    <row r="7567" spans="1:5" ht="25.5">
      <c r="A7567" s="449">
        <v>39008</v>
      </c>
      <c r="B7567" s="450" t="s">
        <v>8389</v>
      </c>
      <c r="C7567" s="449" t="s">
        <v>679</v>
      </c>
      <c r="D7567" s="451">
        <v>59706.89</v>
      </c>
      <c r="E7567" s="210"/>
    </row>
    <row r="7568" spans="1:5" ht="25.5">
      <c r="A7568" s="449">
        <v>39009</v>
      </c>
      <c r="B7568" s="450" t="s">
        <v>8390</v>
      </c>
      <c r="C7568" s="449" t="s">
        <v>679</v>
      </c>
      <c r="D7568" s="451">
        <v>63968.54</v>
      </c>
      <c r="E7568" s="210"/>
    </row>
    <row r="7569" spans="1:5" ht="76.5">
      <c r="A7569" s="449">
        <v>10587</v>
      </c>
      <c r="B7569" s="450" t="s">
        <v>8391</v>
      </c>
      <c r="C7569" s="449" t="s">
        <v>679</v>
      </c>
      <c r="D7569" s="451">
        <v>3115.83</v>
      </c>
      <c r="E7569" s="210"/>
    </row>
    <row r="7570" spans="1:5" ht="76.5">
      <c r="A7570" s="449">
        <v>759</v>
      </c>
      <c r="B7570" s="450" t="s">
        <v>8392</v>
      </c>
      <c r="C7570" s="449" t="s">
        <v>679</v>
      </c>
      <c r="D7570" s="451">
        <v>4479.9399999999996</v>
      </c>
      <c r="E7570" s="210"/>
    </row>
    <row r="7571" spans="1:5" ht="76.5">
      <c r="A7571" s="449">
        <v>761</v>
      </c>
      <c r="B7571" s="450" t="s">
        <v>8393</v>
      </c>
      <c r="C7571" s="449" t="s">
        <v>679</v>
      </c>
      <c r="D7571" s="451">
        <v>7593.88</v>
      </c>
      <c r="E7571" s="210"/>
    </row>
    <row r="7572" spans="1:5" ht="76.5">
      <c r="A7572" s="449">
        <v>750</v>
      </c>
      <c r="B7572" s="450" t="s">
        <v>8394</v>
      </c>
      <c r="C7572" s="449" t="s">
        <v>679</v>
      </c>
      <c r="D7572" s="451">
        <v>7209.79</v>
      </c>
      <c r="E7572" s="210"/>
    </row>
    <row r="7573" spans="1:5" ht="76.5">
      <c r="A7573" s="449">
        <v>755</v>
      </c>
      <c r="B7573" s="450" t="s">
        <v>8395</v>
      </c>
      <c r="C7573" s="449" t="s">
        <v>679</v>
      </c>
      <c r="D7573" s="451">
        <v>29585.48</v>
      </c>
      <c r="E7573" s="210"/>
    </row>
    <row r="7574" spans="1:5" ht="76.5">
      <c r="A7574" s="449">
        <v>749</v>
      </c>
      <c r="B7574" s="450" t="s">
        <v>8396</v>
      </c>
      <c r="C7574" s="449" t="s">
        <v>679</v>
      </c>
      <c r="D7574" s="451">
        <v>10880.99</v>
      </c>
      <c r="E7574" s="210"/>
    </row>
    <row r="7575" spans="1:5" ht="76.5">
      <c r="A7575" s="449">
        <v>756</v>
      </c>
      <c r="B7575" s="450" t="s">
        <v>8397</v>
      </c>
      <c r="C7575" s="449" t="s">
        <v>679</v>
      </c>
      <c r="D7575" s="451">
        <v>32266.93</v>
      </c>
      <c r="E7575" s="210"/>
    </row>
    <row r="7576" spans="1:5" ht="51">
      <c r="A7576" s="449">
        <v>757</v>
      </c>
      <c r="B7576" s="450" t="s">
        <v>8398</v>
      </c>
      <c r="C7576" s="449" t="s">
        <v>679</v>
      </c>
      <c r="D7576" s="451">
        <v>14651.25</v>
      </c>
      <c r="E7576" s="210"/>
    </row>
    <row r="7577" spans="1:5" ht="63.75">
      <c r="A7577" s="449">
        <v>10588</v>
      </c>
      <c r="B7577" s="450" t="s">
        <v>8399</v>
      </c>
      <c r="C7577" s="449" t="s">
        <v>679</v>
      </c>
      <c r="D7577" s="451">
        <v>3234.62</v>
      </c>
      <c r="E7577" s="210"/>
    </row>
    <row r="7578" spans="1:5" ht="63.75">
      <c r="A7578" s="449">
        <v>10592</v>
      </c>
      <c r="B7578" s="450" t="s">
        <v>8400</v>
      </c>
      <c r="C7578" s="449" t="s">
        <v>679</v>
      </c>
      <c r="D7578" s="451">
        <v>3907</v>
      </c>
      <c r="E7578" s="210"/>
    </row>
    <row r="7579" spans="1:5" ht="63.75">
      <c r="A7579" s="449">
        <v>10589</v>
      </c>
      <c r="B7579" s="450" t="s">
        <v>8401</v>
      </c>
      <c r="C7579" s="449" t="s">
        <v>679</v>
      </c>
      <c r="D7579" s="451">
        <v>5248.81</v>
      </c>
      <c r="E7579" s="210"/>
    </row>
    <row r="7580" spans="1:5" ht="51">
      <c r="A7580" s="449">
        <v>760</v>
      </c>
      <c r="B7580" s="450" t="s">
        <v>8402</v>
      </c>
      <c r="C7580" s="449" t="s">
        <v>679</v>
      </c>
      <c r="D7580" s="451">
        <v>29302.5</v>
      </c>
      <c r="E7580" s="210"/>
    </row>
    <row r="7581" spans="1:5" ht="63.75">
      <c r="A7581" s="449">
        <v>751</v>
      </c>
      <c r="B7581" s="450" t="s">
        <v>8403</v>
      </c>
      <c r="C7581" s="449" t="s">
        <v>679</v>
      </c>
      <c r="D7581" s="451">
        <v>4615.1400000000003</v>
      </c>
      <c r="E7581" s="210"/>
    </row>
    <row r="7582" spans="1:5" ht="63.75">
      <c r="A7582" s="449">
        <v>754</v>
      </c>
      <c r="B7582" s="450" t="s">
        <v>8404</v>
      </c>
      <c r="C7582" s="449" t="s">
        <v>679</v>
      </c>
      <c r="D7582" s="451">
        <v>7325.62</v>
      </c>
      <c r="E7582" s="210"/>
    </row>
    <row r="7583" spans="1:5" ht="25.5">
      <c r="A7583" s="449">
        <v>14013</v>
      </c>
      <c r="B7583" s="450" t="s">
        <v>8405</v>
      </c>
      <c r="C7583" s="449" t="s">
        <v>679</v>
      </c>
      <c r="D7583" s="451">
        <v>193129.53</v>
      </c>
      <c r="E7583" s="210"/>
    </row>
    <row r="7584" spans="1:5" ht="51">
      <c r="A7584" s="449">
        <v>39917</v>
      </c>
      <c r="B7584" s="450" t="s">
        <v>8406</v>
      </c>
      <c r="C7584" s="449" t="s">
        <v>679</v>
      </c>
      <c r="D7584" s="451">
        <v>91714.1</v>
      </c>
      <c r="E7584" s="210"/>
    </row>
    <row r="7585" spans="1:5" ht="25.5">
      <c r="A7585" s="449">
        <v>38167</v>
      </c>
      <c r="B7585" s="450" t="s">
        <v>8407</v>
      </c>
      <c r="C7585" s="449" t="s">
        <v>690</v>
      </c>
      <c r="D7585" s="451">
        <v>29.28</v>
      </c>
      <c r="E7585" s="210"/>
    </row>
    <row r="7586" spans="1:5">
      <c r="A7586" s="449">
        <v>36145</v>
      </c>
      <c r="B7586" s="450" t="s">
        <v>8408</v>
      </c>
      <c r="C7586" s="449" t="s">
        <v>690</v>
      </c>
      <c r="D7586" s="451">
        <v>40.89</v>
      </c>
      <c r="E7586" s="210"/>
    </row>
    <row r="7587" spans="1:5" ht="25.5">
      <c r="A7587" s="449">
        <v>12893</v>
      </c>
      <c r="B7587" s="450" t="s">
        <v>8409</v>
      </c>
      <c r="C7587" s="449" t="s">
        <v>690</v>
      </c>
      <c r="D7587" s="451">
        <v>68.16</v>
      </c>
      <c r="E7587" s="210"/>
    </row>
    <row r="7588" spans="1:5" ht="25.5">
      <c r="A7588" s="449">
        <v>11685</v>
      </c>
      <c r="B7588" s="450" t="s">
        <v>8410</v>
      </c>
      <c r="C7588" s="449" t="s">
        <v>679</v>
      </c>
      <c r="D7588" s="451">
        <v>24.25</v>
      </c>
      <c r="E7588" s="210"/>
    </row>
    <row r="7589" spans="1:5" ht="25.5">
      <c r="A7589" s="449">
        <v>11679</v>
      </c>
      <c r="B7589" s="450" t="s">
        <v>8411</v>
      </c>
      <c r="C7589" s="449" t="s">
        <v>679</v>
      </c>
      <c r="D7589" s="451">
        <v>8.49</v>
      </c>
      <c r="E7589" s="210"/>
    </row>
    <row r="7590" spans="1:5" ht="25.5">
      <c r="A7590" s="449">
        <v>11680</v>
      </c>
      <c r="B7590" s="450" t="s">
        <v>8412</v>
      </c>
      <c r="C7590" s="449" t="s">
        <v>679</v>
      </c>
      <c r="D7590" s="451">
        <v>7</v>
      </c>
      <c r="E7590" s="210"/>
    </row>
    <row r="7591" spans="1:5" ht="25.5">
      <c r="A7591" s="449">
        <v>2512</v>
      </c>
      <c r="B7591" s="450" t="s">
        <v>8413</v>
      </c>
      <c r="C7591" s="449" t="s">
        <v>679</v>
      </c>
      <c r="D7591" s="451">
        <v>37.18</v>
      </c>
      <c r="E7591" s="210"/>
    </row>
    <row r="7592" spans="1:5">
      <c r="A7592" s="449">
        <v>4374</v>
      </c>
      <c r="B7592" s="450" t="s">
        <v>8414</v>
      </c>
      <c r="C7592" s="449" t="s">
        <v>679</v>
      </c>
      <c r="D7592" s="451">
        <v>0.48</v>
      </c>
      <c r="E7592" s="210"/>
    </row>
    <row r="7593" spans="1:5" ht="51">
      <c r="A7593" s="449">
        <v>7568</v>
      </c>
      <c r="B7593" s="450" t="s">
        <v>8415</v>
      </c>
      <c r="C7593" s="449" t="s">
        <v>679</v>
      </c>
      <c r="D7593" s="451">
        <v>0.79</v>
      </c>
      <c r="E7593" s="210"/>
    </row>
    <row r="7594" spans="1:5" ht="38.25">
      <c r="A7594" s="449">
        <v>7584</v>
      </c>
      <c r="B7594" s="450" t="s">
        <v>8416</v>
      </c>
      <c r="C7594" s="449" t="s">
        <v>679</v>
      </c>
      <c r="D7594" s="451">
        <v>1.21</v>
      </c>
      <c r="E7594" s="210"/>
    </row>
    <row r="7595" spans="1:5">
      <c r="A7595" s="449">
        <v>11945</v>
      </c>
      <c r="B7595" s="450" t="s">
        <v>8417</v>
      </c>
      <c r="C7595" s="449" t="s">
        <v>679</v>
      </c>
      <c r="D7595" s="451">
        <v>7.0000000000000007E-2</v>
      </c>
      <c r="E7595" s="210"/>
    </row>
    <row r="7596" spans="1:5">
      <c r="A7596" s="449">
        <v>11946</v>
      </c>
      <c r="B7596" s="450" t="s">
        <v>8418</v>
      </c>
      <c r="C7596" s="449" t="s">
        <v>679</v>
      </c>
      <c r="D7596" s="451">
        <v>0.09</v>
      </c>
      <c r="E7596" s="210"/>
    </row>
    <row r="7597" spans="1:5">
      <c r="A7597" s="449">
        <v>4375</v>
      </c>
      <c r="B7597" s="450" t="s">
        <v>8419</v>
      </c>
      <c r="C7597" s="449" t="s">
        <v>679</v>
      </c>
      <c r="D7597" s="451">
        <v>0.13</v>
      </c>
      <c r="E7597" s="210"/>
    </row>
    <row r="7598" spans="1:5" ht="38.25">
      <c r="A7598" s="449">
        <v>11950</v>
      </c>
      <c r="B7598" s="450" t="s">
        <v>8420</v>
      </c>
      <c r="C7598" s="449" t="s">
        <v>679</v>
      </c>
      <c r="D7598" s="451">
        <v>0.26</v>
      </c>
      <c r="E7598" s="210"/>
    </row>
    <row r="7599" spans="1:5">
      <c r="A7599" s="449">
        <v>4376</v>
      </c>
      <c r="B7599" s="450" t="s">
        <v>8421</v>
      </c>
      <c r="C7599" s="449" t="s">
        <v>679</v>
      </c>
      <c r="D7599" s="451">
        <v>0.25</v>
      </c>
      <c r="E7599" s="210"/>
    </row>
    <row r="7600" spans="1:5" ht="38.25">
      <c r="A7600" s="449">
        <v>7583</v>
      </c>
      <c r="B7600" s="450" t="s">
        <v>8422</v>
      </c>
      <c r="C7600" s="449" t="s">
        <v>679</v>
      </c>
      <c r="D7600" s="451">
        <v>0.54</v>
      </c>
      <c r="E7600" s="210"/>
    </row>
    <row r="7601" spans="1:5" ht="51">
      <c r="A7601" s="449">
        <v>4350</v>
      </c>
      <c r="B7601" s="450" t="s">
        <v>8423</v>
      </c>
      <c r="C7601" s="449" t="s">
        <v>679</v>
      </c>
      <c r="D7601" s="451">
        <v>0.42</v>
      </c>
      <c r="E7601" s="210"/>
    </row>
    <row r="7602" spans="1:5" ht="25.5">
      <c r="A7602" s="449">
        <v>39886</v>
      </c>
      <c r="B7602" s="450" t="s">
        <v>8424</v>
      </c>
      <c r="C7602" s="449" t="s">
        <v>679</v>
      </c>
      <c r="D7602" s="451">
        <v>6.17</v>
      </c>
      <c r="E7602" s="210"/>
    </row>
    <row r="7603" spans="1:5" ht="25.5">
      <c r="A7603" s="449">
        <v>39887</v>
      </c>
      <c r="B7603" s="450" t="s">
        <v>8425</v>
      </c>
      <c r="C7603" s="449" t="s">
        <v>679</v>
      </c>
      <c r="D7603" s="451">
        <v>9.26</v>
      </c>
      <c r="E7603" s="210"/>
    </row>
    <row r="7604" spans="1:5" ht="25.5">
      <c r="A7604" s="449">
        <v>39888</v>
      </c>
      <c r="B7604" s="450" t="s">
        <v>8426</v>
      </c>
      <c r="C7604" s="449" t="s">
        <v>679</v>
      </c>
      <c r="D7604" s="451">
        <v>21.18</v>
      </c>
      <c r="E7604" s="210"/>
    </row>
    <row r="7605" spans="1:5" ht="25.5">
      <c r="A7605" s="449">
        <v>39890</v>
      </c>
      <c r="B7605" s="450" t="s">
        <v>8427</v>
      </c>
      <c r="C7605" s="449" t="s">
        <v>679</v>
      </c>
      <c r="D7605" s="451">
        <v>36.159999999999997</v>
      </c>
      <c r="E7605" s="210"/>
    </row>
    <row r="7606" spans="1:5" ht="25.5">
      <c r="A7606" s="449">
        <v>39891</v>
      </c>
      <c r="B7606" s="450" t="s">
        <v>8428</v>
      </c>
      <c r="C7606" s="449" t="s">
        <v>679</v>
      </c>
      <c r="D7606" s="451">
        <v>50.98</v>
      </c>
      <c r="E7606" s="210"/>
    </row>
    <row r="7607" spans="1:5" ht="25.5">
      <c r="A7607" s="449">
        <v>39892</v>
      </c>
      <c r="B7607" s="450" t="s">
        <v>8429</v>
      </c>
      <c r="C7607" s="449" t="s">
        <v>679</v>
      </c>
      <c r="D7607" s="451">
        <v>158.91</v>
      </c>
      <c r="E7607" s="210"/>
    </row>
    <row r="7608" spans="1:5" ht="25.5">
      <c r="A7608" s="449">
        <v>790</v>
      </c>
      <c r="B7608" s="450" t="s">
        <v>8430</v>
      </c>
      <c r="C7608" s="449" t="s">
        <v>679</v>
      </c>
      <c r="D7608" s="451">
        <v>15.49</v>
      </c>
      <c r="E7608" s="210"/>
    </row>
    <row r="7609" spans="1:5" ht="25.5">
      <c r="A7609" s="449">
        <v>766</v>
      </c>
      <c r="B7609" s="450" t="s">
        <v>8431</v>
      </c>
      <c r="C7609" s="449" t="s">
        <v>679</v>
      </c>
      <c r="D7609" s="451">
        <v>15.49</v>
      </c>
      <c r="E7609" s="210"/>
    </row>
    <row r="7610" spans="1:5" ht="25.5">
      <c r="A7610" s="449">
        <v>791</v>
      </c>
      <c r="B7610" s="450" t="s">
        <v>8432</v>
      </c>
      <c r="C7610" s="449" t="s">
        <v>679</v>
      </c>
      <c r="D7610" s="451">
        <v>15.49</v>
      </c>
      <c r="E7610" s="210"/>
    </row>
    <row r="7611" spans="1:5" ht="25.5">
      <c r="A7611" s="449">
        <v>767</v>
      </c>
      <c r="B7611" s="450" t="s">
        <v>8433</v>
      </c>
      <c r="C7611" s="449" t="s">
        <v>679</v>
      </c>
      <c r="D7611" s="451">
        <v>15.49</v>
      </c>
      <c r="E7611" s="210"/>
    </row>
    <row r="7612" spans="1:5" ht="25.5">
      <c r="A7612" s="449">
        <v>768</v>
      </c>
      <c r="B7612" s="450" t="s">
        <v>8434</v>
      </c>
      <c r="C7612" s="449" t="s">
        <v>679</v>
      </c>
      <c r="D7612" s="451">
        <v>12.17</v>
      </c>
      <c r="E7612" s="210"/>
    </row>
    <row r="7613" spans="1:5" ht="25.5">
      <c r="A7613" s="449">
        <v>789</v>
      </c>
      <c r="B7613" s="450" t="s">
        <v>8435</v>
      </c>
      <c r="C7613" s="449" t="s">
        <v>679</v>
      </c>
      <c r="D7613" s="451">
        <v>11.91</v>
      </c>
      <c r="E7613" s="210"/>
    </row>
    <row r="7614" spans="1:5" ht="25.5">
      <c r="A7614" s="449">
        <v>769</v>
      </c>
      <c r="B7614" s="450" t="s">
        <v>8436</v>
      </c>
      <c r="C7614" s="449" t="s">
        <v>679</v>
      </c>
      <c r="D7614" s="451">
        <v>12.17</v>
      </c>
      <c r="E7614" s="210"/>
    </row>
    <row r="7615" spans="1:5" ht="25.5">
      <c r="A7615" s="449">
        <v>770</v>
      </c>
      <c r="B7615" s="450" t="s">
        <v>8437</v>
      </c>
      <c r="C7615" s="449" t="s">
        <v>679</v>
      </c>
      <c r="D7615" s="451">
        <v>4.29</v>
      </c>
      <c r="E7615" s="210"/>
    </row>
    <row r="7616" spans="1:5" ht="25.5">
      <c r="A7616" s="449">
        <v>12394</v>
      </c>
      <c r="B7616" s="450" t="s">
        <v>8438</v>
      </c>
      <c r="C7616" s="449" t="s">
        <v>679</v>
      </c>
      <c r="D7616" s="451">
        <v>4.29</v>
      </c>
      <c r="E7616" s="210"/>
    </row>
    <row r="7617" spans="1:5" ht="25.5">
      <c r="A7617" s="449">
        <v>764</v>
      </c>
      <c r="B7617" s="450" t="s">
        <v>8439</v>
      </c>
      <c r="C7617" s="449" t="s">
        <v>679</v>
      </c>
      <c r="D7617" s="451">
        <v>7.49</v>
      </c>
      <c r="E7617" s="210"/>
    </row>
    <row r="7618" spans="1:5" ht="25.5">
      <c r="A7618" s="449">
        <v>765</v>
      </c>
      <c r="B7618" s="450" t="s">
        <v>8440</v>
      </c>
      <c r="C7618" s="449" t="s">
        <v>679</v>
      </c>
      <c r="D7618" s="451">
        <v>7.49</v>
      </c>
      <c r="E7618" s="210"/>
    </row>
    <row r="7619" spans="1:5" ht="25.5">
      <c r="A7619" s="449">
        <v>787</v>
      </c>
      <c r="B7619" s="450" t="s">
        <v>8441</v>
      </c>
      <c r="C7619" s="449" t="s">
        <v>679</v>
      </c>
      <c r="D7619" s="451">
        <v>33.450000000000003</v>
      </c>
      <c r="E7619" s="210"/>
    </row>
    <row r="7620" spans="1:5" ht="25.5">
      <c r="A7620" s="449">
        <v>774</v>
      </c>
      <c r="B7620" s="450" t="s">
        <v>8442</v>
      </c>
      <c r="C7620" s="449" t="s">
        <v>679</v>
      </c>
      <c r="D7620" s="451">
        <v>33.450000000000003</v>
      </c>
      <c r="E7620" s="210"/>
    </row>
    <row r="7621" spans="1:5" ht="25.5">
      <c r="A7621" s="449">
        <v>773</v>
      </c>
      <c r="B7621" s="450" t="s">
        <v>8443</v>
      </c>
      <c r="C7621" s="449" t="s">
        <v>679</v>
      </c>
      <c r="D7621" s="451">
        <v>33.450000000000003</v>
      </c>
      <c r="E7621" s="210"/>
    </row>
    <row r="7622" spans="1:5" ht="25.5">
      <c r="A7622" s="449">
        <v>775</v>
      </c>
      <c r="B7622" s="450" t="s">
        <v>8444</v>
      </c>
      <c r="C7622" s="449" t="s">
        <v>679</v>
      </c>
      <c r="D7622" s="451">
        <v>33.450000000000003</v>
      </c>
      <c r="E7622" s="210"/>
    </row>
    <row r="7623" spans="1:5" ht="25.5">
      <c r="A7623" s="449">
        <v>788</v>
      </c>
      <c r="B7623" s="450" t="s">
        <v>8445</v>
      </c>
      <c r="C7623" s="449" t="s">
        <v>679</v>
      </c>
      <c r="D7623" s="451">
        <v>20.79</v>
      </c>
      <c r="E7623" s="210"/>
    </row>
    <row r="7624" spans="1:5" ht="25.5">
      <c r="A7624" s="449">
        <v>772</v>
      </c>
      <c r="B7624" s="450" t="s">
        <v>8446</v>
      </c>
      <c r="C7624" s="449" t="s">
        <v>679</v>
      </c>
      <c r="D7624" s="451">
        <v>20.79</v>
      </c>
      <c r="E7624" s="210"/>
    </row>
    <row r="7625" spans="1:5" ht="25.5">
      <c r="A7625" s="449">
        <v>771</v>
      </c>
      <c r="B7625" s="450" t="s">
        <v>8447</v>
      </c>
      <c r="C7625" s="449" t="s">
        <v>679</v>
      </c>
      <c r="D7625" s="451">
        <v>20.79</v>
      </c>
      <c r="E7625" s="210"/>
    </row>
    <row r="7626" spans="1:5" ht="25.5">
      <c r="A7626" s="449">
        <v>779</v>
      </c>
      <c r="B7626" s="450" t="s">
        <v>8448</v>
      </c>
      <c r="C7626" s="449" t="s">
        <v>679</v>
      </c>
      <c r="D7626" s="451">
        <v>5.17</v>
      </c>
      <c r="E7626" s="210"/>
    </row>
    <row r="7627" spans="1:5" ht="25.5">
      <c r="A7627" s="449">
        <v>776</v>
      </c>
      <c r="B7627" s="450" t="s">
        <v>8449</v>
      </c>
      <c r="C7627" s="449" t="s">
        <v>679</v>
      </c>
      <c r="D7627" s="451">
        <v>49.32</v>
      </c>
      <c r="E7627" s="210"/>
    </row>
    <row r="7628" spans="1:5" ht="25.5">
      <c r="A7628" s="449">
        <v>777</v>
      </c>
      <c r="B7628" s="450" t="s">
        <v>8450</v>
      </c>
      <c r="C7628" s="449" t="s">
        <v>679</v>
      </c>
      <c r="D7628" s="451">
        <v>47.94</v>
      </c>
      <c r="E7628" s="210"/>
    </row>
    <row r="7629" spans="1:5" ht="25.5">
      <c r="A7629" s="449">
        <v>780</v>
      </c>
      <c r="B7629" s="450" t="s">
        <v>8451</v>
      </c>
      <c r="C7629" s="449" t="s">
        <v>679</v>
      </c>
      <c r="D7629" s="451">
        <v>48.18</v>
      </c>
      <c r="E7629" s="210"/>
    </row>
    <row r="7630" spans="1:5" ht="25.5">
      <c r="A7630" s="449">
        <v>778</v>
      </c>
      <c r="B7630" s="450" t="s">
        <v>8452</v>
      </c>
      <c r="C7630" s="449" t="s">
        <v>679</v>
      </c>
      <c r="D7630" s="451">
        <v>49.32</v>
      </c>
      <c r="E7630" s="210"/>
    </row>
    <row r="7631" spans="1:5" ht="25.5">
      <c r="A7631" s="449">
        <v>781</v>
      </c>
      <c r="B7631" s="450" t="s">
        <v>8453</v>
      </c>
      <c r="C7631" s="449" t="s">
        <v>679</v>
      </c>
      <c r="D7631" s="451">
        <v>91.12</v>
      </c>
      <c r="E7631" s="210"/>
    </row>
    <row r="7632" spans="1:5" ht="25.5">
      <c r="A7632" s="449">
        <v>786</v>
      </c>
      <c r="B7632" s="450" t="s">
        <v>8454</v>
      </c>
      <c r="C7632" s="449" t="s">
        <v>679</v>
      </c>
      <c r="D7632" s="451">
        <v>91.12</v>
      </c>
      <c r="E7632" s="210"/>
    </row>
    <row r="7633" spans="1:5" ht="25.5">
      <c r="A7633" s="449">
        <v>782</v>
      </c>
      <c r="B7633" s="450" t="s">
        <v>8455</v>
      </c>
      <c r="C7633" s="449" t="s">
        <v>679</v>
      </c>
      <c r="D7633" s="451">
        <v>91.12</v>
      </c>
      <c r="E7633" s="210"/>
    </row>
    <row r="7634" spans="1:5" ht="25.5">
      <c r="A7634" s="449">
        <v>783</v>
      </c>
      <c r="B7634" s="450" t="s">
        <v>8456</v>
      </c>
      <c r="C7634" s="449" t="s">
        <v>679</v>
      </c>
      <c r="D7634" s="451">
        <v>249.41</v>
      </c>
      <c r="E7634" s="210"/>
    </row>
    <row r="7635" spans="1:5" ht="25.5">
      <c r="A7635" s="449">
        <v>785</v>
      </c>
      <c r="B7635" s="450" t="s">
        <v>8457</v>
      </c>
      <c r="C7635" s="449" t="s">
        <v>679</v>
      </c>
      <c r="D7635" s="451">
        <v>263.52</v>
      </c>
      <c r="E7635" s="210"/>
    </row>
    <row r="7636" spans="1:5" ht="25.5">
      <c r="A7636" s="449">
        <v>784</v>
      </c>
      <c r="B7636" s="450" t="s">
        <v>8458</v>
      </c>
      <c r="C7636" s="449" t="s">
        <v>679</v>
      </c>
      <c r="D7636" s="451">
        <v>282.69</v>
      </c>
      <c r="E7636" s="210"/>
    </row>
    <row r="7637" spans="1:5" ht="38.25">
      <c r="A7637" s="449">
        <v>831</v>
      </c>
      <c r="B7637" s="450" t="s">
        <v>8459</v>
      </c>
      <c r="C7637" s="449" t="s">
        <v>679</v>
      </c>
      <c r="D7637" s="451">
        <v>73.34</v>
      </c>
      <c r="E7637" s="210"/>
    </row>
    <row r="7638" spans="1:5" ht="38.25">
      <c r="A7638" s="449">
        <v>828</v>
      </c>
      <c r="B7638" s="450" t="s">
        <v>8460</v>
      </c>
      <c r="C7638" s="449" t="s">
        <v>679</v>
      </c>
      <c r="D7638" s="451">
        <v>0.42</v>
      </c>
      <c r="E7638" s="210"/>
    </row>
    <row r="7639" spans="1:5" ht="38.25">
      <c r="A7639" s="449">
        <v>829</v>
      </c>
      <c r="B7639" s="450" t="s">
        <v>8461</v>
      </c>
      <c r="C7639" s="449" t="s">
        <v>679</v>
      </c>
      <c r="D7639" s="451">
        <v>0.88</v>
      </c>
      <c r="E7639" s="210"/>
    </row>
    <row r="7640" spans="1:5" ht="38.25">
      <c r="A7640" s="449">
        <v>812</v>
      </c>
      <c r="B7640" s="450" t="s">
        <v>8462</v>
      </c>
      <c r="C7640" s="449" t="s">
        <v>679</v>
      </c>
      <c r="D7640" s="451">
        <v>1.92</v>
      </c>
      <c r="E7640" s="210"/>
    </row>
    <row r="7641" spans="1:5" ht="38.25">
      <c r="A7641" s="449">
        <v>819</v>
      </c>
      <c r="B7641" s="450" t="s">
        <v>8463</v>
      </c>
      <c r="C7641" s="449" t="s">
        <v>679</v>
      </c>
      <c r="D7641" s="451">
        <v>3.17</v>
      </c>
      <c r="E7641" s="210"/>
    </row>
    <row r="7642" spans="1:5" ht="38.25">
      <c r="A7642" s="449">
        <v>818</v>
      </c>
      <c r="B7642" s="450" t="s">
        <v>8464</v>
      </c>
      <c r="C7642" s="449" t="s">
        <v>679</v>
      </c>
      <c r="D7642" s="451">
        <v>5.32</v>
      </c>
      <c r="E7642" s="210"/>
    </row>
    <row r="7643" spans="1:5" ht="38.25">
      <c r="A7643" s="449">
        <v>823</v>
      </c>
      <c r="B7643" s="450" t="s">
        <v>8465</v>
      </c>
      <c r="C7643" s="449" t="s">
        <v>679</v>
      </c>
      <c r="D7643" s="451">
        <v>16.04</v>
      </c>
      <c r="E7643" s="210"/>
    </row>
    <row r="7644" spans="1:5" ht="38.25">
      <c r="A7644" s="449">
        <v>830</v>
      </c>
      <c r="B7644" s="450" t="s">
        <v>8466</v>
      </c>
      <c r="C7644" s="449" t="s">
        <v>679</v>
      </c>
      <c r="D7644" s="451">
        <v>13.21</v>
      </c>
      <c r="E7644" s="210"/>
    </row>
    <row r="7645" spans="1:5" ht="38.25">
      <c r="A7645" s="449">
        <v>826</v>
      </c>
      <c r="B7645" s="450" t="s">
        <v>8467</v>
      </c>
      <c r="C7645" s="449" t="s">
        <v>679</v>
      </c>
      <c r="D7645" s="451">
        <v>41.13</v>
      </c>
      <c r="E7645" s="210"/>
    </row>
    <row r="7646" spans="1:5" ht="38.25">
      <c r="A7646" s="449">
        <v>827</v>
      </c>
      <c r="B7646" s="450" t="s">
        <v>8468</v>
      </c>
      <c r="C7646" s="449" t="s">
        <v>679</v>
      </c>
      <c r="D7646" s="451">
        <v>34.75</v>
      </c>
      <c r="E7646" s="210"/>
    </row>
    <row r="7647" spans="1:5" ht="38.25">
      <c r="A7647" s="449">
        <v>832</v>
      </c>
      <c r="B7647" s="450" t="s">
        <v>8469</v>
      </c>
      <c r="C7647" s="449" t="s">
        <v>679</v>
      </c>
      <c r="D7647" s="451">
        <v>2.4</v>
      </c>
      <c r="E7647" s="210"/>
    </row>
    <row r="7648" spans="1:5" ht="38.25">
      <c r="A7648" s="449">
        <v>833</v>
      </c>
      <c r="B7648" s="450" t="s">
        <v>8470</v>
      </c>
      <c r="C7648" s="449" t="s">
        <v>679</v>
      </c>
      <c r="D7648" s="451">
        <v>3.41</v>
      </c>
      <c r="E7648" s="210"/>
    </row>
    <row r="7649" spans="1:5" ht="38.25">
      <c r="A7649" s="449">
        <v>834</v>
      </c>
      <c r="B7649" s="450" t="s">
        <v>8471</v>
      </c>
      <c r="C7649" s="449" t="s">
        <v>679</v>
      </c>
      <c r="D7649" s="451">
        <v>3.74</v>
      </c>
      <c r="E7649" s="210"/>
    </row>
    <row r="7650" spans="1:5" ht="38.25">
      <c r="A7650" s="449">
        <v>825</v>
      </c>
      <c r="B7650" s="450" t="s">
        <v>8472</v>
      </c>
      <c r="C7650" s="449" t="s">
        <v>679</v>
      </c>
      <c r="D7650" s="451">
        <v>4.17</v>
      </c>
      <c r="E7650" s="210"/>
    </row>
    <row r="7651" spans="1:5" ht="38.25">
      <c r="A7651" s="449">
        <v>813</v>
      </c>
      <c r="B7651" s="450" t="s">
        <v>8473</v>
      </c>
      <c r="C7651" s="449" t="s">
        <v>679</v>
      </c>
      <c r="D7651" s="451">
        <v>4.0999999999999996</v>
      </c>
      <c r="E7651" s="210"/>
    </row>
    <row r="7652" spans="1:5" ht="38.25">
      <c r="A7652" s="449">
        <v>820</v>
      </c>
      <c r="B7652" s="450" t="s">
        <v>8474</v>
      </c>
      <c r="C7652" s="449" t="s">
        <v>679</v>
      </c>
      <c r="D7652" s="451">
        <v>5.2</v>
      </c>
      <c r="E7652" s="210"/>
    </row>
    <row r="7653" spans="1:5" ht="38.25">
      <c r="A7653" s="449">
        <v>816</v>
      </c>
      <c r="B7653" s="450" t="s">
        <v>8475</v>
      </c>
      <c r="C7653" s="449" t="s">
        <v>679</v>
      </c>
      <c r="D7653" s="451">
        <v>8.85</v>
      </c>
      <c r="E7653" s="210"/>
    </row>
    <row r="7654" spans="1:5" ht="38.25">
      <c r="A7654" s="449">
        <v>814</v>
      </c>
      <c r="B7654" s="450" t="s">
        <v>8476</v>
      </c>
      <c r="C7654" s="449" t="s">
        <v>679</v>
      </c>
      <c r="D7654" s="451">
        <v>10.7</v>
      </c>
      <c r="E7654" s="210"/>
    </row>
    <row r="7655" spans="1:5" ht="38.25">
      <c r="A7655" s="449">
        <v>815</v>
      </c>
      <c r="B7655" s="450" t="s">
        <v>8477</v>
      </c>
      <c r="C7655" s="449" t="s">
        <v>679</v>
      </c>
      <c r="D7655" s="451">
        <v>11.56</v>
      </c>
      <c r="E7655" s="210"/>
    </row>
    <row r="7656" spans="1:5" ht="38.25">
      <c r="A7656" s="449">
        <v>822</v>
      </c>
      <c r="B7656" s="450" t="s">
        <v>8478</v>
      </c>
      <c r="C7656" s="449" t="s">
        <v>679</v>
      </c>
      <c r="D7656" s="451">
        <v>14.08</v>
      </c>
      <c r="E7656" s="210"/>
    </row>
    <row r="7657" spans="1:5" ht="38.25">
      <c r="A7657" s="449">
        <v>821</v>
      </c>
      <c r="B7657" s="450" t="s">
        <v>8479</v>
      </c>
      <c r="C7657" s="449" t="s">
        <v>679</v>
      </c>
      <c r="D7657" s="451">
        <v>16.46</v>
      </c>
      <c r="E7657" s="210"/>
    </row>
    <row r="7658" spans="1:5" ht="38.25">
      <c r="A7658" s="449">
        <v>817</v>
      </c>
      <c r="B7658" s="450" t="s">
        <v>8480</v>
      </c>
      <c r="C7658" s="449" t="s">
        <v>679</v>
      </c>
      <c r="D7658" s="451">
        <v>19.57</v>
      </c>
      <c r="E7658" s="210"/>
    </row>
    <row r="7659" spans="1:5" ht="25.5">
      <c r="A7659" s="449">
        <v>20086</v>
      </c>
      <c r="B7659" s="450" t="s">
        <v>8481</v>
      </c>
      <c r="C7659" s="449" t="s">
        <v>679</v>
      </c>
      <c r="D7659" s="451">
        <v>2.1</v>
      </c>
      <c r="E7659" s="210"/>
    </row>
    <row r="7660" spans="1:5" ht="25.5">
      <c r="A7660" s="449">
        <v>39191</v>
      </c>
      <c r="B7660" s="450" t="s">
        <v>8482</v>
      </c>
      <c r="C7660" s="449" t="s">
        <v>679</v>
      </c>
      <c r="D7660" s="451">
        <v>13.61</v>
      </c>
      <c r="E7660" s="210"/>
    </row>
    <row r="7661" spans="1:5" ht="25.5">
      <c r="A7661" s="449">
        <v>39190</v>
      </c>
      <c r="B7661" s="450" t="s">
        <v>8483</v>
      </c>
      <c r="C7661" s="449" t="s">
        <v>679</v>
      </c>
      <c r="D7661" s="451">
        <v>14.22</v>
      </c>
      <c r="E7661" s="210"/>
    </row>
    <row r="7662" spans="1:5" ht="25.5">
      <c r="A7662" s="449">
        <v>39189</v>
      </c>
      <c r="B7662" s="450" t="s">
        <v>8484</v>
      </c>
      <c r="C7662" s="449" t="s">
        <v>679</v>
      </c>
      <c r="D7662" s="451">
        <v>15.05</v>
      </c>
      <c r="E7662" s="210"/>
    </row>
    <row r="7663" spans="1:5" ht="25.5">
      <c r="A7663" s="449">
        <v>39186</v>
      </c>
      <c r="B7663" s="450" t="s">
        <v>8485</v>
      </c>
      <c r="C7663" s="449" t="s">
        <v>679</v>
      </c>
      <c r="D7663" s="451">
        <v>13.46</v>
      </c>
      <c r="E7663" s="210"/>
    </row>
    <row r="7664" spans="1:5" ht="25.5">
      <c r="A7664" s="449">
        <v>39188</v>
      </c>
      <c r="B7664" s="450" t="s">
        <v>8486</v>
      </c>
      <c r="C7664" s="449" t="s">
        <v>679</v>
      </c>
      <c r="D7664" s="451">
        <v>11.08</v>
      </c>
      <c r="E7664" s="210"/>
    </row>
    <row r="7665" spans="1:5" ht="25.5">
      <c r="A7665" s="449">
        <v>39187</v>
      </c>
      <c r="B7665" s="450" t="s">
        <v>8487</v>
      </c>
      <c r="C7665" s="449" t="s">
        <v>679</v>
      </c>
      <c r="D7665" s="451">
        <v>11.61</v>
      </c>
      <c r="E7665" s="210"/>
    </row>
    <row r="7666" spans="1:5" ht="25.5">
      <c r="A7666" s="449">
        <v>39184</v>
      </c>
      <c r="B7666" s="450" t="s">
        <v>8488</v>
      </c>
      <c r="C7666" s="449" t="s">
        <v>679</v>
      </c>
      <c r="D7666" s="451">
        <v>4.37</v>
      </c>
      <c r="E7666" s="210"/>
    </row>
    <row r="7667" spans="1:5" ht="25.5">
      <c r="A7667" s="449">
        <v>39185</v>
      </c>
      <c r="B7667" s="450" t="s">
        <v>8489</v>
      </c>
      <c r="C7667" s="449" t="s">
        <v>679</v>
      </c>
      <c r="D7667" s="451">
        <v>3.98</v>
      </c>
      <c r="E7667" s="210"/>
    </row>
    <row r="7668" spans="1:5" ht="25.5">
      <c r="A7668" s="449">
        <v>39198</v>
      </c>
      <c r="B7668" s="450" t="s">
        <v>8490</v>
      </c>
      <c r="C7668" s="449" t="s">
        <v>679</v>
      </c>
      <c r="D7668" s="451">
        <v>44.66</v>
      </c>
      <c r="E7668" s="210"/>
    </row>
    <row r="7669" spans="1:5" ht="25.5">
      <c r="A7669" s="449">
        <v>39197</v>
      </c>
      <c r="B7669" s="450" t="s">
        <v>8491</v>
      </c>
      <c r="C7669" s="449" t="s">
        <v>679</v>
      </c>
      <c r="D7669" s="451">
        <v>46.66</v>
      </c>
      <c r="E7669" s="210"/>
    </row>
    <row r="7670" spans="1:5" ht="25.5">
      <c r="A7670" s="449">
        <v>39196</v>
      </c>
      <c r="B7670" s="450" t="s">
        <v>8492</v>
      </c>
      <c r="C7670" s="449" t="s">
        <v>679</v>
      </c>
      <c r="D7670" s="451">
        <v>48.12</v>
      </c>
      <c r="E7670" s="210"/>
    </row>
    <row r="7671" spans="1:5" ht="25.5">
      <c r="A7671" s="449">
        <v>39199</v>
      </c>
      <c r="B7671" s="450" t="s">
        <v>8493</v>
      </c>
      <c r="C7671" s="449" t="s">
        <v>679</v>
      </c>
      <c r="D7671" s="451">
        <v>42.98</v>
      </c>
      <c r="E7671" s="210"/>
    </row>
    <row r="7672" spans="1:5" ht="25.5">
      <c r="A7672" s="449">
        <v>39195</v>
      </c>
      <c r="B7672" s="450" t="s">
        <v>8494</v>
      </c>
      <c r="C7672" s="449" t="s">
        <v>679</v>
      </c>
      <c r="D7672" s="451">
        <v>24.81</v>
      </c>
      <c r="E7672" s="210"/>
    </row>
    <row r="7673" spans="1:5" ht="25.5">
      <c r="A7673" s="449">
        <v>39194</v>
      </c>
      <c r="B7673" s="450" t="s">
        <v>8495</v>
      </c>
      <c r="C7673" s="449" t="s">
        <v>679</v>
      </c>
      <c r="D7673" s="451">
        <v>26.55</v>
      </c>
      <c r="E7673" s="210"/>
    </row>
    <row r="7674" spans="1:5" ht="25.5">
      <c r="A7674" s="449">
        <v>39193</v>
      </c>
      <c r="B7674" s="450" t="s">
        <v>8496</v>
      </c>
      <c r="C7674" s="449" t="s">
        <v>679</v>
      </c>
      <c r="D7674" s="451">
        <v>29.1</v>
      </c>
      <c r="E7674" s="210"/>
    </row>
    <row r="7675" spans="1:5" ht="25.5">
      <c r="A7675" s="449">
        <v>39192</v>
      </c>
      <c r="B7675" s="450" t="s">
        <v>8497</v>
      </c>
      <c r="C7675" s="449" t="s">
        <v>679</v>
      </c>
      <c r="D7675" s="451">
        <v>30.27</v>
      </c>
      <c r="E7675" s="210"/>
    </row>
    <row r="7676" spans="1:5" ht="25.5">
      <c r="A7676" s="449">
        <v>39920</v>
      </c>
      <c r="B7676" s="450" t="s">
        <v>8498</v>
      </c>
      <c r="C7676" s="449" t="s">
        <v>679</v>
      </c>
      <c r="D7676" s="451">
        <v>3.66</v>
      </c>
      <c r="E7676" s="210"/>
    </row>
    <row r="7677" spans="1:5" ht="25.5">
      <c r="A7677" s="449">
        <v>39201</v>
      </c>
      <c r="B7677" s="450" t="s">
        <v>8499</v>
      </c>
      <c r="C7677" s="449" t="s">
        <v>679</v>
      </c>
      <c r="D7677" s="451">
        <v>53.4</v>
      </c>
      <c r="E7677" s="210"/>
    </row>
    <row r="7678" spans="1:5" ht="25.5">
      <c r="A7678" s="449">
        <v>39200</v>
      </c>
      <c r="B7678" s="450" t="s">
        <v>8500</v>
      </c>
      <c r="C7678" s="449" t="s">
        <v>679</v>
      </c>
      <c r="D7678" s="451">
        <v>53.83</v>
      </c>
      <c r="E7678" s="210"/>
    </row>
    <row r="7679" spans="1:5" ht="25.5">
      <c r="A7679" s="449">
        <v>39203</v>
      </c>
      <c r="B7679" s="450" t="s">
        <v>8501</v>
      </c>
      <c r="C7679" s="449" t="s">
        <v>679</v>
      </c>
      <c r="D7679" s="451">
        <v>43.46</v>
      </c>
      <c r="E7679" s="210"/>
    </row>
    <row r="7680" spans="1:5" ht="25.5">
      <c r="A7680" s="449">
        <v>39202</v>
      </c>
      <c r="B7680" s="450" t="s">
        <v>8502</v>
      </c>
      <c r="C7680" s="449" t="s">
        <v>679</v>
      </c>
      <c r="D7680" s="451">
        <v>51.06</v>
      </c>
      <c r="E7680" s="210"/>
    </row>
    <row r="7681" spans="1:5" ht="25.5">
      <c r="A7681" s="449">
        <v>39205</v>
      </c>
      <c r="B7681" s="450" t="s">
        <v>8503</v>
      </c>
      <c r="C7681" s="449" t="s">
        <v>679</v>
      </c>
      <c r="D7681" s="451">
        <v>85.19</v>
      </c>
      <c r="E7681" s="210"/>
    </row>
    <row r="7682" spans="1:5" ht="25.5">
      <c r="A7682" s="449">
        <v>39204</v>
      </c>
      <c r="B7682" s="450" t="s">
        <v>8504</v>
      </c>
      <c r="C7682" s="449" t="s">
        <v>679</v>
      </c>
      <c r="D7682" s="451">
        <v>87.25</v>
      </c>
      <c r="E7682" s="210"/>
    </row>
    <row r="7683" spans="1:5" ht="25.5">
      <c r="A7683" s="449">
        <v>39206</v>
      </c>
      <c r="B7683" s="450" t="s">
        <v>8505</v>
      </c>
      <c r="C7683" s="449" t="s">
        <v>679</v>
      </c>
      <c r="D7683" s="451">
        <v>82.77</v>
      </c>
      <c r="E7683" s="210"/>
    </row>
    <row r="7684" spans="1:5">
      <c r="A7684" s="449">
        <v>797</v>
      </c>
      <c r="B7684" s="450" t="s">
        <v>8506</v>
      </c>
      <c r="C7684" s="449" t="s">
        <v>679</v>
      </c>
      <c r="D7684" s="451">
        <v>7.65</v>
      </c>
      <c r="E7684" s="210"/>
    </row>
    <row r="7685" spans="1:5">
      <c r="A7685" s="449">
        <v>798</v>
      </c>
      <c r="B7685" s="450" t="s">
        <v>8507</v>
      </c>
      <c r="C7685" s="449" t="s">
        <v>679</v>
      </c>
      <c r="D7685" s="451">
        <v>1.05</v>
      </c>
      <c r="E7685" s="210"/>
    </row>
    <row r="7686" spans="1:5" ht="25.5">
      <c r="A7686" s="449">
        <v>796</v>
      </c>
      <c r="B7686" s="450" t="s">
        <v>8508</v>
      </c>
      <c r="C7686" s="449" t="s">
        <v>679</v>
      </c>
      <c r="D7686" s="451">
        <v>7.33</v>
      </c>
      <c r="E7686" s="210"/>
    </row>
    <row r="7687" spans="1:5">
      <c r="A7687" s="449">
        <v>799</v>
      </c>
      <c r="B7687" s="450" t="s">
        <v>8509</v>
      </c>
      <c r="C7687" s="449" t="s">
        <v>679</v>
      </c>
      <c r="D7687" s="451">
        <v>3.45</v>
      </c>
      <c r="E7687" s="210"/>
    </row>
    <row r="7688" spans="1:5">
      <c r="A7688" s="449">
        <v>792</v>
      </c>
      <c r="B7688" s="450" t="s">
        <v>8510</v>
      </c>
      <c r="C7688" s="449" t="s">
        <v>679</v>
      </c>
      <c r="D7688" s="451">
        <v>3.5</v>
      </c>
      <c r="E7688" s="210"/>
    </row>
    <row r="7689" spans="1:5" ht="25.5">
      <c r="A7689" s="449">
        <v>804</v>
      </c>
      <c r="B7689" s="450" t="s">
        <v>8511</v>
      </c>
      <c r="C7689" s="449" t="s">
        <v>679</v>
      </c>
      <c r="D7689" s="451">
        <v>17.38</v>
      </c>
      <c r="E7689" s="210"/>
    </row>
    <row r="7690" spans="1:5" ht="25.5">
      <c r="A7690" s="449">
        <v>793</v>
      </c>
      <c r="B7690" s="450" t="s">
        <v>8512</v>
      </c>
      <c r="C7690" s="449" t="s">
        <v>679</v>
      </c>
      <c r="D7690" s="451">
        <v>7.46</v>
      </c>
      <c r="E7690" s="210"/>
    </row>
    <row r="7691" spans="1:5" ht="25.5">
      <c r="A7691" s="449">
        <v>801</v>
      </c>
      <c r="B7691" s="450" t="s">
        <v>8513</v>
      </c>
      <c r="C7691" s="449" t="s">
        <v>679</v>
      </c>
      <c r="D7691" s="451">
        <v>5.32</v>
      </c>
      <c r="E7691" s="210"/>
    </row>
    <row r="7692" spans="1:5">
      <c r="A7692" s="449">
        <v>794</v>
      </c>
      <c r="B7692" s="450" t="s">
        <v>8514</v>
      </c>
      <c r="C7692" s="449" t="s">
        <v>679</v>
      </c>
      <c r="D7692" s="451">
        <v>5.49</v>
      </c>
      <c r="E7692" s="210"/>
    </row>
    <row r="7693" spans="1:5">
      <c r="A7693" s="449">
        <v>802</v>
      </c>
      <c r="B7693" s="450" t="s">
        <v>8515</v>
      </c>
      <c r="C7693" s="449" t="s">
        <v>679</v>
      </c>
      <c r="D7693" s="451">
        <v>15.33</v>
      </c>
      <c r="E7693" s="210"/>
    </row>
    <row r="7694" spans="1:5" ht="25.5">
      <c r="A7694" s="449">
        <v>803</v>
      </c>
      <c r="B7694" s="450" t="s">
        <v>8516</v>
      </c>
      <c r="C7694" s="449" t="s">
        <v>679</v>
      </c>
      <c r="D7694" s="451">
        <v>13.37</v>
      </c>
      <c r="E7694" s="210"/>
    </row>
    <row r="7695" spans="1:5" ht="25.5">
      <c r="A7695" s="449">
        <v>38001</v>
      </c>
      <c r="B7695" s="450" t="s">
        <v>8517</v>
      </c>
      <c r="C7695" s="449" t="s">
        <v>679</v>
      </c>
      <c r="D7695" s="451">
        <v>1.44</v>
      </c>
      <c r="E7695" s="210"/>
    </row>
    <row r="7696" spans="1:5" ht="25.5">
      <c r="A7696" s="449">
        <v>38002</v>
      </c>
      <c r="B7696" s="450" t="s">
        <v>8518</v>
      </c>
      <c r="C7696" s="449" t="s">
        <v>679</v>
      </c>
      <c r="D7696" s="451">
        <v>2.67</v>
      </c>
      <c r="E7696" s="210"/>
    </row>
    <row r="7697" spans="1:5" ht="25.5">
      <c r="A7697" s="449">
        <v>38003</v>
      </c>
      <c r="B7697" s="450" t="s">
        <v>8519</v>
      </c>
      <c r="C7697" s="449" t="s">
        <v>679</v>
      </c>
      <c r="D7697" s="451">
        <v>32</v>
      </c>
      <c r="E7697" s="210"/>
    </row>
    <row r="7698" spans="1:5" ht="25.5">
      <c r="A7698" s="449">
        <v>38004</v>
      </c>
      <c r="B7698" s="450" t="s">
        <v>8520</v>
      </c>
      <c r="C7698" s="449" t="s">
        <v>679</v>
      </c>
      <c r="D7698" s="451">
        <v>42.79</v>
      </c>
      <c r="E7698" s="210"/>
    </row>
    <row r="7699" spans="1:5" ht="25.5">
      <c r="A7699" s="449">
        <v>36327</v>
      </c>
      <c r="B7699" s="450" t="s">
        <v>8521</v>
      </c>
      <c r="C7699" s="449" t="s">
        <v>679</v>
      </c>
      <c r="D7699" s="451">
        <v>2.54</v>
      </c>
      <c r="E7699" s="210"/>
    </row>
    <row r="7700" spans="1:5" ht="25.5">
      <c r="A7700" s="449">
        <v>38992</v>
      </c>
      <c r="B7700" s="450" t="s">
        <v>8522</v>
      </c>
      <c r="C7700" s="449" t="s">
        <v>679</v>
      </c>
      <c r="D7700" s="451">
        <v>4.0599999999999996</v>
      </c>
      <c r="E7700" s="210"/>
    </row>
    <row r="7701" spans="1:5" ht="25.5">
      <c r="A7701" s="449">
        <v>38993</v>
      </c>
      <c r="B7701" s="450" t="s">
        <v>8523</v>
      </c>
      <c r="C7701" s="449" t="s">
        <v>679</v>
      </c>
      <c r="D7701" s="451">
        <v>11.57</v>
      </c>
      <c r="E7701" s="210"/>
    </row>
    <row r="7702" spans="1:5" ht="38.25">
      <c r="A7702" s="449">
        <v>38418</v>
      </c>
      <c r="B7702" s="450" t="s">
        <v>8524</v>
      </c>
      <c r="C7702" s="449" t="s">
        <v>679</v>
      </c>
      <c r="D7702" s="451">
        <v>6.11</v>
      </c>
      <c r="E7702" s="210"/>
    </row>
    <row r="7703" spans="1:5" ht="25.5">
      <c r="A7703" s="449">
        <v>39178</v>
      </c>
      <c r="B7703" s="450" t="s">
        <v>8525</v>
      </c>
      <c r="C7703" s="449" t="s">
        <v>679</v>
      </c>
      <c r="D7703" s="451">
        <v>1.47</v>
      </c>
      <c r="E7703" s="210"/>
    </row>
    <row r="7704" spans="1:5" ht="25.5">
      <c r="A7704" s="449">
        <v>39177</v>
      </c>
      <c r="B7704" s="450" t="s">
        <v>8526</v>
      </c>
      <c r="C7704" s="449" t="s">
        <v>679</v>
      </c>
      <c r="D7704" s="451">
        <v>1.33</v>
      </c>
      <c r="E7704" s="210"/>
    </row>
    <row r="7705" spans="1:5" ht="25.5">
      <c r="A7705" s="449">
        <v>39174</v>
      </c>
      <c r="B7705" s="450" t="s">
        <v>8527</v>
      </c>
      <c r="C7705" s="449" t="s">
        <v>679</v>
      </c>
      <c r="D7705" s="451">
        <v>0.66</v>
      </c>
      <c r="E7705" s="210"/>
    </row>
    <row r="7706" spans="1:5" ht="25.5">
      <c r="A7706" s="449">
        <v>39176</v>
      </c>
      <c r="B7706" s="450" t="s">
        <v>8528</v>
      </c>
      <c r="C7706" s="449" t="s">
        <v>679</v>
      </c>
      <c r="D7706" s="451">
        <v>0.87</v>
      </c>
      <c r="E7706" s="210"/>
    </row>
    <row r="7707" spans="1:5" ht="25.5">
      <c r="A7707" s="449">
        <v>39180</v>
      </c>
      <c r="B7707" s="450" t="s">
        <v>8529</v>
      </c>
      <c r="C7707" s="449" t="s">
        <v>679</v>
      </c>
      <c r="D7707" s="451">
        <v>4</v>
      </c>
      <c r="E7707" s="210"/>
    </row>
    <row r="7708" spans="1:5" ht="25.5">
      <c r="A7708" s="449">
        <v>39179</v>
      </c>
      <c r="B7708" s="450" t="s">
        <v>8530</v>
      </c>
      <c r="C7708" s="449" t="s">
        <v>679</v>
      </c>
      <c r="D7708" s="451">
        <v>3.54</v>
      </c>
      <c r="E7708" s="210"/>
    </row>
    <row r="7709" spans="1:5" ht="25.5">
      <c r="A7709" s="449">
        <v>39175</v>
      </c>
      <c r="B7709" s="450" t="s">
        <v>8531</v>
      </c>
      <c r="C7709" s="449" t="s">
        <v>679</v>
      </c>
      <c r="D7709" s="451">
        <v>0.81</v>
      </c>
      <c r="E7709" s="210"/>
    </row>
    <row r="7710" spans="1:5" ht="25.5">
      <c r="A7710" s="449">
        <v>39217</v>
      </c>
      <c r="B7710" s="450" t="s">
        <v>8532</v>
      </c>
      <c r="C7710" s="449" t="s">
        <v>679</v>
      </c>
      <c r="D7710" s="451">
        <v>0.62</v>
      </c>
      <c r="E7710" s="210"/>
    </row>
    <row r="7711" spans="1:5" ht="25.5">
      <c r="A7711" s="449">
        <v>39181</v>
      </c>
      <c r="B7711" s="450" t="s">
        <v>8533</v>
      </c>
      <c r="C7711" s="449" t="s">
        <v>679</v>
      </c>
      <c r="D7711" s="451">
        <v>5.36</v>
      </c>
      <c r="E7711" s="210"/>
    </row>
    <row r="7712" spans="1:5" ht="25.5">
      <c r="A7712" s="449">
        <v>39182</v>
      </c>
      <c r="B7712" s="450" t="s">
        <v>8534</v>
      </c>
      <c r="C7712" s="449" t="s">
        <v>679</v>
      </c>
      <c r="D7712" s="451">
        <v>7.54</v>
      </c>
      <c r="E7712" s="210"/>
    </row>
    <row r="7713" spans="1:5" ht="38.25">
      <c r="A7713" s="449">
        <v>12616</v>
      </c>
      <c r="B7713" s="450" t="s">
        <v>8535</v>
      </c>
      <c r="C7713" s="449" t="s">
        <v>679</v>
      </c>
      <c r="D7713" s="451">
        <v>5.87</v>
      </c>
      <c r="E7713" s="210"/>
    </row>
    <row r="7714" spans="1:5" ht="63.75">
      <c r="A7714" s="449">
        <v>1049</v>
      </c>
      <c r="B7714" s="450" t="s">
        <v>8536</v>
      </c>
      <c r="C7714" s="449" t="s">
        <v>679</v>
      </c>
      <c r="D7714" s="451">
        <v>6.31</v>
      </c>
      <c r="E7714" s="210"/>
    </row>
    <row r="7715" spans="1:5" ht="63.75">
      <c r="A7715" s="449">
        <v>1099</v>
      </c>
      <c r="B7715" s="450" t="s">
        <v>8537</v>
      </c>
      <c r="C7715" s="449" t="s">
        <v>679</v>
      </c>
      <c r="D7715" s="451">
        <v>4.83</v>
      </c>
      <c r="E7715" s="210"/>
    </row>
    <row r="7716" spans="1:5" ht="63.75">
      <c r="A7716" s="449">
        <v>39678</v>
      </c>
      <c r="B7716" s="450" t="s">
        <v>8538</v>
      </c>
      <c r="C7716" s="449" t="s">
        <v>679</v>
      </c>
      <c r="D7716" s="451">
        <v>1.94</v>
      </c>
      <c r="E7716" s="210"/>
    </row>
    <row r="7717" spans="1:5" ht="63.75">
      <c r="A7717" s="449">
        <v>1050</v>
      </c>
      <c r="B7717" s="450" t="s">
        <v>8539</v>
      </c>
      <c r="C7717" s="449" t="s">
        <v>679</v>
      </c>
      <c r="D7717" s="451">
        <v>3.3</v>
      </c>
      <c r="E7717" s="210"/>
    </row>
    <row r="7718" spans="1:5" ht="63.75">
      <c r="A7718" s="449">
        <v>1101</v>
      </c>
      <c r="B7718" s="450" t="s">
        <v>8540</v>
      </c>
      <c r="C7718" s="449" t="s">
        <v>679</v>
      </c>
      <c r="D7718" s="451">
        <v>20.81</v>
      </c>
      <c r="E7718" s="210"/>
    </row>
    <row r="7719" spans="1:5" ht="63.75">
      <c r="A7719" s="449">
        <v>1100</v>
      </c>
      <c r="B7719" s="450" t="s">
        <v>8541</v>
      </c>
      <c r="C7719" s="449" t="s">
        <v>679</v>
      </c>
      <c r="D7719" s="451">
        <v>10.74</v>
      </c>
      <c r="E7719" s="210"/>
    </row>
    <row r="7720" spans="1:5" ht="63.75">
      <c r="A7720" s="449">
        <v>39679</v>
      </c>
      <c r="B7720" s="450" t="s">
        <v>8542</v>
      </c>
      <c r="C7720" s="449" t="s">
        <v>679</v>
      </c>
      <c r="D7720" s="451">
        <v>41.49</v>
      </c>
      <c r="E7720" s="210"/>
    </row>
    <row r="7721" spans="1:5" ht="63.75">
      <c r="A7721" s="449">
        <v>1098</v>
      </c>
      <c r="B7721" s="450" t="s">
        <v>8543</v>
      </c>
      <c r="C7721" s="449" t="s">
        <v>679</v>
      </c>
      <c r="D7721" s="451">
        <v>2.57</v>
      </c>
      <c r="E7721" s="210"/>
    </row>
    <row r="7722" spans="1:5" ht="63.75">
      <c r="A7722" s="449">
        <v>1102</v>
      </c>
      <c r="B7722" s="450" t="s">
        <v>8544</v>
      </c>
      <c r="C7722" s="449" t="s">
        <v>679</v>
      </c>
      <c r="D7722" s="451">
        <v>31.04</v>
      </c>
      <c r="E7722" s="210"/>
    </row>
    <row r="7723" spans="1:5" ht="63.75">
      <c r="A7723" s="449">
        <v>1051</v>
      </c>
      <c r="B7723" s="450" t="s">
        <v>8545</v>
      </c>
      <c r="C7723" s="449" t="s">
        <v>679</v>
      </c>
      <c r="D7723" s="451">
        <v>45.12</v>
      </c>
      <c r="E7723" s="210"/>
    </row>
    <row r="7724" spans="1:5" ht="25.5">
      <c r="A7724" s="449">
        <v>37399</v>
      </c>
      <c r="B7724" s="450" t="s">
        <v>8546</v>
      </c>
      <c r="C7724" s="449" t="s">
        <v>679</v>
      </c>
      <c r="D7724" s="451">
        <v>20</v>
      </c>
      <c r="E7724" s="210"/>
    </row>
    <row r="7725" spans="1:5" ht="38.25">
      <c r="A7725" s="449">
        <v>41955</v>
      </c>
      <c r="B7725" s="450" t="s">
        <v>8547</v>
      </c>
      <c r="C7725" s="449" t="s">
        <v>676</v>
      </c>
      <c r="D7725" s="451">
        <v>66.900000000000006</v>
      </c>
      <c r="E7725" s="210"/>
    </row>
    <row r="7726" spans="1:5" ht="25.5">
      <c r="A7726" s="449">
        <v>41953</v>
      </c>
      <c r="B7726" s="450" t="s">
        <v>8548</v>
      </c>
      <c r="C7726" s="449" t="s">
        <v>676</v>
      </c>
      <c r="D7726" s="451">
        <v>63.85</v>
      </c>
      <c r="E7726" s="210"/>
    </row>
    <row r="7727" spans="1:5" ht="25.5">
      <c r="A7727" s="449">
        <v>41954</v>
      </c>
      <c r="B7727" s="450" t="s">
        <v>8549</v>
      </c>
      <c r="C7727" s="449" t="s">
        <v>676</v>
      </c>
      <c r="D7727" s="451">
        <v>63.24</v>
      </c>
      <c r="E7727" s="210"/>
    </row>
    <row r="7728" spans="1:5" ht="25.5">
      <c r="A7728" s="449">
        <v>25004</v>
      </c>
      <c r="B7728" s="450" t="s">
        <v>8550</v>
      </c>
      <c r="C7728" s="449" t="s">
        <v>676</v>
      </c>
      <c r="D7728" s="451">
        <v>24.89</v>
      </c>
      <c r="E7728" s="210"/>
    </row>
    <row r="7729" spans="1:5" ht="25.5">
      <c r="A7729" s="449">
        <v>25002</v>
      </c>
      <c r="B7729" s="450" t="s">
        <v>8551</v>
      </c>
      <c r="C7729" s="449" t="s">
        <v>676</v>
      </c>
      <c r="D7729" s="451">
        <v>25.1</v>
      </c>
      <c r="E7729" s="210"/>
    </row>
    <row r="7730" spans="1:5" ht="25.5">
      <c r="A7730" s="449">
        <v>37409</v>
      </c>
      <c r="B7730" s="450" t="s">
        <v>8552</v>
      </c>
      <c r="C7730" s="449" t="s">
        <v>676</v>
      </c>
      <c r="D7730" s="451">
        <v>24.68</v>
      </c>
      <c r="E7730" s="210"/>
    </row>
    <row r="7731" spans="1:5" ht="25.5">
      <c r="A7731" s="449">
        <v>841</v>
      </c>
      <c r="B7731" s="450" t="s">
        <v>8553</v>
      </c>
      <c r="C7731" s="449" t="s">
        <v>676</v>
      </c>
      <c r="D7731" s="451">
        <v>25.5</v>
      </c>
      <c r="E7731" s="210"/>
    </row>
    <row r="7732" spans="1:5" ht="25.5">
      <c r="A7732" s="449">
        <v>25005</v>
      </c>
      <c r="B7732" s="450" t="s">
        <v>8554</v>
      </c>
      <c r="C7732" s="449" t="s">
        <v>676</v>
      </c>
      <c r="D7732" s="451">
        <v>27.96</v>
      </c>
      <c r="E7732" s="210"/>
    </row>
    <row r="7733" spans="1:5" ht="25.5">
      <c r="A7733" s="449">
        <v>25003</v>
      </c>
      <c r="B7733" s="450" t="s">
        <v>8555</v>
      </c>
      <c r="C7733" s="449" t="s">
        <v>676</v>
      </c>
      <c r="D7733" s="451">
        <v>29.86</v>
      </c>
      <c r="E7733" s="210"/>
    </row>
    <row r="7734" spans="1:5" ht="25.5">
      <c r="A7734" s="449">
        <v>37410</v>
      </c>
      <c r="B7734" s="450" t="s">
        <v>8556</v>
      </c>
      <c r="C7734" s="449" t="s">
        <v>676</v>
      </c>
      <c r="D7734" s="451">
        <v>27.96</v>
      </c>
      <c r="E7734" s="210"/>
    </row>
    <row r="7735" spans="1:5" ht="25.5">
      <c r="A7735" s="449">
        <v>842</v>
      </c>
      <c r="B7735" s="450" t="s">
        <v>8557</v>
      </c>
      <c r="C7735" s="449" t="s">
        <v>676</v>
      </c>
      <c r="D7735" s="451">
        <v>31.45</v>
      </c>
      <c r="E7735" s="210"/>
    </row>
    <row r="7736" spans="1:5">
      <c r="A7736" s="449">
        <v>862</v>
      </c>
      <c r="B7736" s="450" t="s">
        <v>8558</v>
      </c>
      <c r="C7736" s="449" t="s">
        <v>683</v>
      </c>
      <c r="D7736" s="451">
        <v>8.1</v>
      </c>
      <c r="E7736" s="210"/>
    </row>
    <row r="7737" spans="1:5">
      <c r="A7737" s="449">
        <v>866</v>
      </c>
      <c r="B7737" s="450" t="s">
        <v>8559</v>
      </c>
      <c r="C7737" s="449" t="s">
        <v>683</v>
      </c>
      <c r="D7737" s="451">
        <v>99.65</v>
      </c>
      <c r="E7737" s="210"/>
    </row>
    <row r="7738" spans="1:5">
      <c r="A7738" s="449">
        <v>892</v>
      </c>
      <c r="B7738" s="450" t="s">
        <v>8560</v>
      </c>
      <c r="C7738" s="449" t="s">
        <v>683</v>
      </c>
      <c r="D7738" s="451">
        <v>126.72</v>
      </c>
      <c r="E7738" s="210"/>
    </row>
    <row r="7739" spans="1:5">
      <c r="A7739" s="449">
        <v>857</v>
      </c>
      <c r="B7739" s="450" t="s">
        <v>8561</v>
      </c>
      <c r="C7739" s="449" t="s">
        <v>683</v>
      </c>
      <c r="D7739" s="451">
        <v>12.9</v>
      </c>
      <c r="E7739" s="210"/>
    </row>
    <row r="7740" spans="1:5">
      <c r="A7740" s="449">
        <v>37404</v>
      </c>
      <c r="B7740" s="450" t="s">
        <v>8562</v>
      </c>
      <c r="C7740" s="449" t="s">
        <v>683</v>
      </c>
      <c r="D7740" s="451">
        <v>152.38</v>
      </c>
      <c r="E7740" s="210"/>
    </row>
    <row r="7741" spans="1:5">
      <c r="A7741" s="449">
        <v>868</v>
      </c>
      <c r="B7741" s="450" t="s">
        <v>8563</v>
      </c>
      <c r="C7741" s="449" t="s">
        <v>683</v>
      </c>
      <c r="D7741" s="451">
        <v>19.920000000000002</v>
      </c>
      <c r="E7741" s="210"/>
    </row>
    <row r="7742" spans="1:5">
      <c r="A7742" s="449">
        <v>870</v>
      </c>
      <c r="B7742" s="450" t="s">
        <v>8564</v>
      </c>
      <c r="C7742" s="449" t="s">
        <v>683</v>
      </c>
      <c r="D7742" s="451">
        <v>262.57</v>
      </c>
      <c r="E7742" s="210"/>
    </row>
    <row r="7743" spans="1:5">
      <c r="A7743" s="449">
        <v>863</v>
      </c>
      <c r="B7743" s="450" t="s">
        <v>8565</v>
      </c>
      <c r="C7743" s="449" t="s">
        <v>683</v>
      </c>
      <c r="D7743" s="451">
        <v>27.52</v>
      </c>
      <c r="E7743" s="210"/>
    </row>
    <row r="7744" spans="1:5">
      <c r="A7744" s="449">
        <v>867</v>
      </c>
      <c r="B7744" s="450" t="s">
        <v>8566</v>
      </c>
      <c r="C7744" s="449" t="s">
        <v>683</v>
      </c>
      <c r="D7744" s="451">
        <v>38.33</v>
      </c>
      <c r="E7744" s="210"/>
    </row>
    <row r="7745" spans="1:5">
      <c r="A7745" s="449">
        <v>891</v>
      </c>
      <c r="B7745" s="450" t="s">
        <v>8567</v>
      </c>
      <c r="C7745" s="449" t="s">
        <v>683</v>
      </c>
      <c r="D7745" s="451">
        <v>440.96</v>
      </c>
      <c r="E7745" s="210"/>
    </row>
    <row r="7746" spans="1:5">
      <c r="A7746" s="449">
        <v>864</v>
      </c>
      <c r="B7746" s="450" t="s">
        <v>8568</v>
      </c>
      <c r="C7746" s="449" t="s">
        <v>683</v>
      </c>
      <c r="D7746" s="451">
        <v>54</v>
      </c>
      <c r="E7746" s="210"/>
    </row>
    <row r="7747" spans="1:5">
      <c r="A7747" s="449">
        <v>865</v>
      </c>
      <c r="B7747" s="450" t="s">
        <v>8569</v>
      </c>
      <c r="C7747" s="449" t="s">
        <v>683</v>
      </c>
      <c r="D7747" s="451">
        <v>76.069999999999993</v>
      </c>
      <c r="E7747" s="210"/>
    </row>
    <row r="7748" spans="1:5" ht="38.25">
      <c r="A7748" s="449">
        <v>1006</v>
      </c>
      <c r="B7748" s="450" t="s">
        <v>8570</v>
      </c>
      <c r="C7748" s="449" t="s">
        <v>683</v>
      </c>
      <c r="D7748" s="451">
        <v>121.51</v>
      </c>
      <c r="E7748" s="210"/>
    </row>
    <row r="7749" spans="1:5" ht="25.5">
      <c r="A7749" s="449">
        <v>948</v>
      </c>
      <c r="B7749" s="450" t="s">
        <v>8571</v>
      </c>
      <c r="C7749" s="449" t="s">
        <v>683</v>
      </c>
      <c r="D7749" s="451">
        <v>63.28</v>
      </c>
      <c r="E7749" s="210"/>
    </row>
    <row r="7750" spans="1:5" ht="25.5">
      <c r="A7750" s="449">
        <v>947</v>
      </c>
      <c r="B7750" s="450" t="s">
        <v>8572</v>
      </c>
      <c r="C7750" s="449" t="s">
        <v>683</v>
      </c>
      <c r="D7750" s="451">
        <v>64.37</v>
      </c>
      <c r="E7750" s="210"/>
    </row>
    <row r="7751" spans="1:5" ht="25.5">
      <c r="A7751" s="449">
        <v>911</v>
      </c>
      <c r="B7751" s="450" t="s">
        <v>8573</v>
      </c>
      <c r="C7751" s="449" t="s">
        <v>683</v>
      </c>
      <c r="D7751" s="451">
        <v>93.6</v>
      </c>
      <c r="E7751" s="210"/>
    </row>
    <row r="7752" spans="1:5" ht="25.5">
      <c r="A7752" s="449">
        <v>925</v>
      </c>
      <c r="B7752" s="450" t="s">
        <v>8574</v>
      </c>
      <c r="C7752" s="449" t="s">
        <v>683</v>
      </c>
      <c r="D7752" s="451">
        <v>86.52</v>
      </c>
      <c r="E7752" s="210"/>
    </row>
    <row r="7753" spans="1:5" ht="25.5">
      <c r="A7753" s="449">
        <v>954</v>
      </c>
      <c r="B7753" s="450" t="s">
        <v>8575</v>
      </c>
      <c r="C7753" s="449" t="s">
        <v>683</v>
      </c>
      <c r="D7753" s="451">
        <v>95.58</v>
      </c>
      <c r="E7753" s="210"/>
    </row>
    <row r="7754" spans="1:5" ht="25.5">
      <c r="A7754" s="449">
        <v>901</v>
      </c>
      <c r="B7754" s="450" t="s">
        <v>8576</v>
      </c>
      <c r="C7754" s="449" t="s">
        <v>683</v>
      </c>
      <c r="D7754" s="451">
        <v>102.29</v>
      </c>
      <c r="E7754" s="210"/>
    </row>
    <row r="7755" spans="1:5" ht="25.5">
      <c r="A7755" s="449">
        <v>926</v>
      </c>
      <c r="B7755" s="450" t="s">
        <v>8577</v>
      </c>
      <c r="C7755" s="449" t="s">
        <v>683</v>
      </c>
      <c r="D7755" s="451">
        <v>108.1</v>
      </c>
      <c r="E7755" s="210"/>
    </row>
    <row r="7756" spans="1:5" ht="25.5">
      <c r="A7756" s="449">
        <v>912</v>
      </c>
      <c r="B7756" s="450" t="s">
        <v>8578</v>
      </c>
      <c r="C7756" s="449" t="s">
        <v>683</v>
      </c>
      <c r="D7756" s="451">
        <v>108.76</v>
      </c>
      <c r="E7756" s="210"/>
    </row>
    <row r="7757" spans="1:5" ht="25.5">
      <c r="A7757" s="449">
        <v>955</v>
      </c>
      <c r="B7757" s="450" t="s">
        <v>8579</v>
      </c>
      <c r="C7757" s="449" t="s">
        <v>683</v>
      </c>
      <c r="D7757" s="451">
        <v>129.82</v>
      </c>
      <c r="E7757" s="210"/>
    </row>
    <row r="7758" spans="1:5" ht="25.5">
      <c r="A7758" s="449">
        <v>946</v>
      </c>
      <c r="B7758" s="450" t="s">
        <v>8580</v>
      </c>
      <c r="C7758" s="449" t="s">
        <v>683</v>
      </c>
      <c r="D7758" s="451">
        <v>145.96</v>
      </c>
      <c r="E7758" s="210"/>
    </row>
    <row r="7759" spans="1:5" ht="25.5">
      <c r="A7759" s="449">
        <v>953</v>
      </c>
      <c r="B7759" s="450" t="s">
        <v>8581</v>
      </c>
      <c r="C7759" s="449" t="s">
        <v>683</v>
      </c>
      <c r="D7759" s="451">
        <v>132.82</v>
      </c>
      <c r="E7759" s="210"/>
    </row>
    <row r="7760" spans="1:5" ht="25.5">
      <c r="A7760" s="449">
        <v>902</v>
      </c>
      <c r="B7760" s="450" t="s">
        <v>8582</v>
      </c>
      <c r="C7760" s="449" t="s">
        <v>683</v>
      </c>
      <c r="D7760" s="451">
        <v>161.47</v>
      </c>
      <c r="E7760" s="210"/>
    </row>
    <row r="7761" spans="1:5" ht="25.5">
      <c r="A7761" s="449">
        <v>927</v>
      </c>
      <c r="B7761" s="450" t="s">
        <v>8583</v>
      </c>
      <c r="C7761" s="449" t="s">
        <v>683</v>
      </c>
      <c r="D7761" s="451">
        <v>156.51</v>
      </c>
      <c r="E7761" s="210"/>
    </row>
    <row r="7762" spans="1:5" ht="25.5">
      <c r="A7762" s="449">
        <v>913</v>
      </c>
      <c r="B7762" s="450" t="s">
        <v>8584</v>
      </c>
      <c r="C7762" s="449" t="s">
        <v>683</v>
      </c>
      <c r="D7762" s="451">
        <v>174.68</v>
      </c>
      <c r="E7762" s="210"/>
    </row>
    <row r="7763" spans="1:5" ht="25.5">
      <c r="A7763" s="449">
        <v>903</v>
      </c>
      <c r="B7763" s="450" t="s">
        <v>8585</v>
      </c>
      <c r="C7763" s="449" t="s">
        <v>683</v>
      </c>
      <c r="D7763" s="451">
        <v>197.69</v>
      </c>
      <c r="E7763" s="210"/>
    </row>
    <row r="7764" spans="1:5" ht="25.5">
      <c r="A7764" s="449">
        <v>945</v>
      </c>
      <c r="B7764" s="450" t="s">
        <v>8586</v>
      </c>
      <c r="C7764" s="449" t="s">
        <v>683</v>
      </c>
      <c r="D7764" s="451">
        <v>209.13</v>
      </c>
      <c r="E7764" s="210"/>
    </row>
    <row r="7765" spans="1:5" ht="25.5">
      <c r="A7765" s="449">
        <v>914</v>
      </c>
      <c r="B7765" s="450" t="s">
        <v>8587</v>
      </c>
      <c r="C7765" s="449" t="s">
        <v>683</v>
      </c>
      <c r="D7765" s="451">
        <v>214.24</v>
      </c>
      <c r="E7765" s="210"/>
    </row>
    <row r="7766" spans="1:5" ht="51">
      <c r="A7766" s="449">
        <v>993</v>
      </c>
      <c r="B7766" s="450" t="s">
        <v>8588</v>
      </c>
      <c r="C7766" s="449" t="s">
        <v>683</v>
      </c>
      <c r="D7766" s="451">
        <v>2.62</v>
      </c>
      <c r="E7766" s="210"/>
    </row>
    <row r="7767" spans="1:5" ht="51">
      <c r="A7767" s="449">
        <v>1020</v>
      </c>
      <c r="B7767" s="450" t="s">
        <v>8589</v>
      </c>
      <c r="C7767" s="449" t="s">
        <v>683</v>
      </c>
      <c r="D7767" s="451">
        <v>11.39</v>
      </c>
      <c r="E7767" s="210"/>
    </row>
    <row r="7768" spans="1:5" ht="51">
      <c r="A7768" s="449">
        <v>1017</v>
      </c>
      <c r="B7768" s="450" t="s">
        <v>8590</v>
      </c>
      <c r="C7768" s="449" t="s">
        <v>683</v>
      </c>
      <c r="D7768" s="451">
        <v>125.18</v>
      </c>
      <c r="E7768" s="210"/>
    </row>
    <row r="7769" spans="1:5" ht="51">
      <c r="A7769" s="449">
        <v>999</v>
      </c>
      <c r="B7769" s="450" t="s">
        <v>8591</v>
      </c>
      <c r="C7769" s="449" t="s">
        <v>683</v>
      </c>
      <c r="D7769" s="451">
        <v>155.11000000000001</v>
      </c>
      <c r="E7769" s="210"/>
    </row>
    <row r="7770" spans="1:5" ht="51">
      <c r="A7770" s="449">
        <v>995</v>
      </c>
      <c r="B7770" s="450" t="s">
        <v>8592</v>
      </c>
      <c r="C7770" s="449" t="s">
        <v>683</v>
      </c>
      <c r="D7770" s="451">
        <v>17.47</v>
      </c>
      <c r="E7770" s="210"/>
    </row>
    <row r="7771" spans="1:5" ht="51">
      <c r="A7771" s="449">
        <v>1000</v>
      </c>
      <c r="B7771" s="450" t="s">
        <v>8593</v>
      </c>
      <c r="C7771" s="449" t="s">
        <v>683</v>
      </c>
      <c r="D7771" s="451">
        <v>190.14</v>
      </c>
      <c r="E7771" s="210"/>
    </row>
    <row r="7772" spans="1:5" ht="51">
      <c r="A7772" s="449">
        <v>1022</v>
      </c>
      <c r="B7772" s="450" t="s">
        <v>8594</v>
      </c>
      <c r="C7772" s="449" t="s">
        <v>683</v>
      </c>
      <c r="D7772" s="451">
        <v>3.63</v>
      </c>
      <c r="E7772" s="210"/>
    </row>
    <row r="7773" spans="1:5" ht="51">
      <c r="A7773" s="449">
        <v>1015</v>
      </c>
      <c r="B7773" s="450" t="s">
        <v>8595</v>
      </c>
      <c r="C7773" s="449" t="s">
        <v>683</v>
      </c>
      <c r="D7773" s="451">
        <v>250.37</v>
      </c>
      <c r="E7773" s="210"/>
    </row>
    <row r="7774" spans="1:5" ht="51">
      <c r="A7774" s="449">
        <v>996</v>
      </c>
      <c r="B7774" s="450" t="s">
        <v>8596</v>
      </c>
      <c r="C7774" s="449" t="s">
        <v>683</v>
      </c>
      <c r="D7774" s="451">
        <v>26.6</v>
      </c>
      <c r="E7774" s="210"/>
    </row>
    <row r="7775" spans="1:5" ht="51">
      <c r="A7775" s="449">
        <v>1001</v>
      </c>
      <c r="B7775" s="450" t="s">
        <v>8597</v>
      </c>
      <c r="C7775" s="449" t="s">
        <v>683</v>
      </c>
      <c r="D7775" s="451">
        <v>313.33</v>
      </c>
      <c r="E7775" s="210"/>
    </row>
    <row r="7776" spans="1:5" ht="51">
      <c r="A7776" s="449">
        <v>1019</v>
      </c>
      <c r="B7776" s="450" t="s">
        <v>8598</v>
      </c>
      <c r="C7776" s="449" t="s">
        <v>683</v>
      </c>
      <c r="D7776" s="451">
        <v>36.67</v>
      </c>
      <c r="E7776" s="210"/>
    </row>
    <row r="7777" spans="1:5" ht="51">
      <c r="A7777" s="449">
        <v>1021</v>
      </c>
      <c r="B7777" s="450" t="s">
        <v>8599</v>
      </c>
      <c r="C7777" s="449" t="s">
        <v>683</v>
      </c>
      <c r="D7777" s="451">
        <v>5.2</v>
      </c>
      <c r="E7777" s="210"/>
    </row>
    <row r="7778" spans="1:5" ht="51">
      <c r="A7778" s="449">
        <v>39249</v>
      </c>
      <c r="B7778" s="450" t="s">
        <v>8600</v>
      </c>
      <c r="C7778" s="449" t="s">
        <v>683</v>
      </c>
      <c r="D7778" s="451">
        <v>408.74</v>
      </c>
      <c r="E7778" s="210"/>
    </row>
    <row r="7779" spans="1:5" ht="51">
      <c r="A7779" s="449">
        <v>1018</v>
      </c>
      <c r="B7779" s="450" t="s">
        <v>8601</v>
      </c>
      <c r="C7779" s="449" t="s">
        <v>683</v>
      </c>
      <c r="D7779" s="451">
        <v>52.26</v>
      </c>
      <c r="E7779" s="210"/>
    </row>
    <row r="7780" spans="1:5" ht="51">
      <c r="A7780" s="449">
        <v>39250</v>
      </c>
      <c r="B7780" s="450" t="s">
        <v>8602</v>
      </c>
      <c r="C7780" s="449" t="s">
        <v>683</v>
      </c>
      <c r="D7780" s="451">
        <v>525.05999999999995</v>
      </c>
      <c r="E7780" s="210"/>
    </row>
    <row r="7781" spans="1:5" ht="51">
      <c r="A7781" s="449">
        <v>994</v>
      </c>
      <c r="B7781" s="450" t="s">
        <v>8603</v>
      </c>
      <c r="C7781" s="449" t="s">
        <v>683</v>
      </c>
      <c r="D7781" s="451">
        <v>7.11</v>
      </c>
      <c r="E7781" s="210"/>
    </row>
    <row r="7782" spans="1:5" ht="51">
      <c r="A7782" s="449">
        <v>977</v>
      </c>
      <c r="B7782" s="450" t="s">
        <v>8604</v>
      </c>
      <c r="C7782" s="449" t="s">
        <v>683</v>
      </c>
      <c r="D7782" s="451">
        <v>72.400000000000006</v>
      </c>
      <c r="E7782" s="210"/>
    </row>
    <row r="7783" spans="1:5" ht="51">
      <c r="A7783" s="449">
        <v>998</v>
      </c>
      <c r="B7783" s="450" t="s">
        <v>8605</v>
      </c>
      <c r="C7783" s="449" t="s">
        <v>683</v>
      </c>
      <c r="D7783" s="451">
        <v>96.17</v>
      </c>
      <c r="E7783" s="210"/>
    </row>
    <row r="7784" spans="1:5" ht="38.25">
      <c r="A7784" s="449">
        <v>39251</v>
      </c>
      <c r="B7784" s="450" t="s">
        <v>8606</v>
      </c>
      <c r="C7784" s="449" t="s">
        <v>683</v>
      </c>
      <c r="D7784" s="451">
        <v>0.69</v>
      </c>
      <c r="E7784" s="210"/>
    </row>
    <row r="7785" spans="1:5" ht="38.25">
      <c r="A7785" s="449">
        <v>1011</v>
      </c>
      <c r="B7785" s="450" t="s">
        <v>8607</v>
      </c>
      <c r="C7785" s="449" t="s">
        <v>683</v>
      </c>
      <c r="D7785" s="451">
        <v>0.97</v>
      </c>
      <c r="E7785" s="210"/>
    </row>
    <row r="7786" spans="1:5" ht="38.25">
      <c r="A7786" s="449">
        <v>39252</v>
      </c>
      <c r="B7786" s="450" t="s">
        <v>8608</v>
      </c>
      <c r="C7786" s="449" t="s">
        <v>683</v>
      </c>
      <c r="D7786" s="451">
        <v>1.1499999999999999</v>
      </c>
      <c r="E7786" s="210"/>
    </row>
    <row r="7787" spans="1:5" ht="38.25">
      <c r="A7787" s="449">
        <v>1013</v>
      </c>
      <c r="B7787" s="450" t="s">
        <v>8609</v>
      </c>
      <c r="C7787" s="449" t="s">
        <v>683</v>
      </c>
      <c r="D7787" s="451">
        <v>1.53</v>
      </c>
      <c r="E7787" s="210"/>
    </row>
    <row r="7788" spans="1:5" ht="38.25">
      <c r="A7788" s="449">
        <v>980</v>
      </c>
      <c r="B7788" s="450" t="s">
        <v>8610</v>
      </c>
      <c r="C7788" s="449" t="s">
        <v>683</v>
      </c>
      <c r="D7788" s="451">
        <v>10.45</v>
      </c>
      <c r="E7788" s="210"/>
    </row>
    <row r="7789" spans="1:5" ht="38.25">
      <c r="A7789" s="449">
        <v>39237</v>
      </c>
      <c r="B7789" s="450" t="s">
        <v>8611</v>
      </c>
      <c r="C7789" s="449" t="s">
        <v>683</v>
      </c>
      <c r="D7789" s="451">
        <v>123.87</v>
      </c>
      <c r="E7789" s="210"/>
    </row>
    <row r="7790" spans="1:5" ht="38.25">
      <c r="A7790" s="449">
        <v>39238</v>
      </c>
      <c r="B7790" s="450" t="s">
        <v>8612</v>
      </c>
      <c r="C7790" s="449" t="s">
        <v>683</v>
      </c>
      <c r="D7790" s="451">
        <v>154.66</v>
      </c>
      <c r="E7790" s="210"/>
    </row>
    <row r="7791" spans="1:5" ht="38.25">
      <c r="A7791" s="449">
        <v>979</v>
      </c>
      <c r="B7791" s="450" t="s">
        <v>8613</v>
      </c>
      <c r="C7791" s="449" t="s">
        <v>683</v>
      </c>
      <c r="D7791" s="451">
        <v>16.100000000000001</v>
      </c>
      <c r="E7791" s="210"/>
    </row>
    <row r="7792" spans="1:5" ht="38.25">
      <c r="A7792" s="449">
        <v>39239</v>
      </c>
      <c r="B7792" s="450" t="s">
        <v>8614</v>
      </c>
      <c r="C7792" s="449" t="s">
        <v>683</v>
      </c>
      <c r="D7792" s="451">
        <v>188.22</v>
      </c>
      <c r="E7792" s="210"/>
    </row>
    <row r="7793" spans="1:5" ht="38.25">
      <c r="A7793" s="449">
        <v>1014</v>
      </c>
      <c r="B7793" s="450" t="s">
        <v>8615</v>
      </c>
      <c r="C7793" s="449" t="s">
        <v>683</v>
      </c>
      <c r="D7793" s="451">
        <v>2.44</v>
      </c>
      <c r="E7793" s="210"/>
    </row>
    <row r="7794" spans="1:5" ht="38.25">
      <c r="A7794" s="449">
        <v>39240</v>
      </c>
      <c r="B7794" s="450" t="s">
        <v>8616</v>
      </c>
      <c r="C7794" s="449" t="s">
        <v>683</v>
      </c>
      <c r="D7794" s="451">
        <v>248.77</v>
      </c>
      <c r="E7794" s="210"/>
    </row>
    <row r="7795" spans="1:5" ht="38.25">
      <c r="A7795" s="449">
        <v>39232</v>
      </c>
      <c r="B7795" s="450" t="s">
        <v>8617</v>
      </c>
      <c r="C7795" s="449" t="s">
        <v>683</v>
      </c>
      <c r="D7795" s="451">
        <v>25.83</v>
      </c>
      <c r="E7795" s="210"/>
    </row>
    <row r="7796" spans="1:5" ht="38.25">
      <c r="A7796" s="449">
        <v>39233</v>
      </c>
      <c r="B7796" s="450" t="s">
        <v>8618</v>
      </c>
      <c r="C7796" s="449" t="s">
        <v>683</v>
      </c>
      <c r="D7796" s="451">
        <v>35.51</v>
      </c>
      <c r="E7796" s="210"/>
    </row>
    <row r="7797" spans="1:5" ht="38.25">
      <c r="A7797" s="449">
        <v>981</v>
      </c>
      <c r="B7797" s="450" t="s">
        <v>8619</v>
      </c>
      <c r="C7797" s="449" t="s">
        <v>683</v>
      </c>
      <c r="D7797" s="451">
        <v>4.37</v>
      </c>
      <c r="E7797" s="210"/>
    </row>
    <row r="7798" spans="1:5" ht="38.25">
      <c r="A7798" s="449">
        <v>39234</v>
      </c>
      <c r="B7798" s="450" t="s">
        <v>8620</v>
      </c>
      <c r="C7798" s="449" t="s">
        <v>683</v>
      </c>
      <c r="D7798" s="451">
        <v>52.12</v>
      </c>
      <c r="E7798" s="210"/>
    </row>
    <row r="7799" spans="1:5" ht="38.25">
      <c r="A7799" s="449">
        <v>982</v>
      </c>
      <c r="B7799" s="450" t="s">
        <v>8621</v>
      </c>
      <c r="C7799" s="449" t="s">
        <v>683</v>
      </c>
      <c r="D7799" s="451">
        <v>6.11</v>
      </c>
      <c r="E7799" s="210"/>
    </row>
    <row r="7800" spans="1:5" ht="38.25">
      <c r="A7800" s="449">
        <v>39235</v>
      </c>
      <c r="B7800" s="450" t="s">
        <v>8622</v>
      </c>
      <c r="C7800" s="449" t="s">
        <v>683</v>
      </c>
      <c r="D7800" s="451">
        <v>73.3</v>
      </c>
      <c r="E7800" s="210"/>
    </row>
    <row r="7801" spans="1:5" ht="38.25">
      <c r="A7801" s="449">
        <v>39236</v>
      </c>
      <c r="B7801" s="450" t="s">
        <v>8623</v>
      </c>
      <c r="C7801" s="449" t="s">
        <v>683</v>
      </c>
      <c r="D7801" s="451">
        <v>96.1</v>
      </c>
      <c r="E7801" s="210"/>
    </row>
    <row r="7802" spans="1:5" ht="63.75">
      <c r="A7802" s="449">
        <v>876</v>
      </c>
      <c r="B7802" s="450" t="s">
        <v>8624</v>
      </c>
      <c r="C7802" s="449" t="s">
        <v>683</v>
      </c>
      <c r="D7802" s="451">
        <v>248.07</v>
      </c>
      <c r="E7802" s="210"/>
    </row>
    <row r="7803" spans="1:5" ht="63.75">
      <c r="A7803" s="449">
        <v>877</v>
      </c>
      <c r="B7803" s="450" t="s">
        <v>8625</v>
      </c>
      <c r="C7803" s="449" t="s">
        <v>683</v>
      </c>
      <c r="D7803" s="451">
        <v>291.63</v>
      </c>
      <c r="E7803" s="210"/>
    </row>
    <row r="7804" spans="1:5" ht="63.75">
      <c r="A7804" s="449">
        <v>882</v>
      </c>
      <c r="B7804" s="450" t="s">
        <v>8626</v>
      </c>
      <c r="C7804" s="449" t="s">
        <v>683</v>
      </c>
      <c r="D7804" s="451">
        <v>317.77999999999997</v>
      </c>
      <c r="E7804" s="210"/>
    </row>
    <row r="7805" spans="1:5" ht="63.75">
      <c r="A7805" s="449">
        <v>878</v>
      </c>
      <c r="B7805" s="450" t="s">
        <v>8627</v>
      </c>
      <c r="C7805" s="449" t="s">
        <v>683</v>
      </c>
      <c r="D7805" s="451">
        <v>395.07</v>
      </c>
      <c r="E7805" s="210"/>
    </row>
    <row r="7806" spans="1:5" ht="63.75">
      <c r="A7806" s="449">
        <v>879</v>
      </c>
      <c r="B7806" s="450" t="s">
        <v>8628</v>
      </c>
      <c r="C7806" s="449" t="s">
        <v>683</v>
      </c>
      <c r="D7806" s="451">
        <v>465.65</v>
      </c>
      <c r="E7806" s="210"/>
    </row>
    <row r="7807" spans="1:5" ht="63.75">
      <c r="A7807" s="449">
        <v>880</v>
      </c>
      <c r="B7807" s="450" t="s">
        <v>8629</v>
      </c>
      <c r="C7807" s="449" t="s">
        <v>683</v>
      </c>
      <c r="D7807" s="451">
        <v>547.9</v>
      </c>
      <c r="E7807" s="210"/>
    </row>
    <row r="7808" spans="1:5" ht="63.75">
      <c r="A7808" s="449">
        <v>873</v>
      </c>
      <c r="B7808" s="450" t="s">
        <v>8630</v>
      </c>
      <c r="C7808" s="449" t="s">
        <v>683</v>
      </c>
      <c r="D7808" s="451">
        <v>166.59</v>
      </c>
      <c r="E7808" s="210"/>
    </row>
    <row r="7809" spans="1:5" ht="63.75">
      <c r="A7809" s="449">
        <v>881</v>
      </c>
      <c r="B7809" s="450" t="s">
        <v>8631</v>
      </c>
      <c r="C7809" s="449" t="s">
        <v>683</v>
      </c>
      <c r="D7809" s="451">
        <v>748.88</v>
      </c>
      <c r="E7809" s="210"/>
    </row>
    <row r="7810" spans="1:5" ht="63.75">
      <c r="A7810" s="449">
        <v>874</v>
      </c>
      <c r="B7810" s="450" t="s">
        <v>8632</v>
      </c>
      <c r="C7810" s="449" t="s">
        <v>683</v>
      </c>
      <c r="D7810" s="451">
        <v>197.71</v>
      </c>
      <c r="E7810" s="210"/>
    </row>
    <row r="7811" spans="1:5" ht="63.75">
      <c r="A7811" s="449">
        <v>875</v>
      </c>
      <c r="B7811" s="450" t="s">
        <v>8633</v>
      </c>
      <c r="C7811" s="449" t="s">
        <v>683</v>
      </c>
      <c r="D7811" s="451">
        <v>235.88</v>
      </c>
      <c r="E7811" s="210"/>
    </row>
    <row r="7812" spans="1:5" ht="38.25">
      <c r="A7812" s="449">
        <v>983</v>
      </c>
      <c r="B7812" s="450" t="s">
        <v>8634</v>
      </c>
      <c r="C7812" s="449" t="s">
        <v>683</v>
      </c>
      <c r="D7812" s="451">
        <v>1.48</v>
      </c>
      <c r="E7812" s="210"/>
    </row>
    <row r="7813" spans="1:5" ht="38.25">
      <c r="A7813" s="449">
        <v>985</v>
      </c>
      <c r="B7813" s="450" t="s">
        <v>8635</v>
      </c>
      <c r="C7813" s="449" t="s">
        <v>683</v>
      </c>
      <c r="D7813" s="451">
        <v>11.08</v>
      </c>
      <c r="E7813" s="210"/>
    </row>
    <row r="7814" spans="1:5" ht="38.25">
      <c r="A7814" s="449">
        <v>990</v>
      </c>
      <c r="B7814" s="450" t="s">
        <v>8636</v>
      </c>
      <c r="C7814" s="449" t="s">
        <v>683</v>
      </c>
      <c r="D7814" s="451">
        <v>151.63999999999999</v>
      </c>
      <c r="E7814" s="210"/>
    </row>
    <row r="7815" spans="1:5" ht="38.25">
      <c r="A7815" s="449">
        <v>39241</v>
      </c>
      <c r="B7815" s="450" t="s">
        <v>8637</v>
      </c>
      <c r="C7815" s="449" t="s">
        <v>683</v>
      </c>
      <c r="D7815" s="451">
        <v>17.329999999999998</v>
      </c>
      <c r="E7815" s="210"/>
    </row>
    <row r="7816" spans="1:5" ht="38.25">
      <c r="A7816" s="449">
        <v>1005</v>
      </c>
      <c r="B7816" s="450" t="s">
        <v>8638</v>
      </c>
      <c r="C7816" s="449" t="s">
        <v>683</v>
      </c>
      <c r="D7816" s="451">
        <v>186.12</v>
      </c>
      <c r="E7816" s="210"/>
    </row>
    <row r="7817" spans="1:5" ht="38.25">
      <c r="A7817" s="449">
        <v>984</v>
      </c>
      <c r="B7817" s="450" t="s">
        <v>8639</v>
      </c>
      <c r="C7817" s="449" t="s">
        <v>683</v>
      </c>
      <c r="D7817" s="451">
        <v>3.82</v>
      </c>
      <c r="E7817" s="210"/>
    </row>
    <row r="7818" spans="1:5" ht="38.25">
      <c r="A7818" s="449">
        <v>991</v>
      </c>
      <c r="B7818" s="450" t="s">
        <v>8640</v>
      </c>
      <c r="C7818" s="449" t="s">
        <v>683</v>
      </c>
      <c r="D7818" s="451">
        <v>245.93</v>
      </c>
      <c r="E7818" s="210"/>
    </row>
    <row r="7819" spans="1:5" ht="38.25">
      <c r="A7819" s="449">
        <v>986</v>
      </c>
      <c r="B7819" s="450" t="s">
        <v>8641</v>
      </c>
      <c r="C7819" s="449" t="s">
        <v>683</v>
      </c>
      <c r="D7819" s="451">
        <v>26.49</v>
      </c>
      <c r="E7819" s="210"/>
    </row>
    <row r="7820" spans="1:5" ht="38.25">
      <c r="A7820" s="449">
        <v>1024</v>
      </c>
      <c r="B7820" s="450" t="s">
        <v>8642</v>
      </c>
      <c r="C7820" s="449" t="s">
        <v>683</v>
      </c>
      <c r="D7820" s="451">
        <v>304.39</v>
      </c>
      <c r="E7820" s="210"/>
    </row>
    <row r="7821" spans="1:5" ht="38.25">
      <c r="A7821" s="449">
        <v>987</v>
      </c>
      <c r="B7821" s="450" t="s">
        <v>8643</v>
      </c>
      <c r="C7821" s="449" t="s">
        <v>683</v>
      </c>
      <c r="D7821" s="451">
        <v>36</v>
      </c>
      <c r="E7821" s="210"/>
    </row>
    <row r="7822" spans="1:5" ht="38.25">
      <c r="A7822" s="449">
        <v>1003</v>
      </c>
      <c r="B7822" s="450" t="s">
        <v>8644</v>
      </c>
      <c r="C7822" s="449" t="s">
        <v>683</v>
      </c>
      <c r="D7822" s="451">
        <v>5.6</v>
      </c>
      <c r="E7822" s="210"/>
    </row>
    <row r="7823" spans="1:5" ht="38.25">
      <c r="A7823" s="449">
        <v>992</v>
      </c>
      <c r="B7823" s="450" t="s">
        <v>8645</v>
      </c>
      <c r="C7823" s="449" t="s">
        <v>683</v>
      </c>
      <c r="D7823" s="451">
        <v>393.81</v>
      </c>
      <c r="E7823" s="210"/>
    </row>
    <row r="7824" spans="1:5" ht="38.25">
      <c r="A7824" s="449">
        <v>1007</v>
      </c>
      <c r="B7824" s="450" t="s">
        <v>8646</v>
      </c>
      <c r="C7824" s="449" t="s">
        <v>683</v>
      </c>
      <c r="D7824" s="451">
        <v>51.07</v>
      </c>
      <c r="E7824" s="210"/>
    </row>
    <row r="7825" spans="1:5" ht="38.25">
      <c r="A7825" s="449">
        <v>39242</v>
      </c>
      <c r="B7825" s="450" t="s">
        <v>8647</v>
      </c>
      <c r="C7825" s="449" t="s">
        <v>683</v>
      </c>
      <c r="D7825" s="451">
        <v>487.94</v>
      </c>
      <c r="E7825" s="210"/>
    </row>
    <row r="7826" spans="1:5" ht="38.25">
      <c r="A7826" s="449">
        <v>1008</v>
      </c>
      <c r="B7826" s="450" t="s">
        <v>8648</v>
      </c>
      <c r="C7826" s="449" t="s">
        <v>683</v>
      </c>
      <c r="D7826" s="451">
        <v>6.36</v>
      </c>
      <c r="E7826" s="210"/>
    </row>
    <row r="7827" spans="1:5" ht="38.25">
      <c r="A7827" s="449">
        <v>988</v>
      </c>
      <c r="B7827" s="450" t="s">
        <v>8649</v>
      </c>
      <c r="C7827" s="449" t="s">
        <v>683</v>
      </c>
      <c r="D7827" s="451">
        <v>70.540000000000006</v>
      </c>
      <c r="E7827" s="210"/>
    </row>
    <row r="7828" spans="1:5" ht="38.25">
      <c r="A7828" s="449">
        <v>989</v>
      </c>
      <c r="B7828" s="450" t="s">
        <v>8650</v>
      </c>
      <c r="C7828" s="449" t="s">
        <v>683</v>
      </c>
      <c r="D7828" s="451">
        <v>95.56</v>
      </c>
      <c r="E7828" s="210"/>
    </row>
    <row r="7829" spans="1:5" ht="25.5">
      <c r="A7829" s="449">
        <v>39598</v>
      </c>
      <c r="B7829" s="450" t="s">
        <v>8651</v>
      </c>
      <c r="C7829" s="449" t="s">
        <v>683</v>
      </c>
      <c r="D7829" s="451">
        <v>1.24</v>
      </c>
      <c r="E7829" s="210"/>
    </row>
    <row r="7830" spans="1:5" ht="25.5">
      <c r="A7830" s="449">
        <v>39599</v>
      </c>
      <c r="B7830" s="450" t="s">
        <v>8652</v>
      </c>
      <c r="C7830" s="449" t="s">
        <v>683</v>
      </c>
      <c r="D7830" s="451">
        <v>1.87</v>
      </c>
      <c r="E7830" s="210"/>
    </row>
    <row r="7831" spans="1:5" ht="25.5">
      <c r="A7831" s="449">
        <v>34602</v>
      </c>
      <c r="B7831" s="450" t="s">
        <v>8653</v>
      </c>
      <c r="C7831" s="449" t="s">
        <v>683</v>
      </c>
      <c r="D7831" s="451">
        <v>5.96</v>
      </c>
      <c r="E7831" s="210"/>
    </row>
    <row r="7832" spans="1:5" ht="25.5">
      <c r="A7832" s="449">
        <v>34603</v>
      </c>
      <c r="B7832" s="450" t="s">
        <v>8654</v>
      </c>
      <c r="C7832" s="449" t="s">
        <v>683</v>
      </c>
      <c r="D7832" s="451">
        <v>28.67</v>
      </c>
      <c r="E7832" s="210"/>
    </row>
    <row r="7833" spans="1:5" ht="25.5">
      <c r="A7833" s="449">
        <v>34607</v>
      </c>
      <c r="B7833" s="450" t="s">
        <v>8655</v>
      </c>
      <c r="C7833" s="449" t="s">
        <v>683</v>
      </c>
      <c r="D7833" s="451">
        <v>12.78</v>
      </c>
      <c r="E7833" s="210"/>
    </row>
    <row r="7834" spans="1:5" ht="25.5">
      <c r="A7834" s="449">
        <v>34609</v>
      </c>
      <c r="B7834" s="450" t="s">
        <v>8656</v>
      </c>
      <c r="C7834" s="449" t="s">
        <v>683</v>
      </c>
      <c r="D7834" s="451">
        <v>19.18</v>
      </c>
      <c r="E7834" s="210"/>
    </row>
    <row r="7835" spans="1:5" ht="25.5">
      <c r="A7835" s="449">
        <v>34618</v>
      </c>
      <c r="B7835" s="450" t="s">
        <v>8657</v>
      </c>
      <c r="C7835" s="449" t="s">
        <v>683</v>
      </c>
      <c r="D7835" s="451">
        <v>7.91</v>
      </c>
      <c r="E7835" s="210"/>
    </row>
    <row r="7836" spans="1:5" ht="25.5">
      <c r="A7836" s="449">
        <v>34620</v>
      </c>
      <c r="B7836" s="450" t="s">
        <v>8658</v>
      </c>
      <c r="C7836" s="449" t="s">
        <v>683</v>
      </c>
      <c r="D7836" s="451">
        <v>39.56</v>
      </c>
      <c r="E7836" s="210"/>
    </row>
    <row r="7837" spans="1:5" ht="25.5">
      <c r="A7837" s="449">
        <v>34621</v>
      </c>
      <c r="B7837" s="450" t="s">
        <v>8659</v>
      </c>
      <c r="C7837" s="449" t="s">
        <v>683</v>
      </c>
      <c r="D7837" s="451">
        <v>18.350000000000001</v>
      </c>
      <c r="E7837" s="210"/>
    </row>
    <row r="7838" spans="1:5" ht="25.5">
      <c r="A7838" s="449">
        <v>34622</v>
      </c>
      <c r="B7838" s="450" t="s">
        <v>8660</v>
      </c>
      <c r="C7838" s="449" t="s">
        <v>683</v>
      </c>
      <c r="D7838" s="451">
        <v>26</v>
      </c>
      <c r="E7838" s="210"/>
    </row>
    <row r="7839" spans="1:5" ht="25.5">
      <c r="A7839" s="449">
        <v>34624</v>
      </c>
      <c r="B7839" s="450" t="s">
        <v>8661</v>
      </c>
      <c r="C7839" s="449" t="s">
        <v>683</v>
      </c>
      <c r="D7839" s="451">
        <v>10.1</v>
      </c>
      <c r="E7839" s="210"/>
    </row>
    <row r="7840" spans="1:5" ht="25.5">
      <c r="A7840" s="449">
        <v>34626</v>
      </c>
      <c r="B7840" s="450" t="s">
        <v>8662</v>
      </c>
      <c r="C7840" s="449" t="s">
        <v>683</v>
      </c>
      <c r="D7840" s="451">
        <v>54.38</v>
      </c>
      <c r="E7840" s="210"/>
    </row>
    <row r="7841" spans="1:5" ht="25.5">
      <c r="A7841" s="449">
        <v>34627</v>
      </c>
      <c r="B7841" s="450" t="s">
        <v>8663</v>
      </c>
      <c r="C7841" s="449" t="s">
        <v>683</v>
      </c>
      <c r="D7841" s="451">
        <v>23.43</v>
      </c>
      <c r="E7841" s="210"/>
    </row>
    <row r="7842" spans="1:5" ht="25.5">
      <c r="A7842" s="449">
        <v>34629</v>
      </c>
      <c r="B7842" s="450" t="s">
        <v>8664</v>
      </c>
      <c r="C7842" s="449" t="s">
        <v>683</v>
      </c>
      <c r="D7842" s="451">
        <v>34.31</v>
      </c>
      <c r="E7842" s="210"/>
    </row>
    <row r="7843" spans="1:5" ht="51">
      <c r="A7843" s="449">
        <v>39257</v>
      </c>
      <c r="B7843" s="450" t="s">
        <v>8665</v>
      </c>
      <c r="C7843" s="449" t="s">
        <v>683</v>
      </c>
      <c r="D7843" s="451">
        <v>6.67</v>
      </c>
      <c r="E7843" s="210"/>
    </row>
    <row r="7844" spans="1:5" ht="51">
      <c r="A7844" s="449">
        <v>39261</v>
      </c>
      <c r="B7844" s="450" t="s">
        <v>8666</v>
      </c>
      <c r="C7844" s="449" t="s">
        <v>683</v>
      </c>
      <c r="D7844" s="451">
        <v>35.549999999999997</v>
      </c>
      <c r="E7844" s="210"/>
    </row>
    <row r="7845" spans="1:5" ht="51">
      <c r="A7845" s="449">
        <v>39268</v>
      </c>
      <c r="B7845" s="450" t="s">
        <v>8667</v>
      </c>
      <c r="C7845" s="449" t="s">
        <v>683</v>
      </c>
      <c r="D7845" s="451">
        <v>410.14</v>
      </c>
      <c r="E7845" s="210"/>
    </row>
    <row r="7846" spans="1:5" ht="51">
      <c r="A7846" s="449">
        <v>39262</v>
      </c>
      <c r="B7846" s="450" t="s">
        <v>8668</v>
      </c>
      <c r="C7846" s="449" t="s">
        <v>683</v>
      </c>
      <c r="D7846" s="451">
        <v>55.58</v>
      </c>
      <c r="E7846" s="210"/>
    </row>
    <row r="7847" spans="1:5" ht="51">
      <c r="A7847" s="449">
        <v>39258</v>
      </c>
      <c r="B7847" s="450" t="s">
        <v>8669</v>
      </c>
      <c r="C7847" s="449" t="s">
        <v>683</v>
      </c>
      <c r="D7847" s="451">
        <v>9.89</v>
      </c>
      <c r="E7847" s="210"/>
    </row>
    <row r="7848" spans="1:5" ht="51">
      <c r="A7848" s="449">
        <v>39263</v>
      </c>
      <c r="B7848" s="450" t="s">
        <v>8670</v>
      </c>
      <c r="C7848" s="449" t="s">
        <v>683</v>
      </c>
      <c r="D7848" s="451">
        <v>86</v>
      </c>
      <c r="E7848" s="210"/>
    </row>
    <row r="7849" spans="1:5" ht="51">
      <c r="A7849" s="449">
        <v>39264</v>
      </c>
      <c r="B7849" s="450" t="s">
        <v>8671</v>
      </c>
      <c r="C7849" s="449" t="s">
        <v>683</v>
      </c>
      <c r="D7849" s="451">
        <v>116.44</v>
      </c>
      <c r="E7849" s="210"/>
    </row>
    <row r="7850" spans="1:5" ht="51">
      <c r="A7850" s="449">
        <v>39259</v>
      </c>
      <c r="B7850" s="450" t="s">
        <v>8672</v>
      </c>
      <c r="C7850" s="449" t="s">
        <v>683</v>
      </c>
      <c r="D7850" s="451">
        <v>15.06</v>
      </c>
      <c r="E7850" s="210"/>
    </row>
    <row r="7851" spans="1:5" ht="51">
      <c r="A7851" s="449">
        <v>39265</v>
      </c>
      <c r="B7851" s="450" t="s">
        <v>8673</v>
      </c>
      <c r="C7851" s="449" t="s">
        <v>683</v>
      </c>
      <c r="D7851" s="451">
        <v>171.54</v>
      </c>
      <c r="E7851" s="210"/>
    </row>
    <row r="7852" spans="1:5" ht="51">
      <c r="A7852" s="449">
        <v>39260</v>
      </c>
      <c r="B7852" s="450" t="s">
        <v>8674</v>
      </c>
      <c r="C7852" s="449" t="s">
        <v>683</v>
      </c>
      <c r="D7852" s="451">
        <v>21.44</v>
      </c>
      <c r="E7852" s="210"/>
    </row>
    <row r="7853" spans="1:5" ht="51">
      <c r="A7853" s="449">
        <v>39266</v>
      </c>
      <c r="B7853" s="450" t="s">
        <v>8675</v>
      </c>
      <c r="C7853" s="449" t="s">
        <v>683</v>
      </c>
      <c r="D7853" s="451">
        <v>240.69</v>
      </c>
      <c r="E7853" s="210"/>
    </row>
    <row r="7854" spans="1:5" ht="51">
      <c r="A7854" s="449">
        <v>39267</v>
      </c>
      <c r="B7854" s="450" t="s">
        <v>8676</v>
      </c>
      <c r="C7854" s="449" t="s">
        <v>683</v>
      </c>
      <c r="D7854" s="451">
        <v>315.5</v>
      </c>
      <c r="E7854" s="210"/>
    </row>
    <row r="7855" spans="1:5" ht="25.5">
      <c r="A7855" s="449">
        <v>11901</v>
      </c>
      <c r="B7855" s="450" t="s">
        <v>8677</v>
      </c>
      <c r="C7855" s="449" t="s">
        <v>683</v>
      </c>
      <c r="D7855" s="451">
        <v>0.95</v>
      </c>
      <c r="E7855" s="210"/>
    </row>
    <row r="7856" spans="1:5" ht="25.5">
      <c r="A7856" s="449">
        <v>11902</v>
      </c>
      <c r="B7856" s="450" t="s">
        <v>8678</v>
      </c>
      <c r="C7856" s="449" t="s">
        <v>683</v>
      </c>
      <c r="D7856" s="451">
        <v>1.65</v>
      </c>
      <c r="E7856" s="210"/>
    </row>
    <row r="7857" spans="1:5" ht="25.5">
      <c r="A7857" s="449">
        <v>11903</v>
      </c>
      <c r="B7857" s="450" t="s">
        <v>8679</v>
      </c>
      <c r="C7857" s="449" t="s">
        <v>683</v>
      </c>
      <c r="D7857" s="451">
        <v>2.56</v>
      </c>
      <c r="E7857" s="210"/>
    </row>
    <row r="7858" spans="1:5" ht="25.5">
      <c r="A7858" s="449">
        <v>11904</v>
      </c>
      <c r="B7858" s="450" t="s">
        <v>8680</v>
      </c>
      <c r="C7858" s="449" t="s">
        <v>683</v>
      </c>
      <c r="D7858" s="451">
        <v>3.26</v>
      </c>
      <c r="E7858" s="210"/>
    </row>
    <row r="7859" spans="1:5" ht="25.5">
      <c r="A7859" s="449">
        <v>11905</v>
      </c>
      <c r="B7859" s="450" t="s">
        <v>8681</v>
      </c>
      <c r="C7859" s="449" t="s">
        <v>683</v>
      </c>
      <c r="D7859" s="451">
        <v>4.38</v>
      </c>
      <c r="E7859" s="210"/>
    </row>
    <row r="7860" spans="1:5" ht="25.5">
      <c r="A7860" s="449">
        <v>11906</v>
      </c>
      <c r="B7860" s="450" t="s">
        <v>8682</v>
      </c>
      <c r="C7860" s="449" t="s">
        <v>683</v>
      </c>
      <c r="D7860" s="451">
        <v>5.04</v>
      </c>
      <c r="E7860" s="210"/>
    </row>
    <row r="7861" spans="1:5" ht="25.5">
      <c r="A7861" s="449">
        <v>11919</v>
      </c>
      <c r="B7861" s="450" t="s">
        <v>8683</v>
      </c>
      <c r="C7861" s="449" t="s">
        <v>683</v>
      </c>
      <c r="D7861" s="451">
        <v>9.89</v>
      </c>
      <c r="E7861" s="210"/>
    </row>
    <row r="7862" spans="1:5" ht="25.5">
      <c r="A7862" s="449">
        <v>11920</v>
      </c>
      <c r="B7862" s="450" t="s">
        <v>8684</v>
      </c>
      <c r="C7862" s="449" t="s">
        <v>683</v>
      </c>
      <c r="D7862" s="451">
        <v>19.170000000000002</v>
      </c>
      <c r="E7862" s="210"/>
    </row>
    <row r="7863" spans="1:5" ht="25.5">
      <c r="A7863" s="449">
        <v>11924</v>
      </c>
      <c r="B7863" s="450" t="s">
        <v>8685</v>
      </c>
      <c r="C7863" s="449" t="s">
        <v>683</v>
      </c>
      <c r="D7863" s="451">
        <v>186.43</v>
      </c>
      <c r="E7863" s="210"/>
    </row>
    <row r="7864" spans="1:5" ht="25.5">
      <c r="A7864" s="449">
        <v>11921</v>
      </c>
      <c r="B7864" s="450" t="s">
        <v>8686</v>
      </c>
      <c r="C7864" s="449" t="s">
        <v>683</v>
      </c>
      <c r="D7864" s="451">
        <v>26.1</v>
      </c>
      <c r="E7864" s="210"/>
    </row>
    <row r="7865" spans="1:5" ht="25.5">
      <c r="A7865" s="449">
        <v>11922</v>
      </c>
      <c r="B7865" s="450" t="s">
        <v>8687</v>
      </c>
      <c r="C7865" s="449" t="s">
        <v>683</v>
      </c>
      <c r="D7865" s="451">
        <v>46.34</v>
      </c>
      <c r="E7865" s="210"/>
    </row>
    <row r="7866" spans="1:5" ht="25.5">
      <c r="A7866" s="449">
        <v>11923</v>
      </c>
      <c r="B7866" s="450" t="s">
        <v>8688</v>
      </c>
      <c r="C7866" s="449" t="s">
        <v>683</v>
      </c>
      <c r="D7866" s="451">
        <v>75.680000000000007</v>
      </c>
      <c r="E7866" s="210"/>
    </row>
    <row r="7867" spans="1:5" ht="25.5">
      <c r="A7867" s="449">
        <v>11916</v>
      </c>
      <c r="B7867" s="450" t="s">
        <v>8689</v>
      </c>
      <c r="C7867" s="449" t="s">
        <v>683</v>
      </c>
      <c r="D7867" s="451">
        <v>12.84</v>
      </c>
      <c r="E7867" s="210"/>
    </row>
    <row r="7868" spans="1:5" ht="25.5">
      <c r="A7868" s="449">
        <v>11914</v>
      </c>
      <c r="B7868" s="450" t="s">
        <v>8690</v>
      </c>
      <c r="C7868" s="449" t="s">
        <v>683</v>
      </c>
      <c r="D7868" s="451">
        <v>93.24</v>
      </c>
      <c r="E7868" s="210"/>
    </row>
    <row r="7869" spans="1:5" ht="25.5">
      <c r="A7869" s="449">
        <v>11917</v>
      </c>
      <c r="B7869" s="450" t="s">
        <v>8691</v>
      </c>
      <c r="C7869" s="449" t="s">
        <v>683</v>
      </c>
      <c r="D7869" s="451">
        <v>22.35</v>
      </c>
      <c r="E7869" s="210"/>
    </row>
    <row r="7870" spans="1:5" ht="25.5">
      <c r="A7870" s="449">
        <v>11918</v>
      </c>
      <c r="B7870" s="450" t="s">
        <v>8692</v>
      </c>
      <c r="C7870" s="449" t="s">
        <v>683</v>
      </c>
      <c r="D7870" s="451">
        <v>30.32</v>
      </c>
      <c r="E7870" s="210"/>
    </row>
    <row r="7871" spans="1:5" ht="38.25">
      <c r="A7871" s="449">
        <v>37734</v>
      </c>
      <c r="B7871" s="450" t="s">
        <v>8693</v>
      </c>
      <c r="C7871" s="449" t="s">
        <v>679</v>
      </c>
      <c r="D7871" s="451">
        <v>73223.149999999994</v>
      </c>
      <c r="E7871" s="210"/>
    </row>
    <row r="7872" spans="1:5" ht="38.25">
      <c r="A7872" s="449">
        <v>42251</v>
      </c>
      <c r="B7872" s="450" t="s">
        <v>8694</v>
      </c>
      <c r="C7872" s="449" t="s">
        <v>679</v>
      </c>
      <c r="D7872" s="451">
        <v>83149.350000000006</v>
      </c>
      <c r="E7872" s="210"/>
    </row>
    <row r="7873" spans="1:5" ht="38.25">
      <c r="A7873" s="449">
        <v>37733</v>
      </c>
      <c r="B7873" s="450" t="s">
        <v>8695</v>
      </c>
      <c r="C7873" s="449" t="s">
        <v>679</v>
      </c>
      <c r="D7873" s="451">
        <v>54902.44</v>
      </c>
      <c r="E7873" s="210"/>
    </row>
    <row r="7874" spans="1:5" ht="38.25">
      <c r="A7874" s="449">
        <v>37735</v>
      </c>
      <c r="B7874" s="450" t="s">
        <v>8696</v>
      </c>
      <c r="C7874" s="449" t="s">
        <v>679</v>
      </c>
      <c r="D7874" s="451">
        <v>66157.440000000002</v>
      </c>
      <c r="E7874" s="210"/>
    </row>
    <row r="7875" spans="1:5" ht="63.75">
      <c r="A7875" s="449">
        <v>5090</v>
      </c>
      <c r="B7875" s="450" t="s">
        <v>8697</v>
      </c>
      <c r="C7875" s="449" t="s">
        <v>679</v>
      </c>
      <c r="D7875" s="451">
        <v>21.49</v>
      </c>
      <c r="E7875" s="210"/>
    </row>
    <row r="7876" spans="1:5" ht="63.75">
      <c r="A7876" s="449">
        <v>5085</v>
      </c>
      <c r="B7876" s="450" t="s">
        <v>8698</v>
      </c>
      <c r="C7876" s="449" t="s">
        <v>679</v>
      </c>
      <c r="D7876" s="451">
        <v>31.99</v>
      </c>
      <c r="E7876" s="210"/>
    </row>
    <row r="7877" spans="1:5" ht="63.75">
      <c r="A7877" s="449">
        <v>43603</v>
      </c>
      <c r="B7877" s="450" t="s">
        <v>8699</v>
      </c>
      <c r="C7877" s="449" t="s">
        <v>679</v>
      </c>
      <c r="D7877" s="451">
        <v>45.7</v>
      </c>
      <c r="E7877" s="210"/>
    </row>
    <row r="7878" spans="1:5" ht="25.5">
      <c r="A7878" s="449">
        <v>38374</v>
      </c>
      <c r="B7878" s="450" t="s">
        <v>8700</v>
      </c>
      <c r="C7878" s="449" t="s">
        <v>679</v>
      </c>
      <c r="D7878" s="451">
        <v>1025.17</v>
      </c>
      <c r="E7878" s="210"/>
    </row>
    <row r="7879" spans="1:5" ht="38.25">
      <c r="A7879" s="449">
        <v>20209</v>
      </c>
      <c r="B7879" s="450" t="s">
        <v>8701</v>
      </c>
      <c r="C7879" s="449" t="s">
        <v>683</v>
      </c>
      <c r="D7879" s="451">
        <v>15.41</v>
      </c>
      <c r="E7879" s="210"/>
    </row>
    <row r="7880" spans="1:5" ht="38.25">
      <c r="A7880" s="449">
        <v>20212</v>
      </c>
      <c r="B7880" s="450" t="s">
        <v>8702</v>
      </c>
      <c r="C7880" s="449" t="s">
        <v>683</v>
      </c>
      <c r="D7880" s="451">
        <v>12.9</v>
      </c>
      <c r="E7880" s="210"/>
    </row>
    <row r="7881" spans="1:5" ht="38.25">
      <c r="A7881" s="449">
        <v>4433</v>
      </c>
      <c r="B7881" s="450" t="s">
        <v>8703</v>
      </c>
      <c r="C7881" s="449" t="s">
        <v>683</v>
      </c>
      <c r="D7881" s="451">
        <v>14.76</v>
      </c>
      <c r="E7881" s="210"/>
    </row>
    <row r="7882" spans="1:5" ht="38.25">
      <c r="A7882" s="449">
        <v>4430</v>
      </c>
      <c r="B7882" s="450" t="s">
        <v>8704</v>
      </c>
      <c r="C7882" s="449" t="s">
        <v>683</v>
      </c>
      <c r="D7882" s="451">
        <v>7.55</v>
      </c>
      <c r="E7882" s="210"/>
    </row>
    <row r="7883" spans="1:5" ht="38.25">
      <c r="A7883" s="449">
        <v>4400</v>
      </c>
      <c r="B7883" s="450" t="s">
        <v>8705</v>
      </c>
      <c r="C7883" s="449" t="s">
        <v>683</v>
      </c>
      <c r="D7883" s="451">
        <v>12.01</v>
      </c>
      <c r="E7883" s="210"/>
    </row>
    <row r="7884" spans="1:5" ht="38.25">
      <c r="A7884" s="449">
        <v>2729</v>
      </c>
      <c r="B7884" s="450" t="s">
        <v>8706</v>
      </c>
      <c r="C7884" s="449" t="s">
        <v>679</v>
      </c>
      <c r="D7884" s="451">
        <v>20.28</v>
      </c>
      <c r="E7884" s="210"/>
    </row>
    <row r="7885" spans="1:5" ht="25.5">
      <c r="A7885" s="449">
        <v>4513</v>
      </c>
      <c r="B7885" s="450" t="s">
        <v>8707</v>
      </c>
      <c r="C7885" s="449" t="s">
        <v>683</v>
      </c>
      <c r="D7885" s="451">
        <v>5.73</v>
      </c>
      <c r="E7885" s="210"/>
    </row>
    <row r="7886" spans="1:5" ht="25.5">
      <c r="A7886" s="449">
        <v>11871</v>
      </c>
      <c r="B7886" s="450" t="s">
        <v>8708</v>
      </c>
      <c r="C7886" s="449" t="s">
        <v>679</v>
      </c>
      <c r="D7886" s="451">
        <v>376.82</v>
      </c>
      <c r="E7886" s="210"/>
    </row>
    <row r="7887" spans="1:5" ht="25.5">
      <c r="A7887" s="449">
        <v>34636</v>
      </c>
      <c r="B7887" s="450" t="s">
        <v>8709</v>
      </c>
      <c r="C7887" s="449" t="s">
        <v>679</v>
      </c>
      <c r="D7887" s="451">
        <v>429</v>
      </c>
      <c r="E7887" s="210"/>
    </row>
    <row r="7888" spans="1:5" ht="25.5">
      <c r="A7888" s="449">
        <v>34639</v>
      </c>
      <c r="B7888" s="450" t="s">
        <v>8710</v>
      </c>
      <c r="C7888" s="449" t="s">
        <v>679</v>
      </c>
      <c r="D7888" s="451">
        <v>871.29</v>
      </c>
      <c r="E7888" s="210"/>
    </row>
    <row r="7889" spans="1:5" ht="25.5">
      <c r="A7889" s="449">
        <v>34640</v>
      </c>
      <c r="B7889" s="450" t="s">
        <v>8711</v>
      </c>
      <c r="C7889" s="449" t="s">
        <v>679</v>
      </c>
      <c r="D7889" s="451">
        <v>978.69</v>
      </c>
      <c r="E7889" s="210"/>
    </row>
    <row r="7890" spans="1:5" ht="25.5">
      <c r="A7890" s="449">
        <v>34637</v>
      </c>
      <c r="B7890" s="450" t="s">
        <v>8712</v>
      </c>
      <c r="C7890" s="449" t="s">
        <v>679</v>
      </c>
      <c r="D7890" s="451">
        <v>246.31</v>
      </c>
      <c r="E7890" s="210"/>
    </row>
    <row r="7891" spans="1:5" ht="25.5">
      <c r="A7891" s="449">
        <v>34638</v>
      </c>
      <c r="B7891" s="450" t="s">
        <v>8713</v>
      </c>
      <c r="C7891" s="449" t="s">
        <v>679</v>
      </c>
      <c r="D7891" s="451">
        <v>422.39</v>
      </c>
      <c r="E7891" s="210"/>
    </row>
    <row r="7892" spans="1:5" ht="25.5">
      <c r="A7892" s="449">
        <v>11868</v>
      </c>
      <c r="B7892" s="450" t="s">
        <v>8714</v>
      </c>
      <c r="C7892" s="449" t="s">
        <v>679</v>
      </c>
      <c r="D7892" s="451">
        <v>517.89</v>
      </c>
      <c r="E7892" s="210"/>
    </row>
    <row r="7893" spans="1:5" ht="25.5">
      <c r="A7893" s="449">
        <v>37106</v>
      </c>
      <c r="B7893" s="450" t="s">
        <v>8715</v>
      </c>
      <c r="C7893" s="449" t="s">
        <v>679</v>
      </c>
      <c r="D7893" s="451">
        <v>5002.2</v>
      </c>
      <c r="E7893" s="210"/>
    </row>
    <row r="7894" spans="1:5" ht="25.5">
      <c r="A7894" s="449">
        <v>11869</v>
      </c>
      <c r="B7894" s="450" t="s">
        <v>8716</v>
      </c>
      <c r="C7894" s="449" t="s">
        <v>679</v>
      </c>
      <c r="D7894" s="451">
        <v>840.26</v>
      </c>
      <c r="E7894" s="210"/>
    </row>
    <row r="7895" spans="1:5" ht="25.5">
      <c r="A7895" s="449">
        <v>37104</v>
      </c>
      <c r="B7895" s="450" t="s">
        <v>8717</v>
      </c>
      <c r="C7895" s="449" t="s">
        <v>679</v>
      </c>
      <c r="D7895" s="451">
        <v>1083.1500000000001</v>
      </c>
      <c r="E7895" s="210"/>
    </row>
    <row r="7896" spans="1:5" ht="25.5">
      <c r="A7896" s="449">
        <v>37105</v>
      </c>
      <c r="B7896" s="450" t="s">
        <v>8718</v>
      </c>
      <c r="C7896" s="449" t="s">
        <v>679</v>
      </c>
      <c r="D7896" s="451">
        <v>2412.35</v>
      </c>
      <c r="E7896" s="210"/>
    </row>
    <row r="7897" spans="1:5" ht="38.25">
      <c r="A7897" s="449">
        <v>34641</v>
      </c>
      <c r="B7897" s="450" t="s">
        <v>8719</v>
      </c>
      <c r="C7897" s="449" t="s">
        <v>679</v>
      </c>
      <c r="D7897" s="451">
        <v>92.8</v>
      </c>
      <c r="E7897" s="210"/>
    </row>
    <row r="7898" spans="1:5" ht="38.25">
      <c r="A7898" s="449">
        <v>43434</v>
      </c>
      <c r="B7898" s="450" t="s">
        <v>8720</v>
      </c>
      <c r="C7898" s="449" t="s">
        <v>679</v>
      </c>
      <c r="D7898" s="451">
        <v>100.33</v>
      </c>
      <c r="E7898" s="210"/>
    </row>
    <row r="7899" spans="1:5" ht="38.25">
      <c r="A7899" s="449">
        <v>43435</v>
      </c>
      <c r="B7899" s="450" t="s">
        <v>8721</v>
      </c>
      <c r="C7899" s="449" t="s">
        <v>679</v>
      </c>
      <c r="D7899" s="451">
        <v>183.94</v>
      </c>
      <c r="E7899" s="210"/>
    </row>
    <row r="7900" spans="1:5" ht="38.25">
      <c r="A7900" s="449">
        <v>43436</v>
      </c>
      <c r="B7900" s="450" t="s">
        <v>8722</v>
      </c>
      <c r="C7900" s="449" t="s">
        <v>679</v>
      </c>
      <c r="D7900" s="451">
        <v>321.91000000000003</v>
      </c>
      <c r="E7900" s="210"/>
    </row>
    <row r="7901" spans="1:5" ht="38.25">
      <c r="A7901" s="449">
        <v>43437</v>
      </c>
      <c r="B7901" s="450" t="s">
        <v>8723</v>
      </c>
      <c r="C7901" s="449" t="s">
        <v>679</v>
      </c>
      <c r="D7901" s="451">
        <v>583.62</v>
      </c>
      <c r="E7901" s="210"/>
    </row>
    <row r="7902" spans="1:5" ht="38.25">
      <c r="A7902" s="449">
        <v>43438</v>
      </c>
      <c r="B7902" s="450" t="s">
        <v>8724</v>
      </c>
      <c r="C7902" s="449" t="s">
        <v>679</v>
      </c>
      <c r="D7902" s="451">
        <v>1045.1600000000001</v>
      </c>
      <c r="E7902" s="210"/>
    </row>
    <row r="7903" spans="1:5" ht="38.25">
      <c r="A7903" s="449">
        <v>41627</v>
      </c>
      <c r="B7903" s="450" t="s">
        <v>8725</v>
      </c>
      <c r="C7903" s="449" t="s">
        <v>679</v>
      </c>
      <c r="D7903" s="451">
        <v>154.68</v>
      </c>
      <c r="E7903" s="210"/>
    </row>
    <row r="7904" spans="1:5" ht="38.25">
      <c r="A7904" s="449">
        <v>41628</v>
      </c>
      <c r="B7904" s="450" t="s">
        <v>8726</v>
      </c>
      <c r="C7904" s="449" t="s">
        <v>679</v>
      </c>
      <c r="D7904" s="451">
        <v>284.27999999999997</v>
      </c>
      <c r="E7904" s="210"/>
    </row>
    <row r="7905" spans="1:5" ht="38.25">
      <c r="A7905" s="449">
        <v>41629</v>
      </c>
      <c r="B7905" s="450" t="s">
        <v>8727</v>
      </c>
      <c r="C7905" s="449" t="s">
        <v>679</v>
      </c>
      <c r="D7905" s="451">
        <v>361.21</v>
      </c>
      <c r="E7905" s="210"/>
    </row>
    <row r="7906" spans="1:5" ht="38.25">
      <c r="A7906" s="449">
        <v>43429</v>
      </c>
      <c r="B7906" s="450" t="s">
        <v>8728</v>
      </c>
      <c r="C7906" s="449" t="s">
        <v>679</v>
      </c>
      <c r="D7906" s="451">
        <v>80.03</v>
      </c>
      <c r="E7906" s="210"/>
    </row>
    <row r="7907" spans="1:5" ht="38.25">
      <c r="A7907" s="449">
        <v>43430</v>
      </c>
      <c r="B7907" s="450" t="s">
        <v>8729</v>
      </c>
      <c r="C7907" s="449" t="s">
        <v>679</v>
      </c>
      <c r="D7907" s="451">
        <v>132.94</v>
      </c>
      <c r="E7907" s="210"/>
    </row>
    <row r="7908" spans="1:5" ht="38.25">
      <c r="A7908" s="449">
        <v>43431</v>
      </c>
      <c r="B7908" s="450" t="s">
        <v>8730</v>
      </c>
      <c r="C7908" s="449" t="s">
        <v>679</v>
      </c>
      <c r="D7908" s="451">
        <v>257.52</v>
      </c>
      <c r="E7908" s="210"/>
    </row>
    <row r="7909" spans="1:5" ht="38.25">
      <c r="A7909" s="449">
        <v>43432</v>
      </c>
      <c r="B7909" s="450" t="s">
        <v>8731</v>
      </c>
      <c r="C7909" s="449" t="s">
        <v>679</v>
      </c>
      <c r="D7909" s="451">
        <v>535.12</v>
      </c>
      <c r="E7909" s="210"/>
    </row>
    <row r="7910" spans="1:5" ht="38.25">
      <c r="A7910" s="449">
        <v>43433</v>
      </c>
      <c r="B7910" s="450" t="s">
        <v>8732</v>
      </c>
      <c r="C7910" s="449" t="s">
        <v>679</v>
      </c>
      <c r="D7910" s="451">
        <v>843.65</v>
      </c>
      <c r="E7910" s="210"/>
    </row>
    <row r="7911" spans="1:5" ht="51">
      <c r="A7911" s="449">
        <v>43094</v>
      </c>
      <c r="B7911" s="450" t="s">
        <v>8733</v>
      </c>
      <c r="C7911" s="449" t="s">
        <v>679</v>
      </c>
      <c r="D7911" s="451">
        <v>211.94</v>
      </c>
      <c r="E7911" s="210"/>
    </row>
    <row r="7912" spans="1:5" ht="51">
      <c r="A7912" s="449">
        <v>43093</v>
      </c>
      <c r="B7912" s="450" t="s">
        <v>8734</v>
      </c>
      <c r="C7912" s="449" t="s">
        <v>679</v>
      </c>
      <c r="D7912" s="451">
        <v>225.23</v>
      </c>
      <c r="E7912" s="210"/>
    </row>
    <row r="7913" spans="1:5" ht="38.25">
      <c r="A7913" s="449">
        <v>1030</v>
      </c>
      <c r="B7913" s="450" t="s">
        <v>8735</v>
      </c>
      <c r="C7913" s="449" t="s">
        <v>679</v>
      </c>
      <c r="D7913" s="451">
        <v>39.99</v>
      </c>
      <c r="E7913" s="210"/>
    </row>
    <row r="7914" spans="1:5" ht="38.25">
      <c r="A7914" s="449">
        <v>11694</v>
      </c>
      <c r="B7914" s="450" t="s">
        <v>8736</v>
      </c>
      <c r="C7914" s="449" t="s">
        <v>679</v>
      </c>
      <c r="D7914" s="451">
        <v>883.98</v>
      </c>
      <c r="E7914" s="210"/>
    </row>
    <row r="7915" spans="1:5" ht="38.25">
      <c r="A7915" s="449">
        <v>11881</v>
      </c>
      <c r="B7915" s="450" t="s">
        <v>8737</v>
      </c>
      <c r="C7915" s="449" t="s">
        <v>679</v>
      </c>
      <c r="D7915" s="451">
        <v>142.13999999999999</v>
      </c>
      <c r="E7915" s="210"/>
    </row>
    <row r="7916" spans="1:5" ht="51">
      <c r="A7916" s="449">
        <v>35277</v>
      </c>
      <c r="B7916" s="450" t="s">
        <v>8738</v>
      </c>
      <c r="C7916" s="449" t="s">
        <v>679</v>
      </c>
      <c r="D7916" s="451">
        <v>494.11</v>
      </c>
      <c r="E7916" s="210"/>
    </row>
    <row r="7917" spans="1:5" ht="76.5">
      <c r="A7917" s="449">
        <v>10521</v>
      </c>
      <c r="B7917" s="450" t="s">
        <v>8739</v>
      </c>
      <c r="C7917" s="449" t="s">
        <v>679</v>
      </c>
      <c r="D7917" s="451">
        <v>227.8</v>
      </c>
      <c r="E7917" s="210"/>
    </row>
    <row r="7918" spans="1:5" ht="76.5">
      <c r="A7918" s="449">
        <v>10885</v>
      </c>
      <c r="B7918" s="450" t="s">
        <v>8740</v>
      </c>
      <c r="C7918" s="449" t="s">
        <v>679</v>
      </c>
      <c r="D7918" s="451">
        <v>288.14</v>
      </c>
      <c r="E7918" s="210"/>
    </row>
    <row r="7919" spans="1:5" ht="76.5">
      <c r="A7919" s="449">
        <v>20962</v>
      </c>
      <c r="B7919" s="450" t="s">
        <v>8741</v>
      </c>
      <c r="C7919" s="449" t="s">
        <v>679</v>
      </c>
      <c r="D7919" s="451">
        <v>238.65</v>
      </c>
      <c r="E7919" s="210"/>
    </row>
    <row r="7920" spans="1:5" ht="76.5">
      <c r="A7920" s="449">
        <v>20963</v>
      </c>
      <c r="B7920" s="450" t="s">
        <v>8742</v>
      </c>
      <c r="C7920" s="449" t="s">
        <v>679</v>
      </c>
      <c r="D7920" s="451">
        <v>291.52999999999997</v>
      </c>
      <c r="E7920" s="210"/>
    </row>
    <row r="7921" spans="1:5">
      <c r="A7921" s="449">
        <v>2555</v>
      </c>
      <c r="B7921" s="450" t="s">
        <v>8743</v>
      </c>
      <c r="C7921" s="449" t="s">
        <v>679</v>
      </c>
      <c r="D7921" s="451">
        <v>1.63</v>
      </c>
      <c r="E7921" s="210"/>
    </row>
    <row r="7922" spans="1:5">
      <c r="A7922" s="449">
        <v>2556</v>
      </c>
      <c r="B7922" s="450" t="s">
        <v>8744</v>
      </c>
      <c r="C7922" s="449" t="s">
        <v>679</v>
      </c>
      <c r="D7922" s="451">
        <v>1.69</v>
      </c>
      <c r="E7922" s="210"/>
    </row>
    <row r="7923" spans="1:5">
      <c r="A7923" s="449">
        <v>2557</v>
      </c>
      <c r="B7923" s="450" t="s">
        <v>8745</v>
      </c>
      <c r="C7923" s="449" t="s">
        <v>679</v>
      </c>
      <c r="D7923" s="451">
        <v>3.57</v>
      </c>
      <c r="E7923" s="210"/>
    </row>
    <row r="7924" spans="1:5" ht="38.25">
      <c r="A7924" s="449">
        <v>10569</v>
      </c>
      <c r="B7924" s="450" t="s">
        <v>8746</v>
      </c>
      <c r="C7924" s="449" t="s">
        <v>679</v>
      </c>
      <c r="D7924" s="451">
        <v>3.57</v>
      </c>
      <c r="E7924" s="210"/>
    </row>
    <row r="7925" spans="1:5" ht="38.25">
      <c r="A7925" s="449">
        <v>39810</v>
      </c>
      <c r="B7925" s="450" t="s">
        <v>8747</v>
      </c>
      <c r="C7925" s="449" t="s">
        <v>679</v>
      </c>
      <c r="D7925" s="451">
        <v>28.6</v>
      </c>
      <c r="E7925" s="210"/>
    </row>
    <row r="7926" spans="1:5" ht="38.25">
      <c r="A7926" s="449">
        <v>39811</v>
      </c>
      <c r="B7926" s="450" t="s">
        <v>8748</v>
      </c>
      <c r="C7926" s="449" t="s">
        <v>679</v>
      </c>
      <c r="D7926" s="451">
        <v>34.979999999999997</v>
      </c>
      <c r="E7926" s="210"/>
    </row>
    <row r="7927" spans="1:5" ht="38.25">
      <c r="A7927" s="449">
        <v>39812</v>
      </c>
      <c r="B7927" s="450" t="s">
        <v>8749</v>
      </c>
      <c r="C7927" s="449" t="s">
        <v>679</v>
      </c>
      <c r="D7927" s="451">
        <v>57.52</v>
      </c>
      <c r="E7927" s="210"/>
    </row>
    <row r="7928" spans="1:5" ht="51">
      <c r="A7928" s="449">
        <v>43096</v>
      </c>
      <c r="B7928" s="450" t="s">
        <v>8750</v>
      </c>
      <c r="C7928" s="449" t="s">
        <v>679</v>
      </c>
      <c r="D7928" s="451">
        <v>190.68</v>
      </c>
      <c r="E7928" s="210"/>
    </row>
    <row r="7929" spans="1:5" ht="38.25">
      <c r="A7929" s="449">
        <v>43102</v>
      </c>
      <c r="B7929" s="450" t="s">
        <v>8751</v>
      </c>
      <c r="C7929" s="449" t="s">
        <v>679</v>
      </c>
      <c r="D7929" s="451">
        <v>115.94</v>
      </c>
      <c r="E7929" s="210"/>
    </row>
    <row r="7930" spans="1:5" ht="51">
      <c r="A7930" s="449">
        <v>43103</v>
      </c>
      <c r="B7930" s="450" t="s">
        <v>8752</v>
      </c>
      <c r="C7930" s="449" t="s">
        <v>679</v>
      </c>
      <c r="D7930" s="451">
        <v>170.73</v>
      </c>
      <c r="E7930" s="210"/>
    </row>
    <row r="7931" spans="1:5" ht="51">
      <c r="A7931" s="449">
        <v>43098</v>
      </c>
      <c r="B7931" s="450" t="s">
        <v>8753</v>
      </c>
      <c r="C7931" s="449" t="s">
        <v>679</v>
      </c>
      <c r="D7931" s="451">
        <v>64.59</v>
      </c>
      <c r="E7931" s="210"/>
    </row>
    <row r="7932" spans="1:5" ht="51">
      <c r="A7932" s="449">
        <v>43097</v>
      </c>
      <c r="B7932" s="450" t="s">
        <v>8754</v>
      </c>
      <c r="C7932" s="449" t="s">
        <v>679</v>
      </c>
      <c r="D7932" s="451">
        <v>38.26</v>
      </c>
      <c r="E7932" s="210"/>
    </row>
    <row r="7933" spans="1:5" ht="25.5">
      <c r="A7933" s="449">
        <v>43104</v>
      </c>
      <c r="B7933" s="450" t="s">
        <v>8755</v>
      </c>
      <c r="C7933" s="449" t="s">
        <v>679</v>
      </c>
      <c r="D7933" s="451">
        <v>452.66</v>
      </c>
      <c r="E7933" s="210"/>
    </row>
    <row r="7934" spans="1:5" ht="38.25">
      <c r="A7934" s="449">
        <v>39771</v>
      </c>
      <c r="B7934" s="450" t="s">
        <v>8756</v>
      </c>
      <c r="C7934" s="449" t="s">
        <v>679</v>
      </c>
      <c r="D7934" s="451">
        <v>34.340000000000003</v>
      </c>
      <c r="E7934" s="210"/>
    </row>
    <row r="7935" spans="1:5" ht="38.25">
      <c r="A7935" s="449">
        <v>39772</v>
      </c>
      <c r="B7935" s="450" t="s">
        <v>8757</v>
      </c>
      <c r="C7935" s="449" t="s">
        <v>679</v>
      </c>
      <c r="D7935" s="451">
        <v>67.5</v>
      </c>
      <c r="E7935" s="210"/>
    </row>
    <row r="7936" spans="1:5" ht="38.25">
      <c r="A7936" s="449">
        <v>39773</v>
      </c>
      <c r="B7936" s="450" t="s">
        <v>8758</v>
      </c>
      <c r="C7936" s="449" t="s">
        <v>679</v>
      </c>
      <c r="D7936" s="451">
        <v>108.49</v>
      </c>
      <c r="E7936" s="210"/>
    </row>
    <row r="7937" spans="1:5" ht="38.25">
      <c r="A7937" s="449">
        <v>39774</v>
      </c>
      <c r="B7937" s="450" t="s">
        <v>8759</v>
      </c>
      <c r="C7937" s="449" t="s">
        <v>679</v>
      </c>
      <c r="D7937" s="451">
        <v>162.27000000000001</v>
      </c>
      <c r="E7937" s="210"/>
    </row>
    <row r="7938" spans="1:5" ht="38.25">
      <c r="A7938" s="449">
        <v>39775</v>
      </c>
      <c r="B7938" s="450" t="s">
        <v>8760</v>
      </c>
      <c r="C7938" s="449" t="s">
        <v>679</v>
      </c>
      <c r="D7938" s="451">
        <v>216.57</v>
      </c>
      <c r="E7938" s="210"/>
    </row>
    <row r="7939" spans="1:5" ht="38.25">
      <c r="A7939" s="449">
        <v>39776</v>
      </c>
      <c r="B7939" s="450" t="s">
        <v>8761</v>
      </c>
      <c r="C7939" s="449" t="s">
        <v>679</v>
      </c>
      <c r="D7939" s="451">
        <v>261.73</v>
      </c>
      <c r="E7939" s="210"/>
    </row>
    <row r="7940" spans="1:5" ht="38.25">
      <c r="A7940" s="449">
        <v>39777</v>
      </c>
      <c r="B7940" s="450" t="s">
        <v>8762</v>
      </c>
      <c r="C7940" s="449" t="s">
        <v>679</v>
      </c>
      <c r="D7940" s="451">
        <v>331.74</v>
      </c>
      <c r="E7940" s="210"/>
    </row>
    <row r="7941" spans="1:5" ht="38.25">
      <c r="A7941" s="449">
        <v>20254</v>
      </c>
      <c r="B7941" s="450" t="s">
        <v>8763</v>
      </c>
      <c r="C7941" s="449" t="s">
        <v>679</v>
      </c>
      <c r="D7941" s="451">
        <v>24.08</v>
      </c>
      <c r="E7941" s="210"/>
    </row>
    <row r="7942" spans="1:5" ht="38.25">
      <c r="A7942" s="449">
        <v>20253</v>
      </c>
      <c r="B7942" s="450" t="s">
        <v>8764</v>
      </c>
      <c r="C7942" s="449" t="s">
        <v>679</v>
      </c>
      <c r="D7942" s="451">
        <v>79.069999999999993</v>
      </c>
      <c r="E7942" s="210"/>
    </row>
    <row r="7943" spans="1:5" ht="51">
      <c r="A7943" s="449">
        <v>11247</v>
      </c>
      <c r="B7943" s="450" t="s">
        <v>8765</v>
      </c>
      <c r="C7943" s="449" t="s">
        <v>679</v>
      </c>
      <c r="D7943" s="451">
        <v>1520.35</v>
      </c>
      <c r="E7943" s="210"/>
    </row>
    <row r="7944" spans="1:5" ht="51">
      <c r="A7944" s="449">
        <v>11250</v>
      </c>
      <c r="B7944" s="450" t="s">
        <v>8766</v>
      </c>
      <c r="C7944" s="449" t="s">
        <v>679</v>
      </c>
      <c r="D7944" s="451">
        <v>65.45</v>
      </c>
      <c r="E7944" s="210"/>
    </row>
    <row r="7945" spans="1:5" ht="51">
      <c r="A7945" s="449">
        <v>11249</v>
      </c>
      <c r="B7945" s="450" t="s">
        <v>8767</v>
      </c>
      <c r="C7945" s="449" t="s">
        <v>679</v>
      </c>
      <c r="D7945" s="451">
        <v>2969.77</v>
      </c>
      <c r="E7945" s="210"/>
    </row>
    <row r="7946" spans="1:5" ht="51">
      <c r="A7946" s="449">
        <v>11251</v>
      </c>
      <c r="B7946" s="450" t="s">
        <v>8768</v>
      </c>
      <c r="C7946" s="449" t="s">
        <v>679</v>
      </c>
      <c r="D7946" s="451">
        <v>144.97999999999999</v>
      </c>
      <c r="E7946" s="210"/>
    </row>
    <row r="7947" spans="1:5" ht="51">
      <c r="A7947" s="449">
        <v>11253</v>
      </c>
      <c r="B7947" s="450" t="s">
        <v>8769</v>
      </c>
      <c r="C7947" s="449" t="s">
        <v>679</v>
      </c>
      <c r="D7947" s="451">
        <v>240.25</v>
      </c>
      <c r="E7947" s="210"/>
    </row>
    <row r="7948" spans="1:5" ht="51">
      <c r="A7948" s="449">
        <v>11255</v>
      </c>
      <c r="B7948" s="450" t="s">
        <v>8770</v>
      </c>
      <c r="C7948" s="449" t="s">
        <v>679</v>
      </c>
      <c r="D7948" s="451">
        <v>359.17</v>
      </c>
      <c r="E7948" s="210"/>
    </row>
    <row r="7949" spans="1:5" ht="51">
      <c r="A7949" s="449">
        <v>14055</v>
      </c>
      <c r="B7949" s="450" t="s">
        <v>8771</v>
      </c>
      <c r="C7949" s="449" t="s">
        <v>679</v>
      </c>
      <c r="D7949" s="451">
        <v>722.52</v>
      </c>
      <c r="E7949" s="210"/>
    </row>
    <row r="7950" spans="1:5" ht="51">
      <c r="A7950" s="449">
        <v>11256</v>
      </c>
      <c r="B7950" s="450" t="s">
        <v>8772</v>
      </c>
      <c r="C7950" s="449" t="s">
        <v>679</v>
      </c>
      <c r="D7950" s="451">
        <v>449.89</v>
      </c>
      <c r="E7950" s="210"/>
    </row>
    <row r="7951" spans="1:5" ht="25.5">
      <c r="A7951" s="449">
        <v>1872</v>
      </c>
      <c r="B7951" s="450" t="s">
        <v>8773</v>
      </c>
      <c r="C7951" s="449" t="s">
        <v>679</v>
      </c>
      <c r="D7951" s="451">
        <v>1.74</v>
      </c>
      <c r="E7951" s="210"/>
    </row>
    <row r="7952" spans="1:5" ht="25.5">
      <c r="A7952" s="449">
        <v>1873</v>
      </c>
      <c r="B7952" s="450" t="s">
        <v>8774</v>
      </c>
      <c r="C7952" s="449" t="s">
        <v>679</v>
      </c>
      <c r="D7952" s="451">
        <v>3.46</v>
      </c>
      <c r="E7952" s="210"/>
    </row>
    <row r="7953" spans="1:5" ht="51">
      <c r="A7953" s="449">
        <v>39693</v>
      </c>
      <c r="B7953" s="450" t="s">
        <v>8775</v>
      </c>
      <c r="C7953" s="449" t="s">
        <v>679</v>
      </c>
      <c r="D7953" s="451">
        <v>2825.56</v>
      </c>
      <c r="E7953" s="210"/>
    </row>
    <row r="7954" spans="1:5" ht="38.25">
      <c r="A7954" s="449">
        <v>39692</v>
      </c>
      <c r="B7954" s="450" t="s">
        <v>8776</v>
      </c>
      <c r="C7954" s="449" t="s">
        <v>679</v>
      </c>
      <c r="D7954" s="451">
        <v>904.11</v>
      </c>
      <c r="E7954" s="210"/>
    </row>
    <row r="7955" spans="1:5" ht="38.25">
      <c r="A7955" s="449">
        <v>34643</v>
      </c>
      <c r="B7955" s="450" t="s">
        <v>8777</v>
      </c>
      <c r="C7955" s="449" t="s">
        <v>679</v>
      </c>
      <c r="D7955" s="451">
        <v>15.99</v>
      </c>
      <c r="E7955" s="210"/>
    </row>
    <row r="7956" spans="1:5" ht="51">
      <c r="A7956" s="449">
        <v>1062</v>
      </c>
      <c r="B7956" s="450" t="s">
        <v>8778</v>
      </c>
      <c r="C7956" s="449" t="s">
        <v>679</v>
      </c>
      <c r="D7956" s="451">
        <v>286.52999999999997</v>
      </c>
      <c r="E7956" s="210"/>
    </row>
    <row r="7957" spans="1:5" ht="51">
      <c r="A7957" s="449">
        <v>39686</v>
      </c>
      <c r="B7957" s="450" t="s">
        <v>8779</v>
      </c>
      <c r="C7957" s="449" t="s">
        <v>679</v>
      </c>
      <c r="D7957" s="451">
        <v>463.95</v>
      </c>
      <c r="E7957" s="210"/>
    </row>
    <row r="7958" spans="1:5" ht="63.75">
      <c r="A7958" s="449">
        <v>43095</v>
      </c>
      <c r="B7958" s="450" t="s">
        <v>8780</v>
      </c>
      <c r="C7958" s="449" t="s">
        <v>679</v>
      </c>
      <c r="D7958" s="451">
        <v>125.65</v>
      </c>
      <c r="E7958" s="210"/>
    </row>
    <row r="7959" spans="1:5" ht="38.25">
      <c r="A7959" s="449">
        <v>1871</v>
      </c>
      <c r="B7959" s="450" t="s">
        <v>8781</v>
      </c>
      <c r="C7959" s="449" t="s">
        <v>679</v>
      </c>
      <c r="D7959" s="451">
        <v>3.11</v>
      </c>
      <c r="E7959" s="210"/>
    </row>
    <row r="7960" spans="1:5" ht="38.25">
      <c r="A7960" s="449">
        <v>12001</v>
      </c>
      <c r="B7960" s="450" t="s">
        <v>8782</v>
      </c>
      <c r="C7960" s="449" t="s">
        <v>679</v>
      </c>
      <c r="D7960" s="451">
        <v>4.49</v>
      </c>
      <c r="E7960" s="210"/>
    </row>
    <row r="7961" spans="1:5" ht="25.5">
      <c r="A7961" s="449">
        <v>11882</v>
      </c>
      <c r="B7961" s="450" t="s">
        <v>8783</v>
      </c>
      <c r="C7961" s="449" t="s">
        <v>679</v>
      </c>
      <c r="D7961" s="451">
        <v>102</v>
      </c>
      <c r="E7961" s="210"/>
    </row>
    <row r="7962" spans="1:5" ht="51">
      <c r="A7962" s="449">
        <v>1068</v>
      </c>
      <c r="B7962" s="450" t="s">
        <v>8784</v>
      </c>
      <c r="C7962" s="449" t="s">
        <v>679</v>
      </c>
      <c r="D7962" s="451">
        <v>1889.96</v>
      </c>
      <c r="E7962" s="210"/>
    </row>
    <row r="7963" spans="1:5" ht="51">
      <c r="A7963" s="449">
        <v>39690</v>
      </c>
      <c r="B7963" s="450" t="s">
        <v>8785</v>
      </c>
      <c r="C7963" s="449" t="s">
        <v>679</v>
      </c>
      <c r="D7963" s="451">
        <v>3170.73</v>
      </c>
      <c r="E7963" s="210"/>
    </row>
    <row r="7964" spans="1:5" ht="51">
      <c r="A7964" s="449">
        <v>39691</v>
      </c>
      <c r="B7964" s="450" t="s">
        <v>8786</v>
      </c>
      <c r="C7964" s="449" t="s">
        <v>679</v>
      </c>
      <c r="D7964" s="451">
        <v>3987.89</v>
      </c>
      <c r="E7964" s="210"/>
    </row>
    <row r="7965" spans="1:5" ht="51">
      <c r="A7965" s="449">
        <v>39808</v>
      </c>
      <c r="B7965" s="450" t="s">
        <v>8787</v>
      </c>
      <c r="C7965" s="449" t="s">
        <v>679</v>
      </c>
      <c r="D7965" s="451">
        <v>65.599999999999994</v>
      </c>
      <c r="E7965" s="210"/>
    </row>
    <row r="7966" spans="1:5" ht="51">
      <c r="A7966" s="449">
        <v>39809</v>
      </c>
      <c r="B7966" s="450" t="s">
        <v>8788</v>
      </c>
      <c r="C7966" s="449" t="s">
        <v>679</v>
      </c>
      <c r="D7966" s="451">
        <v>155.59</v>
      </c>
      <c r="E7966" s="210"/>
    </row>
    <row r="7967" spans="1:5" ht="51">
      <c r="A7967" s="449">
        <v>43439</v>
      </c>
      <c r="B7967" s="450" t="s">
        <v>8789</v>
      </c>
      <c r="C7967" s="449" t="s">
        <v>679</v>
      </c>
      <c r="D7967" s="451">
        <v>468.23</v>
      </c>
      <c r="E7967" s="210"/>
    </row>
    <row r="7968" spans="1:5" ht="25.5">
      <c r="A7968" s="449">
        <v>5103</v>
      </c>
      <c r="B7968" s="450" t="s">
        <v>8790</v>
      </c>
      <c r="C7968" s="449" t="s">
        <v>679</v>
      </c>
      <c r="D7968" s="451">
        <v>15.03</v>
      </c>
      <c r="E7968" s="210"/>
    </row>
    <row r="7969" spans="1:5" ht="25.5">
      <c r="A7969" s="449">
        <v>11712</v>
      </c>
      <c r="B7969" s="450" t="s">
        <v>8791</v>
      </c>
      <c r="C7969" s="449" t="s">
        <v>679</v>
      </c>
      <c r="D7969" s="451">
        <v>35</v>
      </c>
      <c r="E7969" s="210"/>
    </row>
    <row r="7970" spans="1:5" ht="25.5">
      <c r="A7970" s="449">
        <v>11717</v>
      </c>
      <c r="B7970" s="450" t="s">
        <v>8792</v>
      </c>
      <c r="C7970" s="449" t="s">
        <v>679</v>
      </c>
      <c r="D7970" s="451">
        <v>38.03</v>
      </c>
      <c r="E7970" s="210"/>
    </row>
    <row r="7971" spans="1:5" ht="25.5">
      <c r="A7971" s="449">
        <v>11714</v>
      </c>
      <c r="B7971" s="450" t="s">
        <v>8793</v>
      </c>
      <c r="C7971" s="449" t="s">
        <v>679</v>
      </c>
      <c r="D7971" s="451">
        <v>47.32</v>
      </c>
      <c r="E7971" s="210"/>
    </row>
    <row r="7972" spans="1:5" ht="25.5">
      <c r="A7972" s="449">
        <v>11880</v>
      </c>
      <c r="B7972" s="450" t="s">
        <v>8794</v>
      </c>
      <c r="C7972" s="449" t="s">
        <v>679</v>
      </c>
      <c r="D7972" s="451">
        <v>97.87</v>
      </c>
      <c r="E7972" s="210"/>
    </row>
    <row r="7973" spans="1:5">
      <c r="A7973" s="449">
        <v>1106</v>
      </c>
      <c r="B7973" s="450" t="s">
        <v>8795</v>
      </c>
      <c r="C7973" s="449" t="s">
        <v>676</v>
      </c>
      <c r="D7973" s="451">
        <v>0.8</v>
      </c>
      <c r="E7973" s="210"/>
    </row>
    <row r="7974" spans="1:5">
      <c r="A7974" s="449">
        <v>11161</v>
      </c>
      <c r="B7974" s="450" t="s">
        <v>8796</v>
      </c>
      <c r="C7974" s="449" t="s">
        <v>676</v>
      </c>
      <c r="D7974" s="451">
        <v>1.33</v>
      </c>
      <c r="E7974" s="210"/>
    </row>
    <row r="7975" spans="1:5" ht="25.5">
      <c r="A7975" s="449">
        <v>1107</v>
      </c>
      <c r="B7975" s="450" t="s">
        <v>8797</v>
      </c>
      <c r="C7975" s="449" t="s">
        <v>676</v>
      </c>
      <c r="D7975" s="451">
        <v>0.68</v>
      </c>
      <c r="E7975" s="210"/>
    </row>
    <row r="7976" spans="1:5" ht="25.5">
      <c r="A7976" s="449">
        <v>25963</v>
      </c>
      <c r="B7976" s="450" t="s">
        <v>8798</v>
      </c>
      <c r="C7976" s="449" t="s">
        <v>676</v>
      </c>
      <c r="D7976" s="451">
        <v>0.12</v>
      </c>
      <c r="E7976" s="210"/>
    </row>
    <row r="7977" spans="1:5">
      <c r="A7977" s="449">
        <v>4759</v>
      </c>
      <c r="B7977" s="450" t="s">
        <v>8799</v>
      </c>
      <c r="C7977" s="449" t="s">
        <v>682</v>
      </c>
      <c r="D7977" s="451">
        <v>13.49</v>
      </c>
      <c r="E7977" s="210"/>
    </row>
    <row r="7978" spans="1:5">
      <c r="A7978" s="449">
        <v>41068</v>
      </c>
      <c r="B7978" s="450" t="s">
        <v>8800</v>
      </c>
      <c r="C7978" s="449" t="s">
        <v>797</v>
      </c>
      <c r="D7978" s="451">
        <v>2393.9899999999998</v>
      </c>
      <c r="E7978" s="210"/>
    </row>
    <row r="7979" spans="1:5" ht="25.5">
      <c r="A7979" s="449">
        <v>1108</v>
      </c>
      <c r="B7979" s="450" t="s">
        <v>8801</v>
      </c>
      <c r="C7979" s="449" t="s">
        <v>683</v>
      </c>
      <c r="D7979" s="451">
        <v>30.82</v>
      </c>
      <c r="E7979" s="210"/>
    </row>
    <row r="7980" spans="1:5" ht="25.5">
      <c r="A7980" s="449">
        <v>1117</v>
      </c>
      <c r="B7980" s="450" t="s">
        <v>8802</v>
      </c>
      <c r="C7980" s="449" t="s">
        <v>683</v>
      </c>
      <c r="D7980" s="451">
        <v>31.06</v>
      </c>
      <c r="E7980" s="210"/>
    </row>
    <row r="7981" spans="1:5" ht="25.5">
      <c r="A7981" s="449">
        <v>1118</v>
      </c>
      <c r="B7981" s="450" t="s">
        <v>8803</v>
      </c>
      <c r="C7981" s="449" t="s">
        <v>683</v>
      </c>
      <c r="D7981" s="451">
        <v>36.71</v>
      </c>
      <c r="E7981" s="210"/>
    </row>
    <row r="7982" spans="1:5" ht="25.5">
      <c r="A7982" s="449">
        <v>1110</v>
      </c>
      <c r="B7982" s="450" t="s">
        <v>8804</v>
      </c>
      <c r="C7982" s="449" t="s">
        <v>683</v>
      </c>
      <c r="D7982" s="451">
        <v>36.71</v>
      </c>
      <c r="E7982" s="210"/>
    </row>
    <row r="7983" spans="1:5" ht="38.25">
      <c r="A7983" s="449">
        <v>12618</v>
      </c>
      <c r="B7983" s="450" t="s">
        <v>8805</v>
      </c>
      <c r="C7983" s="449" t="s">
        <v>679</v>
      </c>
      <c r="D7983" s="451">
        <v>47.2</v>
      </c>
      <c r="E7983" s="210"/>
    </row>
    <row r="7984" spans="1:5" ht="25.5">
      <c r="A7984" s="449">
        <v>40784</v>
      </c>
      <c r="B7984" s="450" t="s">
        <v>8806</v>
      </c>
      <c r="C7984" s="449" t="s">
        <v>683</v>
      </c>
      <c r="D7984" s="451">
        <v>101.26</v>
      </c>
      <c r="E7984" s="210"/>
    </row>
    <row r="7985" spans="1:5" ht="25.5">
      <c r="A7985" s="449">
        <v>40782</v>
      </c>
      <c r="B7985" s="450" t="s">
        <v>8807</v>
      </c>
      <c r="C7985" s="449" t="s">
        <v>683</v>
      </c>
      <c r="D7985" s="451">
        <v>39.74</v>
      </c>
      <c r="E7985" s="210"/>
    </row>
    <row r="7986" spans="1:5" ht="25.5">
      <c r="A7986" s="449">
        <v>40783</v>
      </c>
      <c r="B7986" s="450" t="s">
        <v>8808</v>
      </c>
      <c r="C7986" s="449" t="s">
        <v>683</v>
      </c>
      <c r="D7986" s="451">
        <v>51.76</v>
      </c>
      <c r="E7986" s="210"/>
    </row>
    <row r="7987" spans="1:5" ht="25.5">
      <c r="A7987" s="449">
        <v>1109</v>
      </c>
      <c r="B7987" s="450" t="s">
        <v>8809</v>
      </c>
      <c r="C7987" s="449" t="s">
        <v>683</v>
      </c>
      <c r="D7987" s="451">
        <v>30.82</v>
      </c>
      <c r="E7987" s="210"/>
    </row>
    <row r="7988" spans="1:5" ht="25.5">
      <c r="A7988" s="449">
        <v>1119</v>
      </c>
      <c r="B7988" s="450" t="s">
        <v>8810</v>
      </c>
      <c r="C7988" s="449" t="s">
        <v>683</v>
      </c>
      <c r="D7988" s="451">
        <v>19.87</v>
      </c>
      <c r="E7988" s="210"/>
    </row>
    <row r="7989" spans="1:5" ht="38.25">
      <c r="A7989" s="449">
        <v>13115</v>
      </c>
      <c r="B7989" s="450" t="s">
        <v>8811</v>
      </c>
      <c r="C7989" s="449" t="s">
        <v>683</v>
      </c>
      <c r="D7989" s="451">
        <v>15.4</v>
      </c>
      <c r="E7989" s="210"/>
    </row>
    <row r="7990" spans="1:5" ht="38.25">
      <c r="A7990" s="449">
        <v>10541</v>
      </c>
      <c r="B7990" s="450" t="s">
        <v>8812</v>
      </c>
      <c r="C7990" s="449" t="s">
        <v>683</v>
      </c>
      <c r="D7990" s="451">
        <v>18.82</v>
      </c>
      <c r="E7990" s="210"/>
    </row>
    <row r="7991" spans="1:5" ht="38.25">
      <c r="A7991" s="449">
        <v>10542</v>
      </c>
      <c r="B7991" s="450" t="s">
        <v>8813</v>
      </c>
      <c r="C7991" s="449" t="s">
        <v>683</v>
      </c>
      <c r="D7991" s="451">
        <v>24.61</v>
      </c>
      <c r="E7991" s="210"/>
    </row>
    <row r="7992" spans="1:5" ht="38.25">
      <c r="A7992" s="449">
        <v>10543</v>
      </c>
      <c r="B7992" s="450" t="s">
        <v>8814</v>
      </c>
      <c r="C7992" s="449" t="s">
        <v>683</v>
      </c>
      <c r="D7992" s="451">
        <v>39.94</v>
      </c>
      <c r="E7992" s="210"/>
    </row>
    <row r="7993" spans="1:5" ht="38.25">
      <c r="A7993" s="449">
        <v>10544</v>
      </c>
      <c r="B7993" s="450" t="s">
        <v>8815</v>
      </c>
      <c r="C7993" s="449" t="s">
        <v>683</v>
      </c>
      <c r="D7993" s="451">
        <v>51.65</v>
      </c>
      <c r="E7993" s="210"/>
    </row>
    <row r="7994" spans="1:5" ht="38.25">
      <c r="A7994" s="449">
        <v>10545</v>
      </c>
      <c r="B7994" s="450" t="s">
        <v>8816</v>
      </c>
      <c r="C7994" s="449" t="s">
        <v>683</v>
      </c>
      <c r="D7994" s="451">
        <v>96.54</v>
      </c>
      <c r="E7994" s="210"/>
    </row>
    <row r="7995" spans="1:5" ht="25.5">
      <c r="A7995" s="449">
        <v>38365</v>
      </c>
      <c r="B7995" s="450" t="s">
        <v>8817</v>
      </c>
      <c r="C7995" s="449" t="s">
        <v>684</v>
      </c>
      <c r="D7995" s="451">
        <v>1.97</v>
      </c>
      <c r="E7995" s="210"/>
    </row>
    <row r="7996" spans="1:5" ht="51">
      <c r="A7996" s="449">
        <v>37745</v>
      </c>
      <c r="B7996" s="450" t="s">
        <v>8818</v>
      </c>
      <c r="C7996" s="449" t="s">
        <v>679</v>
      </c>
      <c r="D7996" s="451">
        <v>317510</v>
      </c>
      <c r="E7996" s="210"/>
    </row>
    <row r="7997" spans="1:5" ht="51">
      <c r="A7997" s="449">
        <v>37754</v>
      </c>
      <c r="B7997" s="450" t="s">
        <v>8819</v>
      </c>
      <c r="C7997" s="449" t="s">
        <v>679</v>
      </c>
      <c r="D7997" s="451">
        <v>331576.89</v>
      </c>
      <c r="E7997" s="210"/>
    </row>
    <row r="7998" spans="1:5" ht="51">
      <c r="A7998" s="449">
        <v>37748</v>
      </c>
      <c r="B7998" s="450" t="s">
        <v>8820</v>
      </c>
      <c r="C7998" s="449" t="s">
        <v>679</v>
      </c>
      <c r="D7998" s="451">
        <v>337555.32</v>
      </c>
      <c r="E7998" s="210"/>
    </row>
    <row r="7999" spans="1:5" ht="51">
      <c r="A7999" s="449">
        <v>37761</v>
      </c>
      <c r="B7999" s="450" t="s">
        <v>8821</v>
      </c>
      <c r="C7999" s="449" t="s">
        <v>679</v>
      </c>
      <c r="D7999" s="451">
        <v>279328.40000000002</v>
      </c>
      <c r="E7999" s="210"/>
    </row>
    <row r="8000" spans="1:5" ht="51">
      <c r="A8000" s="449">
        <v>37757</v>
      </c>
      <c r="B8000" s="450" t="s">
        <v>8822</v>
      </c>
      <c r="C8000" s="449" t="s">
        <v>679</v>
      </c>
      <c r="D8000" s="451">
        <v>388849.25</v>
      </c>
      <c r="E8000" s="210"/>
    </row>
    <row r="8001" spans="1:5" ht="51">
      <c r="A8001" s="449">
        <v>37759</v>
      </c>
      <c r="B8001" s="450" t="s">
        <v>8823</v>
      </c>
      <c r="C8001" s="449" t="s">
        <v>679</v>
      </c>
      <c r="D8001" s="451">
        <v>390356.44</v>
      </c>
      <c r="E8001" s="210"/>
    </row>
    <row r="8002" spans="1:5" ht="51">
      <c r="A8002" s="449">
        <v>37766</v>
      </c>
      <c r="B8002" s="450" t="s">
        <v>8824</v>
      </c>
      <c r="C8002" s="449" t="s">
        <v>679</v>
      </c>
      <c r="D8002" s="451">
        <v>390356.41</v>
      </c>
      <c r="E8002" s="210"/>
    </row>
    <row r="8003" spans="1:5" ht="51">
      <c r="A8003" s="449">
        <v>37752</v>
      </c>
      <c r="B8003" s="450" t="s">
        <v>8825</v>
      </c>
      <c r="C8003" s="449" t="s">
        <v>679</v>
      </c>
      <c r="D8003" s="451">
        <v>353983.45</v>
      </c>
      <c r="E8003" s="210"/>
    </row>
    <row r="8004" spans="1:5" ht="51">
      <c r="A8004" s="449">
        <v>37760</v>
      </c>
      <c r="B8004" s="450" t="s">
        <v>8826</v>
      </c>
      <c r="C8004" s="449" t="s">
        <v>679</v>
      </c>
      <c r="D8004" s="451">
        <v>372772.8</v>
      </c>
      <c r="E8004" s="210"/>
    </row>
    <row r="8005" spans="1:5" ht="51">
      <c r="A8005" s="449">
        <v>37765</v>
      </c>
      <c r="B8005" s="450" t="s">
        <v>8827</v>
      </c>
      <c r="C8005" s="449" t="s">
        <v>679</v>
      </c>
      <c r="D8005" s="451">
        <v>260237.64</v>
      </c>
      <c r="E8005" s="210"/>
    </row>
    <row r="8006" spans="1:5" ht="51">
      <c r="A8006" s="449">
        <v>37746</v>
      </c>
      <c r="B8006" s="450" t="s">
        <v>8828</v>
      </c>
      <c r="C8006" s="449" t="s">
        <v>679</v>
      </c>
      <c r="D8006" s="451">
        <v>285306.83</v>
      </c>
      <c r="E8006" s="210"/>
    </row>
    <row r="8007" spans="1:5" ht="51">
      <c r="A8007" s="449">
        <v>37750</v>
      </c>
      <c r="B8007" s="450" t="s">
        <v>8829</v>
      </c>
      <c r="C8007" s="449" t="s">
        <v>679</v>
      </c>
      <c r="D8007" s="451">
        <v>284302.07</v>
      </c>
      <c r="E8007" s="210"/>
    </row>
    <row r="8008" spans="1:5" ht="51">
      <c r="A8008" s="449">
        <v>37753</v>
      </c>
      <c r="B8008" s="450" t="s">
        <v>8830</v>
      </c>
      <c r="C8008" s="449" t="s">
        <v>679</v>
      </c>
      <c r="D8008" s="451">
        <v>283297.28000000003</v>
      </c>
      <c r="E8008" s="210"/>
    </row>
    <row r="8009" spans="1:5" ht="51">
      <c r="A8009" s="449">
        <v>37756</v>
      </c>
      <c r="B8009" s="450" t="s">
        <v>8831</v>
      </c>
      <c r="C8009" s="449" t="s">
        <v>679</v>
      </c>
      <c r="D8009" s="451">
        <v>279328.40000000002</v>
      </c>
      <c r="E8009" s="210"/>
    </row>
    <row r="8010" spans="1:5" ht="51">
      <c r="A8010" s="449">
        <v>37755</v>
      </c>
      <c r="B8010" s="450" t="s">
        <v>8832</v>
      </c>
      <c r="C8010" s="449" t="s">
        <v>679</v>
      </c>
      <c r="D8010" s="451">
        <v>405930.5</v>
      </c>
      <c r="E8010" s="210"/>
    </row>
    <row r="8011" spans="1:5" ht="51">
      <c r="A8011" s="449">
        <v>37758</v>
      </c>
      <c r="B8011" s="450" t="s">
        <v>8833</v>
      </c>
      <c r="C8011" s="449" t="s">
        <v>679</v>
      </c>
      <c r="D8011" s="451">
        <v>458178.99</v>
      </c>
      <c r="E8011" s="210"/>
    </row>
    <row r="8012" spans="1:5" ht="51">
      <c r="A8012" s="449">
        <v>37747</v>
      </c>
      <c r="B8012" s="450" t="s">
        <v>8834</v>
      </c>
      <c r="C8012" s="449" t="s">
        <v>679</v>
      </c>
      <c r="D8012" s="451">
        <v>412260.6</v>
      </c>
      <c r="E8012" s="210"/>
    </row>
    <row r="8013" spans="1:5" ht="51">
      <c r="A8013" s="449">
        <v>37767</v>
      </c>
      <c r="B8013" s="450" t="s">
        <v>8835</v>
      </c>
      <c r="C8013" s="449" t="s">
        <v>679</v>
      </c>
      <c r="D8013" s="451">
        <v>435069.09</v>
      </c>
      <c r="E8013" s="210"/>
    </row>
    <row r="8014" spans="1:5" ht="51">
      <c r="A8014" s="449">
        <v>37751</v>
      </c>
      <c r="B8014" s="450" t="s">
        <v>8836</v>
      </c>
      <c r="C8014" s="449" t="s">
        <v>679</v>
      </c>
      <c r="D8014" s="451">
        <v>435069.09</v>
      </c>
      <c r="E8014" s="210"/>
    </row>
    <row r="8015" spans="1:5" ht="63.75">
      <c r="A8015" s="449">
        <v>37749</v>
      </c>
      <c r="B8015" s="450" t="s">
        <v>8837</v>
      </c>
      <c r="C8015" s="449" t="s">
        <v>679</v>
      </c>
      <c r="D8015" s="451">
        <v>430045.19</v>
      </c>
      <c r="E8015" s="210"/>
    </row>
    <row r="8016" spans="1:5" ht="25.5">
      <c r="A8016" s="449">
        <v>1159</v>
      </c>
      <c r="B8016" s="450" t="s">
        <v>8838</v>
      </c>
      <c r="C8016" s="449" t="s">
        <v>679</v>
      </c>
      <c r="D8016" s="451">
        <v>199414.33</v>
      </c>
      <c r="E8016" s="210"/>
    </row>
    <row r="8017" spans="1:5" ht="25.5">
      <c r="A8017" s="449">
        <v>12114</v>
      </c>
      <c r="B8017" s="450" t="s">
        <v>8839</v>
      </c>
      <c r="C8017" s="449" t="s">
        <v>679</v>
      </c>
      <c r="D8017" s="451">
        <v>110.01</v>
      </c>
      <c r="E8017" s="210"/>
    </row>
    <row r="8018" spans="1:5" ht="25.5">
      <c r="A8018" s="449">
        <v>38106</v>
      </c>
      <c r="B8018" s="450" t="s">
        <v>8840</v>
      </c>
      <c r="C8018" s="449" t="s">
        <v>679</v>
      </c>
      <c r="D8018" s="451">
        <v>14.95</v>
      </c>
      <c r="E8018" s="210"/>
    </row>
    <row r="8019" spans="1:5" ht="38.25">
      <c r="A8019" s="449">
        <v>38085</v>
      </c>
      <c r="B8019" s="450" t="s">
        <v>8841</v>
      </c>
      <c r="C8019" s="449" t="s">
        <v>679</v>
      </c>
      <c r="D8019" s="451">
        <v>17.66</v>
      </c>
      <c r="E8019" s="210"/>
    </row>
    <row r="8020" spans="1:5" ht="25.5">
      <c r="A8020" s="449">
        <v>38599</v>
      </c>
      <c r="B8020" s="450" t="s">
        <v>8842</v>
      </c>
      <c r="C8020" s="449" t="s">
        <v>679</v>
      </c>
      <c r="D8020" s="451">
        <v>4.2300000000000004</v>
      </c>
      <c r="E8020" s="210"/>
    </row>
    <row r="8021" spans="1:5" ht="25.5">
      <c r="A8021" s="449">
        <v>38596</v>
      </c>
      <c r="B8021" s="450" t="s">
        <v>8843</v>
      </c>
      <c r="C8021" s="449" t="s">
        <v>679</v>
      </c>
      <c r="D8021" s="451">
        <v>3.51</v>
      </c>
      <c r="E8021" s="210"/>
    </row>
    <row r="8022" spans="1:5" ht="25.5">
      <c r="A8022" s="449">
        <v>38600</v>
      </c>
      <c r="B8022" s="450" t="s">
        <v>8844</v>
      </c>
      <c r="C8022" s="449" t="s">
        <v>679</v>
      </c>
      <c r="D8022" s="451">
        <v>4.4800000000000004</v>
      </c>
      <c r="E8022" s="210"/>
    </row>
    <row r="8023" spans="1:5" ht="25.5">
      <c r="A8023" s="449">
        <v>38597</v>
      </c>
      <c r="B8023" s="450" t="s">
        <v>8845</v>
      </c>
      <c r="C8023" s="449" t="s">
        <v>679</v>
      </c>
      <c r="D8023" s="451">
        <v>3.53</v>
      </c>
      <c r="E8023" s="210"/>
    </row>
    <row r="8024" spans="1:5" ht="25.5">
      <c r="A8024" s="449">
        <v>659</v>
      </c>
      <c r="B8024" s="450" t="s">
        <v>8846</v>
      </c>
      <c r="C8024" s="449" t="s">
        <v>679</v>
      </c>
      <c r="D8024" s="451">
        <v>2.0299999999999998</v>
      </c>
      <c r="E8024" s="210"/>
    </row>
    <row r="8025" spans="1:5" ht="25.5">
      <c r="A8025" s="449">
        <v>660</v>
      </c>
      <c r="B8025" s="450" t="s">
        <v>8847</v>
      </c>
      <c r="C8025" s="449" t="s">
        <v>679</v>
      </c>
      <c r="D8025" s="451">
        <v>2.4300000000000002</v>
      </c>
      <c r="E8025" s="210"/>
    </row>
    <row r="8026" spans="1:5" ht="25.5">
      <c r="A8026" s="449">
        <v>658</v>
      </c>
      <c r="B8026" s="450" t="s">
        <v>8848</v>
      </c>
      <c r="C8026" s="449" t="s">
        <v>679</v>
      </c>
      <c r="D8026" s="451">
        <v>1.37</v>
      </c>
      <c r="E8026" s="210"/>
    </row>
    <row r="8027" spans="1:5" ht="25.5">
      <c r="A8027" s="449">
        <v>38548</v>
      </c>
      <c r="B8027" s="450" t="s">
        <v>8849</v>
      </c>
      <c r="C8027" s="449" t="s">
        <v>679</v>
      </c>
      <c r="D8027" s="451">
        <v>2.2400000000000002</v>
      </c>
      <c r="E8027" s="210"/>
    </row>
    <row r="8028" spans="1:5" ht="25.5">
      <c r="A8028" s="449">
        <v>34649</v>
      </c>
      <c r="B8028" s="450" t="s">
        <v>8850</v>
      </c>
      <c r="C8028" s="449" t="s">
        <v>679</v>
      </c>
      <c r="D8028" s="451">
        <v>3.03</v>
      </c>
      <c r="E8028" s="210"/>
    </row>
    <row r="8029" spans="1:5" ht="25.5">
      <c r="A8029" s="449">
        <v>34655</v>
      </c>
      <c r="B8029" s="450" t="s">
        <v>8851</v>
      </c>
      <c r="C8029" s="449" t="s">
        <v>679</v>
      </c>
      <c r="D8029" s="451">
        <v>4.0199999999999996</v>
      </c>
      <c r="E8029" s="210"/>
    </row>
    <row r="8030" spans="1:5" ht="25.5">
      <c r="A8030" s="449">
        <v>40607</v>
      </c>
      <c r="B8030" s="450" t="s">
        <v>8852</v>
      </c>
      <c r="C8030" s="449" t="s">
        <v>679</v>
      </c>
      <c r="D8030" s="451">
        <v>3.92</v>
      </c>
      <c r="E8030" s="210"/>
    </row>
    <row r="8031" spans="1:5" ht="38.25">
      <c r="A8031" s="449">
        <v>567</v>
      </c>
      <c r="B8031" s="450" t="s">
        <v>8853</v>
      </c>
      <c r="C8031" s="449" t="s">
        <v>683</v>
      </c>
      <c r="D8031" s="451">
        <v>15.85</v>
      </c>
      <c r="E8031" s="210"/>
    </row>
    <row r="8032" spans="1:5" ht="38.25">
      <c r="A8032" s="449">
        <v>574</v>
      </c>
      <c r="B8032" s="450" t="s">
        <v>8854</v>
      </c>
      <c r="C8032" s="449" t="s">
        <v>683</v>
      </c>
      <c r="D8032" s="451">
        <v>41.68</v>
      </c>
      <c r="E8032" s="210"/>
    </row>
    <row r="8033" spans="1:5" ht="38.25">
      <c r="A8033" s="449">
        <v>568</v>
      </c>
      <c r="B8033" s="450" t="s">
        <v>8855</v>
      </c>
      <c r="C8033" s="449" t="s">
        <v>683</v>
      </c>
      <c r="D8033" s="451">
        <v>87.82</v>
      </c>
      <c r="E8033" s="210"/>
    </row>
    <row r="8034" spans="1:5" ht="25.5">
      <c r="A8034" s="449">
        <v>585</v>
      </c>
      <c r="B8034" s="450" t="s">
        <v>8856</v>
      </c>
      <c r="C8034" s="449" t="s">
        <v>676</v>
      </c>
      <c r="D8034" s="451">
        <v>32.29</v>
      </c>
      <c r="E8034" s="210"/>
    </row>
    <row r="8035" spans="1:5" ht="25.5">
      <c r="A8035" s="449">
        <v>4777</v>
      </c>
      <c r="B8035" s="450" t="s">
        <v>8857</v>
      </c>
      <c r="C8035" s="449" t="s">
        <v>676</v>
      </c>
      <c r="D8035" s="451">
        <v>9.61</v>
      </c>
      <c r="E8035" s="210"/>
    </row>
    <row r="8036" spans="1:5" ht="25.5">
      <c r="A8036" s="449">
        <v>587</v>
      </c>
      <c r="B8036" s="450" t="s">
        <v>8858</v>
      </c>
      <c r="C8036" s="449" t="s">
        <v>676</v>
      </c>
      <c r="D8036" s="451">
        <v>34.6</v>
      </c>
      <c r="E8036" s="210"/>
    </row>
    <row r="8037" spans="1:5" ht="25.5">
      <c r="A8037" s="449">
        <v>590</v>
      </c>
      <c r="B8037" s="450" t="s">
        <v>8859</v>
      </c>
      <c r="C8037" s="449" t="s">
        <v>676</v>
      </c>
      <c r="D8037" s="451">
        <v>33.44</v>
      </c>
      <c r="E8037" s="210"/>
    </row>
    <row r="8038" spans="1:5" ht="25.5">
      <c r="A8038" s="449">
        <v>592</v>
      </c>
      <c r="B8038" s="450" t="s">
        <v>8860</v>
      </c>
      <c r="C8038" s="449" t="s">
        <v>676</v>
      </c>
      <c r="D8038" s="451">
        <v>34.6</v>
      </c>
      <c r="E8038" s="210"/>
    </row>
    <row r="8039" spans="1:5" ht="25.5">
      <c r="A8039" s="449">
        <v>586</v>
      </c>
      <c r="B8039" s="450" t="s">
        <v>8861</v>
      </c>
      <c r="C8039" s="449" t="s">
        <v>683</v>
      </c>
      <c r="D8039" s="451">
        <v>20.34</v>
      </c>
      <c r="E8039" s="210"/>
    </row>
    <row r="8040" spans="1:5" ht="25.5">
      <c r="A8040" s="449">
        <v>591</v>
      </c>
      <c r="B8040" s="450" t="s">
        <v>8862</v>
      </c>
      <c r="C8040" s="449" t="s">
        <v>676</v>
      </c>
      <c r="D8040" s="451">
        <v>32.29</v>
      </c>
      <c r="E8040" s="210"/>
    </row>
    <row r="8041" spans="1:5" ht="25.5">
      <c r="A8041" s="449">
        <v>588</v>
      </c>
      <c r="B8041" s="450" t="s">
        <v>8863</v>
      </c>
      <c r="C8041" s="449" t="s">
        <v>683</v>
      </c>
      <c r="D8041" s="451">
        <v>32.17</v>
      </c>
      <c r="E8041" s="210"/>
    </row>
    <row r="8042" spans="1:5">
      <c r="A8042" s="449">
        <v>589</v>
      </c>
      <c r="B8042" s="450" t="s">
        <v>8864</v>
      </c>
      <c r="C8042" s="449" t="s">
        <v>683</v>
      </c>
      <c r="D8042" s="451">
        <v>54.39</v>
      </c>
      <c r="E8042" s="210"/>
    </row>
    <row r="8043" spans="1:5">
      <c r="A8043" s="449">
        <v>584</v>
      </c>
      <c r="B8043" s="450" t="s">
        <v>8865</v>
      </c>
      <c r="C8043" s="449" t="s">
        <v>683</v>
      </c>
      <c r="D8043" s="451">
        <v>34.36</v>
      </c>
      <c r="E8043" s="210"/>
    </row>
    <row r="8044" spans="1:5" ht="25.5">
      <c r="A8044" s="449">
        <v>1165</v>
      </c>
      <c r="B8044" s="450" t="s">
        <v>8866</v>
      </c>
      <c r="C8044" s="449" t="s">
        <v>679</v>
      </c>
      <c r="D8044" s="451">
        <v>14.36</v>
      </c>
      <c r="E8044" s="210"/>
    </row>
    <row r="8045" spans="1:5" ht="25.5">
      <c r="A8045" s="449">
        <v>1164</v>
      </c>
      <c r="B8045" s="450" t="s">
        <v>8867</v>
      </c>
      <c r="C8045" s="449" t="s">
        <v>679</v>
      </c>
      <c r="D8045" s="451">
        <v>11.63</v>
      </c>
      <c r="E8045" s="210"/>
    </row>
    <row r="8046" spans="1:5" ht="25.5">
      <c r="A8046" s="449">
        <v>1162</v>
      </c>
      <c r="B8046" s="450" t="s">
        <v>8868</v>
      </c>
      <c r="C8046" s="449" t="s">
        <v>679</v>
      </c>
      <c r="D8046" s="451">
        <v>4.04</v>
      </c>
      <c r="E8046" s="210"/>
    </row>
    <row r="8047" spans="1:5" ht="25.5">
      <c r="A8047" s="449">
        <v>12395</v>
      </c>
      <c r="B8047" s="450" t="s">
        <v>8869</v>
      </c>
      <c r="C8047" s="449" t="s">
        <v>679</v>
      </c>
      <c r="D8047" s="451">
        <v>3.93</v>
      </c>
      <c r="E8047" s="210"/>
    </row>
    <row r="8048" spans="1:5" ht="25.5">
      <c r="A8048" s="449">
        <v>1170</v>
      </c>
      <c r="B8048" s="450" t="s">
        <v>8870</v>
      </c>
      <c r="C8048" s="449" t="s">
        <v>679</v>
      </c>
      <c r="D8048" s="451">
        <v>7.62</v>
      </c>
      <c r="E8048" s="210"/>
    </row>
    <row r="8049" spans="1:5" ht="25.5">
      <c r="A8049" s="449">
        <v>1169</v>
      </c>
      <c r="B8049" s="450" t="s">
        <v>8871</v>
      </c>
      <c r="C8049" s="449" t="s">
        <v>679</v>
      </c>
      <c r="D8049" s="451">
        <v>37.42</v>
      </c>
      <c r="E8049" s="210"/>
    </row>
    <row r="8050" spans="1:5" ht="25.5">
      <c r="A8050" s="449">
        <v>1166</v>
      </c>
      <c r="B8050" s="450" t="s">
        <v>8872</v>
      </c>
      <c r="C8050" s="449" t="s">
        <v>679</v>
      </c>
      <c r="D8050" s="451">
        <v>20.74</v>
      </c>
      <c r="E8050" s="210"/>
    </row>
    <row r="8051" spans="1:5" ht="25.5">
      <c r="A8051" s="449">
        <v>1163</v>
      </c>
      <c r="B8051" s="450" t="s">
        <v>8873</v>
      </c>
      <c r="C8051" s="449" t="s">
        <v>679</v>
      </c>
      <c r="D8051" s="451">
        <v>5.23</v>
      </c>
      <c r="E8051" s="210"/>
    </row>
    <row r="8052" spans="1:5" ht="25.5">
      <c r="A8052" s="449">
        <v>12396</v>
      </c>
      <c r="B8052" s="450" t="s">
        <v>8874</v>
      </c>
      <c r="C8052" s="449" t="s">
        <v>679</v>
      </c>
      <c r="D8052" s="451">
        <v>3.93</v>
      </c>
      <c r="E8052" s="210"/>
    </row>
    <row r="8053" spans="1:5" ht="25.5">
      <c r="A8053" s="449">
        <v>1168</v>
      </c>
      <c r="B8053" s="450" t="s">
        <v>8875</v>
      </c>
      <c r="C8053" s="449" t="s">
        <v>679</v>
      </c>
      <c r="D8053" s="451">
        <v>53.34</v>
      </c>
      <c r="E8053" s="210"/>
    </row>
    <row r="8054" spans="1:5" ht="25.5">
      <c r="A8054" s="449">
        <v>1167</v>
      </c>
      <c r="B8054" s="450" t="s">
        <v>8876</v>
      </c>
      <c r="C8054" s="449" t="s">
        <v>679</v>
      </c>
      <c r="D8054" s="451">
        <v>89.22</v>
      </c>
      <c r="E8054" s="210"/>
    </row>
    <row r="8055" spans="1:5" ht="25.5">
      <c r="A8055" s="449">
        <v>36331</v>
      </c>
      <c r="B8055" s="450" t="s">
        <v>8877</v>
      </c>
      <c r="C8055" s="449" t="s">
        <v>679</v>
      </c>
      <c r="D8055" s="451">
        <v>1.96</v>
      </c>
      <c r="E8055" s="210"/>
    </row>
    <row r="8056" spans="1:5" ht="25.5">
      <c r="A8056" s="449">
        <v>36346</v>
      </c>
      <c r="B8056" s="450" t="s">
        <v>8878</v>
      </c>
      <c r="C8056" s="449" t="s">
        <v>679</v>
      </c>
      <c r="D8056" s="451">
        <v>3.37</v>
      </c>
      <c r="E8056" s="210"/>
    </row>
    <row r="8057" spans="1:5" ht="25.5">
      <c r="A8057" s="449">
        <v>1210</v>
      </c>
      <c r="B8057" s="450" t="s">
        <v>8879</v>
      </c>
      <c r="C8057" s="449" t="s">
        <v>679</v>
      </c>
      <c r="D8057" s="451">
        <v>11.85</v>
      </c>
      <c r="E8057" s="210"/>
    </row>
    <row r="8058" spans="1:5" ht="25.5">
      <c r="A8058" s="449">
        <v>1203</v>
      </c>
      <c r="B8058" s="450" t="s">
        <v>8880</v>
      </c>
      <c r="C8058" s="449" t="s">
        <v>679</v>
      </c>
      <c r="D8058" s="451">
        <v>11.48</v>
      </c>
      <c r="E8058" s="210"/>
    </row>
    <row r="8059" spans="1:5" ht="25.5">
      <c r="A8059" s="449">
        <v>1197</v>
      </c>
      <c r="B8059" s="450" t="s">
        <v>8881</v>
      </c>
      <c r="C8059" s="449" t="s">
        <v>679</v>
      </c>
      <c r="D8059" s="451">
        <v>1.47</v>
      </c>
      <c r="E8059" s="210"/>
    </row>
    <row r="8060" spans="1:5" ht="25.5">
      <c r="A8060" s="449">
        <v>1202</v>
      </c>
      <c r="B8060" s="450" t="s">
        <v>8882</v>
      </c>
      <c r="C8060" s="449" t="s">
        <v>679</v>
      </c>
      <c r="D8060" s="451">
        <v>3.95</v>
      </c>
      <c r="E8060" s="210"/>
    </row>
    <row r="8061" spans="1:5" ht="25.5">
      <c r="A8061" s="449">
        <v>1188</v>
      </c>
      <c r="B8061" s="450" t="s">
        <v>8883</v>
      </c>
      <c r="C8061" s="449" t="s">
        <v>679</v>
      </c>
      <c r="D8061" s="451">
        <v>23.34</v>
      </c>
      <c r="E8061" s="210"/>
    </row>
    <row r="8062" spans="1:5">
      <c r="A8062" s="449">
        <v>1211</v>
      </c>
      <c r="B8062" s="450" t="s">
        <v>8884</v>
      </c>
      <c r="C8062" s="449" t="s">
        <v>679</v>
      </c>
      <c r="D8062" s="451">
        <v>12.05</v>
      </c>
      <c r="E8062" s="210"/>
    </row>
    <row r="8063" spans="1:5" ht="25.5">
      <c r="A8063" s="449">
        <v>1198</v>
      </c>
      <c r="B8063" s="450" t="s">
        <v>8885</v>
      </c>
      <c r="C8063" s="449" t="s">
        <v>679</v>
      </c>
      <c r="D8063" s="451">
        <v>2.17</v>
      </c>
      <c r="E8063" s="210"/>
    </row>
    <row r="8064" spans="1:5">
      <c r="A8064" s="449">
        <v>1199</v>
      </c>
      <c r="B8064" s="450" t="s">
        <v>8886</v>
      </c>
      <c r="C8064" s="449" t="s">
        <v>679</v>
      </c>
      <c r="D8064" s="451">
        <v>30.49</v>
      </c>
      <c r="E8064" s="210"/>
    </row>
    <row r="8065" spans="1:5" ht="25.5">
      <c r="A8065" s="449">
        <v>20088</v>
      </c>
      <c r="B8065" s="450" t="s">
        <v>8887</v>
      </c>
      <c r="C8065" s="449" t="s">
        <v>679</v>
      </c>
      <c r="D8065" s="451">
        <v>14.08</v>
      </c>
      <c r="E8065" s="210"/>
    </row>
    <row r="8066" spans="1:5" ht="25.5">
      <c r="A8066" s="449">
        <v>20089</v>
      </c>
      <c r="B8066" s="450" t="s">
        <v>8888</v>
      </c>
      <c r="C8066" s="449" t="s">
        <v>679</v>
      </c>
      <c r="D8066" s="451">
        <v>67.099999999999994</v>
      </c>
      <c r="E8066" s="210"/>
    </row>
    <row r="8067" spans="1:5" ht="25.5">
      <c r="A8067" s="449">
        <v>20087</v>
      </c>
      <c r="B8067" s="450" t="s">
        <v>8889</v>
      </c>
      <c r="C8067" s="449" t="s">
        <v>679</v>
      </c>
      <c r="D8067" s="451">
        <v>10.14</v>
      </c>
      <c r="E8067" s="210"/>
    </row>
    <row r="8068" spans="1:5" ht="25.5">
      <c r="A8068" s="449">
        <v>1200</v>
      </c>
      <c r="B8068" s="450" t="s">
        <v>8890</v>
      </c>
      <c r="C8068" s="449" t="s">
        <v>679</v>
      </c>
      <c r="D8068" s="451">
        <v>8.23</v>
      </c>
      <c r="E8068" s="210"/>
    </row>
    <row r="8069" spans="1:5" ht="25.5">
      <c r="A8069" s="449">
        <v>12909</v>
      </c>
      <c r="B8069" s="450" t="s">
        <v>8891</v>
      </c>
      <c r="C8069" s="449" t="s">
        <v>679</v>
      </c>
      <c r="D8069" s="451">
        <v>3.73</v>
      </c>
      <c r="E8069" s="210"/>
    </row>
    <row r="8070" spans="1:5" ht="25.5">
      <c r="A8070" s="449">
        <v>12910</v>
      </c>
      <c r="B8070" s="450" t="s">
        <v>8892</v>
      </c>
      <c r="C8070" s="449" t="s">
        <v>679</v>
      </c>
      <c r="D8070" s="451">
        <v>6.23</v>
      </c>
      <c r="E8070" s="210"/>
    </row>
    <row r="8071" spans="1:5" ht="25.5">
      <c r="A8071" s="449">
        <v>1184</v>
      </c>
      <c r="B8071" s="450" t="s">
        <v>8893</v>
      </c>
      <c r="C8071" s="449" t="s">
        <v>679</v>
      </c>
      <c r="D8071" s="451">
        <v>74.959999999999994</v>
      </c>
      <c r="E8071" s="210"/>
    </row>
    <row r="8072" spans="1:5" ht="25.5">
      <c r="A8072" s="449">
        <v>1191</v>
      </c>
      <c r="B8072" s="450" t="s">
        <v>8894</v>
      </c>
      <c r="C8072" s="449" t="s">
        <v>679</v>
      </c>
      <c r="D8072" s="451">
        <v>1.06</v>
      </c>
      <c r="E8072" s="210"/>
    </row>
    <row r="8073" spans="1:5" ht="25.5">
      <c r="A8073" s="449">
        <v>1185</v>
      </c>
      <c r="B8073" s="450" t="s">
        <v>8895</v>
      </c>
      <c r="C8073" s="449" t="s">
        <v>679</v>
      </c>
      <c r="D8073" s="451">
        <v>1.21</v>
      </c>
      <c r="E8073" s="210"/>
    </row>
    <row r="8074" spans="1:5" ht="25.5">
      <c r="A8074" s="449">
        <v>1189</v>
      </c>
      <c r="B8074" s="450" t="s">
        <v>8896</v>
      </c>
      <c r="C8074" s="449" t="s">
        <v>679</v>
      </c>
      <c r="D8074" s="451">
        <v>2.11</v>
      </c>
      <c r="E8074" s="210"/>
    </row>
    <row r="8075" spans="1:5" ht="25.5">
      <c r="A8075" s="449">
        <v>1193</v>
      </c>
      <c r="B8075" s="450" t="s">
        <v>8897</v>
      </c>
      <c r="C8075" s="449" t="s">
        <v>679</v>
      </c>
      <c r="D8075" s="451">
        <v>4.0599999999999996</v>
      </c>
      <c r="E8075" s="210"/>
    </row>
    <row r="8076" spans="1:5" ht="25.5">
      <c r="A8076" s="449">
        <v>1194</v>
      </c>
      <c r="B8076" s="450" t="s">
        <v>8898</v>
      </c>
      <c r="C8076" s="449" t="s">
        <v>679</v>
      </c>
      <c r="D8076" s="451">
        <v>7.69</v>
      </c>
      <c r="E8076" s="210"/>
    </row>
    <row r="8077" spans="1:5" ht="25.5">
      <c r="A8077" s="449">
        <v>1195</v>
      </c>
      <c r="B8077" s="450" t="s">
        <v>8899</v>
      </c>
      <c r="C8077" s="449" t="s">
        <v>679</v>
      </c>
      <c r="D8077" s="451">
        <v>11.56</v>
      </c>
      <c r="E8077" s="210"/>
    </row>
    <row r="8078" spans="1:5" ht="25.5">
      <c r="A8078" s="449">
        <v>1204</v>
      </c>
      <c r="B8078" s="450" t="s">
        <v>8900</v>
      </c>
      <c r="C8078" s="449" t="s">
        <v>679</v>
      </c>
      <c r="D8078" s="451">
        <v>21.03</v>
      </c>
      <c r="E8078" s="210"/>
    </row>
    <row r="8079" spans="1:5" ht="25.5">
      <c r="A8079" s="449">
        <v>1205</v>
      </c>
      <c r="B8079" s="450" t="s">
        <v>8901</v>
      </c>
      <c r="C8079" s="449" t="s">
        <v>679</v>
      </c>
      <c r="D8079" s="451">
        <v>49.88</v>
      </c>
      <c r="E8079" s="210"/>
    </row>
    <row r="8080" spans="1:5" ht="25.5">
      <c r="A8080" s="449">
        <v>1207</v>
      </c>
      <c r="B8080" s="450" t="s">
        <v>8902</v>
      </c>
      <c r="C8080" s="449" t="s">
        <v>679</v>
      </c>
      <c r="D8080" s="451">
        <v>36.58</v>
      </c>
      <c r="E8080" s="210"/>
    </row>
    <row r="8081" spans="1:5" ht="25.5">
      <c r="A8081" s="449">
        <v>1206</v>
      </c>
      <c r="B8081" s="450" t="s">
        <v>8903</v>
      </c>
      <c r="C8081" s="449" t="s">
        <v>679</v>
      </c>
      <c r="D8081" s="451">
        <v>9.17</v>
      </c>
      <c r="E8081" s="210"/>
    </row>
    <row r="8082" spans="1:5" ht="25.5">
      <c r="A8082" s="449">
        <v>1183</v>
      </c>
      <c r="B8082" s="450" t="s">
        <v>8904</v>
      </c>
      <c r="C8082" s="449" t="s">
        <v>679</v>
      </c>
      <c r="D8082" s="451">
        <v>23.89</v>
      </c>
      <c r="E8082" s="210"/>
    </row>
    <row r="8083" spans="1:5" ht="25.5">
      <c r="A8083" s="449">
        <v>42685</v>
      </c>
      <c r="B8083" s="450" t="s">
        <v>8905</v>
      </c>
      <c r="C8083" s="449" t="s">
        <v>679</v>
      </c>
      <c r="D8083" s="451">
        <v>96.99</v>
      </c>
      <c r="E8083" s="210"/>
    </row>
    <row r="8084" spans="1:5" ht="25.5">
      <c r="A8084" s="449">
        <v>42686</v>
      </c>
      <c r="B8084" s="450" t="s">
        <v>8906</v>
      </c>
      <c r="C8084" s="449" t="s">
        <v>679</v>
      </c>
      <c r="D8084" s="451">
        <v>151</v>
      </c>
      <c r="E8084" s="210"/>
    </row>
    <row r="8085" spans="1:5" ht="25.5">
      <c r="A8085" s="449">
        <v>12894</v>
      </c>
      <c r="B8085" s="450" t="s">
        <v>8907</v>
      </c>
      <c r="C8085" s="449" t="s">
        <v>679</v>
      </c>
      <c r="D8085" s="451">
        <v>18.46</v>
      </c>
      <c r="E8085" s="210"/>
    </row>
    <row r="8086" spans="1:5" ht="38.25">
      <c r="A8086" s="449">
        <v>12895</v>
      </c>
      <c r="B8086" s="450" t="s">
        <v>8908</v>
      </c>
      <c r="C8086" s="449" t="s">
        <v>679</v>
      </c>
      <c r="D8086" s="451">
        <v>14.2</v>
      </c>
      <c r="E8086" s="210"/>
    </row>
    <row r="8087" spans="1:5" ht="51">
      <c r="A8087" s="449">
        <v>1631</v>
      </c>
      <c r="B8087" s="450" t="s">
        <v>8909</v>
      </c>
      <c r="C8087" s="449" t="s">
        <v>679</v>
      </c>
      <c r="D8087" s="451">
        <v>155.22999999999999</v>
      </c>
      <c r="E8087" s="210"/>
    </row>
    <row r="8088" spans="1:5" ht="51">
      <c r="A8088" s="449">
        <v>1633</v>
      </c>
      <c r="B8088" s="450" t="s">
        <v>8910</v>
      </c>
      <c r="C8088" s="449" t="s">
        <v>679</v>
      </c>
      <c r="D8088" s="451">
        <v>263.75</v>
      </c>
      <c r="E8088" s="210"/>
    </row>
    <row r="8089" spans="1:5" ht="25.5">
      <c r="A8089" s="449">
        <v>10818</v>
      </c>
      <c r="B8089" s="450" t="s">
        <v>8911</v>
      </c>
      <c r="C8089" s="449" t="s">
        <v>676</v>
      </c>
      <c r="D8089" s="451">
        <v>39.42</v>
      </c>
      <c r="E8089" s="210"/>
    </row>
    <row r="8090" spans="1:5" ht="76.5">
      <c r="A8090" s="449">
        <v>39359</v>
      </c>
      <c r="B8090" s="450" t="s">
        <v>8912</v>
      </c>
      <c r="C8090" s="449" t="s">
        <v>679</v>
      </c>
      <c r="D8090" s="451">
        <v>37.130000000000003</v>
      </c>
      <c r="E8090" s="210"/>
    </row>
    <row r="8091" spans="1:5" ht="76.5">
      <c r="A8091" s="449">
        <v>39360</v>
      </c>
      <c r="B8091" s="450" t="s">
        <v>8913</v>
      </c>
      <c r="C8091" s="449" t="s">
        <v>679</v>
      </c>
      <c r="D8091" s="451">
        <v>33.75</v>
      </c>
      <c r="E8091" s="210"/>
    </row>
    <row r="8092" spans="1:5" ht="25.5">
      <c r="A8092" s="449">
        <v>10710</v>
      </c>
      <c r="B8092" s="450" t="s">
        <v>8914</v>
      </c>
      <c r="C8092" s="449" t="s">
        <v>684</v>
      </c>
      <c r="D8092" s="451">
        <v>126.5</v>
      </c>
      <c r="E8092" s="210"/>
    </row>
    <row r="8093" spans="1:5" ht="25.5">
      <c r="A8093" s="449">
        <v>10709</v>
      </c>
      <c r="B8093" s="450" t="s">
        <v>8915</v>
      </c>
      <c r="C8093" s="449" t="s">
        <v>684</v>
      </c>
      <c r="D8093" s="451">
        <v>155.41</v>
      </c>
      <c r="E8093" s="210"/>
    </row>
    <row r="8094" spans="1:5" ht="38.25">
      <c r="A8094" s="449">
        <v>39636</v>
      </c>
      <c r="B8094" s="450" t="s">
        <v>8916</v>
      </c>
      <c r="C8094" s="449" t="s">
        <v>684</v>
      </c>
      <c r="D8094" s="451">
        <v>158.69999999999999</v>
      </c>
      <c r="E8094" s="210"/>
    </row>
    <row r="8095" spans="1:5" ht="38.25">
      <c r="A8095" s="449">
        <v>10708</v>
      </c>
      <c r="B8095" s="450" t="s">
        <v>8917</v>
      </c>
      <c r="C8095" s="449" t="s">
        <v>684</v>
      </c>
      <c r="D8095" s="451">
        <v>48.97</v>
      </c>
      <c r="E8095" s="210"/>
    </row>
    <row r="8096" spans="1:5" ht="38.25">
      <c r="A8096" s="449">
        <v>39635</v>
      </c>
      <c r="B8096" s="450" t="s">
        <v>8918</v>
      </c>
      <c r="C8096" s="449" t="s">
        <v>684</v>
      </c>
      <c r="D8096" s="451">
        <v>83.37</v>
      </c>
      <c r="E8096" s="210"/>
    </row>
    <row r="8097" spans="1:5">
      <c r="A8097" s="449">
        <v>6117</v>
      </c>
      <c r="B8097" s="450" t="s">
        <v>8919</v>
      </c>
      <c r="C8097" s="449" t="s">
        <v>682</v>
      </c>
      <c r="D8097" s="451">
        <v>10.75</v>
      </c>
      <c r="E8097" s="210"/>
    </row>
    <row r="8098" spans="1:5">
      <c r="A8098" s="449">
        <v>40913</v>
      </c>
      <c r="B8098" s="450" t="s">
        <v>8920</v>
      </c>
      <c r="C8098" s="449" t="s">
        <v>797</v>
      </c>
      <c r="D8098" s="451">
        <v>1907.27</v>
      </c>
      <c r="E8098" s="210"/>
    </row>
    <row r="8099" spans="1:5">
      <c r="A8099" s="449">
        <v>1214</v>
      </c>
      <c r="B8099" s="450" t="s">
        <v>8921</v>
      </c>
      <c r="C8099" s="449" t="s">
        <v>682</v>
      </c>
      <c r="D8099" s="451">
        <v>14.91</v>
      </c>
      <c r="E8099" s="210"/>
    </row>
    <row r="8100" spans="1:5">
      <c r="A8100" s="449">
        <v>40915</v>
      </c>
      <c r="B8100" s="450" t="s">
        <v>8922</v>
      </c>
      <c r="C8100" s="449" t="s">
        <v>797</v>
      </c>
      <c r="D8100" s="451">
        <v>2643.34</v>
      </c>
      <c r="E8100" s="210"/>
    </row>
    <row r="8101" spans="1:5">
      <c r="A8101" s="449">
        <v>1213</v>
      </c>
      <c r="B8101" s="450" t="s">
        <v>8923</v>
      </c>
      <c r="C8101" s="449" t="s">
        <v>682</v>
      </c>
      <c r="D8101" s="451">
        <v>13.66</v>
      </c>
      <c r="E8101" s="210"/>
    </row>
    <row r="8102" spans="1:5">
      <c r="A8102" s="449">
        <v>40914</v>
      </c>
      <c r="B8102" s="450" t="s">
        <v>8924</v>
      </c>
      <c r="C8102" s="449" t="s">
        <v>797</v>
      </c>
      <c r="D8102" s="451">
        <v>2420.84</v>
      </c>
      <c r="E8102" s="210"/>
    </row>
    <row r="8103" spans="1:5" ht="38.25">
      <c r="A8103" s="449">
        <v>5091</v>
      </c>
      <c r="B8103" s="450" t="s">
        <v>8925</v>
      </c>
      <c r="C8103" s="449" t="s">
        <v>679</v>
      </c>
      <c r="D8103" s="451">
        <v>20.98</v>
      </c>
      <c r="E8103" s="210"/>
    </row>
    <row r="8104" spans="1:5" ht="51">
      <c r="A8104" s="449">
        <v>14615</v>
      </c>
      <c r="B8104" s="450" t="s">
        <v>8926</v>
      </c>
      <c r="C8104" s="449" t="s">
        <v>679</v>
      </c>
      <c r="D8104" s="451">
        <v>4003.15</v>
      </c>
      <c r="E8104" s="210"/>
    </row>
    <row r="8105" spans="1:5" ht="25.5">
      <c r="A8105" s="449">
        <v>2711</v>
      </c>
      <c r="B8105" s="450" t="s">
        <v>8927</v>
      </c>
      <c r="C8105" s="449" t="s">
        <v>679</v>
      </c>
      <c r="D8105" s="451">
        <v>175.45</v>
      </c>
      <c r="E8105" s="210"/>
    </row>
    <row r="8106" spans="1:5" ht="51">
      <c r="A8106" s="449">
        <v>37727</v>
      </c>
      <c r="B8106" s="450" t="s">
        <v>8928</v>
      </c>
      <c r="C8106" s="449" t="s">
        <v>679</v>
      </c>
      <c r="D8106" s="451">
        <v>17067.5</v>
      </c>
      <c r="E8106" s="210"/>
    </row>
    <row r="8107" spans="1:5" ht="51">
      <c r="A8107" s="449">
        <v>37728</v>
      </c>
      <c r="B8107" s="450" t="s">
        <v>8929</v>
      </c>
      <c r="C8107" s="449" t="s">
        <v>679</v>
      </c>
      <c r="D8107" s="451">
        <v>23154.51</v>
      </c>
      <c r="E8107" s="210"/>
    </row>
    <row r="8108" spans="1:5" ht="51">
      <c r="A8108" s="449">
        <v>37729</v>
      </c>
      <c r="B8108" s="450" t="s">
        <v>8930</v>
      </c>
      <c r="C8108" s="449" t="s">
        <v>679</v>
      </c>
      <c r="D8108" s="451">
        <v>25064.16</v>
      </c>
      <c r="E8108" s="210"/>
    </row>
    <row r="8109" spans="1:5" ht="51">
      <c r="A8109" s="449">
        <v>37730</v>
      </c>
      <c r="B8109" s="450" t="s">
        <v>8931</v>
      </c>
      <c r="C8109" s="449" t="s">
        <v>679</v>
      </c>
      <c r="D8109" s="451">
        <v>26973.81</v>
      </c>
      <c r="E8109" s="210"/>
    </row>
    <row r="8110" spans="1:5" ht="51">
      <c r="A8110" s="449">
        <v>37731</v>
      </c>
      <c r="B8110" s="450" t="s">
        <v>8932</v>
      </c>
      <c r="C8110" s="449" t="s">
        <v>679</v>
      </c>
      <c r="D8110" s="451">
        <v>28883.46</v>
      </c>
      <c r="E8110" s="210"/>
    </row>
    <row r="8111" spans="1:5" ht="51">
      <c r="A8111" s="449">
        <v>37732</v>
      </c>
      <c r="B8111" s="450" t="s">
        <v>8933</v>
      </c>
      <c r="C8111" s="449" t="s">
        <v>679</v>
      </c>
      <c r="D8111" s="451">
        <v>32941.46</v>
      </c>
      <c r="E8111" s="210"/>
    </row>
    <row r="8112" spans="1:5" ht="38.25">
      <c r="A8112" s="449">
        <v>42250</v>
      </c>
      <c r="B8112" s="450" t="s">
        <v>8934</v>
      </c>
      <c r="C8112" s="449" t="s">
        <v>685</v>
      </c>
      <c r="D8112" s="451">
        <v>2134.7600000000002</v>
      </c>
      <c r="E8112" s="210"/>
    </row>
    <row r="8113" spans="1:5" ht="51">
      <c r="A8113" s="449">
        <v>42256</v>
      </c>
      <c r="B8113" s="450" t="s">
        <v>8935</v>
      </c>
      <c r="C8113" s="449" t="s">
        <v>676</v>
      </c>
      <c r="D8113" s="451">
        <v>6.01</v>
      </c>
      <c r="E8113" s="210"/>
    </row>
    <row r="8114" spans="1:5">
      <c r="A8114" s="449">
        <v>4743</v>
      </c>
      <c r="B8114" s="450" t="s">
        <v>8936</v>
      </c>
      <c r="C8114" s="449" t="s">
        <v>677</v>
      </c>
      <c r="D8114" s="451">
        <v>46.31</v>
      </c>
      <c r="E8114" s="210"/>
    </row>
    <row r="8115" spans="1:5">
      <c r="A8115" s="449">
        <v>4744</v>
      </c>
      <c r="B8115" s="450" t="s">
        <v>8937</v>
      </c>
      <c r="C8115" s="449" t="s">
        <v>677</v>
      </c>
      <c r="D8115" s="451">
        <v>74.099999999999994</v>
      </c>
      <c r="E8115" s="210"/>
    </row>
    <row r="8116" spans="1:5">
      <c r="A8116" s="449">
        <v>4745</v>
      </c>
      <c r="B8116" s="450" t="s">
        <v>8938</v>
      </c>
      <c r="C8116" s="449" t="s">
        <v>677</v>
      </c>
      <c r="D8116" s="451">
        <v>88.88</v>
      </c>
      <c r="E8116" s="210"/>
    </row>
    <row r="8117" spans="1:5" ht="76.5">
      <c r="A8117" s="449">
        <v>36496</v>
      </c>
      <c r="B8117" s="450" t="s">
        <v>8939</v>
      </c>
      <c r="C8117" s="449" t="s">
        <v>679</v>
      </c>
      <c r="D8117" s="451">
        <v>10163.93</v>
      </c>
      <c r="E8117" s="210"/>
    </row>
    <row r="8118" spans="1:5" ht="63.75">
      <c r="A8118" s="449">
        <v>10630</v>
      </c>
      <c r="B8118" s="450" t="s">
        <v>8940</v>
      </c>
      <c r="C8118" s="449" t="s">
        <v>679</v>
      </c>
      <c r="D8118" s="451">
        <v>571751.23</v>
      </c>
      <c r="E8118" s="210"/>
    </row>
    <row r="8119" spans="1:5" ht="63.75">
      <c r="A8119" s="449">
        <v>37762</v>
      </c>
      <c r="B8119" s="450" t="s">
        <v>8941</v>
      </c>
      <c r="C8119" s="449" t="s">
        <v>679</v>
      </c>
      <c r="D8119" s="451">
        <v>490356.14</v>
      </c>
      <c r="E8119" s="210"/>
    </row>
    <row r="8120" spans="1:5" ht="63.75">
      <c r="A8120" s="449">
        <v>37763</v>
      </c>
      <c r="B8120" s="450" t="s">
        <v>8942</v>
      </c>
      <c r="C8120" s="449" t="s">
        <v>679</v>
      </c>
      <c r="D8120" s="451">
        <v>496311.86</v>
      </c>
      <c r="E8120" s="210"/>
    </row>
    <row r="8121" spans="1:5" ht="51">
      <c r="A8121" s="449">
        <v>41992</v>
      </c>
      <c r="B8121" s="450" t="s">
        <v>8943</v>
      </c>
      <c r="C8121" s="449" t="s">
        <v>679</v>
      </c>
      <c r="D8121" s="451">
        <v>564207.32999999996</v>
      </c>
      <c r="E8121" s="210"/>
    </row>
    <row r="8122" spans="1:5" ht="63.75">
      <c r="A8122" s="449">
        <v>13215</v>
      </c>
      <c r="B8122" s="450" t="s">
        <v>8944</v>
      </c>
      <c r="C8122" s="449" t="s">
        <v>679</v>
      </c>
      <c r="D8122" s="451">
        <v>691858.73</v>
      </c>
      <c r="E8122" s="210"/>
    </row>
    <row r="8123" spans="1:5" ht="25.5">
      <c r="A8123" s="449">
        <v>4235</v>
      </c>
      <c r="B8123" s="450" t="s">
        <v>8945</v>
      </c>
      <c r="C8123" s="449" t="s">
        <v>682</v>
      </c>
      <c r="D8123" s="451">
        <v>8.4</v>
      </c>
      <c r="E8123" s="210"/>
    </row>
    <row r="8124" spans="1:5" ht="25.5">
      <c r="A8124" s="449">
        <v>40976</v>
      </c>
      <c r="B8124" s="450" t="s">
        <v>8946</v>
      </c>
      <c r="C8124" s="449" t="s">
        <v>797</v>
      </c>
      <c r="D8124" s="451">
        <v>1489.88</v>
      </c>
      <c r="E8124" s="210"/>
    </row>
    <row r="8125" spans="1:5" ht="38.25">
      <c r="A8125" s="449">
        <v>39013</v>
      </c>
      <c r="B8125" s="450" t="s">
        <v>8947</v>
      </c>
      <c r="C8125" s="449" t="s">
        <v>679</v>
      </c>
      <c r="D8125" s="451">
        <v>1.43</v>
      </c>
      <c r="E8125" s="210"/>
    </row>
    <row r="8126" spans="1:5" ht="63.75">
      <c r="A8126" s="449">
        <v>43091</v>
      </c>
      <c r="B8126" s="450" t="s">
        <v>8948</v>
      </c>
      <c r="C8126" s="449" t="s">
        <v>679</v>
      </c>
      <c r="D8126" s="451">
        <v>5248.26</v>
      </c>
      <c r="E8126" s="210"/>
    </row>
    <row r="8127" spans="1:5" ht="63.75">
      <c r="A8127" s="449">
        <v>43092</v>
      </c>
      <c r="B8127" s="450" t="s">
        <v>8949</v>
      </c>
      <c r="C8127" s="449" t="s">
        <v>679</v>
      </c>
      <c r="D8127" s="451">
        <v>6997.68</v>
      </c>
      <c r="E8127" s="210"/>
    </row>
    <row r="8128" spans="1:5" ht="63.75">
      <c r="A8128" s="449">
        <v>43089</v>
      </c>
      <c r="B8128" s="450" t="s">
        <v>8950</v>
      </c>
      <c r="C8128" s="449" t="s">
        <v>679</v>
      </c>
      <c r="D8128" s="451">
        <v>1219.54</v>
      </c>
      <c r="E8128" s="210"/>
    </row>
    <row r="8129" spans="1:5" ht="63.75">
      <c r="A8129" s="449">
        <v>43090</v>
      </c>
      <c r="B8129" s="450" t="s">
        <v>8951</v>
      </c>
      <c r="C8129" s="449" t="s">
        <v>679</v>
      </c>
      <c r="D8129" s="451">
        <v>2691.41</v>
      </c>
      <c r="E8129" s="210"/>
    </row>
    <row r="8130" spans="1:5">
      <c r="A8130" s="449">
        <v>41967</v>
      </c>
      <c r="B8130" s="450" t="s">
        <v>8952</v>
      </c>
      <c r="C8130" s="449" t="s">
        <v>678</v>
      </c>
      <c r="D8130" s="451">
        <v>7.52</v>
      </c>
      <c r="E8130" s="210"/>
    </row>
    <row r="8131" spans="1:5" ht="38.25">
      <c r="A8131" s="449">
        <v>12760</v>
      </c>
      <c r="B8131" s="450" t="s">
        <v>8953</v>
      </c>
      <c r="C8131" s="449" t="s">
        <v>684</v>
      </c>
      <c r="D8131" s="451">
        <v>1379.9</v>
      </c>
      <c r="E8131" s="210"/>
    </row>
    <row r="8132" spans="1:5" ht="38.25">
      <c r="A8132" s="449">
        <v>12759</v>
      </c>
      <c r="B8132" s="450" t="s">
        <v>8954</v>
      </c>
      <c r="C8132" s="449" t="s">
        <v>684</v>
      </c>
      <c r="D8132" s="451">
        <v>919.92</v>
      </c>
      <c r="E8132" s="210"/>
    </row>
    <row r="8133" spans="1:5" ht="51">
      <c r="A8133" s="449">
        <v>43105</v>
      </c>
      <c r="B8133" s="450" t="s">
        <v>8955</v>
      </c>
      <c r="C8133" s="449" t="s">
        <v>676</v>
      </c>
      <c r="D8133" s="451">
        <v>40.08</v>
      </c>
      <c r="E8133" s="210"/>
    </row>
    <row r="8134" spans="1:5" ht="38.25">
      <c r="A8134" s="449">
        <v>40424</v>
      </c>
      <c r="B8134" s="450" t="s">
        <v>8956</v>
      </c>
      <c r="C8134" s="449" t="s">
        <v>676</v>
      </c>
      <c r="D8134" s="451">
        <v>10.18</v>
      </c>
      <c r="E8134" s="210"/>
    </row>
    <row r="8135" spans="1:5" ht="25.5">
      <c r="A8135" s="449">
        <v>1325</v>
      </c>
      <c r="B8135" s="450" t="s">
        <v>8957</v>
      </c>
      <c r="C8135" s="449" t="s">
        <v>676</v>
      </c>
      <c r="D8135" s="451">
        <v>11.15</v>
      </c>
      <c r="E8135" s="210"/>
    </row>
    <row r="8136" spans="1:5" ht="25.5">
      <c r="A8136" s="449">
        <v>1327</v>
      </c>
      <c r="B8136" s="450" t="s">
        <v>8958</v>
      </c>
      <c r="C8136" s="449" t="s">
        <v>676</v>
      </c>
      <c r="D8136" s="451">
        <v>11.88</v>
      </c>
      <c r="E8136" s="210"/>
    </row>
    <row r="8137" spans="1:5" ht="25.5">
      <c r="A8137" s="449">
        <v>1328</v>
      </c>
      <c r="B8137" s="450" t="s">
        <v>8959</v>
      </c>
      <c r="C8137" s="449" t="s">
        <v>676</v>
      </c>
      <c r="D8137" s="451">
        <v>11.18</v>
      </c>
      <c r="E8137" s="210"/>
    </row>
    <row r="8138" spans="1:5" ht="25.5">
      <c r="A8138" s="449">
        <v>1321</v>
      </c>
      <c r="B8138" s="450" t="s">
        <v>8960</v>
      </c>
      <c r="C8138" s="449" t="s">
        <v>676</v>
      </c>
      <c r="D8138" s="451">
        <v>10.35</v>
      </c>
      <c r="E8138" s="210"/>
    </row>
    <row r="8139" spans="1:5" ht="25.5">
      <c r="A8139" s="449">
        <v>1318</v>
      </c>
      <c r="B8139" s="450" t="s">
        <v>8961</v>
      </c>
      <c r="C8139" s="449" t="s">
        <v>676</v>
      </c>
      <c r="D8139" s="451">
        <v>10.36</v>
      </c>
      <c r="E8139" s="210"/>
    </row>
    <row r="8140" spans="1:5" ht="25.5">
      <c r="A8140" s="449">
        <v>1322</v>
      </c>
      <c r="B8140" s="450" t="s">
        <v>8962</v>
      </c>
      <c r="C8140" s="449" t="s">
        <v>676</v>
      </c>
      <c r="D8140" s="451">
        <v>10.94</v>
      </c>
      <c r="E8140" s="210"/>
    </row>
    <row r="8141" spans="1:5" ht="25.5">
      <c r="A8141" s="449">
        <v>1323</v>
      </c>
      <c r="B8141" s="450" t="s">
        <v>8963</v>
      </c>
      <c r="C8141" s="449" t="s">
        <v>676</v>
      </c>
      <c r="D8141" s="451">
        <v>10.94</v>
      </c>
      <c r="E8141" s="210"/>
    </row>
    <row r="8142" spans="1:5" ht="25.5">
      <c r="A8142" s="449">
        <v>1319</v>
      </c>
      <c r="B8142" s="450" t="s">
        <v>8964</v>
      </c>
      <c r="C8142" s="449" t="s">
        <v>676</v>
      </c>
      <c r="D8142" s="451">
        <v>9.2200000000000006</v>
      </c>
      <c r="E8142" s="210"/>
    </row>
    <row r="8143" spans="1:5" ht="25.5">
      <c r="A8143" s="449">
        <v>11026</v>
      </c>
      <c r="B8143" s="450" t="s">
        <v>8965</v>
      </c>
      <c r="C8143" s="449" t="s">
        <v>676</v>
      </c>
      <c r="D8143" s="451">
        <v>12.69</v>
      </c>
      <c r="E8143" s="210"/>
    </row>
    <row r="8144" spans="1:5" ht="25.5">
      <c r="A8144" s="449">
        <v>11027</v>
      </c>
      <c r="B8144" s="450" t="s">
        <v>8966</v>
      </c>
      <c r="C8144" s="449" t="s">
        <v>676</v>
      </c>
      <c r="D8144" s="451">
        <v>13.2</v>
      </c>
      <c r="E8144" s="210"/>
    </row>
    <row r="8145" spans="1:5" ht="25.5">
      <c r="A8145" s="449">
        <v>11046</v>
      </c>
      <c r="B8145" s="450" t="s">
        <v>8967</v>
      </c>
      <c r="C8145" s="449" t="s">
        <v>676</v>
      </c>
      <c r="D8145" s="451">
        <v>12.65</v>
      </c>
      <c r="E8145" s="210"/>
    </row>
    <row r="8146" spans="1:5" ht="25.5">
      <c r="A8146" s="449">
        <v>11047</v>
      </c>
      <c r="B8146" s="450" t="s">
        <v>8968</v>
      </c>
      <c r="C8146" s="449" t="s">
        <v>676</v>
      </c>
      <c r="D8146" s="451">
        <v>13.79</v>
      </c>
      <c r="E8146" s="210"/>
    </row>
    <row r="8147" spans="1:5" ht="25.5">
      <c r="A8147" s="449">
        <v>43668</v>
      </c>
      <c r="B8147" s="450" t="s">
        <v>8969</v>
      </c>
      <c r="C8147" s="449" t="s">
        <v>676</v>
      </c>
      <c r="D8147" s="451">
        <v>12.17</v>
      </c>
      <c r="E8147" s="210"/>
    </row>
    <row r="8148" spans="1:5" ht="25.5">
      <c r="A8148" s="449">
        <v>11049</v>
      </c>
      <c r="B8148" s="450" t="s">
        <v>8970</v>
      </c>
      <c r="C8148" s="449" t="s">
        <v>676</v>
      </c>
      <c r="D8148" s="451">
        <v>13.18</v>
      </c>
      <c r="E8148" s="210"/>
    </row>
    <row r="8149" spans="1:5" ht="25.5">
      <c r="A8149" s="449">
        <v>43106</v>
      </c>
      <c r="B8149" s="450" t="s">
        <v>8971</v>
      </c>
      <c r="C8149" s="449" t="s">
        <v>676</v>
      </c>
      <c r="D8149" s="451">
        <v>13.26</v>
      </c>
      <c r="E8149" s="210"/>
    </row>
    <row r="8150" spans="1:5" ht="25.5">
      <c r="A8150" s="449">
        <v>11051</v>
      </c>
      <c r="B8150" s="450" t="s">
        <v>8972</v>
      </c>
      <c r="C8150" s="449" t="s">
        <v>676</v>
      </c>
      <c r="D8150" s="451">
        <v>13.83</v>
      </c>
      <c r="E8150" s="210"/>
    </row>
    <row r="8151" spans="1:5" ht="25.5">
      <c r="A8151" s="449">
        <v>11061</v>
      </c>
      <c r="B8151" s="450" t="s">
        <v>8973</v>
      </c>
      <c r="C8151" s="449" t="s">
        <v>676</v>
      </c>
      <c r="D8151" s="451">
        <v>16.600000000000001</v>
      </c>
      <c r="E8151" s="210"/>
    </row>
    <row r="8152" spans="1:5" ht="25.5">
      <c r="A8152" s="449">
        <v>43667</v>
      </c>
      <c r="B8152" s="450" t="s">
        <v>8974</v>
      </c>
      <c r="C8152" s="449" t="s">
        <v>676</v>
      </c>
      <c r="D8152" s="451">
        <v>12.06</v>
      </c>
      <c r="E8152" s="210"/>
    </row>
    <row r="8153" spans="1:5" ht="25.5">
      <c r="A8153" s="449">
        <v>1333</v>
      </c>
      <c r="B8153" s="450" t="s">
        <v>8975</v>
      </c>
      <c r="C8153" s="449" t="s">
        <v>676</v>
      </c>
      <c r="D8153" s="451">
        <v>10.050000000000001</v>
      </c>
      <c r="E8153" s="210"/>
    </row>
    <row r="8154" spans="1:5" ht="25.5">
      <c r="A8154" s="449">
        <v>1330</v>
      </c>
      <c r="B8154" s="450" t="s">
        <v>8976</v>
      </c>
      <c r="C8154" s="449" t="s">
        <v>676</v>
      </c>
      <c r="D8154" s="451">
        <v>9.9600000000000009</v>
      </c>
      <c r="E8154" s="210"/>
    </row>
    <row r="8155" spans="1:5" ht="25.5">
      <c r="A8155" s="449">
        <v>10957</v>
      </c>
      <c r="B8155" s="450" t="s">
        <v>8977</v>
      </c>
      <c r="C8155" s="449" t="s">
        <v>676</v>
      </c>
      <c r="D8155" s="451">
        <v>11.48</v>
      </c>
      <c r="E8155" s="210"/>
    </row>
    <row r="8156" spans="1:5" ht="25.5">
      <c r="A8156" s="449">
        <v>1332</v>
      </c>
      <c r="B8156" s="450" t="s">
        <v>8978</v>
      </c>
      <c r="C8156" s="449" t="s">
        <v>676</v>
      </c>
      <c r="D8156" s="451">
        <v>10.210000000000001</v>
      </c>
      <c r="E8156" s="210"/>
    </row>
    <row r="8157" spans="1:5" ht="25.5">
      <c r="A8157" s="449">
        <v>1334</v>
      </c>
      <c r="B8157" s="450" t="s">
        <v>8979</v>
      </c>
      <c r="C8157" s="449" t="s">
        <v>676</v>
      </c>
      <c r="D8157" s="451">
        <v>11.32</v>
      </c>
      <c r="E8157" s="210"/>
    </row>
    <row r="8158" spans="1:5" ht="25.5">
      <c r="A8158" s="449">
        <v>1335</v>
      </c>
      <c r="B8158" s="450" t="s">
        <v>8980</v>
      </c>
      <c r="C8158" s="449" t="s">
        <v>676</v>
      </c>
      <c r="D8158" s="451">
        <v>11.7</v>
      </c>
      <c r="E8158" s="210"/>
    </row>
    <row r="8159" spans="1:5" ht="25.5">
      <c r="A8159" s="449">
        <v>40425</v>
      </c>
      <c r="B8159" s="450" t="s">
        <v>8981</v>
      </c>
      <c r="C8159" s="449" t="s">
        <v>676</v>
      </c>
      <c r="D8159" s="451">
        <v>10.01</v>
      </c>
      <c r="E8159" s="210"/>
    </row>
    <row r="8160" spans="1:5" ht="25.5">
      <c r="A8160" s="449">
        <v>1337</v>
      </c>
      <c r="B8160" s="450" t="s">
        <v>8982</v>
      </c>
      <c r="C8160" s="449" t="s">
        <v>676</v>
      </c>
      <c r="D8160" s="451">
        <v>11.48</v>
      </c>
      <c r="E8160" s="210"/>
    </row>
    <row r="8161" spans="1:5" ht="25.5">
      <c r="A8161" s="449">
        <v>1338</v>
      </c>
      <c r="B8161" s="450" t="s">
        <v>8983</v>
      </c>
      <c r="C8161" s="449" t="s">
        <v>684</v>
      </c>
      <c r="D8161" s="451">
        <v>40.22</v>
      </c>
      <c r="E8161" s="210"/>
    </row>
    <row r="8162" spans="1:5" ht="25.5">
      <c r="A8162" s="449">
        <v>1340</v>
      </c>
      <c r="B8162" s="450" t="s">
        <v>8984</v>
      </c>
      <c r="C8162" s="449" t="s">
        <v>684</v>
      </c>
      <c r="D8162" s="451">
        <v>46.5</v>
      </c>
      <c r="E8162" s="210"/>
    </row>
    <row r="8163" spans="1:5" ht="25.5">
      <c r="A8163" s="449">
        <v>1341</v>
      </c>
      <c r="B8163" s="450" t="s">
        <v>8985</v>
      </c>
      <c r="C8163" s="449" t="s">
        <v>684</v>
      </c>
      <c r="D8163" s="451">
        <v>44.78</v>
      </c>
      <c r="E8163" s="210"/>
    </row>
    <row r="8164" spans="1:5" ht="25.5">
      <c r="A8164" s="449">
        <v>11134</v>
      </c>
      <c r="B8164" s="450" t="s">
        <v>8986</v>
      </c>
      <c r="C8164" s="449" t="s">
        <v>684</v>
      </c>
      <c r="D8164" s="451">
        <v>49.81</v>
      </c>
      <c r="E8164" s="210"/>
    </row>
    <row r="8165" spans="1:5" ht="25.5">
      <c r="A8165" s="449">
        <v>11135</v>
      </c>
      <c r="B8165" s="450" t="s">
        <v>8987</v>
      </c>
      <c r="C8165" s="449" t="s">
        <v>684</v>
      </c>
      <c r="D8165" s="451">
        <v>60.72</v>
      </c>
      <c r="E8165" s="210"/>
    </row>
    <row r="8166" spans="1:5" ht="25.5">
      <c r="A8166" s="449">
        <v>11136</v>
      </c>
      <c r="B8166" s="450" t="s">
        <v>8988</v>
      </c>
      <c r="C8166" s="449" t="s">
        <v>684</v>
      </c>
      <c r="D8166" s="451">
        <v>65.680000000000007</v>
      </c>
      <c r="E8166" s="210"/>
    </row>
    <row r="8167" spans="1:5" ht="25.5">
      <c r="A8167" s="449">
        <v>34743</v>
      </c>
      <c r="B8167" s="450" t="s">
        <v>8989</v>
      </c>
      <c r="C8167" s="449" t="s">
        <v>684</v>
      </c>
      <c r="D8167" s="451">
        <v>83.61</v>
      </c>
      <c r="E8167" s="210"/>
    </row>
    <row r="8168" spans="1:5" ht="25.5">
      <c r="A8168" s="449">
        <v>11137</v>
      </c>
      <c r="B8168" s="450" t="s">
        <v>8990</v>
      </c>
      <c r="C8168" s="449" t="s">
        <v>684</v>
      </c>
      <c r="D8168" s="451">
        <v>93.24</v>
      </c>
      <c r="E8168" s="210"/>
    </row>
    <row r="8169" spans="1:5" ht="25.5">
      <c r="A8169" s="449">
        <v>34745</v>
      </c>
      <c r="B8169" s="450" t="s">
        <v>8991</v>
      </c>
      <c r="C8169" s="449" t="s">
        <v>684</v>
      </c>
      <c r="D8169" s="451">
        <v>106.26</v>
      </c>
      <c r="E8169" s="210"/>
    </row>
    <row r="8170" spans="1:5" ht="25.5">
      <c r="A8170" s="449">
        <v>34746</v>
      </c>
      <c r="B8170" s="450" t="s">
        <v>8992</v>
      </c>
      <c r="C8170" s="449" t="s">
        <v>684</v>
      </c>
      <c r="D8170" s="451">
        <v>27.36</v>
      </c>
      <c r="E8170" s="210"/>
    </row>
    <row r="8171" spans="1:5" ht="25.5">
      <c r="A8171" s="449">
        <v>1360</v>
      </c>
      <c r="B8171" s="450" t="s">
        <v>8993</v>
      </c>
      <c r="C8171" s="449" t="s">
        <v>684</v>
      </c>
      <c r="D8171" s="451">
        <v>33.799999999999997</v>
      </c>
      <c r="E8171" s="210"/>
    </row>
    <row r="8172" spans="1:5" ht="38.25">
      <c r="A8172" s="449">
        <v>1346</v>
      </c>
      <c r="B8172" s="450" t="s">
        <v>8994</v>
      </c>
      <c r="C8172" s="449" t="s">
        <v>684</v>
      </c>
      <c r="D8172" s="451">
        <v>29.44</v>
      </c>
      <c r="E8172" s="210"/>
    </row>
    <row r="8173" spans="1:5" ht="38.25">
      <c r="A8173" s="449">
        <v>1345</v>
      </c>
      <c r="B8173" s="450" t="s">
        <v>8995</v>
      </c>
      <c r="C8173" s="449" t="s">
        <v>684</v>
      </c>
      <c r="D8173" s="451">
        <v>47.7</v>
      </c>
      <c r="E8173" s="210"/>
    </row>
    <row r="8174" spans="1:5" ht="38.25">
      <c r="A8174" s="449">
        <v>1347</v>
      </c>
      <c r="B8174" s="450" t="s">
        <v>8996</v>
      </c>
      <c r="C8174" s="449" t="s">
        <v>684</v>
      </c>
      <c r="D8174" s="451">
        <v>35.18</v>
      </c>
      <c r="E8174" s="210"/>
    </row>
    <row r="8175" spans="1:5" ht="38.25">
      <c r="A8175" s="449">
        <v>1355</v>
      </c>
      <c r="B8175" s="450" t="s">
        <v>8997</v>
      </c>
      <c r="C8175" s="449" t="s">
        <v>684</v>
      </c>
      <c r="D8175" s="451">
        <v>34.880000000000003</v>
      </c>
      <c r="E8175" s="210"/>
    </row>
    <row r="8176" spans="1:5" ht="38.25">
      <c r="A8176" s="449">
        <v>1358</v>
      </c>
      <c r="B8176" s="450" t="s">
        <v>8998</v>
      </c>
      <c r="C8176" s="449" t="s">
        <v>684</v>
      </c>
      <c r="D8176" s="451">
        <v>40.409999999999997</v>
      </c>
      <c r="E8176" s="210"/>
    </row>
    <row r="8177" spans="1:5" ht="25.5">
      <c r="A8177" s="449">
        <v>34659</v>
      </c>
      <c r="B8177" s="450" t="s">
        <v>8999</v>
      </c>
      <c r="C8177" s="449" t="s">
        <v>684</v>
      </c>
      <c r="D8177" s="451">
        <v>44.93</v>
      </c>
      <c r="E8177" s="210"/>
    </row>
    <row r="8178" spans="1:5" ht="25.5">
      <c r="A8178" s="449">
        <v>34514</v>
      </c>
      <c r="B8178" s="450" t="s">
        <v>9000</v>
      </c>
      <c r="C8178" s="449" t="s">
        <v>684</v>
      </c>
      <c r="D8178" s="451">
        <v>49.77</v>
      </c>
      <c r="E8178" s="210"/>
    </row>
    <row r="8179" spans="1:5" ht="25.5">
      <c r="A8179" s="449">
        <v>34660</v>
      </c>
      <c r="B8179" s="450" t="s">
        <v>9001</v>
      </c>
      <c r="C8179" s="449" t="s">
        <v>684</v>
      </c>
      <c r="D8179" s="451">
        <v>63.16</v>
      </c>
      <c r="E8179" s="210"/>
    </row>
    <row r="8180" spans="1:5" ht="25.5">
      <c r="A8180" s="449">
        <v>34661</v>
      </c>
      <c r="B8180" s="450" t="s">
        <v>9002</v>
      </c>
      <c r="C8180" s="449" t="s">
        <v>684</v>
      </c>
      <c r="D8180" s="451">
        <v>90.72</v>
      </c>
      <c r="E8180" s="210"/>
    </row>
    <row r="8181" spans="1:5" ht="25.5">
      <c r="A8181" s="449">
        <v>34667</v>
      </c>
      <c r="B8181" s="450" t="s">
        <v>9003</v>
      </c>
      <c r="C8181" s="449" t="s">
        <v>684</v>
      </c>
      <c r="D8181" s="451">
        <v>32.85</v>
      </c>
      <c r="E8181" s="210"/>
    </row>
    <row r="8182" spans="1:5" ht="25.5">
      <c r="A8182" s="449">
        <v>34668</v>
      </c>
      <c r="B8182" s="450" t="s">
        <v>9004</v>
      </c>
      <c r="C8182" s="449" t="s">
        <v>684</v>
      </c>
      <c r="D8182" s="451">
        <v>42.93</v>
      </c>
      <c r="E8182" s="210"/>
    </row>
    <row r="8183" spans="1:5" ht="25.5">
      <c r="A8183" s="449">
        <v>34741</v>
      </c>
      <c r="B8183" s="450" t="s">
        <v>9005</v>
      </c>
      <c r="C8183" s="449" t="s">
        <v>684</v>
      </c>
      <c r="D8183" s="451">
        <v>47.23</v>
      </c>
      <c r="E8183" s="210"/>
    </row>
    <row r="8184" spans="1:5" ht="25.5">
      <c r="A8184" s="449">
        <v>34664</v>
      </c>
      <c r="B8184" s="450" t="s">
        <v>9006</v>
      </c>
      <c r="C8184" s="449" t="s">
        <v>684</v>
      </c>
      <c r="D8184" s="451">
        <v>51.55</v>
      </c>
      <c r="E8184" s="210"/>
    </row>
    <row r="8185" spans="1:5" ht="25.5">
      <c r="A8185" s="449">
        <v>34665</v>
      </c>
      <c r="B8185" s="450" t="s">
        <v>9007</v>
      </c>
      <c r="C8185" s="449" t="s">
        <v>684</v>
      </c>
      <c r="D8185" s="451">
        <v>63.99</v>
      </c>
      <c r="E8185" s="210"/>
    </row>
    <row r="8186" spans="1:5" ht="25.5">
      <c r="A8186" s="449">
        <v>34666</v>
      </c>
      <c r="B8186" s="450" t="s">
        <v>9008</v>
      </c>
      <c r="C8186" s="449" t="s">
        <v>684</v>
      </c>
      <c r="D8186" s="451">
        <v>96.65</v>
      </c>
      <c r="E8186" s="210"/>
    </row>
    <row r="8187" spans="1:5" ht="25.5">
      <c r="A8187" s="449">
        <v>34669</v>
      </c>
      <c r="B8187" s="450" t="s">
        <v>9009</v>
      </c>
      <c r="C8187" s="449" t="s">
        <v>684</v>
      </c>
      <c r="D8187" s="451">
        <v>35.44</v>
      </c>
      <c r="E8187" s="210"/>
    </row>
    <row r="8188" spans="1:5" ht="25.5">
      <c r="A8188" s="449">
        <v>34670</v>
      </c>
      <c r="B8188" s="450" t="s">
        <v>9010</v>
      </c>
      <c r="C8188" s="449" t="s">
        <v>684</v>
      </c>
      <c r="D8188" s="451">
        <v>43.34</v>
      </c>
      <c r="E8188" s="210"/>
    </row>
    <row r="8189" spans="1:5" ht="25.5">
      <c r="A8189" s="449">
        <v>34671</v>
      </c>
      <c r="B8189" s="450" t="s">
        <v>9011</v>
      </c>
      <c r="C8189" s="449" t="s">
        <v>684</v>
      </c>
      <c r="D8189" s="451">
        <v>36.18</v>
      </c>
      <c r="E8189" s="210"/>
    </row>
    <row r="8190" spans="1:5" ht="25.5">
      <c r="A8190" s="449">
        <v>34672</v>
      </c>
      <c r="B8190" s="450" t="s">
        <v>9012</v>
      </c>
      <c r="C8190" s="449" t="s">
        <v>684</v>
      </c>
      <c r="D8190" s="451">
        <v>38.15</v>
      </c>
      <c r="E8190" s="210"/>
    </row>
    <row r="8191" spans="1:5" ht="25.5">
      <c r="A8191" s="449">
        <v>34673</v>
      </c>
      <c r="B8191" s="450" t="s">
        <v>9013</v>
      </c>
      <c r="C8191" s="449" t="s">
        <v>684</v>
      </c>
      <c r="D8191" s="451">
        <v>46.55</v>
      </c>
      <c r="E8191" s="210"/>
    </row>
    <row r="8192" spans="1:5" ht="25.5">
      <c r="A8192" s="449">
        <v>34674</v>
      </c>
      <c r="B8192" s="450" t="s">
        <v>9014</v>
      </c>
      <c r="C8192" s="449" t="s">
        <v>684</v>
      </c>
      <c r="D8192" s="451">
        <v>61.89</v>
      </c>
      <c r="E8192" s="210"/>
    </row>
    <row r="8193" spans="1:5" ht="25.5">
      <c r="A8193" s="449">
        <v>34675</v>
      </c>
      <c r="B8193" s="450" t="s">
        <v>9015</v>
      </c>
      <c r="C8193" s="449" t="s">
        <v>684</v>
      </c>
      <c r="D8193" s="451">
        <v>75.459999999999994</v>
      </c>
      <c r="E8193" s="210"/>
    </row>
    <row r="8194" spans="1:5">
      <c r="A8194" s="449">
        <v>34676</v>
      </c>
      <c r="B8194" s="450" t="s">
        <v>9016</v>
      </c>
      <c r="C8194" s="449" t="s">
        <v>684</v>
      </c>
      <c r="D8194" s="451">
        <v>21.72</v>
      </c>
      <c r="E8194" s="210"/>
    </row>
    <row r="8195" spans="1:5">
      <c r="A8195" s="449">
        <v>34677</v>
      </c>
      <c r="B8195" s="450" t="s">
        <v>9017</v>
      </c>
      <c r="C8195" s="449" t="s">
        <v>684</v>
      </c>
      <c r="D8195" s="451">
        <v>29.2</v>
      </c>
      <c r="E8195" s="210"/>
    </row>
    <row r="8196" spans="1:5" ht="38.25">
      <c r="A8196" s="449">
        <v>43126</v>
      </c>
      <c r="B8196" s="450" t="s">
        <v>9018</v>
      </c>
      <c r="C8196" s="449" t="s">
        <v>684</v>
      </c>
      <c r="D8196" s="451">
        <v>137.94999999999999</v>
      </c>
      <c r="E8196" s="210"/>
    </row>
    <row r="8197" spans="1:5" ht="38.25">
      <c r="A8197" s="449">
        <v>43124</v>
      </c>
      <c r="B8197" s="450" t="s">
        <v>9019</v>
      </c>
      <c r="C8197" s="449" t="s">
        <v>684</v>
      </c>
      <c r="D8197" s="451">
        <v>161.07</v>
      </c>
      <c r="E8197" s="210"/>
    </row>
    <row r="8198" spans="1:5" ht="38.25">
      <c r="A8198" s="449">
        <v>43125</v>
      </c>
      <c r="B8198" s="450" t="s">
        <v>9020</v>
      </c>
      <c r="C8198" s="449" t="s">
        <v>684</v>
      </c>
      <c r="D8198" s="451">
        <v>208.89</v>
      </c>
      <c r="E8198" s="210"/>
    </row>
    <row r="8199" spans="1:5" ht="51">
      <c r="A8199" s="449">
        <v>40623</v>
      </c>
      <c r="B8199" s="450" t="s">
        <v>9021</v>
      </c>
      <c r="C8199" s="449" t="s">
        <v>690</v>
      </c>
      <c r="D8199" s="451">
        <v>111.79</v>
      </c>
      <c r="E8199" s="210"/>
    </row>
    <row r="8200" spans="1:5" ht="38.25">
      <c r="A8200" s="449">
        <v>43701</v>
      </c>
      <c r="B8200" s="450" t="s">
        <v>9022</v>
      </c>
      <c r="C8200" s="449" t="s">
        <v>676</v>
      </c>
      <c r="D8200" s="451">
        <v>41.84</v>
      </c>
      <c r="E8200" s="210"/>
    </row>
    <row r="8201" spans="1:5" ht="51">
      <c r="A8201" s="449">
        <v>12083</v>
      </c>
      <c r="B8201" s="450" t="s">
        <v>9023</v>
      </c>
      <c r="C8201" s="449" t="s">
        <v>679</v>
      </c>
      <c r="D8201" s="451">
        <v>576.63</v>
      </c>
      <c r="E8201" s="210"/>
    </row>
    <row r="8202" spans="1:5" ht="51">
      <c r="A8202" s="449">
        <v>12081</v>
      </c>
      <c r="B8202" s="450" t="s">
        <v>9024</v>
      </c>
      <c r="C8202" s="449" t="s">
        <v>679</v>
      </c>
      <c r="D8202" s="451">
        <v>195</v>
      </c>
      <c r="E8202" s="210"/>
    </row>
    <row r="8203" spans="1:5" ht="51">
      <c r="A8203" s="449">
        <v>12082</v>
      </c>
      <c r="B8203" s="450" t="s">
        <v>9025</v>
      </c>
      <c r="C8203" s="449" t="s">
        <v>679</v>
      </c>
      <c r="D8203" s="451">
        <v>306.47000000000003</v>
      </c>
      <c r="E8203" s="210"/>
    </row>
    <row r="8204" spans="1:5" ht="51">
      <c r="A8204" s="449">
        <v>13354</v>
      </c>
      <c r="B8204" s="450" t="s">
        <v>9026</v>
      </c>
      <c r="C8204" s="449" t="s">
        <v>679</v>
      </c>
      <c r="D8204" s="451">
        <v>457.71</v>
      </c>
      <c r="E8204" s="210"/>
    </row>
    <row r="8205" spans="1:5" ht="51">
      <c r="A8205" s="449">
        <v>14057</v>
      </c>
      <c r="B8205" s="450" t="s">
        <v>9027</v>
      </c>
      <c r="C8205" s="449" t="s">
        <v>679</v>
      </c>
      <c r="D8205" s="451">
        <v>255.55</v>
      </c>
      <c r="E8205" s="210"/>
    </row>
    <row r="8206" spans="1:5" ht="51">
      <c r="A8206" s="449">
        <v>14058</v>
      </c>
      <c r="B8206" s="450" t="s">
        <v>9028</v>
      </c>
      <c r="C8206" s="449" t="s">
        <v>679</v>
      </c>
      <c r="D8206" s="451">
        <v>403.12</v>
      </c>
      <c r="E8206" s="210"/>
    </row>
    <row r="8207" spans="1:5" ht="38.25">
      <c r="A8207" s="449">
        <v>20971</v>
      </c>
      <c r="B8207" s="450" t="s">
        <v>9029</v>
      </c>
      <c r="C8207" s="449" t="s">
        <v>679</v>
      </c>
      <c r="D8207" s="451">
        <v>14.52</v>
      </c>
      <c r="E8207" s="210"/>
    </row>
    <row r="8208" spans="1:5" ht="76.5">
      <c r="A8208" s="449">
        <v>5047</v>
      </c>
      <c r="B8208" s="450" t="s">
        <v>9030</v>
      </c>
      <c r="C8208" s="449" t="s">
        <v>679</v>
      </c>
      <c r="D8208" s="451">
        <v>274.64999999999998</v>
      </c>
      <c r="E8208" s="210"/>
    </row>
    <row r="8209" spans="1:5" ht="51">
      <c r="A8209" s="449">
        <v>13369</v>
      </c>
      <c r="B8209" s="450" t="s">
        <v>9031</v>
      </c>
      <c r="C8209" s="449" t="s">
        <v>679</v>
      </c>
      <c r="D8209" s="451">
        <v>297.92</v>
      </c>
      <c r="E8209" s="210"/>
    </row>
    <row r="8210" spans="1:5" ht="51">
      <c r="A8210" s="449">
        <v>13370</v>
      </c>
      <c r="B8210" s="450" t="s">
        <v>9032</v>
      </c>
      <c r="C8210" s="449" t="s">
        <v>679</v>
      </c>
      <c r="D8210" s="451">
        <v>412.99</v>
      </c>
      <c r="E8210" s="210"/>
    </row>
    <row r="8211" spans="1:5" ht="25.5">
      <c r="A8211" s="449">
        <v>13279</v>
      </c>
      <c r="B8211" s="450" t="s">
        <v>9033</v>
      </c>
      <c r="C8211" s="449" t="s">
        <v>676</v>
      </c>
      <c r="D8211" s="451">
        <v>13.67</v>
      </c>
      <c r="E8211" s="210"/>
    </row>
    <row r="8212" spans="1:5" ht="25.5">
      <c r="A8212" s="449">
        <v>11977</v>
      </c>
      <c r="B8212" s="450" t="s">
        <v>9034</v>
      </c>
      <c r="C8212" s="449" t="s">
        <v>679</v>
      </c>
      <c r="D8212" s="451">
        <v>7.08</v>
      </c>
      <c r="E8212" s="210"/>
    </row>
    <row r="8213" spans="1:5" ht="25.5">
      <c r="A8213" s="449">
        <v>11975</v>
      </c>
      <c r="B8213" s="450" t="s">
        <v>9035</v>
      </c>
      <c r="C8213" s="449" t="s">
        <v>679</v>
      </c>
      <c r="D8213" s="451">
        <v>15.53</v>
      </c>
      <c r="E8213" s="210"/>
    </row>
    <row r="8214" spans="1:5" ht="38.25">
      <c r="A8214" s="449">
        <v>39746</v>
      </c>
      <c r="B8214" s="450" t="s">
        <v>9036</v>
      </c>
      <c r="C8214" s="449" t="s">
        <v>679</v>
      </c>
      <c r="D8214" s="451">
        <v>172.81</v>
      </c>
      <c r="E8214" s="210"/>
    </row>
    <row r="8215" spans="1:5" ht="25.5">
      <c r="A8215" s="449">
        <v>11976</v>
      </c>
      <c r="B8215" s="450" t="s">
        <v>9037</v>
      </c>
      <c r="C8215" s="449" t="s">
        <v>679</v>
      </c>
      <c r="D8215" s="451">
        <v>0.79</v>
      </c>
      <c r="E8215" s="210"/>
    </row>
    <row r="8216" spans="1:5" ht="25.5">
      <c r="A8216" s="449">
        <v>1368</v>
      </c>
      <c r="B8216" s="450" t="s">
        <v>9038</v>
      </c>
      <c r="C8216" s="449" t="s">
        <v>679</v>
      </c>
      <c r="D8216" s="451">
        <v>69</v>
      </c>
      <c r="E8216" s="210"/>
    </row>
    <row r="8217" spans="1:5" ht="25.5">
      <c r="A8217" s="449">
        <v>1367</v>
      </c>
      <c r="B8217" s="450" t="s">
        <v>9039</v>
      </c>
      <c r="C8217" s="449" t="s">
        <v>679</v>
      </c>
      <c r="D8217" s="451">
        <v>223.19</v>
      </c>
      <c r="E8217" s="210"/>
    </row>
    <row r="8218" spans="1:5" ht="25.5">
      <c r="A8218" s="449">
        <v>7608</v>
      </c>
      <c r="B8218" s="450" t="s">
        <v>9040</v>
      </c>
      <c r="C8218" s="449" t="s">
        <v>679</v>
      </c>
      <c r="D8218" s="451">
        <v>6.01</v>
      </c>
      <c r="E8218" s="210"/>
    </row>
    <row r="8219" spans="1:5" ht="38.25">
      <c r="A8219" s="449">
        <v>41899</v>
      </c>
      <c r="B8219" s="450" t="s">
        <v>9041</v>
      </c>
      <c r="C8219" s="449" t="s">
        <v>685</v>
      </c>
      <c r="D8219" s="451">
        <v>4836.21</v>
      </c>
      <c r="E8219" s="210"/>
    </row>
    <row r="8220" spans="1:5">
      <c r="A8220" s="449">
        <v>1380</v>
      </c>
      <c r="B8220" s="450" t="s">
        <v>9042</v>
      </c>
      <c r="C8220" s="449" t="s">
        <v>676</v>
      </c>
      <c r="D8220" s="451">
        <v>2.0099999999999998</v>
      </c>
      <c r="E8220" s="210"/>
    </row>
    <row r="8221" spans="1:5" ht="25.5">
      <c r="A8221" s="449">
        <v>1375</v>
      </c>
      <c r="B8221" s="450" t="s">
        <v>9043</v>
      </c>
      <c r="C8221" s="449" t="s">
        <v>676</v>
      </c>
      <c r="D8221" s="451">
        <v>12.79</v>
      </c>
      <c r="E8221" s="210"/>
    </row>
    <row r="8222" spans="1:5">
      <c r="A8222" s="449">
        <v>1379</v>
      </c>
      <c r="B8222" s="450" t="s">
        <v>9044</v>
      </c>
      <c r="C8222" s="449" t="s">
        <v>676</v>
      </c>
      <c r="D8222" s="451">
        <v>0.64</v>
      </c>
      <c r="E8222" s="210"/>
    </row>
    <row r="8223" spans="1:5" ht="25.5">
      <c r="A8223" s="449">
        <v>13284</v>
      </c>
      <c r="B8223" s="450" t="s">
        <v>9045</v>
      </c>
      <c r="C8223" s="449" t="s">
        <v>676</v>
      </c>
      <c r="D8223" s="451">
        <v>0.64</v>
      </c>
      <c r="E8223" s="210"/>
    </row>
    <row r="8224" spans="1:5" ht="25.5">
      <c r="A8224" s="449">
        <v>25974</v>
      </c>
      <c r="B8224" s="450" t="s">
        <v>9046</v>
      </c>
      <c r="C8224" s="449" t="s">
        <v>676</v>
      </c>
      <c r="D8224" s="451">
        <v>2.41</v>
      </c>
      <c r="E8224" s="210"/>
    </row>
    <row r="8225" spans="1:5">
      <c r="A8225" s="449">
        <v>34753</v>
      </c>
      <c r="B8225" s="450" t="s">
        <v>9047</v>
      </c>
      <c r="C8225" s="449" t="s">
        <v>676</v>
      </c>
      <c r="D8225" s="451">
        <v>0.7</v>
      </c>
      <c r="E8225" s="210"/>
    </row>
    <row r="8226" spans="1:5" ht="38.25">
      <c r="A8226" s="449">
        <v>420</v>
      </c>
      <c r="B8226" s="450" t="s">
        <v>9048</v>
      </c>
      <c r="C8226" s="449" t="s">
        <v>679</v>
      </c>
      <c r="D8226" s="451">
        <v>31.42</v>
      </c>
      <c r="E8226" s="210"/>
    </row>
    <row r="8227" spans="1:5" ht="38.25">
      <c r="A8227" s="449">
        <v>12327</v>
      </c>
      <c r="B8227" s="450" t="s">
        <v>9049</v>
      </c>
      <c r="C8227" s="449" t="s">
        <v>679</v>
      </c>
      <c r="D8227" s="451">
        <v>37.43</v>
      </c>
      <c r="E8227" s="210"/>
    </row>
    <row r="8228" spans="1:5" ht="38.25">
      <c r="A8228" s="449">
        <v>36148</v>
      </c>
      <c r="B8228" s="450" t="s">
        <v>9050</v>
      </c>
      <c r="C8228" s="449" t="s">
        <v>679</v>
      </c>
      <c r="D8228" s="451">
        <v>68.16</v>
      </c>
      <c r="E8228" s="210"/>
    </row>
    <row r="8229" spans="1:5">
      <c r="A8229" s="449">
        <v>12329</v>
      </c>
      <c r="B8229" s="450" t="s">
        <v>9051</v>
      </c>
      <c r="C8229" s="449" t="s">
        <v>676</v>
      </c>
      <c r="D8229" s="451">
        <v>118.32</v>
      </c>
      <c r="E8229" s="210"/>
    </row>
    <row r="8230" spans="1:5" ht="25.5">
      <c r="A8230" s="449">
        <v>1339</v>
      </c>
      <c r="B8230" s="450" t="s">
        <v>9052</v>
      </c>
      <c r="C8230" s="449" t="s">
        <v>676</v>
      </c>
      <c r="D8230" s="451">
        <v>40.32</v>
      </c>
      <c r="E8230" s="210"/>
    </row>
    <row r="8231" spans="1:5">
      <c r="A8231" s="449">
        <v>11849</v>
      </c>
      <c r="B8231" s="450" t="s">
        <v>9053</v>
      </c>
      <c r="C8231" s="449" t="s">
        <v>678</v>
      </c>
      <c r="D8231" s="451">
        <v>9.2200000000000006</v>
      </c>
      <c r="E8231" s="210"/>
    </row>
    <row r="8232" spans="1:5" ht="38.25">
      <c r="A8232" s="449">
        <v>37418</v>
      </c>
      <c r="B8232" s="450" t="s">
        <v>9054</v>
      </c>
      <c r="C8232" s="449" t="s">
        <v>679</v>
      </c>
      <c r="D8232" s="451">
        <v>19.420000000000002</v>
      </c>
      <c r="E8232" s="210"/>
    </row>
    <row r="8233" spans="1:5" ht="38.25">
      <c r="A8233" s="449">
        <v>37419</v>
      </c>
      <c r="B8233" s="450" t="s">
        <v>9055</v>
      </c>
      <c r="C8233" s="449" t="s">
        <v>679</v>
      </c>
      <c r="D8233" s="451">
        <v>19.940000000000001</v>
      </c>
      <c r="E8233" s="210"/>
    </row>
    <row r="8234" spans="1:5" ht="38.25">
      <c r="A8234" s="449">
        <v>1427</v>
      </c>
      <c r="B8234" s="450" t="s">
        <v>9056</v>
      </c>
      <c r="C8234" s="449" t="s">
        <v>679</v>
      </c>
      <c r="D8234" s="451">
        <v>21.52</v>
      </c>
      <c r="E8234" s="210"/>
    </row>
    <row r="8235" spans="1:5" ht="38.25">
      <c r="A8235" s="449">
        <v>1402</v>
      </c>
      <c r="B8235" s="450" t="s">
        <v>9057</v>
      </c>
      <c r="C8235" s="449" t="s">
        <v>679</v>
      </c>
      <c r="D8235" s="451">
        <v>7.44</v>
      </c>
      <c r="E8235" s="210"/>
    </row>
    <row r="8236" spans="1:5" ht="38.25">
      <c r="A8236" s="449">
        <v>1420</v>
      </c>
      <c r="B8236" s="450" t="s">
        <v>9058</v>
      </c>
      <c r="C8236" s="449" t="s">
        <v>679</v>
      </c>
      <c r="D8236" s="451">
        <v>9.57</v>
      </c>
      <c r="E8236" s="210"/>
    </row>
    <row r="8237" spans="1:5" ht="38.25">
      <c r="A8237" s="449">
        <v>1419</v>
      </c>
      <c r="B8237" s="450" t="s">
        <v>9059</v>
      </c>
      <c r="C8237" s="449" t="s">
        <v>679</v>
      </c>
      <c r="D8237" s="451">
        <v>11.56</v>
      </c>
      <c r="E8237" s="210"/>
    </row>
    <row r="8238" spans="1:5" ht="38.25">
      <c r="A8238" s="449">
        <v>1414</v>
      </c>
      <c r="B8238" s="450" t="s">
        <v>9060</v>
      </c>
      <c r="C8238" s="449" t="s">
        <v>679</v>
      </c>
      <c r="D8238" s="451">
        <v>11.31</v>
      </c>
      <c r="E8238" s="210"/>
    </row>
    <row r="8239" spans="1:5" ht="38.25">
      <c r="A8239" s="449">
        <v>1413</v>
      </c>
      <c r="B8239" s="450" t="s">
        <v>9061</v>
      </c>
      <c r="C8239" s="449" t="s">
        <v>679</v>
      </c>
      <c r="D8239" s="451">
        <v>16.71</v>
      </c>
      <c r="E8239" s="210"/>
    </row>
    <row r="8240" spans="1:5" ht="38.25">
      <c r="A8240" s="449">
        <v>1412</v>
      </c>
      <c r="B8240" s="450" t="s">
        <v>9062</v>
      </c>
      <c r="C8240" s="449" t="s">
        <v>679</v>
      </c>
      <c r="D8240" s="451">
        <v>14.16</v>
      </c>
      <c r="E8240" s="210"/>
    </row>
    <row r="8241" spans="1:5" ht="51">
      <c r="A8241" s="449">
        <v>1411</v>
      </c>
      <c r="B8241" s="450" t="s">
        <v>9063</v>
      </c>
      <c r="C8241" s="449" t="s">
        <v>679</v>
      </c>
      <c r="D8241" s="451">
        <v>25.76</v>
      </c>
      <c r="E8241" s="210"/>
    </row>
    <row r="8242" spans="1:5" ht="51">
      <c r="A8242" s="449">
        <v>1406</v>
      </c>
      <c r="B8242" s="450" t="s">
        <v>9064</v>
      </c>
      <c r="C8242" s="449" t="s">
        <v>679</v>
      </c>
      <c r="D8242" s="451">
        <v>17.079999999999998</v>
      </c>
      <c r="E8242" s="210"/>
    </row>
    <row r="8243" spans="1:5" ht="51">
      <c r="A8243" s="449">
        <v>1407</v>
      </c>
      <c r="B8243" s="450" t="s">
        <v>9065</v>
      </c>
      <c r="C8243" s="449" t="s">
        <v>679</v>
      </c>
      <c r="D8243" s="451">
        <v>21.3</v>
      </c>
      <c r="E8243" s="210"/>
    </row>
    <row r="8244" spans="1:5" ht="51">
      <c r="A8244" s="449">
        <v>1404</v>
      </c>
      <c r="B8244" s="450" t="s">
        <v>9066</v>
      </c>
      <c r="C8244" s="449" t="s">
        <v>679</v>
      </c>
      <c r="D8244" s="451">
        <v>22.65</v>
      </c>
      <c r="E8244" s="210"/>
    </row>
    <row r="8245" spans="1:5" ht="89.25">
      <c r="A8245" s="449">
        <v>11281</v>
      </c>
      <c r="B8245" s="450" t="s">
        <v>9067</v>
      </c>
      <c r="C8245" s="449" t="s">
        <v>679</v>
      </c>
      <c r="D8245" s="451">
        <v>10399.5</v>
      </c>
      <c r="E8245" s="210"/>
    </row>
    <row r="8246" spans="1:5" ht="89.25">
      <c r="A8246" s="449">
        <v>1442</v>
      </c>
      <c r="B8246" s="450" t="s">
        <v>9068</v>
      </c>
      <c r="C8246" s="449" t="s">
        <v>679</v>
      </c>
      <c r="D8246" s="451">
        <v>8730.2999999999993</v>
      </c>
      <c r="E8246" s="210"/>
    </row>
    <row r="8247" spans="1:5" ht="89.25">
      <c r="A8247" s="449">
        <v>13457</v>
      </c>
      <c r="B8247" s="450" t="s">
        <v>9069</v>
      </c>
      <c r="C8247" s="449" t="s">
        <v>679</v>
      </c>
      <c r="D8247" s="451">
        <v>7535.86</v>
      </c>
      <c r="E8247" s="210"/>
    </row>
    <row r="8248" spans="1:5" ht="102">
      <c r="A8248" s="449">
        <v>40699</v>
      </c>
      <c r="B8248" s="450" t="s">
        <v>9070</v>
      </c>
      <c r="C8248" s="449" t="s">
        <v>679</v>
      </c>
      <c r="D8248" s="451">
        <v>5825.51</v>
      </c>
      <c r="E8248" s="210"/>
    </row>
    <row r="8249" spans="1:5" ht="102">
      <c r="A8249" s="449">
        <v>40701</v>
      </c>
      <c r="B8249" s="450" t="s">
        <v>9071</v>
      </c>
      <c r="C8249" s="449" t="s">
        <v>679</v>
      </c>
      <c r="D8249" s="451">
        <v>103003.04</v>
      </c>
      <c r="E8249" s="210"/>
    </row>
    <row r="8250" spans="1:5" ht="102">
      <c r="A8250" s="449">
        <v>40700</v>
      </c>
      <c r="B8250" s="450" t="s">
        <v>9072</v>
      </c>
      <c r="C8250" s="449" t="s">
        <v>679</v>
      </c>
      <c r="D8250" s="451">
        <v>13561.03</v>
      </c>
      <c r="E8250" s="210"/>
    </row>
    <row r="8251" spans="1:5" ht="38.25">
      <c r="A8251" s="449">
        <v>13458</v>
      </c>
      <c r="B8251" s="450" t="s">
        <v>9073</v>
      </c>
      <c r="C8251" s="449" t="s">
        <v>679</v>
      </c>
      <c r="D8251" s="451">
        <v>12886.33</v>
      </c>
      <c r="E8251" s="210"/>
    </row>
    <row r="8252" spans="1:5" ht="38.25">
      <c r="A8252" s="449">
        <v>36524</v>
      </c>
      <c r="B8252" s="450" t="s">
        <v>9074</v>
      </c>
      <c r="C8252" s="449" t="s">
        <v>679</v>
      </c>
      <c r="D8252" s="451">
        <v>127758.92</v>
      </c>
      <c r="E8252" s="210"/>
    </row>
    <row r="8253" spans="1:5" ht="38.25">
      <c r="A8253" s="449">
        <v>36526</v>
      </c>
      <c r="B8253" s="450" t="s">
        <v>9075</v>
      </c>
      <c r="C8253" s="449" t="s">
        <v>679</v>
      </c>
      <c r="D8253" s="451">
        <v>102953.34</v>
      </c>
      <c r="E8253" s="210"/>
    </row>
    <row r="8254" spans="1:5" ht="38.25">
      <c r="A8254" s="449">
        <v>36523</v>
      </c>
      <c r="B8254" s="450" t="s">
        <v>9076</v>
      </c>
      <c r="C8254" s="449" t="s">
        <v>679</v>
      </c>
      <c r="D8254" s="451">
        <v>220409.21</v>
      </c>
      <c r="E8254" s="210"/>
    </row>
    <row r="8255" spans="1:5" ht="38.25">
      <c r="A8255" s="449">
        <v>36527</v>
      </c>
      <c r="B8255" s="450" t="s">
        <v>9077</v>
      </c>
      <c r="C8255" s="449" t="s">
        <v>679</v>
      </c>
      <c r="D8255" s="451">
        <v>239409.8</v>
      </c>
      <c r="E8255" s="210"/>
    </row>
    <row r="8256" spans="1:5" ht="38.25">
      <c r="A8256" s="449">
        <v>13803</v>
      </c>
      <c r="B8256" s="450" t="s">
        <v>9078</v>
      </c>
      <c r="C8256" s="449" t="s">
        <v>679</v>
      </c>
      <c r="D8256" s="451">
        <v>86568.5</v>
      </c>
      <c r="E8256" s="210"/>
    </row>
    <row r="8257" spans="1:5" ht="38.25">
      <c r="A8257" s="449">
        <v>38642</v>
      </c>
      <c r="B8257" s="450" t="s">
        <v>9079</v>
      </c>
      <c r="C8257" s="449" t="s">
        <v>679</v>
      </c>
      <c r="D8257" s="451">
        <v>55740.74</v>
      </c>
      <c r="E8257" s="210"/>
    </row>
    <row r="8258" spans="1:5" ht="38.25">
      <c r="A8258" s="449">
        <v>36522</v>
      </c>
      <c r="B8258" s="450" t="s">
        <v>9080</v>
      </c>
      <c r="C8258" s="449" t="s">
        <v>679</v>
      </c>
      <c r="D8258" s="451">
        <v>64825.82</v>
      </c>
      <c r="E8258" s="210"/>
    </row>
    <row r="8259" spans="1:5" ht="38.25">
      <c r="A8259" s="449">
        <v>36525</v>
      </c>
      <c r="B8259" s="450" t="s">
        <v>9081</v>
      </c>
      <c r="C8259" s="449" t="s">
        <v>679</v>
      </c>
      <c r="D8259" s="451">
        <v>86816.91</v>
      </c>
      <c r="E8259" s="210"/>
    </row>
    <row r="8260" spans="1:5" ht="38.25">
      <c r="A8260" s="449">
        <v>34348</v>
      </c>
      <c r="B8260" s="450" t="s">
        <v>9082</v>
      </c>
      <c r="C8260" s="449" t="s">
        <v>683</v>
      </c>
      <c r="D8260" s="451">
        <v>20.94</v>
      </c>
      <c r="E8260" s="210"/>
    </row>
    <row r="8261" spans="1:5" ht="38.25">
      <c r="A8261" s="449">
        <v>34347</v>
      </c>
      <c r="B8261" s="450" t="s">
        <v>9083</v>
      </c>
      <c r="C8261" s="449" t="s">
        <v>683</v>
      </c>
      <c r="D8261" s="451">
        <v>14.97</v>
      </c>
      <c r="E8261" s="210"/>
    </row>
    <row r="8262" spans="1:5" ht="38.25">
      <c r="A8262" s="449">
        <v>11146</v>
      </c>
      <c r="B8262" s="450" t="s">
        <v>9084</v>
      </c>
      <c r="C8262" s="449" t="s">
        <v>677</v>
      </c>
      <c r="D8262" s="451">
        <v>469.79</v>
      </c>
      <c r="E8262" s="210"/>
    </row>
    <row r="8263" spans="1:5" ht="38.25">
      <c r="A8263" s="449">
        <v>11147</v>
      </c>
      <c r="B8263" s="450" t="s">
        <v>9085</v>
      </c>
      <c r="C8263" s="449" t="s">
        <v>677</v>
      </c>
      <c r="D8263" s="451">
        <v>488.17</v>
      </c>
      <c r="E8263" s="210"/>
    </row>
    <row r="8264" spans="1:5" ht="38.25">
      <c r="A8264" s="449">
        <v>34872</v>
      </c>
      <c r="B8264" s="450" t="s">
        <v>9086</v>
      </c>
      <c r="C8264" s="449" t="s">
        <v>677</v>
      </c>
      <c r="D8264" s="451">
        <v>493.66</v>
      </c>
      <c r="E8264" s="210"/>
    </row>
    <row r="8265" spans="1:5" ht="38.25">
      <c r="A8265" s="449">
        <v>34491</v>
      </c>
      <c r="B8265" s="450" t="s">
        <v>9087</v>
      </c>
      <c r="C8265" s="449" t="s">
        <v>677</v>
      </c>
      <c r="D8265" s="451">
        <v>507.96</v>
      </c>
      <c r="E8265" s="210"/>
    </row>
    <row r="8266" spans="1:5" ht="51">
      <c r="A8266" s="449">
        <v>34770</v>
      </c>
      <c r="B8266" s="450" t="s">
        <v>9088</v>
      </c>
      <c r="C8266" s="449" t="s">
        <v>685</v>
      </c>
      <c r="D8266" s="451">
        <v>399.71</v>
      </c>
      <c r="E8266" s="210"/>
    </row>
    <row r="8267" spans="1:5" ht="51">
      <c r="A8267" s="449">
        <v>1518</v>
      </c>
      <c r="B8267" s="450" t="s">
        <v>9089</v>
      </c>
      <c r="C8267" s="449" t="s">
        <v>685</v>
      </c>
      <c r="D8267" s="451">
        <v>407.5</v>
      </c>
      <c r="E8267" s="210"/>
    </row>
    <row r="8268" spans="1:5" ht="51">
      <c r="A8268" s="449">
        <v>41965</v>
      </c>
      <c r="B8268" s="450" t="s">
        <v>9090</v>
      </c>
      <c r="C8268" s="449" t="s">
        <v>685</v>
      </c>
      <c r="D8268" s="451">
        <v>394.78</v>
      </c>
      <c r="E8268" s="210"/>
    </row>
    <row r="8269" spans="1:5" ht="51">
      <c r="A8269" s="449">
        <v>34492</v>
      </c>
      <c r="B8269" s="450" t="s">
        <v>9091</v>
      </c>
      <c r="C8269" s="449" t="s">
        <v>677</v>
      </c>
      <c r="D8269" s="451">
        <v>417.5</v>
      </c>
      <c r="E8269" s="210"/>
    </row>
    <row r="8270" spans="1:5" ht="51">
      <c r="A8270" s="449">
        <v>1524</v>
      </c>
      <c r="B8270" s="450" t="s">
        <v>9092</v>
      </c>
      <c r="C8270" s="449" t="s">
        <v>677</v>
      </c>
      <c r="D8270" s="451">
        <v>450.73</v>
      </c>
      <c r="E8270" s="210"/>
    </row>
    <row r="8271" spans="1:5" ht="51">
      <c r="A8271" s="449">
        <v>38404</v>
      </c>
      <c r="B8271" s="450" t="s">
        <v>9093</v>
      </c>
      <c r="C8271" s="449" t="s">
        <v>677</v>
      </c>
      <c r="D8271" s="451">
        <v>432.45</v>
      </c>
      <c r="E8271" s="210"/>
    </row>
    <row r="8272" spans="1:5" ht="51">
      <c r="A8272" s="449">
        <v>39849</v>
      </c>
      <c r="B8272" s="450" t="s">
        <v>9094</v>
      </c>
      <c r="C8272" s="449" t="s">
        <v>677</v>
      </c>
      <c r="D8272" s="451">
        <v>495.58</v>
      </c>
      <c r="E8272" s="210"/>
    </row>
    <row r="8273" spans="1:5" ht="51">
      <c r="A8273" s="449">
        <v>38464</v>
      </c>
      <c r="B8273" s="450" t="s">
        <v>9095</v>
      </c>
      <c r="C8273" s="449" t="s">
        <v>677</v>
      </c>
      <c r="D8273" s="451">
        <v>502.78</v>
      </c>
      <c r="E8273" s="210"/>
    </row>
    <row r="8274" spans="1:5" ht="51">
      <c r="A8274" s="449">
        <v>34493</v>
      </c>
      <c r="B8274" s="450" t="s">
        <v>9096</v>
      </c>
      <c r="C8274" s="449" t="s">
        <v>677</v>
      </c>
      <c r="D8274" s="451">
        <v>429.26</v>
      </c>
      <c r="E8274" s="210"/>
    </row>
    <row r="8275" spans="1:5" ht="51">
      <c r="A8275" s="449">
        <v>1527</v>
      </c>
      <c r="B8275" s="450" t="s">
        <v>9097</v>
      </c>
      <c r="C8275" s="449" t="s">
        <v>677</v>
      </c>
      <c r="D8275" s="451">
        <v>465.04</v>
      </c>
      <c r="E8275" s="210"/>
    </row>
    <row r="8276" spans="1:5" ht="51">
      <c r="A8276" s="449">
        <v>38405</v>
      </c>
      <c r="B8276" s="450" t="s">
        <v>9098</v>
      </c>
      <c r="C8276" s="449" t="s">
        <v>677</v>
      </c>
      <c r="D8276" s="451">
        <v>445.78</v>
      </c>
      <c r="E8276" s="210"/>
    </row>
    <row r="8277" spans="1:5" ht="51">
      <c r="A8277" s="449">
        <v>38408</v>
      </c>
      <c r="B8277" s="450" t="s">
        <v>9099</v>
      </c>
      <c r="C8277" s="449" t="s">
        <v>677</v>
      </c>
      <c r="D8277" s="451">
        <v>493.44</v>
      </c>
      <c r="E8277" s="210"/>
    </row>
    <row r="8278" spans="1:5" ht="51">
      <c r="A8278" s="449">
        <v>34494</v>
      </c>
      <c r="B8278" s="450" t="s">
        <v>9100</v>
      </c>
      <c r="C8278" s="449" t="s">
        <v>677</v>
      </c>
      <c r="D8278" s="451">
        <v>443.57</v>
      </c>
      <c r="E8278" s="210"/>
    </row>
    <row r="8279" spans="1:5" ht="51">
      <c r="A8279" s="449">
        <v>1525</v>
      </c>
      <c r="B8279" s="450" t="s">
        <v>9101</v>
      </c>
      <c r="C8279" s="449" t="s">
        <v>677</v>
      </c>
      <c r="D8279" s="451">
        <v>479.34</v>
      </c>
      <c r="E8279" s="210"/>
    </row>
    <row r="8280" spans="1:5" ht="51">
      <c r="A8280" s="449">
        <v>38406</v>
      </c>
      <c r="B8280" s="450" t="s">
        <v>9102</v>
      </c>
      <c r="C8280" s="449" t="s">
        <v>677</v>
      </c>
      <c r="D8280" s="451">
        <v>470.72</v>
      </c>
      <c r="E8280" s="210"/>
    </row>
    <row r="8281" spans="1:5" ht="51">
      <c r="A8281" s="449">
        <v>38409</v>
      </c>
      <c r="B8281" s="450" t="s">
        <v>9103</v>
      </c>
      <c r="C8281" s="449" t="s">
        <v>677</v>
      </c>
      <c r="D8281" s="451">
        <v>496.8</v>
      </c>
      <c r="E8281" s="210"/>
    </row>
    <row r="8282" spans="1:5" ht="51">
      <c r="A8282" s="449">
        <v>43360</v>
      </c>
      <c r="B8282" s="450" t="s">
        <v>9104</v>
      </c>
      <c r="C8282" s="449" t="s">
        <v>677</v>
      </c>
      <c r="D8282" s="451">
        <v>518.02</v>
      </c>
      <c r="E8282" s="210"/>
    </row>
    <row r="8283" spans="1:5" ht="51">
      <c r="A8283" s="449">
        <v>34495</v>
      </c>
      <c r="B8283" s="450" t="s">
        <v>9105</v>
      </c>
      <c r="C8283" s="449" t="s">
        <v>677</v>
      </c>
      <c r="D8283" s="451">
        <v>457.88</v>
      </c>
      <c r="E8283" s="210"/>
    </row>
    <row r="8284" spans="1:5" ht="51">
      <c r="A8284" s="449">
        <v>11145</v>
      </c>
      <c r="B8284" s="450" t="s">
        <v>9106</v>
      </c>
      <c r="C8284" s="449" t="s">
        <v>677</v>
      </c>
      <c r="D8284" s="451">
        <v>493.66</v>
      </c>
      <c r="E8284" s="210"/>
    </row>
    <row r="8285" spans="1:5" ht="51">
      <c r="A8285" s="449">
        <v>34496</v>
      </c>
      <c r="B8285" s="450" t="s">
        <v>9107</v>
      </c>
      <c r="C8285" s="449" t="s">
        <v>677</v>
      </c>
      <c r="D8285" s="451">
        <v>477.65</v>
      </c>
      <c r="E8285" s="210"/>
    </row>
    <row r="8286" spans="1:5" ht="51">
      <c r="A8286" s="449">
        <v>34479</v>
      </c>
      <c r="B8286" s="450" t="s">
        <v>9108</v>
      </c>
      <c r="C8286" s="449" t="s">
        <v>677</v>
      </c>
      <c r="D8286" s="451">
        <v>507.96</v>
      </c>
      <c r="E8286" s="210"/>
    </row>
    <row r="8287" spans="1:5" ht="51">
      <c r="A8287" s="449">
        <v>34481</v>
      </c>
      <c r="B8287" s="450" t="s">
        <v>9109</v>
      </c>
      <c r="C8287" s="449" t="s">
        <v>677</v>
      </c>
      <c r="D8287" s="451">
        <v>530.76</v>
      </c>
      <c r="E8287" s="210"/>
    </row>
    <row r="8288" spans="1:5" ht="51">
      <c r="A8288" s="449">
        <v>34483</v>
      </c>
      <c r="B8288" s="450" t="s">
        <v>9110</v>
      </c>
      <c r="C8288" s="449" t="s">
        <v>677</v>
      </c>
      <c r="D8288" s="451">
        <v>567.08000000000004</v>
      </c>
      <c r="E8288" s="210"/>
    </row>
    <row r="8289" spans="1:5" ht="51">
      <c r="A8289" s="449">
        <v>34485</v>
      </c>
      <c r="B8289" s="450" t="s">
        <v>9111</v>
      </c>
      <c r="C8289" s="449" t="s">
        <v>677</v>
      </c>
      <c r="D8289" s="451">
        <v>606.42999999999995</v>
      </c>
      <c r="E8289" s="210"/>
    </row>
    <row r="8290" spans="1:5" ht="38.25">
      <c r="A8290" s="449">
        <v>14041</v>
      </c>
      <c r="B8290" s="450" t="s">
        <v>9112</v>
      </c>
      <c r="C8290" s="449" t="s">
        <v>677</v>
      </c>
      <c r="D8290" s="451">
        <v>394.21</v>
      </c>
      <c r="E8290" s="210"/>
    </row>
    <row r="8291" spans="1:5" ht="38.25">
      <c r="A8291" s="449">
        <v>1523</v>
      </c>
      <c r="B8291" s="450" t="s">
        <v>9113</v>
      </c>
      <c r="C8291" s="449" t="s">
        <v>677</v>
      </c>
      <c r="D8291" s="451">
        <v>400.65</v>
      </c>
      <c r="E8291" s="210"/>
    </row>
    <row r="8292" spans="1:5" ht="38.25">
      <c r="A8292" s="449">
        <v>14052</v>
      </c>
      <c r="B8292" s="450" t="s">
        <v>9114</v>
      </c>
      <c r="C8292" s="449" t="s">
        <v>679</v>
      </c>
      <c r="D8292" s="451">
        <v>8.7200000000000006</v>
      </c>
      <c r="E8292" s="210"/>
    </row>
    <row r="8293" spans="1:5" ht="38.25">
      <c r="A8293" s="449">
        <v>14054</v>
      </c>
      <c r="B8293" s="450" t="s">
        <v>9115</v>
      </c>
      <c r="C8293" s="449" t="s">
        <v>679</v>
      </c>
      <c r="D8293" s="451">
        <v>11.33</v>
      </c>
      <c r="E8293" s="210"/>
    </row>
    <row r="8294" spans="1:5" ht="38.25">
      <c r="A8294" s="449">
        <v>14053</v>
      </c>
      <c r="B8294" s="450" t="s">
        <v>9116</v>
      </c>
      <c r="C8294" s="449" t="s">
        <v>679</v>
      </c>
      <c r="D8294" s="451">
        <v>8.85</v>
      </c>
      <c r="E8294" s="210"/>
    </row>
    <row r="8295" spans="1:5" ht="38.25">
      <c r="A8295" s="449">
        <v>2558</v>
      </c>
      <c r="B8295" s="450" t="s">
        <v>9117</v>
      </c>
      <c r="C8295" s="449" t="s">
        <v>679</v>
      </c>
      <c r="D8295" s="451">
        <v>6.66</v>
      </c>
      <c r="E8295" s="210"/>
    </row>
    <row r="8296" spans="1:5" ht="38.25">
      <c r="A8296" s="449">
        <v>2560</v>
      </c>
      <c r="B8296" s="450" t="s">
        <v>9118</v>
      </c>
      <c r="C8296" s="449" t="s">
        <v>679</v>
      </c>
      <c r="D8296" s="451">
        <v>11.73</v>
      </c>
      <c r="E8296" s="210"/>
    </row>
    <row r="8297" spans="1:5" ht="38.25">
      <c r="A8297" s="449">
        <v>2559</v>
      </c>
      <c r="B8297" s="450" t="s">
        <v>9119</v>
      </c>
      <c r="C8297" s="449" t="s">
        <v>679</v>
      </c>
      <c r="D8297" s="451">
        <v>9.3800000000000008</v>
      </c>
      <c r="E8297" s="210"/>
    </row>
    <row r="8298" spans="1:5" ht="38.25">
      <c r="A8298" s="449">
        <v>2592</v>
      </c>
      <c r="B8298" s="450" t="s">
        <v>9120</v>
      </c>
      <c r="C8298" s="449" t="s">
        <v>679</v>
      </c>
      <c r="D8298" s="451">
        <v>155.5</v>
      </c>
      <c r="E8298" s="210"/>
    </row>
    <row r="8299" spans="1:5" ht="38.25">
      <c r="A8299" s="449">
        <v>2566</v>
      </c>
      <c r="B8299" s="450" t="s">
        <v>9121</v>
      </c>
      <c r="C8299" s="449" t="s">
        <v>679</v>
      </c>
      <c r="D8299" s="451">
        <v>15.65</v>
      </c>
      <c r="E8299" s="210"/>
    </row>
    <row r="8300" spans="1:5" ht="38.25">
      <c r="A8300" s="449">
        <v>2589</v>
      </c>
      <c r="B8300" s="450" t="s">
        <v>9122</v>
      </c>
      <c r="C8300" s="449" t="s">
        <v>679</v>
      </c>
      <c r="D8300" s="451">
        <v>20.8</v>
      </c>
      <c r="E8300" s="210"/>
    </row>
    <row r="8301" spans="1:5" ht="38.25">
      <c r="A8301" s="449">
        <v>2591</v>
      </c>
      <c r="B8301" s="450" t="s">
        <v>9123</v>
      </c>
      <c r="C8301" s="449" t="s">
        <v>679</v>
      </c>
      <c r="D8301" s="451">
        <v>7.58</v>
      </c>
      <c r="E8301" s="210"/>
    </row>
    <row r="8302" spans="1:5" ht="38.25">
      <c r="A8302" s="449">
        <v>2590</v>
      </c>
      <c r="B8302" s="450" t="s">
        <v>9124</v>
      </c>
      <c r="C8302" s="449" t="s">
        <v>679</v>
      </c>
      <c r="D8302" s="451">
        <v>12.76</v>
      </c>
      <c r="E8302" s="210"/>
    </row>
    <row r="8303" spans="1:5" ht="38.25">
      <c r="A8303" s="449">
        <v>2567</v>
      </c>
      <c r="B8303" s="450" t="s">
        <v>9125</v>
      </c>
      <c r="C8303" s="449" t="s">
        <v>679</v>
      </c>
      <c r="D8303" s="451">
        <v>30.51</v>
      </c>
      <c r="E8303" s="210"/>
    </row>
    <row r="8304" spans="1:5" ht="38.25">
      <c r="A8304" s="449">
        <v>2565</v>
      </c>
      <c r="B8304" s="450" t="s">
        <v>9126</v>
      </c>
      <c r="C8304" s="449" t="s">
        <v>679</v>
      </c>
      <c r="D8304" s="451">
        <v>7.6</v>
      </c>
      <c r="E8304" s="210"/>
    </row>
    <row r="8305" spans="1:5" ht="38.25">
      <c r="A8305" s="449">
        <v>2568</v>
      </c>
      <c r="B8305" s="450" t="s">
        <v>9127</v>
      </c>
      <c r="C8305" s="449" t="s">
        <v>679</v>
      </c>
      <c r="D8305" s="451">
        <v>84.72</v>
      </c>
      <c r="E8305" s="210"/>
    </row>
    <row r="8306" spans="1:5" ht="38.25">
      <c r="A8306" s="449">
        <v>2594</v>
      </c>
      <c r="B8306" s="450" t="s">
        <v>9128</v>
      </c>
      <c r="C8306" s="449" t="s">
        <v>679</v>
      </c>
      <c r="D8306" s="451">
        <v>141.13999999999999</v>
      </c>
      <c r="E8306" s="210"/>
    </row>
    <row r="8307" spans="1:5" ht="38.25">
      <c r="A8307" s="449">
        <v>2587</v>
      </c>
      <c r="B8307" s="450" t="s">
        <v>9129</v>
      </c>
      <c r="C8307" s="449" t="s">
        <v>679</v>
      </c>
      <c r="D8307" s="451">
        <v>24.05</v>
      </c>
      <c r="E8307" s="210"/>
    </row>
    <row r="8308" spans="1:5" ht="38.25">
      <c r="A8308" s="449">
        <v>2588</v>
      </c>
      <c r="B8308" s="450" t="s">
        <v>9130</v>
      </c>
      <c r="C8308" s="449" t="s">
        <v>679</v>
      </c>
      <c r="D8308" s="451">
        <v>19.100000000000001</v>
      </c>
      <c r="E8308" s="210"/>
    </row>
    <row r="8309" spans="1:5" ht="38.25">
      <c r="A8309" s="449">
        <v>2569</v>
      </c>
      <c r="B8309" s="450" t="s">
        <v>9131</v>
      </c>
      <c r="C8309" s="449" t="s">
        <v>679</v>
      </c>
      <c r="D8309" s="451">
        <v>7.36</v>
      </c>
      <c r="E8309" s="210"/>
    </row>
    <row r="8310" spans="1:5" ht="38.25">
      <c r="A8310" s="449">
        <v>2570</v>
      </c>
      <c r="B8310" s="450" t="s">
        <v>9132</v>
      </c>
      <c r="C8310" s="449" t="s">
        <v>679</v>
      </c>
      <c r="D8310" s="451">
        <v>12.34</v>
      </c>
      <c r="E8310" s="210"/>
    </row>
    <row r="8311" spans="1:5" ht="38.25">
      <c r="A8311" s="449">
        <v>2571</v>
      </c>
      <c r="B8311" s="450" t="s">
        <v>9133</v>
      </c>
      <c r="C8311" s="449" t="s">
        <v>679</v>
      </c>
      <c r="D8311" s="451">
        <v>36.630000000000003</v>
      </c>
      <c r="E8311" s="210"/>
    </row>
    <row r="8312" spans="1:5" ht="38.25">
      <c r="A8312" s="449">
        <v>2593</v>
      </c>
      <c r="B8312" s="450" t="s">
        <v>9134</v>
      </c>
      <c r="C8312" s="449" t="s">
        <v>679</v>
      </c>
      <c r="D8312" s="451">
        <v>7.85</v>
      </c>
      <c r="E8312" s="210"/>
    </row>
    <row r="8313" spans="1:5" ht="38.25">
      <c r="A8313" s="449">
        <v>2572</v>
      </c>
      <c r="B8313" s="450" t="s">
        <v>9135</v>
      </c>
      <c r="C8313" s="449" t="s">
        <v>679</v>
      </c>
      <c r="D8313" s="451">
        <v>108.34</v>
      </c>
      <c r="E8313" s="210"/>
    </row>
    <row r="8314" spans="1:5" ht="38.25">
      <c r="A8314" s="449">
        <v>2595</v>
      </c>
      <c r="B8314" s="450" t="s">
        <v>9136</v>
      </c>
      <c r="C8314" s="449" t="s">
        <v>679</v>
      </c>
      <c r="D8314" s="451">
        <v>169.03</v>
      </c>
      <c r="E8314" s="210"/>
    </row>
    <row r="8315" spans="1:5" ht="38.25">
      <c r="A8315" s="449">
        <v>2576</v>
      </c>
      <c r="B8315" s="450" t="s">
        <v>9137</v>
      </c>
      <c r="C8315" s="449" t="s">
        <v>679</v>
      </c>
      <c r="D8315" s="451">
        <v>28.81</v>
      </c>
      <c r="E8315" s="210"/>
    </row>
    <row r="8316" spans="1:5" ht="38.25">
      <c r="A8316" s="449">
        <v>2575</v>
      </c>
      <c r="B8316" s="450" t="s">
        <v>9138</v>
      </c>
      <c r="C8316" s="449" t="s">
        <v>679</v>
      </c>
      <c r="D8316" s="451">
        <v>21.66</v>
      </c>
      <c r="E8316" s="210"/>
    </row>
    <row r="8317" spans="1:5" ht="38.25">
      <c r="A8317" s="449">
        <v>2573</v>
      </c>
      <c r="B8317" s="450" t="s">
        <v>9139</v>
      </c>
      <c r="C8317" s="449" t="s">
        <v>679</v>
      </c>
      <c r="D8317" s="451">
        <v>8.99</v>
      </c>
      <c r="E8317" s="210"/>
    </row>
    <row r="8318" spans="1:5" ht="38.25">
      <c r="A8318" s="449">
        <v>2586</v>
      </c>
      <c r="B8318" s="450" t="s">
        <v>9140</v>
      </c>
      <c r="C8318" s="449" t="s">
        <v>679</v>
      </c>
      <c r="D8318" s="451">
        <v>14.58</v>
      </c>
      <c r="E8318" s="210"/>
    </row>
    <row r="8319" spans="1:5" ht="38.25">
      <c r="A8319" s="449">
        <v>2577</v>
      </c>
      <c r="B8319" s="450" t="s">
        <v>9141</v>
      </c>
      <c r="C8319" s="449" t="s">
        <v>679</v>
      </c>
      <c r="D8319" s="451">
        <v>39.04</v>
      </c>
      <c r="E8319" s="210"/>
    </row>
    <row r="8320" spans="1:5" ht="38.25">
      <c r="A8320" s="449">
        <v>2574</v>
      </c>
      <c r="B8320" s="450" t="s">
        <v>9142</v>
      </c>
      <c r="C8320" s="449" t="s">
        <v>679</v>
      </c>
      <c r="D8320" s="451">
        <v>9.0500000000000007</v>
      </c>
      <c r="E8320" s="210"/>
    </row>
    <row r="8321" spans="1:5" ht="38.25">
      <c r="A8321" s="449">
        <v>2578</v>
      </c>
      <c r="B8321" s="450" t="s">
        <v>9143</v>
      </c>
      <c r="C8321" s="449" t="s">
        <v>679</v>
      </c>
      <c r="D8321" s="451">
        <v>121.9</v>
      </c>
      <c r="E8321" s="210"/>
    </row>
    <row r="8322" spans="1:5" ht="38.25">
      <c r="A8322" s="449">
        <v>2585</v>
      </c>
      <c r="B8322" s="450" t="s">
        <v>9144</v>
      </c>
      <c r="C8322" s="449" t="s">
        <v>679</v>
      </c>
      <c r="D8322" s="451">
        <v>167.28</v>
      </c>
      <c r="E8322" s="210"/>
    </row>
    <row r="8323" spans="1:5" ht="38.25">
      <c r="A8323" s="449">
        <v>12008</v>
      </c>
      <c r="B8323" s="450" t="s">
        <v>9145</v>
      </c>
      <c r="C8323" s="449" t="s">
        <v>679</v>
      </c>
      <c r="D8323" s="451">
        <v>89.75</v>
      </c>
      <c r="E8323" s="210"/>
    </row>
    <row r="8324" spans="1:5" ht="38.25">
      <c r="A8324" s="449">
        <v>2582</v>
      </c>
      <c r="B8324" s="450" t="s">
        <v>9146</v>
      </c>
      <c r="C8324" s="449" t="s">
        <v>679</v>
      </c>
      <c r="D8324" s="451">
        <v>26.73</v>
      </c>
      <c r="E8324" s="210"/>
    </row>
    <row r="8325" spans="1:5" ht="38.25">
      <c r="A8325" s="449">
        <v>2597</v>
      </c>
      <c r="B8325" s="450" t="s">
        <v>9147</v>
      </c>
      <c r="C8325" s="449" t="s">
        <v>679</v>
      </c>
      <c r="D8325" s="451">
        <v>22.9</v>
      </c>
      <c r="E8325" s="210"/>
    </row>
    <row r="8326" spans="1:5" ht="38.25">
      <c r="A8326" s="449">
        <v>2579</v>
      </c>
      <c r="B8326" s="450" t="s">
        <v>9148</v>
      </c>
      <c r="C8326" s="449" t="s">
        <v>679</v>
      </c>
      <c r="D8326" s="451">
        <v>10.9</v>
      </c>
      <c r="E8326" s="210"/>
    </row>
    <row r="8327" spans="1:5" ht="38.25">
      <c r="A8327" s="449">
        <v>2581</v>
      </c>
      <c r="B8327" s="450" t="s">
        <v>9149</v>
      </c>
      <c r="C8327" s="449" t="s">
        <v>679</v>
      </c>
      <c r="D8327" s="451">
        <v>13.95</v>
      </c>
      <c r="E8327" s="210"/>
    </row>
    <row r="8328" spans="1:5" ht="38.25">
      <c r="A8328" s="449">
        <v>2596</v>
      </c>
      <c r="B8328" s="450" t="s">
        <v>9150</v>
      </c>
      <c r="C8328" s="449" t="s">
        <v>679</v>
      </c>
      <c r="D8328" s="451">
        <v>41.27</v>
      </c>
      <c r="E8328" s="210"/>
    </row>
    <row r="8329" spans="1:5" ht="38.25">
      <c r="A8329" s="449">
        <v>2580</v>
      </c>
      <c r="B8329" s="450" t="s">
        <v>9151</v>
      </c>
      <c r="C8329" s="449" t="s">
        <v>679</v>
      </c>
      <c r="D8329" s="451">
        <v>11.95</v>
      </c>
      <c r="E8329" s="210"/>
    </row>
    <row r="8330" spans="1:5" ht="38.25">
      <c r="A8330" s="449">
        <v>2583</v>
      </c>
      <c r="B8330" s="450" t="s">
        <v>9152</v>
      </c>
      <c r="C8330" s="449" t="s">
        <v>679</v>
      </c>
      <c r="D8330" s="451">
        <v>100.38</v>
      </c>
      <c r="E8330" s="210"/>
    </row>
    <row r="8331" spans="1:5" ht="38.25">
      <c r="A8331" s="449">
        <v>2584</v>
      </c>
      <c r="B8331" s="450" t="s">
        <v>9153</v>
      </c>
      <c r="C8331" s="449" t="s">
        <v>679</v>
      </c>
      <c r="D8331" s="451">
        <v>167.11</v>
      </c>
      <c r="E8331" s="210"/>
    </row>
    <row r="8332" spans="1:5" ht="25.5">
      <c r="A8332" s="449">
        <v>12010</v>
      </c>
      <c r="B8332" s="450" t="s">
        <v>9154</v>
      </c>
      <c r="C8332" s="449" t="s">
        <v>679</v>
      </c>
      <c r="D8332" s="451">
        <v>7.31</v>
      </c>
      <c r="E8332" s="210"/>
    </row>
    <row r="8333" spans="1:5" ht="25.5">
      <c r="A8333" s="449">
        <v>39329</v>
      </c>
      <c r="B8333" s="450" t="s">
        <v>9155</v>
      </c>
      <c r="C8333" s="449" t="s">
        <v>679</v>
      </c>
      <c r="D8333" s="451">
        <v>7.64</v>
      </c>
      <c r="E8333" s="210"/>
    </row>
    <row r="8334" spans="1:5" ht="25.5">
      <c r="A8334" s="449">
        <v>39330</v>
      </c>
      <c r="B8334" s="450" t="s">
        <v>9156</v>
      </c>
      <c r="C8334" s="449" t="s">
        <v>679</v>
      </c>
      <c r="D8334" s="451">
        <v>8.0399999999999991</v>
      </c>
      <c r="E8334" s="210"/>
    </row>
    <row r="8335" spans="1:5" ht="25.5">
      <c r="A8335" s="449">
        <v>39332</v>
      </c>
      <c r="B8335" s="450" t="s">
        <v>9157</v>
      </c>
      <c r="C8335" s="449" t="s">
        <v>679</v>
      </c>
      <c r="D8335" s="451">
        <v>8.99</v>
      </c>
      <c r="E8335" s="210"/>
    </row>
    <row r="8336" spans="1:5" ht="25.5">
      <c r="A8336" s="449">
        <v>39331</v>
      </c>
      <c r="B8336" s="450" t="s">
        <v>9158</v>
      </c>
      <c r="C8336" s="449" t="s">
        <v>679</v>
      </c>
      <c r="D8336" s="451">
        <v>7.15</v>
      </c>
      <c r="E8336" s="210"/>
    </row>
    <row r="8337" spans="1:5" ht="25.5">
      <c r="A8337" s="449">
        <v>39333</v>
      </c>
      <c r="B8337" s="450" t="s">
        <v>9159</v>
      </c>
      <c r="C8337" s="449" t="s">
        <v>679</v>
      </c>
      <c r="D8337" s="451">
        <v>6.97</v>
      </c>
      <c r="E8337" s="210"/>
    </row>
    <row r="8338" spans="1:5" ht="25.5">
      <c r="A8338" s="449">
        <v>39335</v>
      </c>
      <c r="B8338" s="450" t="s">
        <v>9160</v>
      </c>
      <c r="C8338" s="449" t="s">
        <v>679</v>
      </c>
      <c r="D8338" s="451">
        <v>8.07</v>
      </c>
      <c r="E8338" s="210"/>
    </row>
    <row r="8339" spans="1:5" ht="25.5">
      <c r="A8339" s="449">
        <v>39334</v>
      </c>
      <c r="B8339" s="450" t="s">
        <v>9161</v>
      </c>
      <c r="C8339" s="449" t="s">
        <v>679</v>
      </c>
      <c r="D8339" s="451">
        <v>6.41</v>
      </c>
      <c r="E8339" s="210"/>
    </row>
    <row r="8340" spans="1:5" ht="25.5">
      <c r="A8340" s="449">
        <v>12016</v>
      </c>
      <c r="B8340" s="450" t="s">
        <v>9162</v>
      </c>
      <c r="C8340" s="449" t="s">
        <v>679</v>
      </c>
      <c r="D8340" s="451">
        <v>8.0500000000000007</v>
      </c>
      <c r="E8340" s="210"/>
    </row>
    <row r="8341" spans="1:5" ht="25.5">
      <c r="A8341" s="449">
        <v>12015</v>
      </c>
      <c r="B8341" s="450" t="s">
        <v>9163</v>
      </c>
      <c r="C8341" s="449" t="s">
        <v>679</v>
      </c>
      <c r="D8341" s="451">
        <v>9.3699999999999992</v>
      </c>
      <c r="E8341" s="210"/>
    </row>
    <row r="8342" spans="1:5" ht="25.5">
      <c r="A8342" s="449">
        <v>12020</v>
      </c>
      <c r="B8342" s="450" t="s">
        <v>9164</v>
      </c>
      <c r="C8342" s="449" t="s">
        <v>679</v>
      </c>
      <c r="D8342" s="451">
        <v>8.0500000000000007</v>
      </c>
      <c r="E8342" s="210"/>
    </row>
    <row r="8343" spans="1:5" ht="25.5">
      <c r="A8343" s="449">
        <v>12019</v>
      </c>
      <c r="B8343" s="450" t="s">
        <v>9165</v>
      </c>
      <c r="C8343" s="449" t="s">
        <v>679</v>
      </c>
      <c r="D8343" s="451">
        <v>9.3699999999999992</v>
      </c>
      <c r="E8343" s="210"/>
    </row>
    <row r="8344" spans="1:5" ht="25.5">
      <c r="A8344" s="449">
        <v>39336</v>
      </c>
      <c r="B8344" s="450" t="s">
        <v>9166</v>
      </c>
      <c r="C8344" s="449" t="s">
        <v>679</v>
      </c>
      <c r="D8344" s="451">
        <v>8.0399999999999991</v>
      </c>
      <c r="E8344" s="210"/>
    </row>
    <row r="8345" spans="1:5" ht="25.5">
      <c r="A8345" s="449">
        <v>39338</v>
      </c>
      <c r="B8345" s="450" t="s">
        <v>9167</v>
      </c>
      <c r="C8345" s="449" t="s">
        <v>679</v>
      </c>
      <c r="D8345" s="451">
        <v>8.99</v>
      </c>
      <c r="E8345" s="210"/>
    </row>
    <row r="8346" spans="1:5" ht="25.5">
      <c r="A8346" s="449">
        <v>39337</v>
      </c>
      <c r="B8346" s="450" t="s">
        <v>9168</v>
      </c>
      <c r="C8346" s="449" t="s">
        <v>679</v>
      </c>
      <c r="D8346" s="451">
        <v>7.15</v>
      </c>
      <c r="E8346" s="210"/>
    </row>
    <row r="8347" spans="1:5">
      <c r="A8347" s="449">
        <v>39341</v>
      </c>
      <c r="B8347" s="450" t="s">
        <v>9169</v>
      </c>
      <c r="C8347" s="449" t="s">
        <v>679</v>
      </c>
      <c r="D8347" s="451">
        <v>11.72</v>
      </c>
      <c r="E8347" s="210"/>
    </row>
    <row r="8348" spans="1:5" ht="25.5">
      <c r="A8348" s="449">
        <v>39340</v>
      </c>
      <c r="B8348" s="450" t="s">
        <v>9170</v>
      </c>
      <c r="C8348" s="449" t="s">
        <v>679</v>
      </c>
      <c r="D8348" s="451">
        <v>8.6</v>
      </c>
      <c r="E8348" s="210"/>
    </row>
    <row r="8349" spans="1:5" ht="25.5">
      <c r="A8349" s="449">
        <v>12025</v>
      </c>
      <c r="B8349" s="450" t="s">
        <v>9171</v>
      </c>
      <c r="C8349" s="449" t="s">
        <v>679</v>
      </c>
      <c r="D8349" s="451">
        <v>8.8800000000000008</v>
      </c>
      <c r="E8349" s="210"/>
    </row>
    <row r="8350" spans="1:5" ht="25.5">
      <c r="A8350" s="449">
        <v>39342</v>
      </c>
      <c r="B8350" s="450" t="s">
        <v>9172</v>
      </c>
      <c r="C8350" s="449" t="s">
        <v>679</v>
      </c>
      <c r="D8350" s="451">
        <v>11.72</v>
      </c>
      <c r="E8350" s="210"/>
    </row>
    <row r="8351" spans="1:5" ht="25.5">
      <c r="A8351" s="449">
        <v>39343</v>
      </c>
      <c r="B8351" s="450" t="s">
        <v>9173</v>
      </c>
      <c r="C8351" s="449" t="s">
        <v>679</v>
      </c>
      <c r="D8351" s="451">
        <v>9.89</v>
      </c>
      <c r="E8351" s="210"/>
    </row>
    <row r="8352" spans="1:5">
      <c r="A8352" s="449">
        <v>39345</v>
      </c>
      <c r="B8352" s="450" t="s">
        <v>9174</v>
      </c>
      <c r="C8352" s="449" t="s">
        <v>679</v>
      </c>
      <c r="D8352" s="451">
        <v>13.39</v>
      </c>
      <c r="E8352" s="210"/>
    </row>
    <row r="8353" spans="1:5" ht="25.5">
      <c r="A8353" s="449">
        <v>39344</v>
      </c>
      <c r="B8353" s="450" t="s">
        <v>9175</v>
      </c>
      <c r="C8353" s="449" t="s">
        <v>679</v>
      </c>
      <c r="D8353" s="451">
        <v>9.56</v>
      </c>
      <c r="E8353" s="210"/>
    </row>
    <row r="8354" spans="1:5" ht="25.5">
      <c r="A8354" s="449">
        <v>12623</v>
      </c>
      <c r="B8354" s="450" t="s">
        <v>9176</v>
      </c>
      <c r="C8354" s="449" t="s">
        <v>683</v>
      </c>
      <c r="D8354" s="451">
        <v>12.29</v>
      </c>
      <c r="E8354" s="210"/>
    </row>
    <row r="8355" spans="1:5" ht="25.5">
      <c r="A8355" s="449">
        <v>34498</v>
      </c>
      <c r="B8355" s="450" t="s">
        <v>9177</v>
      </c>
      <c r="C8355" s="449" t="s">
        <v>679</v>
      </c>
      <c r="D8355" s="451">
        <v>91.46</v>
      </c>
      <c r="E8355" s="210"/>
    </row>
    <row r="8356" spans="1:5" ht="25.5">
      <c r="A8356" s="449">
        <v>13244</v>
      </c>
      <c r="B8356" s="450" t="s">
        <v>9178</v>
      </c>
      <c r="C8356" s="449" t="s">
        <v>679</v>
      </c>
      <c r="D8356" s="451">
        <v>38.5</v>
      </c>
      <c r="E8356" s="210"/>
    </row>
    <row r="8357" spans="1:5" ht="38.25">
      <c r="A8357" s="449">
        <v>38998</v>
      </c>
      <c r="B8357" s="450" t="s">
        <v>9179</v>
      </c>
      <c r="C8357" s="449" t="s">
        <v>679</v>
      </c>
      <c r="D8357" s="451">
        <v>14.22</v>
      </c>
      <c r="E8357" s="210"/>
    </row>
    <row r="8358" spans="1:5" ht="38.25">
      <c r="A8358" s="449">
        <v>38999</v>
      </c>
      <c r="B8358" s="450" t="s">
        <v>9180</v>
      </c>
      <c r="C8358" s="449" t="s">
        <v>679</v>
      </c>
      <c r="D8358" s="451">
        <v>23.53</v>
      </c>
      <c r="E8358" s="210"/>
    </row>
    <row r="8359" spans="1:5" ht="38.25">
      <c r="A8359" s="449">
        <v>38996</v>
      </c>
      <c r="B8359" s="450" t="s">
        <v>9181</v>
      </c>
      <c r="C8359" s="449" t="s">
        <v>679</v>
      </c>
      <c r="D8359" s="451">
        <v>20.55</v>
      </c>
      <c r="E8359" s="210"/>
    </row>
    <row r="8360" spans="1:5" ht="38.25">
      <c r="A8360" s="449">
        <v>38997</v>
      </c>
      <c r="B8360" s="450" t="s">
        <v>9182</v>
      </c>
      <c r="C8360" s="449" t="s">
        <v>679</v>
      </c>
      <c r="D8360" s="451">
        <v>33.25</v>
      </c>
      <c r="E8360" s="210"/>
    </row>
    <row r="8361" spans="1:5" ht="25.5">
      <c r="A8361" s="449">
        <v>39862</v>
      </c>
      <c r="B8361" s="450" t="s">
        <v>9183</v>
      </c>
      <c r="C8361" s="449" t="s">
        <v>679</v>
      </c>
      <c r="D8361" s="451">
        <v>14.43</v>
      </c>
      <c r="E8361" s="210"/>
    </row>
    <row r="8362" spans="1:5" ht="25.5">
      <c r="A8362" s="449">
        <v>39863</v>
      </c>
      <c r="B8362" s="450" t="s">
        <v>9184</v>
      </c>
      <c r="C8362" s="449" t="s">
        <v>679</v>
      </c>
      <c r="D8362" s="451">
        <v>14.63</v>
      </c>
      <c r="E8362" s="210"/>
    </row>
    <row r="8363" spans="1:5" ht="25.5">
      <c r="A8363" s="449">
        <v>39864</v>
      </c>
      <c r="B8363" s="450" t="s">
        <v>9185</v>
      </c>
      <c r="C8363" s="449" t="s">
        <v>679</v>
      </c>
      <c r="D8363" s="451">
        <v>18.16</v>
      </c>
      <c r="E8363" s="210"/>
    </row>
    <row r="8364" spans="1:5" ht="25.5">
      <c r="A8364" s="449">
        <v>39865</v>
      </c>
      <c r="B8364" s="450" t="s">
        <v>9186</v>
      </c>
      <c r="C8364" s="449" t="s">
        <v>679</v>
      </c>
      <c r="D8364" s="451">
        <v>25.6</v>
      </c>
      <c r="E8364" s="210"/>
    </row>
    <row r="8365" spans="1:5" ht="38.25">
      <c r="A8365" s="449">
        <v>2517</v>
      </c>
      <c r="B8365" s="450" t="s">
        <v>9187</v>
      </c>
      <c r="C8365" s="449" t="s">
        <v>679</v>
      </c>
      <c r="D8365" s="451">
        <v>16.649999999999999</v>
      </c>
      <c r="E8365" s="210"/>
    </row>
    <row r="8366" spans="1:5" ht="38.25">
      <c r="A8366" s="449">
        <v>2522</v>
      </c>
      <c r="B8366" s="450" t="s">
        <v>9188</v>
      </c>
      <c r="C8366" s="449" t="s">
        <v>679</v>
      </c>
      <c r="D8366" s="451">
        <v>10.76</v>
      </c>
      <c r="E8366" s="210"/>
    </row>
    <row r="8367" spans="1:5" ht="38.25">
      <c r="A8367" s="449">
        <v>2548</v>
      </c>
      <c r="B8367" s="450" t="s">
        <v>9189</v>
      </c>
      <c r="C8367" s="449" t="s">
        <v>679</v>
      </c>
      <c r="D8367" s="451">
        <v>6.62</v>
      </c>
      <c r="E8367" s="210"/>
    </row>
    <row r="8368" spans="1:5" ht="38.25">
      <c r="A8368" s="449">
        <v>2516</v>
      </c>
      <c r="B8368" s="450" t="s">
        <v>9190</v>
      </c>
      <c r="C8368" s="449" t="s">
        <v>679</v>
      </c>
      <c r="D8368" s="451">
        <v>8.64</v>
      </c>
      <c r="E8368" s="210"/>
    </row>
    <row r="8369" spans="1:5" ht="38.25">
      <c r="A8369" s="449">
        <v>2518</v>
      </c>
      <c r="B8369" s="450" t="s">
        <v>9191</v>
      </c>
      <c r="C8369" s="449" t="s">
        <v>679</v>
      </c>
      <c r="D8369" s="451">
        <v>79.25</v>
      </c>
      <c r="E8369" s="210"/>
    </row>
    <row r="8370" spans="1:5" ht="38.25">
      <c r="A8370" s="449">
        <v>2521</v>
      </c>
      <c r="B8370" s="450" t="s">
        <v>9192</v>
      </c>
      <c r="C8370" s="449" t="s">
        <v>679</v>
      </c>
      <c r="D8370" s="451">
        <v>33.729999999999997</v>
      </c>
      <c r="E8370" s="210"/>
    </row>
    <row r="8371" spans="1:5" ht="38.25">
      <c r="A8371" s="449">
        <v>2515</v>
      </c>
      <c r="B8371" s="450" t="s">
        <v>9193</v>
      </c>
      <c r="C8371" s="449" t="s">
        <v>679</v>
      </c>
      <c r="D8371" s="451">
        <v>7.19</v>
      </c>
      <c r="E8371" s="210"/>
    </row>
    <row r="8372" spans="1:5" ht="38.25">
      <c r="A8372" s="449">
        <v>2519</v>
      </c>
      <c r="B8372" s="450" t="s">
        <v>9194</v>
      </c>
      <c r="C8372" s="449" t="s">
        <v>679</v>
      </c>
      <c r="D8372" s="451">
        <v>95.56</v>
      </c>
      <c r="E8372" s="210"/>
    </row>
    <row r="8373" spans="1:5" ht="38.25">
      <c r="A8373" s="449">
        <v>2520</v>
      </c>
      <c r="B8373" s="450" t="s">
        <v>9195</v>
      </c>
      <c r="C8373" s="449" t="s">
        <v>679</v>
      </c>
      <c r="D8373" s="451">
        <v>175.88</v>
      </c>
      <c r="E8373" s="210"/>
    </row>
    <row r="8374" spans="1:5" ht="38.25">
      <c r="A8374" s="449">
        <v>1602</v>
      </c>
      <c r="B8374" s="450" t="s">
        <v>9196</v>
      </c>
      <c r="C8374" s="449" t="s">
        <v>679</v>
      </c>
      <c r="D8374" s="451">
        <v>38.22</v>
      </c>
      <c r="E8374" s="210"/>
    </row>
    <row r="8375" spans="1:5" ht="38.25">
      <c r="A8375" s="449">
        <v>1601</v>
      </c>
      <c r="B8375" s="450" t="s">
        <v>9197</v>
      </c>
      <c r="C8375" s="449" t="s">
        <v>679</v>
      </c>
      <c r="D8375" s="451">
        <v>34.06</v>
      </c>
      <c r="E8375" s="210"/>
    </row>
    <row r="8376" spans="1:5" ht="38.25">
      <c r="A8376" s="449">
        <v>1598</v>
      </c>
      <c r="B8376" s="450" t="s">
        <v>9198</v>
      </c>
      <c r="C8376" s="449" t="s">
        <v>679</v>
      </c>
      <c r="D8376" s="451">
        <v>10.08</v>
      </c>
      <c r="E8376" s="210"/>
    </row>
    <row r="8377" spans="1:5" ht="38.25">
      <c r="A8377" s="449">
        <v>1600</v>
      </c>
      <c r="B8377" s="450" t="s">
        <v>9199</v>
      </c>
      <c r="C8377" s="449" t="s">
        <v>679</v>
      </c>
      <c r="D8377" s="451">
        <v>14.88</v>
      </c>
      <c r="E8377" s="210"/>
    </row>
    <row r="8378" spans="1:5" ht="38.25">
      <c r="A8378" s="449">
        <v>1603</v>
      </c>
      <c r="B8378" s="450" t="s">
        <v>9200</v>
      </c>
      <c r="C8378" s="449" t="s">
        <v>679</v>
      </c>
      <c r="D8378" s="451">
        <v>57.7</v>
      </c>
      <c r="E8378" s="210"/>
    </row>
    <row r="8379" spans="1:5" ht="38.25">
      <c r="A8379" s="449">
        <v>1599</v>
      </c>
      <c r="B8379" s="450" t="s">
        <v>9201</v>
      </c>
      <c r="C8379" s="449" t="s">
        <v>679</v>
      </c>
      <c r="D8379" s="451">
        <v>11.69</v>
      </c>
      <c r="E8379" s="210"/>
    </row>
    <row r="8380" spans="1:5" ht="38.25">
      <c r="A8380" s="449">
        <v>1597</v>
      </c>
      <c r="B8380" s="450" t="s">
        <v>9202</v>
      </c>
      <c r="C8380" s="449" t="s">
        <v>679</v>
      </c>
      <c r="D8380" s="451">
        <v>9.4700000000000006</v>
      </c>
      <c r="E8380" s="210"/>
    </row>
    <row r="8381" spans="1:5">
      <c r="A8381" s="449">
        <v>39600</v>
      </c>
      <c r="B8381" s="450" t="s">
        <v>9203</v>
      </c>
      <c r="C8381" s="449" t="s">
        <v>679</v>
      </c>
      <c r="D8381" s="451">
        <v>10.56</v>
      </c>
      <c r="E8381" s="210"/>
    </row>
    <row r="8382" spans="1:5">
      <c r="A8382" s="449">
        <v>39601</v>
      </c>
      <c r="B8382" s="450" t="s">
        <v>9204</v>
      </c>
      <c r="C8382" s="449" t="s">
        <v>679</v>
      </c>
      <c r="D8382" s="451">
        <v>18.37</v>
      </c>
      <c r="E8382" s="210"/>
    </row>
    <row r="8383" spans="1:5">
      <c r="A8383" s="449">
        <v>39602</v>
      </c>
      <c r="B8383" s="450" t="s">
        <v>9205</v>
      </c>
      <c r="C8383" s="449" t="s">
        <v>679</v>
      </c>
      <c r="D8383" s="451">
        <v>1.21</v>
      </c>
      <c r="E8383" s="210"/>
    </row>
    <row r="8384" spans="1:5">
      <c r="A8384" s="449">
        <v>39603</v>
      </c>
      <c r="B8384" s="450" t="s">
        <v>9206</v>
      </c>
      <c r="C8384" s="449" t="s">
        <v>679</v>
      </c>
      <c r="D8384" s="451">
        <v>2.0699999999999998</v>
      </c>
      <c r="E8384" s="210"/>
    </row>
    <row r="8385" spans="1:5" ht="38.25">
      <c r="A8385" s="449">
        <v>11821</v>
      </c>
      <c r="B8385" s="450" t="s">
        <v>9207</v>
      </c>
      <c r="C8385" s="449" t="s">
        <v>679</v>
      </c>
      <c r="D8385" s="451">
        <v>7.78</v>
      </c>
      <c r="E8385" s="210"/>
    </row>
    <row r="8386" spans="1:5" ht="38.25">
      <c r="A8386" s="449">
        <v>1562</v>
      </c>
      <c r="B8386" s="450" t="s">
        <v>9208</v>
      </c>
      <c r="C8386" s="449" t="s">
        <v>679</v>
      </c>
      <c r="D8386" s="451">
        <v>12.75</v>
      </c>
      <c r="E8386" s="210"/>
    </row>
    <row r="8387" spans="1:5" ht="38.25">
      <c r="A8387" s="449">
        <v>1563</v>
      </c>
      <c r="B8387" s="450" t="s">
        <v>9209</v>
      </c>
      <c r="C8387" s="449" t="s">
        <v>679</v>
      </c>
      <c r="D8387" s="451">
        <v>17.11</v>
      </c>
      <c r="E8387" s="210"/>
    </row>
    <row r="8388" spans="1:5" ht="25.5">
      <c r="A8388" s="449">
        <v>11856</v>
      </c>
      <c r="B8388" s="450" t="s">
        <v>9210</v>
      </c>
      <c r="C8388" s="449" t="s">
        <v>679</v>
      </c>
      <c r="D8388" s="451">
        <v>5.0999999999999996</v>
      </c>
      <c r="E8388" s="210"/>
    </row>
    <row r="8389" spans="1:5" ht="25.5">
      <c r="A8389" s="449">
        <v>11857</v>
      </c>
      <c r="B8389" s="450" t="s">
        <v>9211</v>
      </c>
      <c r="C8389" s="449" t="s">
        <v>679</v>
      </c>
      <c r="D8389" s="451">
        <v>26.84</v>
      </c>
      <c r="E8389" s="210"/>
    </row>
    <row r="8390" spans="1:5" ht="25.5">
      <c r="A8390" s="449">
        <v>11858</v>
      </c>
      <c r="B8390" s="450" t="s">
        <v>9212</v>
      </c>
      <c r="C8390" s="449" t="s">
        <v>679</v>
      </c>
      <c r="D8390" s="451">
        <v>33.31</v>
      </c>
      <c r="E8390" s="210"/>
    </row>
    <row r="8391" spans="1:5" ht="25.5">
      <c r="A8391" s="449">
        <v>1539</v>
      </c>
      <c r="B8391" s="450" t="s">
        <v>9213</v>
      </c>
      <c r="C8391" s="449" t="s">
        <v>679</v>
      </c>
      <c r="D8391" s="451">
        <v>5.99</v>
      </c>
      <c r="E8391" s="210"/>
    </row>
    <row r="8392" spans="1:5" ht="25.5">
      <c r="A8392" s="449">
        <v>11859</v>
      </c>
      <c r="B8392" s="450" t="s">
        <v>9214</v>
      </c>
      <c r="C8392" s="449" t="s">
        <v>679</v>
      </c>
      <c r="D8392" s="451">
        <v>45.32</v>
      </c>
      <c r="E8392" s="210"/>
    </row>
    <row r="8393" spans="1:5" ht="25.5">
      <c r="A8393" s="449">
        <v>1550</v>
      </c>
      <c r="B8393" s="450" t="s">
        <v>9215</v>
      </c>
      <c r="C8393" s="449" t="s">
        <v>679</v>
      </c>
      <c r="D8393" s="451">
        <v>6.32</v>
      </c>
      <c r="E8393" s="210"/>
    </row>
    <row r="8394" spans="1:5" ht="25.5">
      <c r="A8394" s="449">
        <v>11854</v>
      </c>
      <c r="B8394" s="450" t="s">
        <v>9216</v>
      </c>
      <c r="C8394" s="449" t="s">
        <v>679</v>
      </c>
      <c r="D8394" s="451">
        <v>7.9</v>
      </c>
      <c r="E8394" s="210"/>
    </row>
    <row r="8395" spans="1:5" ht="25.5">
      <c r="A8395" s="449">
        <v>11862</v>
      </c>
      <c r="B8395" s="450" t="s">
        <v>9217</v>
      </c>
      <c r="C8395" s="449" t="s">
        <v>679</v>
      </c>
      <c r="D8395" s="451">
        <v>11.08</v>
      </c>
      <c r="E8395" s="210"/>
    </row>
    <row r="8396" spans="1:5" ht="25.5">
      <c r="A8396" s="449">
        <v>11863</v>
      </c>
      <c r="B8396" s="450" t="s">
        <v>9218</v>
      </c>
      <c r="C8396" s="449" t="s">
        <v>679</v>
      </c>
      <c r="D8396" s="451">
        <v>4.47</v>
      </c>
      <c r="E8396" s="210"/>
    </row>
    <row r="8397" spans="1:5" ht="25.5">
      <c r="A8397" s="449">
        <v>11855</v>
      </c>
      <c r="B8397" s="450" t="s">
        <v>9219</v>
      </c>
      <c r="C8397" s="449" t="s">
        <v>679</v>
      </c>
      <c r="D8397" s="451">
        <v>16.54</v>
      </c>
      <c r="E8397" s="210"/>
    </row>
    <row r="8398" spans="1:5" ht="25.5">
      <c r="A8398" s="449">
        <v>11864</v>
      </c>
      <c r="B8398" s="450" t="s">
        <v>9220</v>
      </c>
      <c r="C8398" s="449" t="s">
        <v>679</v>
      </c>
      <c r="D8398" s="451">
        <v>25.01</v>
      </c>
      <c r="E8398" s="210"/>
    </row>
    <row r="8399" spans="1:5" ht="51">
      <c r="A8399" s="449">
        <v>2527</v>
      </c>
      <c r="B8399" s="450" t="s">
        <v>9221</v>
      </c>
      <c r="C8399" s="449" t="s">
        <v>679</v>
      </c>
      <c r="D8399" s="451">
        <v>5.96</v>
      </c>
      <c r="E8399" s="210"/>
    </row>
    <row r="8400" spans="1:5" ht="51">
      <c r="A8400" s="449">
        <v>2526</v>
      </c>
      <c r="B8400" s="450" t="s">
        <v>9222</v>
      </c>
      <c r="C8400" s="449" t="s">
        <v>679</v>
      </c>
      <c r="D8400" s="451">
        <v>3.82</v>
      </c>
      <c r="E8400" s="210"/>
    </row>
    <row r="8401" spans="1:5" ht="51">
      <c r="A8401" s="449">
        <v>2487</v>
      </c>
      <c r="B8401" s="450" t="s">
        <v>9223</v>
      </c>
      <c r="C8401" s="449" t="s">
        <v>679</v>
      </c>
      <c r="D8401" s="451">
        <v>1.3</v>
      </c>
      <c r="E8401" s="210"/>
    </row>
    <row r="8402" spans="1:5" ht="51">
      <c r="A8402" s="449">
        <v>2483</v>
      </c>
      <c r="B8402" s="450" t="s">
        <v>9224</v>
      </c>
      <c r="C8402" s="449" t="s">
        <v>679</v>
      </c>
      <c r="D8402" s="451">
        <v>2.72</v>
      </c>
      <c r="E8402" s="210"/>
    </row>
    <row r="8403" spans="1:5" ht="51">
      <c r="A8403" s="449">
        <v>2528</v>
      </c>
      <c r="B8403" s="450" t="s">
        <v>9225</v>
      </c>
      <c r="C8403" s="449" t="s">
        <v>679</v>
      </c>
      <c r="D8403" s="451">
        <v>14.99</v>
      </c>
      <c r="E8403" s="210"/>
    </row>
    <row r="8404" spans="1:5" ht="51">
      <c r="A8404" s="449">
        <v>2489</v>
      </c>
      <c r="B8404" s="450" t="s">
        <v>9226</v>
      </c>
      <c r="C8404" s="449" t="s">
        <v>679</v>
      </c>
      <c r="D8404" s="451">
        <v>6.6</v>
      </c>
      <c r="E8404" s="210"/>
    </row>
    <row r="8405" spans="1:5" ht="51">
      <c r="A8405" s="449">
        <v>2488</v>
      </c>
      <c r="B8405" s="450" t="s">
        <v>9227</v>
      </c>
      <c r="C8405" s="449" t="s">
        <v>679</v>
      </c>
      <c r="D8405" s="451">
        <v>1.52</v>
      </c>
      <c r="E8405" s="210"/>
    </row>
    <row r="8406" spans="1:5" ht="51">
      <c r="A8406" s="449">
        <v>2484</v>
      </c>
      <c r="B8406" s="450" t="s">
        <v>9228</v>
      </c>
      <c r="C8406" s="449" t="s">
        <v>679</v>
      </c>
      <c r="D8406" s="451">
        <v>21.78</v>
      </c>
      <c r="E8406" s="210"/>
    </row>
    <row r="8407" spans="1:5" ht="51">
      <c r="A8407" s="449">
        <v>2485</v>
      </c>
      <c r="B8407" s="450" t="s">
        <v>9229</v>
      </c>
      <c r="C8407" s="449" t="s">
        <v>679</v>
      </c>
      <c r="D8407" s="451">
        <v>34.14</v>
      </c>
      <c r="E8407" s="210"/>
    </row>
    <row r="8408" spans="1:5" ht="25.5">
      <c r="A8408" s="449">
        <v>38005</v>
      </c>
      <c r="B8408" s="450" t="s">
        <v>9230</v>
      </c>
      <c r="C8408" s="449" t="s">
        <v>679</v>
      </c>
      <c r="D8408" s="451">
        <v>26.28</v>
      </c>
      <c r="E8408" s="210"/>
    </row>
    <row r="8409" spans="1:5" ht="25.5">
      <c r="A8409" s="449">
        <v>38006</v>
      </c>
      <c r="B8409" s="450" t="s">
        <v>9231</v>
      </c>
      <c r="C8409" s="449" t="s">
        <v>679</v>
      </c>
      <c r="D8409" s="451">
        <v>32.25</v>
      </c>
      <c r="E8409" s="210"/>
    </row>
    <row r="8410" spans="1:5" ht="25.5">
      <c r="A8410" s="449">
        <v>38428</v>
      </c>
      <c r="B8410" s="450" t="s">
        <v>9232</v>
      </c>
      <c r="C8410" s="449" t="s">
        <v>679</v>
      </c>
      <c r="D8410" s="451">
        <v>30.21</v>
      </c>
      <c r="E8410" s="210"/>
    </row>
    <row r="8411" spans="1:5" ht="25.5">
      <c r="A8411" s="449">
        <v>38007</v>
      </c>
      <c r="B8411" s="450" t="s">
        <v>9233</v>
      </c>
      <c r="C8411" s="449" t="s">
        <v>679</v>
      </c>
      <c r="D8411" s="451">
        <v>49.36</v>
      </c>
      <c r="E8411" s="210"/>
    </row>
    <row r="8412" spans="1:5" ht="25.5">
      <c r="A8412" s="449">
        <v>38008</v>
      </c>
      <c r="B8412" s="450" t="s">
        <v>9234</v>
      </c>
      <c r="C8412" s="449" t="s">
        <v>679</v>
      </c>
      <c r="D8412" s="451">
        <v>198.79</v>
      </c>
      <c r="E8412" s="210"/>
    </row>
    <row r="8413" spans="1:5" ht="25.5">
      <c r="A8413" s="449">
        <v>38009</v>
      </c>
      <c r="B8413" s="450" t="s">
        <v>9235</v>
      </c>
      <c r="C8413" s="449" t="s">
        <v>679</v>
      </c>
      <c r="D8413" s="451">
        <v>242.95</v>
      </c>
      <c r="E8413" s="210"/>
    </row>
    <row r="8414" spans="1:5" ht="38.25">
      <c r="A8414" s="449">
        <v>39279</v>
      </c>
      <c r="B8414" s="450" t="s">
        <v>9236</v>
      </c>
      <c r="C8414" s="449" t="s">
        <v>679</v>
      </c>
      <c r="D8414" s="451">
        <v>16.5</v>
      </c>
      <c r="E8414" s="210"/>
    </row>
    <row r="8415" spans="1:5" ht="38.25">
      <c r="A8415" s="449">
        <v>38845</v>
      </c>
      <c r="B8415" s="450" t="s">
        <v>9237</v>
      </c>
      <c r="C8415" s="449" t="s">
        <v>679</v>
      </c>
      <c r="D8415" s="451">
        <v>23.88</v>
      </c>
      <c r="E8415" s="210"/>
    </row>
    <row r="8416" spans="1:5" ht="38.25">
      <c r="A8416" s="449">
        <v>39280</v>
      </c>
      <c r="B8416" s="450" t="s">
        <v>9238</v>
      </c>
      <c r="C8416" s="449" t="s">
        <v>679</v>
      </c>
      <c r="D8416" s="451">
        <v>21.4</v>
      </c>
      <c r="E8416" s="210"/>
    </row>
    <row r="8417" spans="1:5" ht="38.25">
      <c r="A8417" s="449">
        <v>39281</v>
      </c>
      <c r="B8417" s="450" t="s">
        <v>9239</v>
      </c>
      <c r="C8417" s="449" t="s">
        <v>679</v>
      </c>
      <c r="D8417" s="451">
        <v>28.17</v>
      </c>
      <c r="E8417" s="210"/>
    </row>
    <row r="8418" spans="1:5" ht="38.25">
      <c r="A8418" s="449">
        <v>38849</v>
      </c>
      <c r="B8418" s="450" t="s">
        <v>9240</v>
      </c>
      <c r="C8418" s="449" t="s">
        <v>679</v>
      </c>
      <c r="D8418" s="451">
        <v>24.14</v>
      </c>
      <c r="E8418" s="210"/>
    </row>
    <row r="8419" spans="1:5" ht="38.25">
      <c r="A8419" s="449">
        <v>39282</v>
      </c>
      <c r="B8419" s="450" t="s">
        <v>9241</v>
      </c>
      <c r="C8419" s="449" t="s">
        <v>679</v>
      </c>
      <c r="D8419" s="451">
        <v>28.85</v>
      </c>
      <c r="E8419" s="210"/>
    </row>
    <row r="8420" spans="1:5" ht="38.25">
      <c r="A8420" s="449">
        <v>38852</v>
      </c>
      <c r="B8420" s="450" t="s">
        <v>9242</v>
      </c>
      <c r="C8420" s="449" t="s">
        <v>679</v>
      </c>
      <c r="D8420" s="451">
        <v>39.25</v>
      </c>
      <c r="E8420" s="210"/>
    </row>
    <row r="8421" spans="1:5" ht="38.25">
      <c r="A8421" s="449">
        <v>38844</v>
      </c>
      <c r="B8421" s="450" t="s">
        <v>9243</v>
      </c>
      <c r="C8421" s="449" t="s">
        <v>679</v>
      </c>
      <c r="D8421" s="451">
        <v>12.06</v>
      </c>
      <c r="E8421" s="210"/>
    </row>
    <row r="8422" spans="1:5" ht="38.25">
      <c r="A8422" s="449">
        <v>38846</v>
      </c>
      <c r="B8422" s="450" t="s">
        <v>9244</v>
      </c>
      <c r="C8422" s="449" t="s">
        <v>679</v>
      </c>
      <c r="D8422" s="451">
        <v>13.19</v>
      </c>
      <c r="E8422" s="210"/>
    </row>
    <row r="8423" spans="1:5" ht="38.25">
      <c r="A8423" s="449">
        <v>38847</v>
      </c>
      <c r="B8423" s="450" t="s">
        <v>9245</v>
      </c>
      <c r="C8423" s="449" t="s">
        <v>679</v>
      </c>
      <c r="D8423" s="451">
        <v>16.23</v>
      </c>
      <c r="E8423" s="210"/>
    </row>
    <row r="8424" spans="1:5" ht="38.25">
      <c r="A8424" s="449">
        <v>38850</v>
      </c>
      <c r="B8424" s="450" t="s">
        <v>9246</v>
      </c>
      <c r="C8424" s="449" t="s">
        <v>679</v>
      </c>
      <c r="D8424" s="451">
        <v>22.56</v>
      </c>
      <c r="E8424" s="210"/>
    </row>
    <row r="8425" spans="1:5" ht="38.25">
      <c r="A8425" s="449">
        <v>38848</v>
      </c>
      <c r="B8425" s="450" t="s">
        <v>9247</v>
      </c>
      <c r="C8425" s="449" t="s">
        <v>679</v>
      </c>
      <c r="D8425" s="451">
        <v>18.87</v>
      </c>
      <c r="E8425" s="210"/>
    </row>
    <row r="8426" spans="1:5" ht="38.25">
      <c r="A8426" s="449">
        <v>38851</v>
      </c>
      <c r="B8426" s="450" t="s">
        <v>9248</v>
      </c>
      <c r="C8426" s="449" t="s">
        <v>679</v>
      </c>
      <c r="D8426" s="451">
        <v>34.29</v>
      </c>
      <c r="E8426" s="210"/>
    </row>
    <row r="8427" spans="1:5" ht="25.5">
      <c r="A8427" s="449">
        <v>38860</v>
      </c>
      <c r="B8427" s="450" t="s">
        <v>9249</v>
      </c>
      <c r="C8427" s="449" t="s">
        <v>679</v>
      </c>
      <c r="D8427" s="451">
        <v>9.69</v>
      </c>
      <c r="E8427" s="210"/>
    </row>
    <row r="8428" spans="1:5" ht="25.5">
      <c r="A8428" s="449">
        <v>38861</v>
      </c>
      <c r="B8428" s="450" t="s">
        <v>9250</v>
      </c>
      <c r="C8428" s="449" t="s">
        <v>679</v>
      </c>
      <c r="D8428" s="451">
        <v>13.04</v>
      </c>
      <c r="E8428" s="210"/>
    </row>
    <row r="8429" spans="1:5" ht="25.5">
      <c r="A8429" s="449">
        <v>38862</v>
      </c>
      <c r="B8429" s="450" t="s">
        <v>9251</v>
      </c>
      <c r="C8429" s="449" t="s">
        <v>679</v>
      </c>
      <c r="D8429" s="451">
        <v>10.99</v>
      </c>
      <c r="E8429" s="210"/>
    </row>
    <row r="8430" spans="1:5" ht="25.5">
      <c r="A8430" s="449">
        <v>38863</v>
      </c>
      <c r="B8430" s="450" t="s">
        <v>9252</v>
      </c>
      <c r="C8430" s="449" t="s">
        <v>679</v>
      </c>
      <c r="D8430" s="451">
        <v>12.63</v>
      </c>
      <c r="E8430" s="210"/>
    </row>
    <row r="8431" spans="1:5" ht="25.5">
      <c r="A8431" s="449">
        <v>38865</v>
      </c>
      <c r="B8431" s="450" t="s">
        <v>9253</v>
      </c>
      <c r="C8431" s="449" t="s">
        <v>679</v>
      </c>
      <c r="D8431" s="451">
        <v>17.149999999999999</v>
      </c>
      <c r="E8431" s="210"/>
    </row>
    <row r="8432" spans="1:5" ht="25.5">
      <c r="A8432" s="449">
        <v>38864</v>
      </c>
      <c r="B8432" s="450" t="s">
        <v>9254</v>
      </c>
      <c r="C8432" s="449" t="s">
        <v>679</v>
      </c>
      <c r="D8432" s="451">
        <v>26.22</v>
      </c>
      <c r="E8432" s="210"/>
    </row>
    <row r="8433" spans="1:5" ht="25.5">
      <c r="A8433" s="449">
        <v>38866</v>
      </c>
      <c r="B8433" s="450" t="s">
        <v>9255</v>
      </c>
      <c r="C8433" s="449" t="s">
        <v>679</v>
      </c>
      <c r="D8433" s="451">
        <v>18.46</v>
      </c>
      <c r="E8433" s="210"/>
    </row>
    <row r="8434" spans="1:5" ht="25.5">
      <c r="A8434" s="449">
        <v>38868</v>
      </c>
      <c r="B8434" s="450" t="s">
        <v>9256</v>
      </c>
      <c r="C8434" s="449" t="s">
        <v>679</v>
      </c>
      <c r="D8434" s="451">
        <v>30.77</v>
      </c>
      <c r="E8434" s="210"/>
    </row>
    <row r="8435" spans="1:5" ht="38.25">
      <c r="A8435" s="449">
        <v>38853</v>
      </c>
      <c r="B8435" s="450" t="s">
        <v>9257</v>
      </c>
      <c r="C8435" s="449" t="s">
        <v>679</v>
      </c>
      <c r="D8435" s="451">
        <v>9.94</v>
      </c>
      <c r="E8435" s="210"/>
    </row>
    <row r="8436" spans="1:5" ht="38.25">
      <c r="A8436" s="449">
        <v>38854</v>
      </c>
      <c r="B8436" s="450" t="s">
        <v>9258</v>
      </c>
      <c r="C8436" s="449" t="s">
        <v>679</v>
      </c>
      <c r="D8436" s="451">
        <v>13.59</v>
      </c>
      <c r="E8436" s="210"/>
    </row>
    <row r="8437" spans="1:5" ht="38.25">
      <c r="A8437" s="449">
        <v>38855</v>
      </c>
      <c r="B8437" s="450" t="s">
        <v>9259</v>
      </c>
      <c r="C8437" s="449" t="s">
        <v>679</v>
      </c>
      <c r="D8437" s="451">
        <v>10.08</v>
      </c>
      <c r="E8437" s="210"/>
    </row>
    <row r="8438" spans="1:5" ht="38.25">
      <c r="A8438" s="449">
        <v>38856</v>
      </c>
      <c r="B8438" s="450" t="s">
        <v>9260</v>
      </c>
      <c r="C8438" s="449" t="s">
        <v>679</v>
      </c>
      <c r="D8438" s="451">
        <v>16.190000000000001</v>
      </c>
      <c r="E8438" s="210"/>
    </row>
    <row r="8439" spans="1:5" ht="38.25">
      <c r="A8439" s="449">
        <v>38857</v>
      </c>
      <c r="B8439" s="450" t="s">
        <v>9261</v>
      </c>
      <c r="C8439" s="449" t="s">
        <v>679</v>
      </c>
      <c r="D8439" s="451">
        <v>21.41</v>
      </c>
      <c r="E8439" s="210"/>
    </row>
    <row r="8440" spans="1:5" ht="38.25">
      <c r="A8440" s="449">
        <v>38858</v>
      </c>
      <c r="B8440" s="450" t="s">
        <v>9262</v>
      </c>
      <c r="C8440" s="449" t="s">
        <v>679</v>
      </c>
      <c r="D8440" s="451">
        <v>19.47</v>
      </c>
      <c r="E8440" s="210"/>
    </row>
    <row r="8441" spans="1:5" ht="38.25">
      <c r="A8441" s="449">
        <v>38859</v>
      </c>
      <c r="B8441" s="450" t="s">
        <v>9263</v>
      </c>
      <c r="C8441" s="449" t="s">
        <v>679</v>
      </c>
      <c r="D8441" s="451">
        <v>31.53</v>
      </c>
      <c r="E8441" s="210"/>
    </row>
    <row r="8442" spans="1:5" ht="89.25">
      <c r="A8442" s="449">
        <v>3104</v>
      </c>
      <c r="B8442" s="450" t="s">
        <v>9264</v>
      </c>
      <c r="C8442" s="449" t="s">
        <v>686</v>
      </c>
      <c r="D8442" s="451">
        <v>131.26</v>
      </c>
      <c r="E8442" s="210"/>
    </row>
    <row r="8443" spans="1:5" ht="38.25">
      <c r="A8443" s="449">
        <v>1607</v>
      </c>
      <c r="B8443" s="450" t="s">
        <v>9265</v>
      </c>
      <c r="C8443" s="449" t="s">
        <v>686</v>
      </c>
      <c r="D8443" s="451">
        <v>0.23</v>
      </c>
      <c r="E8443" s="210"/>
    </row>
    <row r="8444" spans="1:5" ht="51">
      <c r="A8444" s="449">
        <v>38169</v>
      </c>
      <c r="B8444" s="450" t="s">
        <v>9266</v>
      </c>
      <c r="C8444" s="449" t="s">
        <v>686</v>
      </c>
      <c r="D8444" s="451">
        <v>84.93</v>
      </c>
      <c r="E8444" s="210"/>
    </row>
    <row r="8445" spans="1:5" ht="38.25">
      <c r="A8445" s="449">
        <v>6142</v>
      </c>
      <c r="B8445" s="450" t="s">
        <v>9267</v>
      </c>
      <c r="C8445" s="449" t="s">
        <v>679</v>
      </c>
      <c r="D8445" s="451">
        <v>7.56</v>
      </c>
      <c r="E8445" s="210"/>
    </row>
    <row r="8446" spans="1:5" ht="38.25">
      <c r="A8446" s="449">
        <v>11686</v>
      </c>
      <c r="B8446" s="450" t="s">
        <v>9268</v>
      </c>
      <c r="C8446" s="449" t="s">
        <v>679</v>
      </c>
      <c r="D8446" s="451">
        <v>10.5</v>
      </c>
      <c r="E8446" s="210"/>
    </row>
    <row r="8447" spans="1:5" ht="38.25">
      <c r="A8447" s="449">
        <v>37598</v>
      </c>
      <c r="B8447" s="450" t="s">
        <v>9269</v>
      </c>
      <c r="C8447" s="449" t="s">
        <v>679</v>
      </c>
      <c r="D8447" s="451">
        <v>33.86</v>
      </c>
      <c r="E8447" s="210"/>
    </row>
    <row r="8448" spans="1:5" ht="63.75">
      <c r="A8448" s="449">
        <v>25398</v>
      </c>
      <c r="B8448" s="450" t="s">
        <v>9270</v>
      </c>
      <c r="C8448" s="449" t="s">
        <v>679</v>
      </c>
      <c r="D8448" s="451">
        <v>5018.0600000000004</v>
      </c>
      <c r="E8448" s="210"/>
    </row>
    <row r="8449" spans="1:5" ht="76.5">
      <c r="A8449" s="449">
        <v>25399</v>
      </c>
      <c r="B8449" s="450" t="s">
        <v>9271</v>
      </c>
      <c r="C8449" s="449" t="s">
        <v>679</v>
      </c>
      <c r="D8449" s="451">
        <v>3046.4</v>
      </c>
      <c r="E8449" s="210"/>
    </row>
    <row r="8450" spans="1:5" ht="51">
      <c r="A8450" s="449">
        <v>43440</v>
      </c>
      <c r="B8450" s="450" t="s">
        <v>9272</v>
      </c>
      <c r="C8450" s="449" t="s">
        <v>679</v>
      </c>
      <c r="D8450" s="451">
        <v>403.85</v>
      </c>
      <c r="E8450" s="210"/>
    </row>
    <row r="8451" spans="1:5" ht="51">
      <c r="A8451" s="449">
        <v>10667</v>
      </c>
      <c r="B8451" s="450" t="s">
        <v>9273</v>
      </c>
      <c r="C8451" s="449" t="s">
        <v>679</v>
      </c>
      <c r="D8451" s="451">
        <v>14750</v>
      </c>
      <c r="E8451" s="210"/>
    </row>
    <row r="8452" spans="1:5" ht="38.25">
      <c r="A8452" s="449">
        <v>1613</v>
      </c>
      <c r="B8452" s="450" t="s">
        <v>9274</v>
      </c>
      <c r="C8452" s="449" t="s">
        <v>679</v>
      </c>
      <c r="D8452" s="451">
        <v>1558.03</v>
      </c>
      <c r="E8452" s="210"/>
    </row>
    <row r="8453" spans="1:5" ht="38.25">
      <c r="A8453" s="449">
        <v>1626</v>
      </c>
      <c r="B8453" s="450" t="s">
        <v>9275</v>
      </c>
      <c r="C8453" s="449" t="s">
        <v>679</v>
      </c>
      <c r="D8453" s="451">
        <v>2330.23</v>
      </c>
      <c r="E8453" s="210"/>
    </row>
    <row r="8454" spans="1:5" ht="38.25">
      <c r="A8454" s="449">
        <v>1625</v>
      </c>
      <c r="B8454" s="450" t="s">
        <v>9276</v>
      </c>
      <c r="C8454" s="449" t="s">
        <v>679</v>
      </c>
      <c r="D8454" s="451">
        <v>162.76</v>
      </c>
      <c r="E8454" s="210"/>
    </row>
    <row r="8455" spans="1:5" ht="38.25">
      <c r="A8455" s="449">
        <v>1622</v>
      </c>
      <c r="B8455" s="450" t="s">
        <v>9277</v>
      </c>
      <c r="C8455" s="449" t="s">
        <v>679</v>
      </c>
      <c r="D8455" s="451">
        <v>5258.37</v>
      </c>
      <c r="E8455" s="210"/>
    </row>
    <row r="8456" spans="1:5" ht="38.25">
      <c r="A8456" s="449">
        <v>1620</v>
      </c>
      <c r="B8456" s="450" t="s">
        <v>9278</v>
      </c>
      <c r="C8456" s="449" t="s">
        <v>679</v>
      </c>
      <c r="D8456" s="451">
        <v>342.85</v>
      </c>
      <c r="E8456" s="210"/>
    </row>
    <row r="8457" spans="1:5" ht="38.25">
      <c r="A8457" s="449">
        <v>1629</v>
      </c>
      <c r="B8457" s="450" t="s">
        <v>9279</v>
      </c>
      <c r="C8457" s="449" t="s">
        <v>679</v>
      </c>
      <c r="D8457" s="451">
        <v>12797.61</v>
      </c>
      <c r="E8457" s="210"/>
    </row>
    <row r="8458" spans="1:5" ht="38.25">
      <c r="A8458" s="449">
        <v>1627</v>
      </c>
      <c r="B8458" s="450" t="s">
        <v>9280</v>
      </c>
      <c r="C8458" s="449" t="s">
        <v>679</v>
      </c>
      <c r="D8458" s="451">
        <v>655.35</v>
      </c>
      <c r="E8458" s="210"/>
    </row>
    <row r="8459" spans="1:5" ht="38.25">
      <c r="A8459" s="449">
        <v>1623</v>
      </c>
      <c r="B8459" s="450" t="s">
        <v>9281</v>
      </c>
      <c r="C8459" s="449" t="s">
        <v>679</v>
      </c>
      <c r="D8459" s="451">
        <v>132.72999999999999</v>
      </c>
      <c r="E8459" s="210"/>
    </row>
    <row r="8460" spans="1:5" ht="38.25">
      <c r="A8460" s="449">
        <v>1619</v>
      </c>
      <c r="B8460" s="450" t="s">
        <v>9282</v>
      </c>
      <c r="C8460" s="449" t="s">
        <v>679</v>
      </c>
      <c r="D8460" s="451">
        <v>182.58</v>
      </c>
      <c r="E8460" s="210"/>
    </row>
    <row r="8461" spans="1:5" ht="38.25">
      <c r="A8461" s="449">
        <v>1630</v>
      </c>
      <c r="B8461" s="450" t="s">
        <v>9283</v>
      </c>
      <c r="C8461" s="449" t="s">
        <v>679</v>
      </c>
      <c r="D8461" s="451">
        <v>4020.13</v>
      </c>
      <c r="E8461" s="210"/>
    </row>
    <row r="8462" spans="1:5" ht="38.25">
      <c r="A8462" s="449">
        <v>1616</v>
      </c>
      <c r="B8462" s="450" t="s">
        <v>9284</v>
      </c>
      <c r="C8462" s="449" t="s">
        <v>679</v>
      </c>
      <c r="D8462" s="451">
        <v>6183.03</v>
      </c>
      <c r="E8462" s="210"/>
    </row>
    <row r="8463" spans="1:5" ht="38.25">
      <c r="A8463" s="449">
        <v>1614</v>
      </c>
      <c r="B8463" s="450" t="s">
        <v>9285</v>
      </c>
      <c r="C8463" s="449" t="s">
        <v>679</v>
      </c>
      <c r="D8463" s="451">
        <v>282.58</v>
      </c>
      <c r="E8463" s="210"/>
    </row>
    <row r="8464" spans="1:5" ht="38.25">
      <c r="A8464" s="449">
        <v>1617</v>
      </c>
      <c r="B8464" s="450" t="s">
        <v>9286</v>
      </c>
      <c r="C8464" s="449" t="s">
        <v>679</v>
      </c>
      <c r="D8464" s="451">
        <v>7381.2</v>
      </c>
      <c r="E8464" s="210"/>
    </row>
    <row r="8465" spans="1:5" ht="38.25">
      <c r="A8465" s="449">
        <v>1621</v>
      </c>
      <c r="B8465" s="450" t="s">
        <v>9287</v>
      </c>
      <c r="C8465" s="449" t="s">
        <v>679</v>
      </c>
      <c r="D8465" s="451">
        <v>505.4</v>
      </c>
      <c r="E8465" s="210"/>
    </row>
    <row r="8466" spans="1:5" ht="38.25">
      <c r="A8466" s="449">
        <v>1624</v>
      </c>
      <c r="B8466" s="450" t="s">
        <v>9288</v>
      </c>
      <c r="C8466" s="449" t="s">
        <v>679</v>
      </c>
      <c r="D8466" s="451">
        <v>18143.349999999999</v>
      </c>
      <c r="E8466" s="210"/>
    </row>
    <row r="8467" spans="1:5" ht="38.25">
      <c r="A8467" s="449">
        <v>1615</v>
      </c>
      <c r="B8467" s="450" t="s">
        <v>9289</v>
      </c>
      <c r="C8467" s="449" t="s">
        <v>679</v>
      </c>
      <c r="D8467" s="451">
        <v>949.06</v>
      </c>
      <c r="E8467" s="210"/>
    </row>
    <row r="8468" spans="1:5" ht="38.25">
      <c r="A8468" s="449">
        <v>1612</v>
      </c>
      <c r="B8468" s="450" t="s">
        <v>9290</v>
      </c>
      <c r="C8468" s="449" t="s">
        <v>679</v>
      </c>
      <c r="D8468" s="451">
        <v>125</v>
      </c>
      <c r="E8468" s="210"/>
    </row>
    <row r="8469" spans="1:5" ht="38.25">
      <c r="A8469" s="449">
        <v>1618</v>
      </c>
      <c r="B8469" s="450" t="s">
        <v>9291</v>
      </c>
      <c r="C8469" s="449" t="s">
        <v>679</v>
      </c>
      <c r="D8469" s="451">
        <v>1304.1500000000001</v>
      </c>
      <c r="E8469" s="210"/>
    </row>
    <row r="8470" spans="1:5" ht="25.5">
      <c r="A8470" s="449">
        <v>14211</v>
      </c>
      <c r="B8470" s="450" t="s">
        <v>9292</v>
      </c>
      <c r="C8470" s="449" t="s">
        <v>679</v>
      </c>
      <c r="D8470" s="451">
        <v>29.59</v>
      </c>
      <c r="E8470" s="210"/>
    </row>
    <row r="8471" spans="1:5">
      <c r="A8471" s="449">
        <v>34500</v>
      </c>
      <c r="B8471" s="450" t="s">
        <v>9293</v>
      </c>
      <c r="C8471" s="449" t="s">
        <v>682</v>
      </c>
      <c r="D8471" s="451">
        <v>114.58</v>
      </c>
      <c r="E8471" s="210"/>
    </row>
    <row r="8472" spans="1:5" ht="25.5">
      <c r="A8472" s="449">
        <v>40934</v>
      </c>
      <c r="B8472" s="450" t="s">
        <v>9294</v>
      </c>
      <c r="C8472" s="449" t="s">
        <v>797</v>
      </c>
      <c r="D8472" s="451">
        <v>20298.95</v>
      </c>
      <c r="E8472" s="210"/>
    </row>
    <row r="8473" spans="1:5" ht="25.5">
      <c r="A8473" s="449">
        <v>38200</v>
      </c>
      <c r="B8473" s="450" t="s">
        <v>9295</v>
      </c>
      <c r="C8473" s="449" t="s">
        <v>800</v>
      </c>
      <c r="D8473" s="451">
        <v>606.09</v>
      </c>
      <c r="E8473" s="210"/>
    </row>
    <row r="8474" spans="1:5" ht="38.25">
      <c r="A8474" s="449">
        <v>39269</v>
      </c>
      <c r="B8474" s="450" t="s">
        <v>9296</v>
      </c>
      <c r="C8474" s="449" t="s">
        <v>683</v>
      </c>
      <c r="D8474" s="451">
        <v>1.47</v>
      </c>
      <c r="E8474" s="210"/>
    </row>
    <row r="8475" spans="1:5" ht="38.25">
      <c r="A8475" s="449">
        <v>11889</v>
      </c>
      <c r="B8475" s="450" t="s">
        <v>9297</v>
      </c>
      <c r="C8475" s="449" t="s">
        <v>683</v>
      </c>
      <c r="D8475" s="451">
        <v>2.0499999999999998</v>
      </c>
      <c r="E8475" s="210"/>
    </row>
    <row r="8476" spans="1:5" ht="38.25">
      <c r="A8476" s="449">
        <v>39270</v>
      </c>
      <c r="B8476" s="450" t="s">
        <v>9298</v>
      </c>
      <c r="C8476" s="449" t="s">
        <v>683</v>
      </c>
      <c r="D8476" s="451">
        <v>2.44</v>
      </c>
      <c r="E8476" s="210"/>
    </row>
    <row r="8477" spans="1:5" ht="38.25">
      <c r="A8477" s="449">
        <v>11890</v>
      </c>
      <c r="B8477" s="450" t="s">
        <v>9299</v>
      </c>
      <c r="C8477" s="449" t="s">
        <v>683</v>
      </c>
      <c r="D8477" s="451">
        <v>3.18</v>
      </c>
      <c r="E8477" s="210"/>
    </row>
    <row r="8478" spans="1:5" ht="38.25">
      <c r="A8478" s="449">
        <v>11891</v>
      </c>
      <c r="B8478" s="450" t="s">
        <v>9300</v>
      </c>
      <c r="C8478" s="449" t="s">
        <v>683</v>
      </c>
      <c r="D8478" s="451">
        <v>5.24</v>
      </c>
      <c r="E8478" s="210"/>
    </row>
    <row r="8479" spans="1:5" ht="38.25">
      <c r="A8479" s="449">
        <v>11892</v>
      </c>
      <c r="B8479" s="450" t="s">
        <v>9301</v>
      </c>
      <c r="C8479" s="449" t="s">
        <v>683</v>
      </c>
      <c r="D8479" s="451">
        <v>8.07</v>
      </c>
      <c r="E8479" s="210"/>
    </row>
    <row r="8480" spans="1:5">
      <c r="A8480" s="449">
        <v>37601</v>
      </c>
      <c r="B8480" s="450" t="s">
        <v>9302</v>
      </c>
      <c r="C8480" s="449" t="s">
        <v>683</v>
      </c>
      <c r="D8480" s="451">
        <v>7.52</v>
      </c>
      <c r="E8480" s="210"/>
    </row>
    <row r="8481" spans="1:5">
      <c r="A8481" s="449">
        <v>1634</v>
      </c>
      <c r="B8481" s="450" t="s">
        <v>9303</v>
      </c>
      <c r="C8481" s="449" t="s">
        <v>683</v>
      </c>
      <c r="D8481" s="451">
        <v>7.77</v>
      </c>
      <c r="E8481" s="210"/>
    </row>
    <row r="8482" spans="1:5" ht="38.25">
      <c r="A8482" s="449">
        <v>5086</v>
      </c>
      <c r="B8482" s="450" t="s">
        <v>9304</v>
      </c>
      <c r="C8482" s="449" t="s">
        <v>676</v>
      </c>
      <c r="D8482" s="451">
        <v>35.159999999999997</v>
      </c>
      <c r="E8482" s="210"/>
    </row>
    <row r="8483" spans="1:5" ht="51">
      <c r="A8483" s="449">
        <v>11280</v>
      </c>
      <c r="B8483" s="450" t="s">
        <v>9305</v>
      </c>
      <c r="C8483" s="449" t="s">
        <v>679</v>
      </c>
      <c r="D8483" s="451">
        <v>14104.3</v>
      </c>
      <c r="E8483" s="210"/>
    </row>
    <row r="8484" spans="1:5" ht="38.25">
      <c r="A8484" s="449">
        <v>40519</v>
      </c>
      <c r="B8484" s="450" t="s">
        <v>9306</v>
      </c>
      <c r="C8484" s="449" t="s">
        <v>679</v>
      </c>
      <c r="D8484" s="451">
        <v>116271.07</v>
      </c>
      <c r="E8484" s="210"/>
    </row>
    <row r="8485" spans="1:5" ht="25.5">
      <c r="A8485" s="449">
        <v>39869</v>
      </c>
      <c r="B8485" s="450" t="s">
        <v>9307</v>
      </c>
      <c r="C8485" s="449" t="s">
        <v>679</v>
      </c>
      <c r="D8485" s="451">
        <v>14.33</v>
      </c>
      <c r="E8485" s="210"/>
    </row>
    <row r="8486" spans="1:5" ht="25.5">
      <c r="A8486" s="449">
        <v>39870</v>
      </c>
      <c r="B8486" s="450" t="s">
        <v>9308</v>
      </c>
      <c r="C8486" s="449" t="s">
        <v>679</v>
      </c>
      <c r="D8486" s="451">
        <v>21.92</v>
      </c>
      <c r="E8486" s="210"/>
    </row>
    <row r="8487" spans="1:5" ht="25.5">
      <c r="A8487" s="449">
        <v>39871</v>
      </c>
      <c r="B8487" s="450" t="s">
        <v>9309</v>
      </c>
      <c r="C8487" s="449" t="s">
        <v>679</v>
      </c>
      <c r="D8487" s="451">
        <v>24.57</v>
      </c>
      <c r="E8487" s="210"/>
    </row>
    <row r="8488" spans="1:5" ht="25.5">
      <c r="A8488" s="449">
        <v>12722</v>
      </c>
      <c r="B8488" s="450" t="s">
        <v>9310</v>
      </c>
      <c r="C8488" s="449" t="s">
        <v>679</v>
      </c>
      <c r="D8488" s="451">
        <v>822.28</v>
      </c>
      <c r="E8488" s="210"/>
    </row>
    <row r="8489" spans="1:5" ht="25.5">
      <c r="A8489" s="449">
        <v>12714</v>
      </c>
      <c r="B8489" s="450" t="s">
        <v>9311</v>
      </c>
      <c r="C8489" s="449" t="s">
        <v>679</v>
      </c>
      <c r="D8489" s="451">
        <v>5.37</v>
      </c>
      <c r="E8489" s="210"/>
    </row>
    <row r="8490" spans="1:5" ht="25.5">
      <c r="A8490" s="449">
        <v>12715</v>
      </c>
      <c r="B8490" s="450" t="s">
        <v>9312</v>
      </c>
      <c r="C8490" s="449" t="s">
        <v>679</v>
      </c>
      <c r="D8490" s="451">
        <v>12.12</v>
      </c>
      <c r="E8490" s="210"/>
    </row>
    <row r="8491" spans="1:5" ht="25.5">
      <c r="A8491" s="449">
        <v>12716</v>
      </c>
      <c r="B8491" s="450" t="s">
        <v>9313</v>
      </c>
      <c r="C8491" s="449" t="s">
        <v>679</v>
      </c>
      <c r="D8491" s="451">
        <v>20.81</v>
      </c>
      <c r="E8491" s="210"/>
    </row>
    <row r="8492" spans="1:5" ht="25.5">
      <c r="A8492" s="449">
        <v>12717</v>
      </c>
      <c r="B8492" s="450" t="s">
        <v>9314</v>
      </c>
      <c r="C8492" s="449" t="s">
        <v>679</v>
      </c>
      <c r="D8492" s="451">
        <v>40.909999999999997</v>
      </c>
      <c r="E8492" s="210"/>
    </row>
    <row r="8493" spans="1:5" ht="25.5">
      <c r="A8493" s="449">
        <v>12718</v>
      </c>
      <c r="B8493" s="450" t="s">
        <v>9315</v>
      </c>
      <c r="C8493" s="449" t="s">
        <v>679</v>
      </c>
      <c r="D8493" s="451">
        <v>62.78</v>
      </c>
      <c r="E8493" s="210"/>
    </row>
    <row r="8494" spans="1:5" ht="25.5">
      <c r="A8494" s="449">
        <v>12719</v>
      </c>
      <c r="B8494" s="450" t="s">
        <v>9316</v>
      </c>
      <c r="C8494" s="449" t="s">
        <v>679</v>
      </c>
      <c r="D8494" s="451">
        <v>99.66</v>
      </c>
      <c r="E8494" s="210"/>
    </row>
    <row r="8495" spans="1:5" ht="25.5">
      <c r="A8495" s="449">
        <v>12720</v>
      </c>
      <c r="B8495" s="450" t="s">
        <v>9317</v>
      </c>
      <c r="C8495" s="449" t="s">
        <v>679</v>
      </c>
      <c r="D8495" s="451">
        <v>347.03</v>
      </c>
      <c r="E8495" s="210"/>
    </row>
    <row r="8496" spans="1:5" ht="25.5">
      <c r="A8496" s="449">
        <v>12721</v>
      </c>
      <c r="B8496" s="450" t="s">
        <v>9318</v>
      </c>
      <c r="C8496" s="449" t="s">
        <v>679</v>
      </c>
      <c r="D8496" s="451">
        <v>332.77</v>
      </c>
      <c r="E8496" s="210"/>
    </row>
    <row r="8497" spans="1:5" ht="25.5">
      <c r="A8497" s="449">
        <v>3468</v>
      </c>
      <c r="B8497" s="450" t="s">
        <v>9319</v>
      </c>
      <c r="C8497" s="449" t="s">
        <v>679</v>
      </c>
      <c r="D8497" s="451">
        <v>31.77</v>
      </c>
      <c r="E8497" s="210"/>
    </row>
    <row r="8498" spans="1:5" ht="25.5">
      <c r="A8498" s="449">
        <v>3465</v>
      </c>
      <c r="B8498" s="450" t="s">
        <v>9320</v>
      </c>
      <c r="C8498" s="449" t="s">
        <v>679</v>
      </c>
      <c r="D8498" s="451">
        <v>31.76</v>
      </c>
      <c r="E8498" s="210"/>
    </row>
    <row r="8499" spans="1:5" ht="25.5">
      <c r="A8499" s="449">
        <v>12403</v>
      </c>
      <c r="B8499" s="450" t="s">
        <v>9321</v>
      </c>
      <c r="C8499" s="449" t="s">
        <v>679</v>
      </c>
      <c r="D8499" s="451">
        <v>22.64</v>
      </c>
      <c r="E8499" s="210"/>
    </row>
    <row r="8500" spans="1:5" ht="25.5">
      <c r="A8500" s="449">
        <v>3463</v>
      </c>
      <c r="B8500" s="450" t="s">
        <v>9322</v>
      </c>
      <c r="C8500" s="449" t="s">
        <v>679</v>
      </c>
      <c r="D8500" s="451">
        <v>13.23</v>
      </c>
      <c r="E8500" s="210"/>
    </row>
    <row r="8501" spans="1:5" ht="25.5">
      <c r="A8501" s="449">
        <v>3464</v>
      </c>
      <c r="B8501" s="450" t="s">
        <v>9323</v>
      </c>
      <c r="C8501" s="449" t="s">
        <v>679</v>
      </c>
      <c r="D8501" s="451">
        <v>13.23</v>
      </c>
      <c r="E8501" s="210"/>
    </row>
    <row r="8502" spans="1:5" ht="25.5">
      <c r="A8502" s="449">
        <v>3466</v>
      </c>
      <c r="B8502" s="450" t="s">
        <v>9324</v>
      </c>
      <c r="C8502" s="449" t="s">
        <v>679</v>
      </c>
      <c r="D8502" s="451">
        <v>80.67</v>
      </c>
      <c r="E8502" s="210"/>
    </row>
    <row r="8503" spans="1:5" ht="25.5">
      <c r="A8503" s="449">
        <v>3467</v>
      </c>
      <c r="B8503" s="450" t="s">
        <v>9325</v>
      </c>
      <c r="C8503" s="449" t="s">
        <v>679</v>
      </c>
      <c r="D8503" s="451">
        <v>45.56</v>
      </c>
      <c r="E8503" s="210"/>
    </row>
    <row r="8504" spans="1:5" ht="25.5">
      <c r="A8504" s="449">
        <v>3462</v>
      </c>
      <c r="B8504" s="450" t="s">
        <v>9326</v>
      </c>
      <c r="C8504" s="449" t="s">
        <v>679</v>
      </c>
      <c r="D8504" s="451">
        <v>8.73</v>
      </c>
      <c r="E8504" s="210"/>
    </row>
    <row r="8505" spans="1:5" ht="25.5">
      <c r="A8505" s="449">
        <v>3446</v>
      </c>
      <c r="B8505" s="450" t="s">
        <v>9327</v>
      </c>
      <c r="C8505" s="449" t="s">
        <v>679</v>
      </c>
      <c r="D8505" s="451">
        <v>26.86</v>
      </c>
      <c r="E8505" s="210"/>
    </row>
    <row r="8506" spans="1:5" ht="25.5">
      <c r="A8506" s="449">
        <v>3445</v>
      </c>
      <c r="B8506" s="450" t="s">
        <v>9328</v>
      </c>
      <c r="C8506" s="449" t="s">
        <v>679</v>
      </c>
      <c r="D8506" s="451">
        <v>21.93</v>
      </c>
      <c r="E8506" s="210"/>
    </row>
    <row r="8507" spans="1:5" ht="25.5">
      <c r="A8507" s="449">
        <v>3441</v>
      </c>
      <c r="B8507" s="450" t="s">
        <v>9329</v>
      </c>
      <c r="C8507" s="449" t="s">
        <v>679</v>
      </c>
      <c r="D8507" s="451">
        <v>6.19</v>
      </c>
      <c r="E8507" s="210"/>
    </row>
    <row r="8508" spans="1:5" ht="25.5">
      <c r="A8508" s="449">
        <v>3444</v>
      </c>
      <c r="B8508" s="450" t="s">
        <v>9330</v>
      </c>
      <c r="C8508" s="449" t="s">
        <v>679</v>
      </c>
      <c r="D8508" s="451">
        <v>13.49</v>
      </c>
      <c r="E8508" s="210"/>
    </row>
    <row r="8509" spans="1:5" ht="25.5">
      <c r="A8509" s="449">
        <v>12402</v>
      </c>
      <c r="B8509" s="450" t="s">
        <v>9331</v>
      </c>
      <c r="C8509" s="449" t="s">
        <v>679</v>
      </c>
      <c r="D8509" s="451">
        <v>75.5</v>
      </c>
      <c r="E8509" s="210"/>
    </row>
    <row r="8510" spans="1:5" ht="25.5">
      <c r="A8510" s="449">
        <v>3447</v>
      </c>
      <c r="B8510" s="450" t="s">
        <v>9332</v>
      </c>
      <c r="C8510" s="449" t="s">
        <v>679</v>
      </c>
      <c r="D8510" s="451">
        <v>39.06</v>
      </c>
      <c r="E8510" s="210"/>
    </row>
    <row r="8511" spans="1:5" ht="25.5">
      <c r="A8511" s="449">
        <v>3442</v>
      </c>
      <c r="B8511" s="450" t="s">
        <v>9333</v>
      </c>
      <c r="C8511" s="449" t="s">
        <v>679</v>
      </c>
      <c r="D8511" s="451">
        <v>9.25</v>
      </c>
      <c r="E8511" s="210"/>
    </row>
    <row r="8512" spans="1:5" ht="25.5">
      <c r="A8512" s="449">
        <v>3448</v>
      </c>
      <c r="B8512" s="450" t="s">
        <v>9334</v>
      </c>
      <c r="C8512" s="449" t="s">
        <v>679</v>
      </c>
      <c r="D8512" s="451">
        <v>110.38</v>
      </c>
      <c r="E8512" s="210"/>
    </row>
    <row r="8513" spans="1:5" ht="25.5">
      <c r="A8513" s="449">
        <v>3449</v>
      </c>
      <c r="B8513" s="450" t="s">
        <v>9335</v>
      </c>
      <c r="C8513" s="449" t="s">
        <v>679</v>
      </c>
      <c r="D8513" s="451">
        <v>193.42</v>
      </c>
      <c r="E8513" s="210"/>
    </row>
    <row r="8514" spans="1:5" ht="25.5">
      <c r="A8514" s="449">
        <v>37438</v>
      </c>
      <c r="B8514" s="450" t="s">
        <v>9336</v>
      </c>
      <c r="C8514" s="449" t="s">
        <v>679</v>
      </c>
      <c r="D8514" s="451">
        <v>276.89</v>
      </c>
      <c r="E8514" s="210"/>
    </row>
    <row r="8515" spans="1:5" ht="25.5">
      <c r="A8515" s="449">
        <v>37439</v>
      </c>
      <c r="B8515" s="450" t="s">
        <v>9337</v>
      </c>
      <c r="C8515" s="449" t="s">
        <v>679</v>
      </c>
      <c r="D8515" s="451">
        <v>1810.31</v>
      </c>
      <c r="E8515" s="210"/>
    </row>
    <row r="8516" spans="1:5" ht="25.5">
      <c r="A8516" s="449">
        <v>37435</v>
      </c>
      <c r="B8516" s="450" t="s">
        <v>9338</v>
      </c>
      <c r="C8516" s="449" t="s">
        <v>679</v>
      </c>
      <c r="D8516" s="451">
        <v>32.54</v>
      </c>
      <c r="E8516" s="210"/>
    </row>
    <row r="8517" spans="1:5" ht="25.5">
      <c r="A8517" s="449">
        <v>37436</v>
      </c>
      <c r="B8517" s="450" t="s">
        <v>9339</v>
      </c>
      <c r="C8517" s="449" t="s">
        <v>679</v>
      </c>
      <c r="D8517" s="451">
        <v>38.4</v>
      </c>
      <c r="E8517" s="210"/>
    </row>
    <row r="8518" spans="1:5" ht="25.5">
      <c r="A8518" s="449">
        <v>37437</v>
      </c>
      <c r="B8518" s="450" t="s">
        <v>9340</v>
      </c>
      <c r="C8518" s="449" t="s">
        <v>679</v>
      </c>
      <c r="D8518" s="451">
        <v>55.54</v>
      </c>
      <c r="E8518" s="210"/>
    </row>
    <row r="8519" spans="1:5" ht="25.5">
      <c r="A8519" s="449">
        <v>3473</v>
      </c>
      <c r="B8519" s="450" t="s">
        <v>9341</v>
      </c>
      <c r="C8519" s="449" t="s">
        <v>679</v>
      </c>
      <c r="D8519" s="451">
        <v>30.37</v>
      </c>
      <c r="E8519" s="210"/>
    </row>
    <row r="8520" spans="1:5" ht="25.5">
      <c r="A8520" s="449">
        <v>3474</v>
      </c>
      <c r="B8520" s="450" t="s">
        <v>9342</v>
      </c>
      <c r="C8520" s="449" t="s">
        <v>679</v>
      </c>
      <c r="D8520" s="451">
        <v>25.03</v>
      </c>
      <c r="E8520" s="210"/>
    </row>
    <row r="8521" spans="1:5" ht="25.5">
      <c r="A8521" s="449">
        <v>3450</v>
      </c>
      <c r="B8521" s="450" t="s">
        <v>9343</v>
      </c>
      <c r="C8521" s="449" t="s">
        <v>679</v>
      </c>
      <c r="D8521" s="451">
        <v>7.25</v>
      </c>
      <c r="E8521" s="210"/>
    </row>
    <row r="8522" spans="1:5" ht="25.5">
      <c r="A8522" s="449">
        <v>3443</v>
      </c>
      <c r="B8522" s="450" t="s">
        <v>9344</v>
      </c>
      <c r="C8522" s="449" t="s">
        <v>679</v>
      </c>
      <c r="D8522" s="451">
        <v>15.57</v>
      </c>
      <c r="E8522" s="210"/>
    </row>
    <row r="8523" spans="1:5" ht="25.5">
      <c r="A8523" s="449">
        <v>3453</v>
      </c>
      <c r="B8523" s="450" t="s">
        <v>9345</v>
      </c>
      <c r="C8523" s="449" t="s">
        <v>679</v>
      </c>
      <c r="D8523" s="451">
        <v>88.64</v>
      </c>
      <c r="E8523" s="210"/>
    </row>
    <row r="8524" spans="1:5" ht="25.5">
      <c r="A8524" s="449">
        <v>3452</v>
      </c>
      <c r="B8524" s="450" t="s">
        <v>9346</v>
      </c>
      <c r="C8524" s="449" t="s">
        <v>679</v>
      </c>
      <c r="D8524" s="451">
        <v>43.75</v>
      </c>
      <c r="E8524" s="210"/>
    </row>
    <row r="8525" spans="1:5" ht="25.5">
      <c r="A8525" s="449">
        <v>3451</v>
      </c>
      <c r="B8525" s="450" t="s">
        <v>9347</v>
      </c>
      <c r="C8525" s="449" t="s">
        <v>679</v>
      </c>
      <c r="D8525" s="451">
        <v>8.68</v>
      </c>
      <c r="E8525" s="210"/>
    </row>
    <row r="8526" spans="1:5" ht="25.5">
      <c r="A8526" s="449">
        <v>3454</v>
      </c>
      <c r="B8526" s="450" t="s">
        <v>9348</v>
      </c>
      <c r="C8526" s="449" t="s">
        <v>679</v>
      </c>
      <c r="D8526" s="451">
        <v>134.82</v>
      </c>
      <c r="E8526" s="210"/>
    </row>
    <row r="8527" spans="1:5" ht="25.5">
      <c r="A8527" s="449">
        <v>3458</v>
      </c>
      <c r="B8527" s="450" t="s">
        <v>9349</v>
      </c>
      <c r="C8527" s="449" t="s">
        <v>679</v>
      </c>
      <c r="D8527" s="451">
        <v>24.34</v>
      </c>
      <c r="E8527" s="210"/>
    </row>
    <row r="8528" spans="1:5" ht="25.5">
      <c r="A8528" s="449">
        <v>3457</v>
      </c>
      <c r="B8528" s="450" t="s">
        <v>9350</v>
      </c>
      <c r="C8528" s="449" t="s">
        <v>679</v>
      </c>
      <c r="D8528" s="451">
        <v>18.27</v>
      </c>
      <c r="E8528" s="210"/>
    </row>
    <row r="8529" spans="1:5" ht="25.5">
      <c r="A8529" s="449">
        <v>3455</v>
      </c>
      <c r="B8529" s="450" t="s">
        <v>9351</v>
      </c>
      <c r="C8529" s="449" t="s">
        <v>679</v>
      </c>
      <c r="D8529" s="451">
        <v>5.19</v>
      </c>
      <c r="E8529" s="210"/>
    </row>
    <row r="8530" spans="1:5" ht="25.5">
      <c r="A8530" s="449">
        <v>3472</v>
      </c>
      <c r="B8530" s="450" t="s">
        <v>9352</v>
      </c>
      <c r="C8530" s="449" t="s">
        <v>679</v>
      </c>
      <c r="D8530" s="451">
        <v>11.66</v>
      </c>
      <c r="E8530" s="210"/>
    </row>
    <row r="8531" spans="1:5" ht="25.5">
      <c r="A8531" s="449">
        <v>3470</v>
      </c>
      <c r="B8531" s="450" t="s">
        <v>9353</v>
      </c>
      <c r="C8531" s="449" t="s">
        <v>679</v>
      </c>
      <c r="D8531" s="451">
        <v>67.97</v>
      </c>
      <c r="E8531" s="210"/>
    </row>
    <row r="8532" spans="1:5" ht="25.5">
      <c r="A8532" s="449">
        <v>3471</v>
      </c>
      <c r="B8532" s="450" t="s">
        <v>9354</v>
      </c>
      <c r="C8532" s="449" t="s">
        <v>679</v>
      </c>
      <c r="D8532" s="451">
        <v>37.35</v>
      </c>
      <c r="E8532" s="210"/>
    </row>
    <row r="8533" spans="1:5" ht="25.5">
      <c r="A8533" s="449">
        <v>3456</v>
      </c>
      <c r="B8533" s="450" t="s">
        <v>9355</v>
      </c>
      <c r="C8533" s="449" t="s">
        <v>679</v>
      </c>
      <c r="D8533" s="451">
        <v>7.76</v>
      </c>
      <c r="E8533" s="210"/>
    </row>
    <row r="8534" spans="1:5" ht="25.5">
      <c r="A8534" s="449">
        <v>3459</v>
      </c>
      <c r="B8534" s="450" t="s">
        <v>9356</v>
      </c>
      <c r="C8534" s="449" t="s">
        <v>679</v>
      </c>
      <c r="D8534" s="451">
        <v>95.87</v>
      </c>
      <c r="E8534" s="210"/>
    </row>
    <row r="8535" spans="1:5" ht="25.5">
      <c r="A8535" s="449">
        <v>3469</v>
      </c>
      <c r="B8535" s="450" t="s">
        <v>9357</v>
      </c>
      <c r="C8535" s="449" t="s">
        <v>679</v>
      </c>
      <c r="D8535" s="451">
        <v>182.33</v>
      </c>
      <c r="E8535" s="210"/>
    </row>
    <row r="8536" spans="1:5" ht="25.5">
      <c r="A8536" s="449">
        <v>3460</v>
      </c>
      <c r="B8536" s="450" t="s">
        <v>9358</v>
      </c>
      <c r="C8536" s="449" t="s">
        <v>679</v>
      </c>
      <c r="D8536" s="451">
        <v>266.05</v>
      </c>
      <c r="E8536" s="210"/>
    </row>
    <row r="8537" spans="1:5" ht="25.5">
      <c r="A8537" s="449">
        <v>3461</v>
      </c>
      <c r="B8537" s="450" t="s">
        <v>9359</v>
      </c>
      <c r="C8537" s="449" t="s">
        <v>679</v>
      </c>
      <c r="D8537" s="451">
        <v>680.01</v>
      </c>
      <c r="E8537" s="210"/>
    </row>
    <row r="8538" spans="1:5" ht="25.5">
      <c r="A8538" s="449">
        <v>37433</v>
      </c>
      <c r="B8538" s="450" t="s">
        <v>9360</v>
      </c>
      <c r="C8538" s="449" t="s">
        <v>679</v>
      </c>
      <c r="D8538" s="451">
        <v>276.89</v>
      </c>
      <c r="E8538" s="210"/>
    </row>
    <row r="8539" spans="1:5" ht="25.5">
      <c r="A8539" s="449">
        <v>37430</v>
      </c>
      <c r="B8539" s="450" t="s">
        <v>9361</v>
      </c>
      <c r="C8539" s="449" t="s">
        <v>679</v>
      </c>
      <c r="D8539" s="451">
        <v>34.700000000000003</v>
      </c>
      <c r="E8539" s="210"/>
    </row>
    <row r="8540" spans="1:5" ht="25.5">
      <c r="A8540" s="449">
        <v>37434</v>
      </c>
      <c r="B8540" s="450" t="s">
        <v>9362</v>
      </c>
      <c r="C8540" s="449" t="s">
        <v>679</v>
      </c>
      <c r="D8540" s="451">
        <v>2581.75</v>
      </c>
      <c r="E8540" s="210"/>
    </row>
    <row r="8541" spans="1:5" ht="25.5">
      <c r="A8541" s="449">
        <v>37431</v>
      </c>
      <c r="B8541" s="450" t="s">
        <v>9363</v>
      </c>
      <c r="C8541" s="449" t="s">
        <v>679</v>
      </c>
      <c r="D8541" s="451">
        <v>47.07</v>
      </c>
      <c r="E8541" s="210"/>
    </row>
    <row r="8542" spans="1:5" ht="25.5">
      <c r="A8542" s="449">
        <v>37432</v>
      </c>
      <c r="B8542" s="450" t="s">
        <v>9364</v>
      </c>
      <c r="C8542" s="449" t="s">
        <v>679</v>
      </c>
      <c r="D8542" s="451">
        <v>86.82</v>
      </c>
      <c r="E8542" s="210"/>
    </row>
    <row r="8543" spans="1:5" ht="38.25">
      <c r="A8543" s="449">
        <v>37413</v>
      </c>
      <c r="B8543" s="450" t="s">
        <v>9365</v>
      </c>
      <c r="C8543" s="449" t="s">
        <v>679</v>
      </c>
      <c r="D8543" s="451">
        <v>4.45</v>
      </c>
      <c r="E8543" s="210"/>
    </row>
    <row r="8544" spans="1:5" ht="38.25">
      <c r="A8544" s="449">
        <v>37414</v>
      </c>
      <c r="B8544" s="450" t="s">
        <v>9366</v>
      </c>
      <c r="C8544" s="449" t="s">
        <v>679</v>
      </c>
      <c r="D8544" s="451">
        <v>5.05</v>
      </c>
      <c r="E8544" s="210"/>
    </row>
    <row r="8545" spans="1:5" ht="38.25">
      <c r="A8545" s="449">
        <v>37415</v>
      </c>
      <c r="B8545" s="450" t="s">
        <v>9367</v>
      </c>
      <c r="C8545" s="449" t="s">
        <v>679</v>
      </c>
      <c r="D8545" s="451">
        <v>9.18</v>
      </c>
      <c r="E8545" s="210"/>
    </row>
    <row r="8546" spans="1:5" ht="38.25">
      <c r="A8546" s="449">
        <v>37416</v>
      </c>
      <c r="B8546" s="450" t="s">
        <v>9368</v>
      </c>
      <c r="C8546" s="449" t="s">
        <v>679</v>
      </c>
      <c r="D8546" s="451">
        <v>4.16</v>
      </c>
      <c r="E8546" s="210"/>
    </row>
    <row r="8547" spans="1:5" ht="38.25">
      <c r="A8547" s="449">
        <v>37417</v>
      </c>
      <c r="B8547" s="450" t="s">
        <v>9369</v>
      </c>
      <c r="C8547" s="449" t="s">
        <v>679</v>
      </c>
      <c r="D8547" s="451">
        <v>5.98</v>
      </c>
      <c r="E8547" s="210"/>
    </row>
    <row r="8548" spans="1:5" ht="51">
      <c r="A8548" s="449">
        <v>43590</v>
      </c>
      <c r="B8548" s="450" t="s">
        <v>9370</v>
      </c>
      <c r="C8548" s="449" t="s">
        <v>679</v>
      </c>
      <c r="D8548" s="451">
        <v>163.46</v>
      </c>
      <c r="E8548" s="210"/>
    </row>
    <row r="8549" spans="1:5" ht="51">
      <c r="A8549" s="449">
        <v>43589</v>
      </c>
      <c r="B8549" s="450" t="s">
        <v>9371</v>
      </c>
      <c r="C8549" s="449" t="s">
        <v>679</v>
      </c>
      <c r="D8549" s="451">
        <v>29.57</v>
      </c>
      <c r="E8549" s="210"/>
    </row>
    <row r="8550" spans="1:5" ht="25.5">
      <c r="A8550" s="449">
        <v>34519</v>
      </c>
      <c r="B8550" s="450" t="s">
        <v>9372</v>
      </c>
      <c r="C8550" s="449" t="s">
        <v>679</v>
      </c>
      <c r="D8550" s="451">
        <v>104.52</v>
      </c>
      <c r="E8550" s="210"/>
    </row>
    <row r="8551" spans="1:5" ht="25.5">
      <c r="A8551" s="449">
        <v>1649</v>
      </c>
      <c r="B8551" s="450" t="s">
        <v>9373</v>
      </c>
      <c r="C8551" s="449" t="s">
        <v>679</v>
      </c>
      <c r="D8551" s="451">
        <v>57.41</v>
      </c>
      <c r="E8551" s="210"/>
    </row>
    <row r="8552" spans="1:5" ht="25.5">
      <c r="A8552" s="449">
        <v>1653</v>
      </c>
      <c r="B8552" s="450" t="s">
        <v>9374</v>
      </c>
      <c r="C8552" s="449" t="s">
        <v>679</v>
      </c>
      <c r="D8552" s="451">
        <v>44.96</v>
      </c>
      <c r="E8552" s="210"/>
    </row>
    <row r="8553" spans="1:5" ht="25.5">
      <c r="A8553" s="449">
        <v>1647</v>
      </c>
      <c r="B8553" s="450" t="s">
        <v>9375</v>
      </c>
      <c r="C8553" s="449" t="s">
        <v>679</v>
      </c>
      <c r="D8553" s="451">
        <v>16.100000000000001</v>
      </c>
      <c r="E8553" s="210"/>
    </row>
    <row r="8554" spans="1:5" ht="25.5">
      <c r="A8554" s="449">
        <v>1648</v>
      </c>
      <c r="B8554" s="450" t="s">
        <v>9376</v>
      </c>
      <c r="C8554" s="449" t="s">
        <v>679</v>
      </c>
      <c r="D8554" s="451">
        <v>30.92</v>
      </c>
      <c r="E8554" s="210"/>
    </row>
    <row r="8555" spans="1:5" ht="25.5">
      <c r="A8555" s="449">
        <v>1651</v>
      </c>
      <c r="B8555" s="450" t="s">
        <v>9377</v>
      </c>
      <c r="C8555" s="449" t="s">
        <v>679</v>
      </c>
      <c r="D8555" s="451">
        <v>143.43</v>
      </c>
      <c r="E8555" s="210"/>
    </row>
    <row r="8556" spans="1:5" ht="25.5">
      <c r="A8556" s="449">
        <v>1650</v>
      </c>
      <c r="B8556" s="450" t="s">
        <v>9378</v>
      </c>
      <c r="C8556" s="449" t="s">
        <v>679</v>
      </c>
      <c r="D8556" s="451">
        <v>79.28</v>
      </c>
      <c r="E8556" s="210"/>
    </row>
    <row r="8557" spans="1:5" ht="25.5">
      <c r="A8557" s="449">
        <v>1654</v>
      </c>
      <c r="B8557" s="450" t="s">
        <v>9379</v>
      </c>
      <c r="C8557" s="449" t="s">
        <v>679</v>
      </c>
      <c r="D8557" s="451">
        <v>22.1</v>
      </c>
      <c r="E8557" s="210"/>
    </row>
    <row r="8558" spans="1:5" ht="25.5">
      <c r="A8558" s="449">
        <v>1652</v>
      </c>
      <c r="B8558" s="450" t="s">
        <v>9380</v>
      </c>
      <c r="C8558" s="449" t="s">
        <v>679</v>
      </c>
      <c r="D8558" s="451">
        <v>205.86</v>
      </c>
      <c r="E8558" s="210"/>
    </row>
    <row r="8559" spans="1:5" ht="25.5">
      <c r="A8559" s="449">
        <v>10510</v>
      </c>
      <c r="B8559" s="450" t="s">
        <v>9381</v>
      </c>
      <c r="C8559" s="449" t="s">
        <v>679</v>
      </c>
      <c r="D8559" s="451">
        <v>105.01</v>
      </c>
      <c r="E8559" s="210"/>
    </row>
    <row r="8560" spans="1:5" ht="25.5">
      <c r="A8560" s="449">
        <v>1747</v>
      </c>
      <c r="B8560" s="450" t="s">
        <v>9382</v>
      </c>
      <c r="C8560" s="449" t="s">
        <v>679</v>
      </c>
      <c r="D8560" s="451">
        <v>189.29</v>
      </c>
      <c r="E8560" s="210"/>
    </row>
    <row r="8561" spans="1:5" ht="25.5">
      <c r="A8561" s="449">
        <v>1744</v>
      </c>
      <c r="B8561" s="450" t="s">
        <v>9383</v>
      </c>
      <c r="C8561" s="449" t="s">
        <v>679</v>
      </c>
      <c r="D8561" s="451">
        <v>131.11000000000001</v>
      </c>
      <c r="E8561" s="210"/>
    </row>
    <row r="8562" spans="1:5" ht="25.5">
      <c r="A8562" s="449">
        <v>1743</v>
      </c>
      <c r="B8562" s="450" t="s">
        <v>9384</v>
      </c>
      <c r="C8562" s="449" t="s">
        <v>679</v>
      </c>
      <c r="D8562" s="451">
        <v>172.17</v>
      </c>
      <c r="E8562" s="210"/>
    </row>
    <row r="8563" spans="1:5" ht="51">
      <c r="A8563" s="449">
        <v>39640</v>
      </c>
      <c r="B8563" s="450" t="s">
        <v>9385</v>
      </c>
      <c r="C8563" s="449" t="s">
        <v>679</v>
      </c>
      <c r="D8563" s="451">
        <v>8.61</v>
      </c>
      <c r="E8563" s="210"/>
    </row>
    <row r="8564" spans="1:5" ht="51">
      <c r="A8564" s="449">
        <v>11013</v>
      </c>
      <c r="B8564" s="450" t="s">
        <v>9386</v>
      </c>
      <c r="C8564" s="449" t="s">
        <v>679</v>
      </c>
      <c r="D8564" s="451">
        <v>17.72</v>
      </c>
      <c r="E8564" s="210"/>
    </row>
    <row r="8565" spans="1:5" ht="51">
      <c r="A8565" s="449">
        <v>11017</v>
      </c>
      <c r="B8565" s="450" t="s">
        <v>9387</v>
      </c>
      <c r="C8565" s="449" t="s">
        <v>679</v>
      </c>
      <c r="D8565" s="451">
        <v>7.56</v>
      </c>
      <c r="E8565" s="210"/>
    </row>
    <row r="8566" spans="1:5" ht="38.25">
      <c r="A8566" s="449">
        <v>20236</v>
      </c>
      <c r="B8566" s="450" t="s">
        <v>9388</v>
      </c>
      <c r="C8566" s="449" t="s">
        <v>679</v>
      </c>
      <c r="D8566" s="451">
        <v>33.299999999999997</v>
      </c>
      <c r="E8566" s="210"/>
    </row>
    <row r="8567" spans="1:5" ht="38.25">
      <c r="A8567" s="449">
        <v>7215</v>
      </c>
      <c r="B8567" s="450" t="s">
        <v>9389</v>
      </c>
      <c r="C8567" s="449" t="s">
        <v>679</v>
      </c>
      <c r="D8567" s="451">
        <v>28.51</v>
      </c>
      <c r="E8567" s="210"/>
    </row>
    <row r="8568" spans="1:5" ht="38.25">
      <c r="A8568" s="449">
        <v>7216</v>
      </c>
      <c r="B8568" s="450" t="s">
        <v>9390</v>
      </c>
      <c r="C8568" s="449" t="s">
        <v>679</v>
      </c>
      <c r="D8568" s="451">
        <v>119.17</v>
      </c>
      <c r="E8568" s="210"/>
    </row>
    <row r="8569" spans="1:5" ht="38.25">
      <c r="A8569" s="449">
        <v>20235</v>
      </c>
      <c r="B8569" s="450" t="s">
        <v>9391</v>
      </c>
      <c r="C8569" s="449" t="s">
        <v>679</v>
      </c>
      <c r="D8569" s="451">
        <v>60.25</v>
      </c>
      <c r="E8569" s="210"/>
    </row>
    <row r="8570" spans="1:5" ht="38.25">
      <c r="A8570" s="449">
        <v>7181</v>
      </c>
      <c r="B8570" s="450" t="s">
        <v>9392</v>
      </c>
      <c r="C8570" s="449" t="s">
        <v>679</v>
      </c>
      <c r="D8570" s="451">
        <v>4.24</v>
      </c>
      <c r="E8570" s="210"/>
    </row>
    <row r="8571" spans="1:5" ht="38.25">
      <c r="A8571" s="449">
        <v>40742</v>
      </c>
      <c r="B8571" s="450" t="s">
        <v>9393</v>
      </c>
      <c r="C8571" s="449" t="s">
        <v>679</v>
      </c>
      <c r="D8571" s="451">
        <v>8.23</v>
      </c>
      <c r="E8571" s="210"/>
    </row>
    <row r="8572" spans="1:5" ht="38.25">
      <c r="A8572" s="449">
        <v>7214</v>
      </c>
      <c r="B8572" s="450" t="s">
        <v>9394</v>
      </c>
      <c r="C8572" s="449" t="s">
        <v>679</v>
      </c>
      <c r="D8572" s="451">
        <v>40.83</v>
      </c>
      <c r="E8572" s="210"/>
    </row>
    <row r="8573" spans="1:5" ht="38.25">
      <c r="A8573" s="449">
        <v>7219</v>
      </c>
      <c r="B8573" s="450" t="s">
        <v>9395</v>
      </c>
      <c r="C8573" s="449" t="s">
        <v>679</v>
      </c>
      <c r="D8573" s="451">
        <v>42.26</v>
      </c>
      <c r="E8573" s="210"/>
    </row>
    <row r="8574" spans="1:5" ht="25.5">
      <c r="A8574" s="449">
        <v>37972</v>
      </c>
      <c r="B8574" s="450" t="s">
        <v>9396</v>
      </c>
      <c r="C8574" s="449" t="s">
        <v>679</v>
      </c>
      <c r="D8574" s="451">
        <v>9.41</v>
      </c>
      <c r="E8574" s="210"/>
    </row>
    <row r="8575" spans="1:5" ht="25.5">
      <c r="A8575" s="449">
        <v>37973</v>
      </c>
      <c r="B8575" s="450" t="s">
        <v>9397</v>
      </c>
      <c r="C8575" s="449" t="s">
        <v>679</v>
      </c>
      <c r="D8575" s="451">
        <v>15.07</v>
      </c>
      <c r="E8575" s="210"/>
    </row>
    <row r="8576" spans="1:5" ht="25.5">
      <c r="A8576" s="449">
        <v>37971</v>
      </c>
      <c r="B8576" s="450" t="s">
        <v>9398</v>
      </c>
      <c r="C8576" s="449" t="s">
        <v>679</v>
      </c>
      <c r="D8576" s="451">
        <v>5.65</v>
      </c>
      <c r="E8576" s="210"/>
    </row>
    <row r="8577" spans="1:5" ht="25.5">
      <c r="A8577" s="449">
        <v>20094</v>
      </c>
      <c r="B8577" s="450" t="s">
        <v>9399</v>
      </c>
      <c r="C8577" s="449" t="s">
        <v>679</v>
      </c>
      <c r="D8577" s="451">
        <v>31.34</v>
      </c>
      <c r="E8577" s="210"/>
    </row>
    <row r="8578" spans="1:5" ht="25.5">
      <c r="A8578" s="449">
        <v>20095</v>
      </c>
      <c r="B8578" s="450" t="s">
        <v>9400</v>
      </c>
      <c r="C8578" s="449" t="s">
        <v>679</v>
      </c>
      <c r="D8578" s="451">
        <v>39.92</v>
      </c>
      <c r="E8578" s="210"/>
    </row>
    <row r="8579" spans="1:5" ht="25.5">
      <c r="A8579" s="449">
        <v>1954</v>
      </c>
      <c r="B8579" s="450" t="s">
        <v>9401</v>
      </c>
      <c r="C8579" s="449" t="s">
        <v>679</v>
      </c>
      <c r="D8579" s="451">
        <v>133.69999999999999</v>
      </c>
      <c r="E8579" s="210"/>
    </row>
    <row r="8580" spans="1:5" ht="25.5">
      <c r="A8580" s="449">
        <v>1926</v>
      </c>
      <c r="B8580" s="450" t="s">
        <v>9402</v>
      </c>
      <c r="C8580" s="449" t="s">
        <v>679</v>
      </c>
      <c r="D8580" s="451">
        <v>1.76</v>
      </c>
      <c r="E8580" s="210"/>
    </row>
    <row r="8581" spans="1:5" ht="25.5">
      <c r="A8581" s="449">
        <v>1927</v>
      </c>
      <c r="B8581" s="450" t="s">
        <v>9403</v>
      </c>
      <c r="C8581" s="449" t="s">
        <v>679</v>
      </c>
      <c r="D8581" s="451">
        <v>2.33</v>
      </c>
      <c r="E8581" s="210"/>
    </row>
    <row r="8582" spans="1:5" ht="25.5">
      <c r="A8582" s="449">
        <v>1923</v>
      </c>
      <c r="B8582" s="450" t="s">
        <v>9404</v>
      </c>
      <c r="C8582" s="449" t="s">
        <v>679</v>
      </c>
      <c r="D8582" s="451">
        <v>3.81</v>
      </c>
      <c r="E8582" s="210"/>
    </row>
    <row r="8583" spans="1:5" ht="25.5">
      <c r="A8583" s="449">
        <v>1929</v>
      </c>
      <c r="B8583" s="450" t="s">
        <v>9405</v>
      </c>
      <c r="C8583" s="449" t="s">
        <v>679</v>
      </c>
      <c r="D8583" s="451">
        <v>6.24</v>
      </c>
      <c r="E8583" s="210"/>
    </row>
    <row r="8584" spans="1:5" ht="25.5">
      <c r="A8584" s="449">
        <v>1930</v>
      </c>
      <c r="B8584" s="450" t="s">
        <v>9406</v>
      </c>
      <c r="C8584" s="449" t="s">
        <v>679</v>
      </c>
      <c r="D8584" s="451">
        <v>12.11</v>
      </c>
      <c r="E8584" s="210"/>
    </row>
    <row r="8585" spans="1:5" ht="25.5">
      <c r="A8585" s="449">
        <v>1924</v>
      </c>
      <c r="B8585" s="450" t="s">
        <v>9407</v>
      </c>
      <c r="C8585" s="449" t="s">
        <v>679</v>
      </c>
      <c r="D8585" s="451">
        <v>20.87</v>
      </c>
      <c r="E8585" s="210"/>
    </row>
    <row r="8586" spans="1:5" ht="25.5">
      <c r="A8586" s="449">
        <v>1922</v>
      </c>
      <c r="B8586" s="450" t="s">
        <v>9408</v>
      </c>
      <c r="C8586" s="449" t="s">
        <v>679</v>
      </c>
      <c r="D8586" s="451">
        <v>31</v>
      </c>
      <c r="E8586" s="210"/>
    </row>
    <row r="8587" spans="1:5" ht="25.5">
      <c r="A8587" s="449">
        <v>1953</v>
      </c>
      <c r="B8587" s="450" t="s">
        <v>9409</v>
      </c>
      <c r="C8587" s="449" t="s">
        <v>679</v>
      </c>
      <c r="D8587" s="451">
        <v>54.17</v>
      </c>
      <c r="E8587" s="210"/>
    </row>
    <row r="8588" spans="1:5" ht="25.5">
      <c r="A8588" s="449">
        <v>1962</v>
      </c>
      <c r="B8588" s="450" t="s">
        <v>9410</v>
      </c>
      <c r="C8588" s="449" t="s">
        <v>679</v>
      </c>
      <c r="D8588" s="451">
        <v>177.23</v>
      </c>
      <c r="E8588" s="210"/>
    </row>
    <row r="8589" spans="1:5" ht="25.5">
      <c r="A8589" s="449">
        <v>1955</v>
      </c>
      <c r="B8589" s="450" t="s">
        <v>9411</v>
      </c>
      <c r="C8589" s="449" t="s">
        <v>679</v>
      </c>
      <c r="D8589" s="451">
        <v>2.34</v>
      </c>
      <c r="E8589" s="210"/>
    </row>
    <row r="8590" spans="1:5" ht="25.5">
      <c r="A8590" s="449">
        <v>1956</v>
      </c>
      <c r="B8590" s="450" t="s">
        <v>9412</v>
      </c>
      <c r="C8590" s="449" t="s">
        <v>679</v>
      </c>
      <c r="D8590" s="451">
        <v>3.02</v>
      </c>
      <c r="E8590" s="210"/>
    </row>
    <row r="8591" spans="1:5" ht="25.5">
      <c r="A8591" s="449">
        <v>1957</v>
      </c>
      <c r="B8591" s="450" t="s">
        <v>9413</v>
      </c>
      <c r="C8591" s="449" t="s">
        <v>679</v>
      </c>
      <c r="D8591" s="451">
        <v>6.87</v>
      </c>
      <c r="E8591" s="210"/>
    </row>
    <row r="8592" spans="1:5" ht="25.5">
      <c r="A8592" s="449">
        <v>1958</v>
      </c>
      <c r="B8592" s="450" t="s">
        <v>9414</v>
      </c>
      <c r="C8592" s="449" t="s">
        <v>679</v>
      </c>
      <c r="D8592" s="451">
        <v>12.19</v>
      </c>
      <c r="E8592" s="210"/>
    </row>
    <row r="8593" spans="1:5" ht="25.5">
      <c r="A8593" s="449">
        <v>1959</v>
      </c>
      <c r="B8593" s="450" t="s">
        <v>9415</v>
      </c>
      <c r="C8593" s="449" t="s">
        <v>679</v>
      </c>
      <c r="D8593" s="451">
        <v>14.87</v>
      </c>
      <c r="E8593" s="210"/>
    </row>
    <row r="8594" spans="1:5" ht="25.5">
      <c r="A8594" s="449">
        <v>1925</v>
      </c>
      <c r="B8594" s="450" t="s">
        <v>9416</v>
      </c>
      <c r="C8594" s="449" t="s">
        <v>679</v>
      </c>
      <c r="D8594" s="451">
        <v>36.75</v>
      </c>
      <c r="E8594" s="210"/>
    </row>
    <row r="8595" spans="1:5" ht="25.5">
      <c r="A8595" s="449">
        <v>1960</v>
      </c>
      <c r="B8595" s="450" t="s">
        <v>9417</v>
      </c>
      <c r="C8595" s="449" t="s">
        <v>679</v>
      </c>
      <c r="D8595" s="451">
        <v>52.25</v>
      </c>
      <c r="E8595" s="210"/>
    </row>
    <row r="8596" spans="1:5" ht="25.5">
      <c r="A8596" s="449">
        <v>1961</v>
      </c>
      <c r="B8596" s="450" t="s">
        <v>9418</v>
      </c>
      <c r="C8596" s="449" t="s">
        <v>679</v>
      </c>
      <c r="D8596" s="451">
        <v>75.08</v>
      </c>
      <c r="E8596" s="210"/>
    </row>
    <row r="8597" spans="1:5" ht="25.5">
      <c r="A8597" s="449">
        <v>38426</v>
      </c>
      <c r="B8597" s="450" t="s">
        <v>9419</v>
      </c>
      <c r="C8597" s="449" t="s">
        <v>679</v>
      </c>
      <c r="D8597" s="451">
        <v>23.05</v>
      </c>
      <c r="E8597" s="210"/>
    </row>
    <row r="8598" spans="1:5" ht="25.5">
      <c r="A8598" s="449">
        <v>38423</v>
      </c>
      <c r="B8598" s="450" t="s">
        <v>9420</v>
      </c>
      <c r="C8598" s="449" t="s">
        <v>679</v>
      </c>
      <c r="D8598" s="451">
        <v>52.29</v>
      </c>
      <c r="E8598" s="210"/>
    </row>
    <row r="8599" spans="1:5" ht="25.5">
      <c r="A8599" s="449">
        <v>38421</v>
      </c>
      <c r="B8599" s="450" t="s">
        <v>9421</v>
      </c>
      <c r="C8599" s="449" t="s">
        <v>679</v>
      </c>
      <c r="D8599" s="451">
        <v>24.68</v>
      </c>
      <c r="E8599" s="210"/>
    </row>
    <row r="8600" spans="1:5" ht="25.5">
      <c r="A8600" s="449">
        <v>38422</v>
      </c>
      <c r="B8600" s="450" t="s">
        <v>9422</v>
      </c>
      <c r="C8600" s="449" t="s">
        <v>679</v>
      </c>
      <c r="D8600" s="451">
        <v>36.08</v>
      </c>
      <c r="E8600" s="210"/>
    </row>
    <row r="8601" spans="1:5" ht="38.25">
      <c r="A8601" s="449">
        <v>39866</v>
      </c>
      <c r="B8601" s="450" t="s">
        <v>9423</v>
      </c>
      <c r="C8601" s="449" t="s">
        <v>679</v>
      </c>
      <c r="D8601" s="451">
        <v>18.98</v>
      </c>
      <c r="E8601" s="210"/>
    </row>
    <row r="8602" spans="1:5" ht="38.25">
      <c r="A8602" s="449">
        <v>39867</v>
      </c>
      <c r="B8602" s="450" t="s">
        <v>9424</v>
      </c>
      <c r="C8602" s="449" t="s">
        <v>679</v>
      </c>
      <c r="D8602" s="451">
        <v>42.2</v>
      </c>
      <c r="E8602" s="210"/>
    </row>
    <row r="8603" spans="1:5" ht="38.25">
      <c r="A8603" s="449">
        <v>39868</v>
      </c>
      <c r="B8603" s="450" t="s">
        <v>9425</v>
      </c>
      <c r="C8603" s="449" t="s">
        <v>679</v>
      </c>
      <c r="D8603" s="451">
        <v>76.03</v>
      </c>
      <c r="E8603" s="210"/>
    </row>
    <row r="8604" spans="1:5" ht="25.5">
      <c r="A8604" s="449">
        <v>37999</v>
      </c>
      <c r="B8604" s="450" t="s">
        <v>9426</v>
      </c>
      <c r="C8604" s="449" t="s">
        <v>679</v>
      </c>
      <c r="D8604" s="451">
        <v>9.02</v>
      </c>
      <c r="E8604" s="210"/>
    </row>
    <row r="8605" spans="1:5" ht="25.5">
      <c r="A8605" s="449">
        <v>38000</v>
      </c>
      <c r="B8605" s="450" t="s">
        <v>9427</v>
      </c>
      <c r="C8605" s="449" t="s">
        <v>679</v>
      </c>
      <c r="D8605" s="451">
        <v>11.94</v>
      </c>
      <c r="E8605" s="210"/>
    </row>
    <row r="8606" spans="1:5" ht="25.5">
      <c r="A8606" s="449">
        <v>38129</v>
      </c>
      <c r="B8606" s="450" t="s">
        <v>9428</v>
      </c>
      <c r="C8606" s="449" t="s">
        <v>679</v>
      </c>
      <c r="D8606" s="451">
        <v>4.0599999999999996</v>
      </c>
      <c r="E8606" s="210"/>
    </row>
    <row r="8607" spans="1:5" ht="25.5">
      <c r="A8607" s="449">
        <v>38025</v>
      </c>
      <c r="B8607" s="450" t="s">
        <v>9429</v>
      </c>
      <c r="C8607" s="449" t="s">
        <v>679</v>
      </c>
      <c r="D8607" s="451">
        <v>6.78</v>
      </c>
      <c r="E8607" s="210"/>
    </row>
    <row r="8608" spans="1:5" ht="25.5">
      <c r="A8608" s="449">
        <v>38026</v>
      </c>
      <c r="B8608" s="450" t="s">
        <v>9430</v>
      </c>
      <c r="C8608" s="449" t="s">
        <v>679</v>
      </c>
      <c r="D8608" s="451">
        <v>18.170000000000002</v>
      </c>
      <c r="E8608" s="210"/>
    </row>
    <row r="8609" spans="1:5" ht="25.5">
      <c r="A8609" s="449">
        <v>1858</v>
      </c>
      <c r="B8609" s="450" t="s">
        <v>9431</v>
      </c>
      <c r="C8609" s="449" t="s">
        <v>679</v>
      </c>
      <c r="D8609" s="451">
        <v>43.89</v>
      </c>
      <c r="E8609" s="210"/>
    </row>
    <row r="8610" spans="1:5" ht="25.5">
      <c r="A8610" s="449">
        <v>1844</v>
      </c>
      <c r="B8610" s="450" t="s">
        <v>9432</v>
      </c>
      <c r="C8610" s="449" t="s">
        <v>679</v>
      </c>
      <c r="D8610" s="451">
        <v>161.82</v>
      </c>
      <c r="E8610" s="210"/>
    </row>
    <row r="8611" spans="1:5" ht="25.5">
      <c r="A8611" s="449">
        <v>1863</v>
      </c>
      <c r="B8611" s="450" t="s">
        <v>9433</v>
      </c>
      <c r="C8611" s="449" t="s">
        <v>679</v>
      </c>
      <c r="D8611" s="451">
        <v>63.69</v>
      </c>
      <c r="E8611" s="210"/>
    </row>
    <row r="8612" spans="1:5" ht="25.5">
      <c r="A8612" s="449">
        <v>1865</v>
      </c>
      <c r="B8612" s="450" t="s">
        <v>9434</v>
      </c>
      <c r="C8612" s="449" t="s">
        <v>679</v>
      </c>
      <c r="D8612" s="451">
        <v>232.36</v>
      </c>
      <c r="E8612" s="210"/>
    </row>
    <row r="8613" spans="1:5" ht="25.5">
      <c r="A8613" s="449">
        <v>36355</v>
      </c>
      <c r="B8613" s="450" t="s">
        <v>9435</v>
      </c>
      <c r="C8613" s="449" t="s">
        <v>679</v>
      </c>
      <c r="D8613" s="451">
        <v>7.87</v>
      </c>
      <c r="E8613" s="210"/>
    </row>
    <row r="8614" spans="1:5" ht="25.5">
      <c r="A8614" s="449">
        <v>36356</v>
      </c>
      <c r="B8614" s="450" t="s">
        <v>9436</v>
      </c>
      <c r="C8614" s="449" t="s">
        <v>679</v>
      </c>
      <c r="D8614" s="451">
        <v>13.23</v>
      </c>
      <c r="E8614" s="210"/>
    </row>
    <row r="8615" spans="1:5" ht="25.5">
      <c r="A8615" s="449">
        <v>1932</v>
      </c>
      <c r="B8615" s="450" t="s">
        <v>9437</v>
      </c>
      <c r="C8615" s="449" t="s">
        <v>679</v>
      </c>
      <c r="D8615" s="451">
        <v>8.91</v>
      </c>
      <c r="E8615" s="210"/>
    </row>
    <row r="8616" spans="1:5" ht="25.5">
      <c r="A8616" s="449">
        <v>1933</v>
      </c>
      <c r="B8616" s="450" t="s">
        <v>9438</v>
      </c>
      <c r="C8616" s="449" t="s">
        <v>679</v>
      </c>
      <c r="D8616" s="451">
        <v>3.92</v>
      </c>
      <c r="E8616" s="210"/>
    </row>
    <row r="8617" spans="1:5" ht="25.5">
      <c r="A8617" s="449">
        <v>1951</v>
      </c>
      <c r="B8617" s="450" t="s">
        <v>9439</v>
      </c>
      <c r="C8617" s="449" t="s">
        <v>679</v>
      </c>
      <c r="D8617" s="451">
        <v>17.420000000000002</v>
      </c>
      <c r="E8617" s="210"/>
    </row>
    <row r="8618" spans="1:5" ht="25.5">
      <c r="A8618" s="449">
        <v>1966</v>
      </c>
      <c r="B8618" s="450" t="s">
        <v>9440</v>
      </c>
      <c r="C8618" s="449" t="s">
        <v>679</v>
      </c>
      <c r="D8618" s="451">
        <v>20.05</v>
      </c>
      <c r="E8618" s="210"/>
    </row>
    <row r="8619" spans="1:5" ht="25.5">
      <c r="A8619" s="449">
        <v>1952</v>
      </c>
      <c r="B8619" s="450" t="s">
        <v>9441</v>
      </c>
      <c r="C8619" s="449" t="s">
        <v>679</v>
      </c>
      <c r="D8619" s="451">
        <v>75.290000000000006</v>
      </c>
      <c r="E8619" s="210"/>
    </row>
    <row r="8620" spans="1:5" ht="25.5">
      <c r="A8620" s="449">
        <v>20104</v>
      </c>
      <c r="B8620" s="450" t="s">
        <v>9442</v>
      </c>
      <c r="C8620" s="449" t="s">
        <v>679</v>
      </c>
      <c r="D8620" s="451">
        <v>556.29999999999995</v>
      </c>
      <c r="E8620" s="210"/>
    </row>
    <row r="8621" spans="1:5" ht="25.5">
      <c r="A8621" s="449">
        <v>20105</v>
      </c>
      <c r="B8621" s="450" t="s">
        <v>9443</v>
      </c>
      <c r="C8621" s="449" t="s">
        <v>679</v>
      </c>
      <c r="D8621" s="451">
        <v>866.49</v>
      </c>
      <c r="E8621" s="210"/>
    </row>
    <row r="8622" spans="1:5" ht="25.5">
      <c r="A8622" s="449">
        <v>1965</v>
      </c>
      <c r="B8622" s="450" t="s">
        <v>9444</v>
      </c>
      <c r="C8622" s="449" t="s">
        <v>679</v>
      </c>
      <c r="D8622" s="451">
        <v>40.64</v>
      </c>
      <c r="E8622" s="210"/>
    </row>
    <row r="8623" spans="1:5" ht="25.5">
      <c r="A8623" s="449">
        <v>10765</v>
      </c>
      <c r="B8623" s="450" t="s">
        <v>9445</v>
      </c>
      <c r="C8623" s="449" t="s">
        <v>679</v>
      </c>
      <c r="D8623" s="451">
        <v>10.27</v>
      </c>
      <c r="E8623" s="210"/>
    </row>
    <row r="8624" spans="1:5" ht="25.5">
      <c r="A8624" s="449">
        <v>10767</v>
      </c>
      <c r="B8624" s="450" t="s">
        <v>9446</v>
      </c>
      <c r="C8624" s="449" t="s">
        <v>679</v>
      </c>
      <c r="D8624" s="451">
        <v>33.659999999999997</v>
      </c>
      <c r="E8624" s="210"/>
    </row>
    <row r="8625" spans="1:5" ht="25.5">
      <c r="A8625" s="449">
        <v>1970</v>
      </c>
      <c r="B8625" s="450" t="s">
        <v>9447</v>
      </c>
      <c r="C8625" s="449" t="s">
        <v>679</v>
      </c>
      <c r="D8625" s="451">
        <v>42.18</v>
      </c>
      <c r="E8625" s="210"/>
    </row>
    <row r="8626" spans="1:5" ht="25.5">
      <c r="A8626" s="449">
        <v>1967</v>
      </c>
      <c r="B8626" s="450" t="s">
        <v>9448</v>
      </c>
      <c r="C8626" s="449" t="s">
        <v>679</v>
      </c>
      <c r="D8626" s="451">
        <v>4.6900000000000004</v>
      </c>
      <c r="E8626" s="210"/>
    </row>
    <row r="8627" spans="1:5" ht="25.5">
      <c r="A8627" s="449">
        <v>1968</v>
      </c>
      <c r="B8627" s="450" t="s">
        <v>9449</v>
      </c>
      <c r="C8627" s="449" t="s">
        <v>679</v>
      </c>
      <c r="D8627" s="451">
        <v>9.83</v>
      </c>
      <c r="E8627" s="210"/>
    </row>
    <row r="8628" spans="1:5" ht="25.5">
      <c r="A8628" s="449">
        <v>1969</v>
      </c>
      <c r="B8628" s="450" t="s">
        <v>9450</v>
      </c>
      <c r="C8628" s="449" t="s">
        <v>679</v>
      </c>
      <c r="D8628" s="451">
        <v>28.93</v>
      </c>
      <c r="E8628" s="210"/>
    </row>
    <row r="8629" spans="1:5" ht="25.5">
      <c r="A8629" s="449">
        <v>1839</v>
      </c>
      <c r="B8629" s="450" t="s">
        <v>9451</v>
      </c>
      <c r="C8629" s="449" t="s">
        <v>679</v>
      </c>
      <c r="D8629" s="451">
        <v>154.19</v>
      </c>
      <c r="E8629" s="210"/>
    </row>
    <row r="8630" spans="1:5" ht="25.5">
      <c r="A8630" s="449">
        <v>1835</v>
      </c>
      <c r="B8630" s="450" t="s">
        <v>9452</v>
      </c>
      <c r="C8630" s="449" t="s">
        <v>679</v>
      </c>
      <c r="D8630" s="451">
        <v>32.78</v>
      </c>
      <c r="E8630" s="210"/>
    </row>
    <row r="8631" spans="1:5" ht="25.5">
      <c r="A8631" s="449">
        <v>1823</v>
      </c>
      <c r="B8631" s="450" t="s">
        <v>9453</v>
      </c>
      <c r="C8631" s="449" t="s">
        <v>679</v>
      </c>
      <c r="D8631" s="451">
        <v>63.38</v>
      </c>
      <c r="E8631" s="210"/>
    </row>
    <row r="8632" spans="1:5" ht="25.5">
      <c r="A8632" s="449">
        <v>1827</v>
      </c>
      <c r="B8632" s="450" t="s">
        <v>9454</v>
      </c>
      <c r="C8632" s="449" t="s">
        <v>679</v>
      </c>
      <c r="D8632" s="451">
        <v>152.69</v>
      </c>
      <c r="E8632" s="210"/>
    </row>
    <row r="8633" spans="1:5" ht="25.5">
      <c r="A8633" s="449">
        <v>1831</v>
      </c>
      <c r="B8633" s="450" t="s">
        <v>9455</v>
      </c>
      <c r="C8633" s="449" t="s">
        <v>679</v>
      </c>
      <c r="D8633" s="451">
        <v>33.33</v>
      </c>
      <c r="E8633" s="210"/>
    </row>
    <row r="8634" spans="1:5" ht="25.5">
      <c r="A8634" s="449">
        <v>1825</v>
      </c>
      <c r="B8634" s="450" t="s">
        <v>9456</v>
      </c>
      <c r="C8634" s="449" t="s">
        <v>679</v>
      </c>
      <c r="D8634" s="451">
        <v>82.26</v>
      </c>
      <c r="E8634" s="210"/>
    </row>
    <row r="8635" spans="1:5" ht="25.5">
      <c r="A8635" s="449">
        <v>1828</v>
      </c>
      <c r="B8635" s="450" t="s">
        <v>9457</v>
      </c>
      <c r="C8635" s="449" t="s">
        <v>679</v>
      </c>
      <c r="D8635" s="451">
        <v>186.32</v>
      </c>
      <c r="E8635" s="210"/>
    </row>
    <row r="8636" spans="1:5" ht="25.5">
      <c r="A8636" s="449">
        <v>1845</v>
      </c>
      <c r="B8636" s="450" t="s">
        <v>9458</v>
      </c>
      <c r="C8636" s="449" t="s">
        <v>679</v>
      </c>
      <c r="D8636" s="451">
        <v>41.77</v>
      </c>
      <c r="E8636" s="210"/>
    </row>
    <row r="8637" spans="1:5" ht="25.5">
      <c r="A8637" s="449">
        <v>1824</v>
      </c>
      <c r="B8637" s="450" t="s">
        <v>9459</v>
      </c>
      <c r="C8637" s="449" t="s">
        <v>679</v>
      </c>
      <c r="D8637" s="451">
        <v>98.61</v>
      </c>
      <c r="E8637" s="210"/>
    </row>
    <row r="8638" spans="1:5" ht="25.5">
      <c r="A8638" s="449">
        <v>1941</v>
      </c>
      <c r="B8638" s="450" t="s">
        <v>9460</v>
      </c>
      <c r="C8638" s="449" t="s">
        <v>679</v>
      </c>
      <c r="D8638" s="451">
        <v>26.19</v>
      </c>
      <c r="E8638" s="210"/>
    </row>
    <row r="8639" spans="1:5" ht="25.5">
      <c r="A8639" s="449">
        <v>1940</v>
      </c>
      <c r="B8639" s="450" t="s">
        <v>9461</v>
      </c>
      <c r="C8639" s="449" t="s">
        <v>679</v>
      </c>
      <c r="D8639" s="451">
        <v>19.8</v>
      </c>
      <c r="E8639" s="210"/>
    </row>
    <row r="8640" spans="1:5" ht="25.5">
      <c r="A8640" s="449">
        <v>1937</v>
      </c>
      <c r="B8640" s="450" t="s">
        <v>9462</v>
      </c>
      <c r="C8640" s="449" t="s">
        <v>679</v>
      </c>
      <c r="D8640" s="451">
        <v>4.1100000000000003</v>
      </c>
      <c r="E8640" s="210"/>
    </row>
    <row r="8641" spans="1:5" ht="25.5">
      <c r="A8641" s="449">
        <v>1939</v>
      </c>
      <c r="B8641" s="450" t="s">
        <v>9463</v>
      </c>
      <c r="C8641" s="449" t="s">
        <v>679</v>
      </c>
      <c r="D8641" s="451">
        <v>8.14</v>
      </c>
      <c r="E8641" s="210"/>
    </row>
    <row r="8642" spans="1:5" ht="25.5">
      <c r="A8642" s="449">
        <v>1942</v>
      </c>
      <c r="B8642" s="450" t="s">
        <v>9464</v>
      </c>
      <c r="C8642" s="449" t="s">
        <v>679</v>
      </c>
      <c r="D8642" s="451">
        <v>37.380000000000003</v>
      </c>
      <c r="E8642" s="210"/>
    </row>
    <row r="8643" spans="1:5" ht="25.5">
      <c r="A8643" s="449">
        <v>1938</v>
      </c>
      <c r="B8643" s="450" t="s">
        <v>9465</v>
      </c>
      <c r="C8643" s="449" t="s">
        <v>679</v>
      </c>
      <c r="D8643" s="451">
        <v>5.2</v>
      </c>
      <c r="E8643" s="210"/>
    </row>
    <row r="8644" spans="1:5" ht="38.25">
      <c r="A8644" s="449">
        <v>42692</v>
      </c>
      <c r="B8644" s="450" t="s">
        <v>9466</v>
      </c>
      <c r="C8644" s="449" t="s">
        <v>679</v>
      </c>
      <c r="D8644" s="451">
        <v>515.53</v>
      </c>
      <c r="E8644" s="210"/>
    </row>
    <row r="8645" spans="1:5" ht="38.25">
      <c r="A8645" s="449">
        <v>42693</v>
      </c>
      <c r="B8645" s="450" t="s">
        <v>9467</v>
      </c>
      <c r="C8645" s="449" t="s">
        <v>679</v>
      </c>
      <c r="D8645" s="451">
        <v>848.02</v>
      </c>
      <c r="E8645" s="210"/>
    </row>
    <row r="8646" spans="1:5" ht="38.25">
      <c r="A8646" s="449">
        <v>42695</v>
      </c>
      <c r="B8646" s="450" t="s">
        <v>9468</v>
      </c>
      <c r="C8646" s="449" t="s">
        <v>679</v>
      </c>
      <c r="D8646" s="451">
        <v>644.79</v>
      </c>
      <c r="E8646" s="210"/>
    </row>
    <row r="8647" spans="1:5" ht="38.25">
      <c r="A8647" s="449">
        <v>42694</v>
      </c>
      <c r="B8647" s="450" t="s">
        <v>9469</v>
      </c>
      <c r="C8647" s="449" t="s">
        <v>679</v>
      </c>
      <c r="D8647" s="451">
        <v>953.24</v>
      </c>
      <c r="E8647" s="210"/>
    </row>
    <row r="8648" spans="1:5" ht="38.25">
      <c r="A8648" s="449">
        <v>20097</v>
      </c>
      <c r="B8648" s="450" t="s">
        <v>9470</v>
      </c>
      <c r="C8648" s="449" t="s">
        <v>679</v>
      </c>
      <c r="D8648" s="451">
        <v>39.85</v>
      </c>
      <c r="E8648" s="210"/>
    </row>
    <row r="8649" spans="1:5" ht="38.25">
      <c r="A8649" s="449">
        <v>20098</v>
      </c>
      <c r="B8649" s="450" t="s">
        <v>9471</v>
      </c>
      <c r="C8649" s="449" t="s">
        <v>679</v>
      </c>
      <c r="D8649" s="451">
        <v>134.37</v>
      </c>
      <c r="E8649" s="210"/>
    </row>
    <row r="8650" spans="1:5" ht="38.25">
      <c r="A8650" s="449">
        <v>20096</v>
      </c>
      <c r="B8650" s="450" t="s">
        <v>9472</v>
      </c>
      <c r="C8650" s="449" t="s">
        <v>679</v>
      </c>
      <c r="D8650" s="451">
        <v>26.07</v>
      </c>
      <c r="E8650" s="210"/>
    </row>
    <row r="8651" spans="1:5" ht="25.5">
      <c r="A8651" s="449">
        <v>1964</v>
      </c>
      <c r="B8651" s="450" t="s">
        <v>9473</v>
      </c>
      <c r="C8651" s="449" t="s">
        <v>679</v>
      </c>
      <c r="D8651" s="451">
        <v>24.1</v>
      </c>
      <c r="E8651" s="210"/>
    </row>
    <row r="8652" spans="1:5" ht="25.5">
      <c r="A8652" s="449">
        <v>1880</v>
      </c>
      <c r="B8652" s="450" t="s">
        <v>9474</v>
      </c>
      <c r="C8652" s="449" t="s">
        <v>679</v>
      </c>
      <c r="D8652" s="451">
        <v>2.39</v>
      </c>
      <c r="E8652" s="210"/>
    </row>
    <row r="8653" spans="1:5" ht="25.5">
      <c r="A8653" s="449">
        <v>39274</v>
      </c>
      <c r="B8653" s="450" t="s">
        <v>9475</v>
      </c>
      <c r="C8653" s="449" t="s">
        <v>679</v>
      </c>
      <c r="D8653" s="451">
        <v>1.85</v>
      </c>
      <c r="E8653" s="210"/>
    </row>
    <row r="8654" spans="1:5" ht="38.25">
      <c r="A8654" s="449">
        <v>2628</v>
      </c>
      <c r="B8654" s="450" t="s">
        <v>9476</v>
      </c>
      <c r="C8654" s="449" t="s">
        <v>679</v>
      </c>
      <c r="D8654" s="451">
        <v>203.73</v>
      </c>
      <c r="E8654" s="210"/>
    </row>
    <row r="8655" spans="1:5" ht="38.25">
      <c r="A8655" s="449">
        <v>2622</v>
      </c>
      <c r="B8655" s="450" t="s">
        <v>9477</v>
      </c>
      <c r="C8655" s="449" t="s">
        <v>679</v>
      </c>
      <c r="D8655" s="451">
        <v>4.84</v>
      </c>
      <c r="E8655" s="210"/>
    </row>
    <row r="8656" spans="1:5" ht="38.25">
      <c r="A8656" s="449">
        <v>2623</v>
      </c>
      <c r="B8656" s="450" t="s">
        <v>9478</v>
      </c>
      <c r="C8656" s="449" t="s">
        <v>679</v>
      </c>
      <c r="D8656" s="451">
        <v>5.82</v>
      </c>
      <c r="E8656" s="210"/>
    </row>
    <row r="8657" spans="1:5" ht="38.25">
      <c r="A8657" s="449">
        <v>2624</v>
      </c>
      <c r="B8657" s="450" t="s">
        <v>9479</v>
      </c>
      <c r="C8657" s="449" t="s">
        <v>679</v>
      </c>
      <c r="D8657" s="451">
        <v>9.26</v>
      </c>
      <c r="E8657" s="210"/>
    </row>
    <row r="8658" spans="1:5" ht="38.25">
      <c r="A8658" s="449">
        <v>2625</v>
      </c>
      <c r="B8658" s="450" t="s">
        <v>9480</v>
      </c>
      <c r="C8658" s="449" t="s">
        <v>679</v>
      </c>
      <c r="D8658" s="451">
        <v>19.55</v>
      </c>
      <c r="E8658" s="210"/>
    </row>
    <row r="8659" spans="1:5" ht="38.25">
      <c r="A8659" s="449">
        <v>2626</v>
      </c>
      <c r="B8659" s="450" t="s">
        <v>9481</v>
      </c>
      <c r="C8659" s="449" t="s">
        <v>679</v>
      </c>
      <c r="D8659" s="451">
        <v>28.64</v>
      </c>
      <c r="E8659" s="210"/>
    </row>
    <row r="8660" spans="1:5" ht="38.25">
      <c r="A8660" s="449">
        <v>2630</v>
      </c>
      <c r="B8660" s="450" t="s">
        <v>9482</v>
      </c>
      <c r="C8660" s="449" t="s">
        <v>679</v>
      </c>
      <c r="D8660" s="451">
        <v>43.56</v>
      </c>
      <c r="E8660" s="210"/>
    </row>
    <row r="8661" spans="1:5" ht="38.25">
      <c r="A8661" s="449">
        <v>2627</v>
      </c>
      <c r="B8661" s="450" t="s">
        <v>9483</v>
      </c>
      <c r="C8661" s="449" t="s">
        <v>679</v>
      </c>
      <c r="D8661" s="451">
        <v>76.739999999999995</v>
      </c>
      <c r="E8661" s="210"/>
    </row>
    <row r="8662" spans="1:5" ht="38.25">
      <c r="A8662" s="449">
        <v>2629</v>
      </c>
      <c r="B8662" s="450" t="s">
        <v>9484</v>
      </c>
      <c r="C8662" s="449" t="s">
        <v>679</v>
      </c>
      <c r="D8662" s="451">
        <v>103.79</v>
      </c>
      <c r="E8662" s="210"/>
    </row>
    <row r="8663" spans="1:5" ht="25.5">
      <c r="A8663" s="449">
        <v>12033</v>
      </c>
      <c r="B8663" s="450" t="s">
        <v>9485</v>
      </c>
      <c r="C8663" s="449" t="s">
        <v>679</v>
      </c>
      <c r="D8663" s="451">
        <v>7.63</v>
      </c>
      <c r="E8663" s="210"/>
    </row>
    <row r="8664" spans="1:5" ht="25.5">
      <c r="A8664" s="449">
        <v>40408</v>
      </c>
      <c r="B8664" s="450" t="s">
        <v>9486</v>
      </c>
      <c r="C8664" s="449" t="s">
        <v>679</v>
      </c>
      <c r="D8664" s="451">
        <v>5.01</v>
      </c>
      <c r="E8664" s="210"/>
    </row>
    <row r="8665" spans="1:5" ht="25.5">
      <c r="A8665" s="449">
        <v>40409</v>
      </c>
      <c r="B8665" s="450" t="s">
        <v>9487</v>
      </c>
      <c r="C8665" s="449" t="s">
        <v>679</v>
      </c>
      <c r="D8665" s="451">
        <v>1.77</v>
      </c>
      <c r="E8665" s="210"/>
    </row>
    <row r="8666" spans="1:5" ht="25.5">
      <c r="A8666" s="449">
        <v>39276</v>
      </c>
      <c r="B8666" s="450" t="s">
        <v>9488</v>
      </c>
      <c r="C8666" s="449" t="s">
        <v>679</v>
      </c>
      <c r="D8666" s="451">
        <v>4.5199999999999996</v>
      </c>
      <c r="E8666" s="210"/>
    </row>
    <row r="8667" spans="1:5" ht="25.5">
      <c r="A8667" s="449">
        <v>39277</v>
      </c>
      <c r="B8667" s="450" t="s">
        <v>9489</v>
      </c>
      <c r="C8667" s="449" t="s">
        <v>679</v>
      </c>
      <c r="D8667" s="451">
        <v>12.2</v>
      </c>
      <c r="E8667" s="210"/>
    </row>
    <row r="8668" spans="1:5" ht="25.5">
      <c r="A8668" s="449">
        <v>12034</v>
      </c>
      <c r="B8668" s="450" t="s">
        <v>9490</v>
      </c>
      <c r="C8668" s="449" t="s">
        <v>679</v>
      </c>
      <c r="D8668" s="451">
        <v>3.46</v>
      </c>
      <c r="E8668" s="210"/>
    </row>
    <row r="8669" spans="1:5" ht="25.5">
      <c r="A8669" s="449">
        <v>39879</v>
      </c>
      <c r="B8669" s="450" t="s">
        <v>9491</v>
      </c>
      <c r="C8669" s="449" t="s">
        <v>679</v>
      </c>
      <c r="D8669" s="451">
        <v>5.33</v>
      </c>
      <c r="E8669" s="210"/>
    </row>
    <row r="8670" spans="1:5" ht="25.5">
      <c r="A8670" s="449">
        <v>39880</v>
      </c>
      <c r="B8670" s="450" t="s">
        <v>9492</v>
      </c>
      <c r="C8670" s="449" t="s">
        <v>679</v>
      </c>
      <c r="D8670" s="451">
        <v>11.81</v>
      </c>
      <c r="E8670" s="210"/>
    </row>
    <row r="8671" spans="1:5" ht="25.5">
      <c r="A8671" s="449">
        <v>39881</v>
      </c>
      <c r="B8671" s="450" t="s">
        <v>9493</v>
      </c>
      <c r="C8671" s="449" t="s">
        <v>679</v>
      </c>
      <c r="D8671" s="451">
        <v>18.96</v>
      </c>
      <c r="E8671" s="210"/>
    </row>
    <row r="8672" spans="1:5" ht="25.5">
      <c r="A8672" s="449">
        <v>39882</v>
      </c>
      <c r="B8672" s="450" t="s">
        <v>9494</v>
      </c>
      <c r="C8672" s="449" t="s">
        <v>679</v>
      </c>
      <c r="D8672" s="451">
        <v>49.95</v>
      </c>
      <c r="E8672" s="210"/>
    </row>
    <row r="8673" spans="1:5" ht="25.5">
      <c r="A8673" s="449">
        <v>39883</v>
      </c>
      <c r="B8673" s="450" t="s">
        <v>9495</v>
      </c>
      <c r="C8673" s="449" t="s">
        <v>679</v>
      </c>
      <c r="D8673" s="451">
        <v>79.77</v>
      </c>
      <c r="E8673" s="210"/>
    </row>
    <row r="8674" spans="1:5" ht="25.5">
      <c r="A8674" s="449">
        <v>39884</v>
      </c>
      <c r="B8674" s="450" t="s">
        <v>9496</v>
      </c>
      <c r="C8674" s="449" t="s">
        <v>679</v>
      </c>
      <c r="D8674" s="451">
        <v>118.48</v>
      </c>
      <c r="E8674" s="210"/>
    </row>
    <row r="8675" spans="1:5" ht="25.5">
      <c r="A8675" s="449">
        <v>39885</v>
      </c>
      <c r="B8675" s="450" t="s">
        <v>9497</v>
      </c>
      <c r="C8675" s="449" t="s">
        <v>679</v>
      </c>
      <c r="D8675" s="451">
        <v>281.58999999999997</v>
      </c>
      <c r="E8675" s="210"/>
    </row>
    <row r="8676" spans="1:5" ht="25.5">
      <c r="A8676" s="449">
        <v>1777</v>
      </c>
      <c r="B8676" s="450" t="s">
        <v>9498</v>
      </c>
      <c r="C8676" s="449" t="s">
        <v>679</v>
      </c>
      <c r="D8676" s="451">
        <v>61.9</v>
      </c>
      <c r="E8676" s="210"/>
    </row>
    <row r="8677" spans="1:5" ht="25.5">
      <c r="A8677" s="449">
        <v>1819</v>
      </c>
      <c r="B8677" s="450" t="s">
        <v>9499</v>
      </c>
      <c r="C8677" s="449" t="s">
        <v>679</v>
      </c>
      <c r="D8677" s="451">
        <v>45.03</v>
      </c>
      <c r="E8677" s="210"/>
    </row>
    <row r="8678" spans="1:5" ht="25.5">
      <c r="A8678" s="449">
        <v>1775</v>
      </c>
      <c r="B8678" s="450" t="s">
        <v>9500</v>
      </c>
      <c r="C8678" s="449" t="s">
        <v>679</v>
      </c>
      <c r="D8678" s="451">
        <v>13.47</v>
      </c>
      <c r="E8678" s="210"/>
    </row>
    <row r="8679" spans="1:5" ht="25.5">
      <c r="A8679" s="449">
        <v>1776</v>
      </c>
      <c r="B8679" s="450" t="s">
        <v>9501</v>
      </c>
      <c r="C8679" s="449" t="s">
        <v>679</v>
      </c>
      <c r="D8679" s="451">
        <v>36.64</v>
      </c>
      <c r="E8679" s="210"/>
    </row>
    <row r="8680" spans="1:5" ht="25.5">
      <c r="A8680" s="449">
        <v>1778</v>
      </c>
      <c r="B8680" s="450" t="s">
        <v>9502</v>
      </c>
      <c r="C8680" s="449" t="s">
        <v>679</v>
      </c>
      <c r="D8680" s="451">
        <v>149.82</v>
      </c>
      <c r="E8680" s="210"/>
    </row>
    <row r="8681" spans="1:5" ht="25.5">
      <c r="A8681" s="449">
        <v>1818</v>
      </c>
      <c r="B8681" s="450" t="s">
        <v>9503</v>
      </c>
      <c r="C8681" s="449" t="s">
        <v>679</v>
      </c>
      <c r="D8681" s="451">
        <v>99.45</v>
      </c>
      <c r="E8681" s="210"/>
    </row>
    <row r="8682" spans="1:5" ht="25.5">
      <c r="A8682" s="449">
        <v>1820</v>
      </c>
      <c r="B8682" s="450" t="s">
        <v>9504</v>
      </c>
      <c r="C8682" s="449" t="s">
        <v>679</v>
      </c>
      <c r="D8682" s="451">
        <v>19.45</v>
      </c>
      <c r="E8682" s="210"/>
    </row>
    <row r="8683" spans="1:5" ht="25.5">
      <c r="A8683" s="449">
        <v>1779</v>
      </c>
      <c r="B8683" s="450" t="s">
        <v>9505</v>
      </c>
      <c r="C8683" s="449" t="s">
        <v>679</v>
      </c>
      <c r="D8683" s="451">
        <v>217.9</v>
      </c>
      <c r="E8683" s="210"/>
    </row>
    <row r="8684" spans="1:5" ht="25.5">
      <c r="A8684" s="449">
        <v>1780</v>
      </c>
      <c r="B8684" s="450" t="s">
        <v>9506</v>
      </c>
      <c r="C8684" s="449" t="s">
        <v>679</v>
      </c>
      <c r="D8684" s="451">
        <v>449.2</v>
      </c>
      <c r="E8684" s="210"/>
    </row>
    <row r="8685" spans="1:5" ht="25.5">
      <c r="A8685" s="449">
        <v>1783</v>
      </c>
      <c r="B8685" s="450" t="s">
        <v>9507</v>
      </c>
      <c r="C8685" s="449" t="s">
        <v>679</v>
      </c>
      <c r="D8685" s="451">
        <v>47.49</v>
      </c>
      <c r="E8685" s="210"/>
    </row>
    <row r="8686" spans="1:5" ht="25.5">
      <c r="A8686" s="449">
        <v>1782</v>
      </c>
      <c r="B8686" s="450" t="s">
        <v>9508</v>
      </c>
      <c r="C8686" s="449" t="s">
        <v>679</v>
      </c>
      <c r="D8686" s="451">
        <v>37.549999999999997</v>
      </c>
      <c r="E8686" s="210"/>
    </row>
    <row r="8687" spans="1:5" ht="25.5">
      <c r="A8687" s="449">
        <v>1817</v>
      </c>
      <c r="B8687" s="450" t="s">
        <v>9509</v>
      </c>
      <c r="C8687" s="449" t="s">
        <v>679</v>
      </c>
      <c r="D8687" s="451">
        <v>11.19</v>
      </c>
      <c r="E8687" s="210"/>
    </row>
    <row r="8688" spans="1:5" ht="25.5">
      <c r="A8688" s="449">
        <v>1781</v>
      </c>
      <c r="B8688" s="450" t="s">
        <v>9510</v>
      </c>
      <c r="C8688" s="449" t="s">
        <v>679</v>
      </c>
      <c r="D8688" s="451">
        <v>24.46</v>
      </c>
      <c r="E8688" s="210"/>
    </row>
    <row r="8689" spans="1:5" ht="25.5">
      <c r="A8689" s="449">
        <v>1784</v>
      </c>
      <c r="B8689" s="450" t="s">
        <v>9511</v>
      </c>
      <c r="C8689" s="449" t="s">
        <v>679</v>
      </c>
      <c r="D8689" s="451">
        <v>134.11000000000001</v>
      </c>
      <c r="E8689" s="210"/>
    </row>
    <row r="8690" spans="1:5" ht="25.5">
      <c r="A8690" s="449">
        <v>1810</v>
      </c>
      <c r="B8690" s="450" t="s">
        <v>9512</v>
      </c>
      <c r="C8690" s="449" t="s">
        <v>679</v>
      </c>
      <c r="D8690" s="451">
        <v>74.39</v>
      </c>
      <c r="E8690" s="210"/>
    </row>
    <row r="8691" spans="1:5" ht="25.5">
      <c r="A8691" s="449">
        <v>1811</v>
      </c>
      <c r="B8691" s="450" t="s">
        <v>9513</v>
      </c>
      <c r="C8691" s="449" t="s">
        <v>679</v>
      </c>
      <c r="D8691" s="451">
        <v>16.09</v>
      </c>
      <c r="E8691" s="210"/>
    </row>
    <row r="8692" spans="1:5" ht="25.5">
      <c r="A8692" s="449">
        <v>1812</v>
      </c>
      <c r="B8692" s="450" t="s">
        <v>9514</v>
      </c>
      <c r="C8692" s="449" t="s">
        <v>679</v>
      </c>
      <c r="D8692" s="451">
        <v>187.78</v>
      </c>
      <c r="E8692" s="210"/>
    </row>
    <row r="8693" spans="1:5" ht="25.5">
      <c r="A8693" s="449">
        <v>40386</v>
      </c>
      <c r="B8693" s="450" t="s">
        <v>9515</v>
      </c>
      <c r="C8693" s="449" t="s">
        <v>679</v>
      </c>
      <c r="D8693" s="451">
        <v>78.05</v>
      </c>
      <c r="E8693" s="210"/>
    </row>
    <row r="8694" spans="1:5" ht="25.5">
      <c r="A8694" s="449">
        <v>40384</v>
      </c>
      <c r="B8694" s="450" t="s">
        <v>9516</v>
      </c>
      <c r="C8694" s="449" t="s">
        <v>679</v>
      </c>
      <c r="D8694" s="451">
        <v>53.44</v>
      </c>
      <c r="E8694" s="210"/>
    </row>
    <row r="8695" spans="1:5" ht="25.5">
      <c r="A8695" s="449">
        <v>40379</v>
      </c>
      <c r="B8695" s="450" t="s">
        <v>9517</v>
      </c>
      <c r="C8695" s="449" t="s">
        <v>679</v>
      </c>
      <c r="D8695" s="451">
        <v>18.47</v>
      </c>
      <c r="E8695" s="210"/>
    </row>
    <row r="8696" spans="1:5" ht="25.5">
      <c r="A8696" s="449">
        <v>40423</v>
      </c>
      <c r="B8696" s="450" t="s">
        <v>9518</v>
      </c>
      <c r="C8696" s="449" t="s">
        <v>679</v>
      </c>
      <c r="D8696" s="451">
        <v>34.96</v>
      </c>
      <c r="E8696" s="210"/>
    </row>
    <row r="8697" spans="1:5" ht="25.5">
      <c r="A8697" s="449">
        <v>40389</v>
      </c>
      <c r="B8697" s="450" t="s">
        <v>9519</v>
      </c>
      <c r="C8697" s="449" t="s">
        <v>679</v>
      </c>
      <c r="D8697" s="451">
        <v>221.71</v>
      </c>
      <c r="E8697" s="210"/>
    </row>
    <row r="8698" spans="1:5" ht="25.5">
      <c r="A8698" s="449">
        <v>40388</v>
      </c>
      <c r="B8698" s="450" t="s">
        <v>9520</v>
      </c>
      <c r="C8698" s="449" t="s">
        <v>679</v>
      </c>
      <c r="D8698" s="451">
        <v>110.97</v>
      </c>
      <c r="E8698" s="210"/>
    </row>
    <row r="8699" spans="1:5" ht="25.5">
      <c r="A8699" s="449">
        <v>40381</v>
      </c>
      <c r="B8699" s="450" t="s">
        <v>9521</v>
      </c>
      <c r="C8699" s="449" t="s">
        <v>679</v>
      </c>
      <c r="D8699" s="451">
        <v>24.63</v>
      </c>
      <c r="E8699" s="210"/>
    </row>
    <row r="8700" spans="1:5" ht="25.5">
      <c r="A8700" s="449">
        <v>40391</v>
      </c>
      <c r="B8700" s="450" t="s">
        <v>9522</v>
      </c>
      <c r="C8700" s="449" t="s">
        <v>679</v>
      </c>
      <c r="D8700" s="451">
        <v>575.45000000000005</v>
      </c>
      <c r="E8700" s="210"/>
    </row>
    <row r="8701" spans="1:5" ht="25.5">
      <c r="A8701" s="449">
        <v>40414</v>
      </c>
      <c r="B8701" s="450" t="s">
        <v>9523</v>
      </c>
      <c r="C8701" s="449" t="s">
        <v>679</v>
      </c>
      <c r="D8701" s="451">
        <v>21.2</v>
      </c>
      <c r="E8701" s="210"/>
    </row>
    <row r="8702" spans="1:5" ht="25.5">
      <c r="A8702" s="449">
        <v>40416</v>
      </c>
      <c r="B8702" s="450" t="s">
        <v>9524</v>
      </c>
      <c r="C8702" s="449" t="s">
        <v>679</v>
      </c>
      <c r="D8702" s="451">
        <v>29.31</v>
      </c>
      <c r="E8702" s="210"/>
    </row>
    <row r="8703" spans="1:5" ht="25.5">
      <c r="A8703" s="449">
        <v>40418</v>
      </c>
      <c r="B8703" s="450" t="s">
        <v>9525</v>
      </c>
      <c r="C8703" s="449" t="s">
        <v>679</v>
      </c>
      <c r="D8703" s="451">
        <v>34.96</v>
      </c>
      <c r="E8703" s="210"/>
    </row>
    <row r="8704" spans="1:5" ht="38.25">
      <c r="A8704" s="449">
        <v>2609</v>
      </c>
      <c r="B8704" s="450" t="s">
        <v>9526</v>
      </c>
      <c r="C8704" s="449" t="s">
        <v>679</v>
      </c>
      <c r="D8704" s="451">
        <v>4.54</v>
      </c>
      <c r="E8704" s="210"/>
    </row>
    <row r="8705" spans="1:5" ht="38.25">
      <c r="A8705" s="449">
        <v>2634</v>
      </c>
      <c r="B8705" s="450" t="s">
        <v>9527</v>
      </c>
      <c r="C8705" s="449" t="s">
        <v>679</v>
      </c>
      <c r="D8705" s="451">
        <v>5.97</v>
      </c>
      <c r="E8705" s="210"/>
    </row>
    <row r="8706" spans="1:5" ht="38.25">
      <c r="A8706" s="449">
        <v>2611</v>
      </c>
      <c r="B8706" s="450" t="s">
        <v>9528</v>
      </c>
      <c r="C8706" s="449" t="s">
        <v>679</v>
      </c>
      <c r="D8706" s="451">
        <v>16.82</v>
      </c>
      <c r="E8706" s="210"/>
    </row>
    <row r="8707" spans="1:5" ht="25.5">
      <c r="A8707" s="449">
        <v>34359</v>
      </c>
      <c r="B8707" s="450" t="s">
        <v>9529</v>
      </c>
      <c r="C8707" s="449" t="s">
        <v>679</v>
      </c>
      <c r="D8707" s="451">
        <v>10.26</v>
      </c>
      <c r="E8707" s="210"/>
    </row>
    <row r="8708" spans="1:5" ht="25.5">
      <c r="A8708" s="449">
        <v>1789</v>
      </c>
      <c r="B8708" s="450" t="s">
        <v>9530</v>
      </c>
      <c r="C8708" s="449" t="s">
        <v>679</v>
      </c>
      <c r="D8708" s="451">
        <v>59.41</v>
      </c>
      <c r="E8708" s="210"/>
    </row>
    <row r="8709" spans="1:5" ht="25.5">
      <c r="A8709" s="449">
        <v>1788</v>
      </c>
      <c r="B8709" s="450" t="s">
        <v>9531</v>
      </c>
      <c r="C8709" s="449" t="s">
        <v>679</v>
      </c>
      <c r="D8709" s="451">
        <v>47.62</v>
      </c>
      <c r="E8709" s="210"/>
    </row>
    <row r="8710" spans="1:5" ht="25.5">
      <c r="A8710" s="449">
        <v>1786</v>
      </c>
      <c r="B8710" s="450" t="s">
        <v>9532</v>
      </c>
      <c r="C8710" s="449" t="s">
        <v>679</v>
      </c>
      <c r="D8710" s="451">
        <v>11.82</v>
      </c>
      <c r="E8710" s="210"/>
    </row>
    <row r="8711" spans="1:5" ht="25.5">
      <c r="A8711" s="449">
        <v>1787</v>
      </c>
      <c r="B8711" s="450" t="s">
        <v>9533</v>
      </c>
      <c r="C8711" s="449" t="s">
        <v>679</v>
      </c>
      <c r="D8711" s="451">
        <v>28.31</v>
      </c>
      <c r="E8711" s="210"/>
    </row>
    <row r="8712" spans="1:5" ht="25.5">
      <c r="A8712" s="449">
        <v>1791</v>
      </c>
      <c r="B8712" s="450" t="s">
        <v>9534</v>
      </c>
      <c r="C8712" s="449" t="s">
        <v>679</v>
      </c>
      <c r="D8712" s="451">
        <v>171.69</v>
      </c>
      <c r="E8712" s="210"/>
    </row>
    <row r="8713" spans="1:5" ht="25.5">
      <c r="A8713" s="449">
        <v>1790</v>
      </c>
      <c r="B8713" s="450" t="s">
        <v>9535</v>
      </c>
      <c r="C8713" s="449" t="s">
        <v>679</v>
      </c>
      <c r="D8713" s="451">
        <v>98.93</v>
      </c>
      <c r="E8713" s="210"/>
    </row>
    <row r="8714" spans="1:5" ht="25.5">
      <c r="A8714" s="449">
        <v>1813</v>
      </c>
      <c r="B8714" s="450" t="s">
        <v>9536</v>
      </c>
      <c r="C8714" s="449" t="s">
        <v>679</v>
      </c>
      <c r="D8714" s="451">
        <v>18.760000000000002</v>
      </c>
      <c r="E8714" s="210"/>
    </row>
    <row r="8715" spans="1:5" ht="25.5">
      <c r="A8715" s="449">
        <v>1792</v>
      </c>
      <c r="B8715" s="450" t="s">
        <v>9537</v>
      </c>
      <c r="C8715" s="449" t="s">
        <v>679</v>
      </c>
      <c r="D8715" s="451">
        <v>231.75</v>
      </c>
      <c r="E8715" s="210"/>
    </row>
    <row r="8716" spans="1:5" ht="25.5">
      <c r="A8716" s="449">
        <v>1793</v>
      </c>
      <c r="B8716" s="450" t="s">
        <v>9538</v>
      </c>
      <c r="C8716" s="449" t="s">
        <v>679</v>
      </c>
      <c r="D8716" s="451">
        <v>468.3</v>
      </c>
      <c r="E8716" s="210"/>
    </row>
    <row r="8717" spans="1:5" ht="25.5">
      <c r="A8717" s="449">
        <v>1809</v>
      </c>
      <c r="B8717" s="450" t="s">
        <v>9539</v>
      </c>
      <c r="C8717" s="449" t="s">
        <v>679</v>
      </c>
      <c r="D8717" s="451">
        <v>55.69</v>
      </c>
      <c r="E8717" s="210"/>
    </row>
    <row r="8718" spans="1:5" ht="25.5">
      <c r="A8718" s="449">
        <v>1814</v>
      </c>
      <c r="B8718" s="450" t="s">
        <v>9540</v>
      </c>
      <c r="C8718" s="449" t="s">
        <v>679</v>
      </c>
      <c r="D8718" s="451">
        <v>45.75</v>
      </c>
      <c r="E8718" s="210"/>
    </row>
    <row r="8719" spans="1:5" ht="25.5">
      <c r="A8719" s="449">
        <v>1803</v>
      </c>
      <c r="B8719" s="450" t="s">
        <v>9541</v>
      </c>
      <c r="C8719" s="449" t="s">
        <v>679</v>
      </c>
      <c r="D8719" s="451">
        <v>11.56</v>
      </c>
      <c r="E8719" s="210"/>
    </row>
    <row r="8720" spans="1:5" ht="25.5">
      <c r="A8720" s="449">
        <v>1805</v>
      </c>
      <c r="B8720" s="450" t="s">
        <v>9542</v>
      </c>
      <c r="C8720" s="449" t="s">
        <v>679</v>
      </c>
      <c r="D8720" s="451">
        <v>26.55</v>
      </c>
      <c r="E8720" s="210"/>
    </row>
    <row r="8721" spans="1:5" ht="25.5">
      <c r="A8721" s="449">
        <v>1821</v>
      </c>
      <c r="B8721" s="450" t="s">
        <v>9543</v>
      </c>
      <c r="C8721" s="449" t="s">
        <v>679</v>
      </c>
      <c r="D8721" s="451">
        <v>156.86000000000001</v>
      </c>
      <c r="E8721" s="210"/>
    </row>
    <row r="8722" spans="1:5" ht="25.5">
      <c r="A8722" s="449">
        <v>1806</v>
      </c>
      <c r="B8722" s="450" t="s">
        <v>9544</v>
      </c>
      <c r="C8722" s="449" t="s">
        <v>679</v>
      </c>
      <c r="D8722" s="451">
        <v>93.37</v>
      </c>
      <c r="E8722" s="210"/>
    </row>
    <row r="8723" spans="1:5" ht="25.5">
      <c r="A8723" s="449">
        <v>1804</v>
      </c>
      <c r="B8723" s="450" t="s">
        <v>9545</v>
      </c>
      <c r="C8723" s="449" t="s">
        <v>679</v>
      </c>
      <c r="D8723" s="451">
        <v>16.46</v>
      </c>
      <c r="E8723" s="210"/>
    </row>
    <row r="8724" spans="1:5" ht="25.5">
      <c r="A8724" s="449">
        <v>1807</v>
      </c>
      <c r="B8724" s="450" t="s">
        <v>9546</v>
      </c>
      <c r="C8724" s="449" t="s">
        <v>679</v>
      </c>
      <c r="D8724" s="451">
        <v>224.34</v>
      </c>
      <c r="E8724" s="210"/>
    </row>
    <row r="8725" spans="1:5" ht="25.5">
      <c r="A8725" s="449">
        <v>1808</v>
      </c>
      <c r="B8725" s="450" t="s">
        <v>9547</v>
      </c>
      <c r="C8725" s="449" t="s">
        <v>679</v>
      </c>
      <c r="D8725" s="451">
        <v>449.76</v>
      </c>
      <c r="E8725" s="210"/>
    </row>
    <row r="8726" spans="1:5" ht="25.5">
      <c r="A8726" s="449">
        <v>1797</v>
      </c>
      <c r="B8726" s="450" t="s">
        <v>9548</v>
      </c>
      <c r="C8726" s="449" t="s">
        <v>679</v>
      </c>
      <c r="D8726" s="451">
        <v>67.45</v>
      </c>
      <c r="E8726" s="210"/>
    </row>
    <row r="8727" spans="1:5" ht="25.5">
      <c r="A8727" s="449">
        <v>1796</v>
      </c>
      <c r="B8727" s="450" t="s">
        <v>9549</v>
      </c>
      <c r="C8727" s="449" t="s">
        <v>679</v>
      </c>
      <c r="D8727" s="451">
        <v>51.74</v>
      </c>
      <c r="E8727" s="210"/>
    </row>
    <row r="8728" spans="1:5" ht="25.5">
      <c r="A8728" s="449">
        <v>1794</v>
      </c>
      <c r="B8728" s="450" t="s">
        <v>9550</v>
      </c>
      <c r="C8728" s="449" t="s">
        <v>679</v>
      </c>
      <c r="D8728" s="451">
        <v>12.35</v>
      </c>
      <c r="E8728" s="210"/>
    </row>
    <row r="8729" spans="1:5" ht="25.5">
      <c r="A8729" s="449">
        <v>1816</v>
      </c>
      <c r="B8729" s="450" t="s">
        <v>9551</v>
      </c>
      <c r="C8729" s="449" t="s">
        <v>679</v>
      </c>
      <c r="D8729" s="451">
        <v>27.85</v>
      </c>
      <c r="E8729" s="210"/>
    </row>
    <row r="8730" spans="1:5" ht="25.5">
      <c r="A8730" s="449">
        <v>1815</v>
      </c>
      <c r="B8730" s="450" t="s">
        <v>9552</v>
      </c>
      <c r="C8730" s="449" t="s">
        <v>679</v>
      </c>
      <c r="D8730" s="451">
        <v>213.88</v>
      </c>
      <c r="E8730" s="210"/>
    </row>
    <row r="8731" spans="1:5" ht="25.5">
      <c r="A8731" s="449">
        <v>1798</v>
      </c>
      <c r="B8731" s="450" t="s">
        <v>9553</v>
      </c>
      <c r="C8731" s="449" t="s">
        <v>679</v>
      </c>
      <c r="D8731" s="451">
        <v>95.7</v>
      </c>
      <c r="E8731" s="210"/>
    </row>
    <row r="8732" spans="1:5" ht="25.5">
      <c r="A8732" s="449">
        <v>1795</v>
      </c>
      <c r="B8732" s="450" t="s">
        <v>9554</v>
      </c>
      <c r="C8732" s="449" t="s">
        <v>679</v>
      </c>
      <c r="D8732" s="451">
        <v>17.11</v>
      </c>
      <c r="E8732" s="210"/>
    </row>
    <row r="8733" spans="1:5" ht="25.5">
      <c r="A8733" s="449">
        <v>1799</v>
      </c>
      <c r="B8733" s="450" t="s">
        <v>9555</v>
      </c>
      <c r="C8733" s="449" t="s">
        <v>679</v>
      </c>
      <c r="D8733" s="451">
        <v>278.56</v>
      </c>
      <c r="E8733" s="210"/>
    </row>
    <row r="8734" spans="1:5" ht="25.5">
      <c r="A8734" s="449">
        <v>1800</v>
      </c>
      <c r="B8734" s="450" t="s">
        <v>9556</v>
      </c>
      <c r="C8734" s="449" t="s">
        <v>679</v>
      </c>
      <c r="D8734" s="451">
        <v>531.80999999999995</v>
      </c>
      <c r="E8734" s="210"/>
    </row>
    <row r="8735" spans="1:5" ht="25.5">
      <c r="A8735" s="449">
        <v>1802</v>
      </c>
      <c r="B8735" s="450" t="s">
        <v>9557</v>
      </c>
      <c r="C8735" s="449" t="s">
        <v>679</v>
      </c>
      <c r="D8735" s="451">
        <v>1330.28</v>
      </c>
      <c r="E8735" s="210"/>
    </row>
    <row r="8736" spans="1:5" ht="38.25">
      <c r="A8736" s="449">
        <v>40385</v>
      </c>
      <c r="B8736" s="450" t="s">
        <v>9558</v>
      </c>
      <c r="C8736" s="449" t="s">
        <v>679</v>
      </c>
      <c r="D8736" s="451">
        <v>78.05</v>
      </c>
      <c r="E8736" s="210"/>
    </row>
    <row r="8737" spans="1:5" ht="38.25">
      <c r="A8737" s="449">
        <v>40383</v>
      </c>
      <c r="B8737" s="450" t="s">
        <v>9559</v>
      </c>
      <c r="C8737" s="449" t="s">
        <v>679</v>
      </c>
      <c r="D8737" s="451">
        <v>53.44</v>
      </c>
      <c r="E8737" s="210"/>
    </row>
    <row r="8738" spans="1:5" ht="25.5">
      <c r="A8738" s="449">
        <v>40378</v>
      </c>
      <c r="B8738" s="450" t="s">
        <v>9560</v>
      </c>
      <c r="C8738" s="449" t="s">
        <v>679</v>
      </c>
      <c r="D8738" s="451">
        <v>18.47</v>
      </c>
      <c r="E8738" s="210"/>
    </row>
    <row r="8739" spans="1:5" ht="25.5">
      <c r="A8739" s="449">
        <v>40382</v>
      </c>
      <c r="B8739" s="450" t="s">
        <v>9561</v>
      </c>
      <c r="C8739" s="449" t="s">
        <v>679</v>
      </c>
      <c r="D8739" s="451">
        <v>34.96</v>
      </c>
      <c r="E8739" s="210"/>
    </row>
    <row r="8740" spans="1:5" ht="38.25">
      <c r="A8740" s="449">
        <v>40422</v>
      </c>
      <c r="B8740" s="450" t="s">
        <v>9562</v>
      </c>
      <c r="C8740" s="449" t="s">
        <v>679</v>
      </c>
      <c r="D8740" s="451">
        <v>238.17</v>
      </c>
      <c r="E8740" s="210"/>
    </row>
    <row r="8741" spans="1:5" ht="25.5">
      <c r="A8741" s="449">
        <v>40387</v>
      </c>
      <c r="B8741" s="450" t="s">
        <v>9563</v>
      </c>
      <c r="C8741" s="449" t="s">
        <v>679</v>
      </c>
      <c r="D8741" s="451">
        <v>121.26</v>
      </c>
      <c r="E8741" s="210"/>
    </row>
    <row r="8742" spans="1:5" ht="25.5">
      <c r="A8742" s="449">
        <v>40380</v>
      </c>
      <c r="B8742" s="450" t="s">
        <v>9564</v>
      </c>
      <c r="C8742" s="449" t="s">
        <v>679</v>
      </c>
      <c r="D8742" s="451">
        <v>24.63</v>
      </c>
      <c r="E8742" s="210"/>
    </row>
    <row r="8743" spans="1:5" ht="25.5">
      <c r="A8743" s="449">
        <v>40390</v>
      </c>
      <c r="B8743" s="450" t="s">
        <v>9565</v>
      </c>
      <c r="C8743" s="449" t="s">
        <v>679</v>
      </c>
      <c r="D8743" s="451">
        <v>501.61</v>
      </c>
      <c r="E8743" s="210"/>
    </row>
    <row r="8744" spans="1:5" ht="25.5">
      <c r="A8744" s="449">
        <v>40413</v>
      </c>
      <c r="B8744" s="450" t="s">
        <v>9566</v>
      </c>
      <c r="C8744" s="449" t="s">
        <v>679</v>
      </c>
      <c r="D8744" s="451">
        <v>23.03</v>
      </c>
      <c r="E8744" s="210"/>
    </row>
    <row r="8745" spans="1:5" ht="25.5">
      <c r="A8745" s="449">
        <v>40415</v>
      </c>
      <c r="B8745" s="450" t="s">
        <v>9567</v>
      </c>
      <c r="C8745" s="449" t="s">
        <v>679</v>
      </c>
      <c r="D8745" s="451">
        <v>32.82</v>
      </c>
      <c r="E8745" s="210"/>
    </row>
    <row r="8746" spans="1:5" ht="25.5">
      <c r="A8746" s="449">
        <v>40417</v>
      </c>
      <c r="B8746" s="450" t="s">
        <v>9568</v>
      </c>
      <c r="C8746" s="449" t="s">
        <v>679</v>
      </c>
      <c r="D8746" s="451">
        <v>38.72</v>
      </c>
      <c r="E8746" s="210"/>
    </row>
    <row r="8747" spans="1:5" ht="25.5">
      <c r="A8747" s="449">
        <v>39271</v>
      </c>
      <c r="B8747" s="450" t="s">
        <v>9569</v>
      </c>
      <c r="C8747" s="449" t="s">
        <v>679</v>
      </c>
      <c r="D8747" s="451">
        <v>1.54</v>
      </c>
      <c r="E8747" s="210"/>
    </row>
    <row r="8748" spans="1:5" ht="25.5">
      <c r="A8748" s="449">
        <v>39273</v>
      </c>
      <c r="B8748" s="450" t="s">
        <v>9570</v>
      </c>
      <c r="C8748" s="449" t="s">
        <v>679</v>
      </c>
      <c r="D8748" s="451">
        <v>2.61</v>
      </c>
      <c r="E8748" s="210"/>
    </row>
    <row r="8749" spans="1:5" ht="25.5">
      <c r="A8749" s="449">
        <v>39272</v>
      </c>
      <c r="B8749" s="450" t="s">
        <v>9571</v>
      </c>
      <c r="C8749" s="449" t="s">
        <v>679</v>
      </c>
      <c r="D8749" s="451">
        <v>1.89</v>
      </c>
      <c r="E8749" s="210"/>
    </row>
    <row r="8750" spans="1:5" ht="25.5">
      <c r="A8750" s="449">
        <v>1875</v>
      </c>
      <c r="B8750" s="450" t="s">
        <v>9572</v>
      </c>
      <c r="C8750" s="449" t="s">
        <v>679</v>
      </c>
      <c r="D8750" s="451">
        <v>4.17</v>
      </c>
      <c r="E8750" s="210"/>
    </row>
    <row r="8751" spans="1:5" ht="25.5">
      <c r="A8751" s="449">
        <v>1874</v>
      </c>
      <c r="B8751" s="450" t="s">
        <v>9573</v>
      </c>
      <c r="C8751" s="449" t="s">
        <v>679</v>
      </c>
      <c r="D8751" s="451">
        <v>3.44</v>
      </c>
      <c r="E8751" s="210"/>
    </row>
    <row r="8752" spans="1:5" ht="25.5">
      <c r="A8752" s="449">
        <v>1870</v>
      </c>
      <c r="B8752" s="450" t="s">
        <v>9574</v>
      </c>
      <c r="C8752" s="449" t="s">
        <v>679</v>
      </c>
      <c r="D8752" s="451">
        <v>1.99</v>
      </c>
      <c r="E8752" s="210"/>
    </row>
    <row r="8753" spans="1:5" ht="25.5">
      <c r="A8753" s="449">
        <v>1884</v>
      </c>
      <c r="B8753" s="450" t="s">
        <v>9575</v>
      </c>
      <c r="C8753" s="449" t="s">
        <v>679</v>
      </c>
      <c r="D8753" s="451">
        <v>3.05</v>
      </c>
      <c r="E8753" s="210"/>
    </row>
    <row r="8754" spans="1:5" ht="25.5">
      <c r="A8754" s="449">
        <v>1887</v>
      </c>
      <c r="B8754" s="450" t="s">
        <v>9576</v>
      </c>
      <c r="C8754" s="449" t="s">
        <v>679</v>
      </c>
      <c r="D8754" s="451">
        <v>17.3</v>
      </c>
      <c r="E8754" s="210"/>
    </row>
    <row r="8755" spans="1:5" ht="25.5">
      <c r="A8755" s="449">
        <v>1876</v>
      </c>
      <c r="B8755" s="450" t="s">
        <v>9577</v>
      </c>
      <c r="C8755" s="449" t="s">
        <v>679</v>
      </c>
      <c r="D8755" s="451">
        <v>6.78</v>
      </c>
      <c r="E8755" s="210"/>
    </row>
    <row r="8756" spans="1:5" ht="25.5">
      <c r="A8756" s="449">
        <v>1879</v>
      </c>
      <c r="B8756" s="450" t="s">
        <v>9578</v>
      </c>
      <c r="C8756" s="449" t="s">
        <v>679</v>
      </c>
      <c r="D8756" s="451">
        <v>2.0099999999999998</v>
      </c>
      <c r="E8756" s="210"/>
    </row>
    <row r="8757" spans="1:5" ht="25.5">
      <c r="A8757" s="449">
        <v>1877</v>
      </c>
      <c r="B8757" s="450" t="s">
        <v>9579</v>
      </c>
      <c r="C8757" s="449" t="s">
        <v>679</v>
      </c>
      <c r="D8757" s="451">
        <v>17.32</v>
      </c>
      <c r="E8757" s="210"/>
    </row>
    <row r="8758" spans="1:5" ht="25.5">
      <c r="A8758" s="449">
        <v>1878</v>
      </c>
      <c r="B8758" s="450" t="s">
        <v>9580</v>
      </c>
      <c r="C8758" s="449" t="s">
        <v>679</v>
      </c>
      <c r="D8758" s="451">
        <v>34.81</v>
      </c>
      <c r="E8758" s="210"/>
    </row>
    <row r="8759" spans="1:5" ht="38.25">
      <c r="A8759" s="449">
        <v>2621</v>
      </c>
      <c r="B8759" s="450" t="s">
        <v>9581</v>
      </c>
      <c r="C8759" s="449" t="s">
        <v>679</v>
      </c>
      <c r="D8759" s="451">
        <v>143.94</v>
      </c>
      <c r="E8759" s="210"/>
    </row>
    <row r="8760" spans="1:5" ht="38.25">
      <c r="A8760" s="449">
        <v>2616</v>
      </c>
      <c r="B8760" s="450" t="s">
        <v>9582</v>
      </c>
      <c r="C8760" s="449" t="s">
        <v>679</v>
      </c>
      <c r="D8760" s="451">
        <v>4.07</v>
      </c>
      <c r="E8760" s="210"/>
    </row>
    <row r="8761" spans="1:5" ht="38.25">
      <c r="A8761" s="449">
        <v>2633</v>
      </c>
      <c r="B8761" s="450" t="s">
        <v>9583</v>
      </c>
      <c r="C8761" s="449" t="s">
        <v>679</v>
      </c>
      <c r="D8761" s="451">
        <v>4.6100000000000003</v>
      </c>
      <c r="E8761" s="210"/>
    </row>
    <row r="8762" spans="1:5" ht="38.25">
      <c r="A8762" s="449">
        <v>2617</v>
      </c>
      <c r="B8762" s="450" t="s">
        <v>9584</v>
      </c>
      <c r="C8762" s="449" t="s">
        <v>679</v>
      </c>
      <c r="D8762" s="451">
        <v>6.26</v>
      </c>
      <c r="E8762" s="210"/>
    </row>
    <row r="8763" spans="1:5" ht="38.25">
      <c r="A8763" s="449">
        <v>2618</v>
      </c>
      <c r="B8763" s="450" t="s">
        <v>9585</v>
      </c>
      <c r="C8763" s="449" t="s">
        <v>679</v>
      </c>
      <c r="D8763" s="451">
        <v>14.26</v>
      </c>
      <c r="E8763" s="210"/>
    </row>
    <row r="8764" spans="1:5" ht="38.25">
      <c r="A8764" s="449">
        <v>2632</v>
      </c>
      <c r="B8764" s="450" t="s">
        <v>9586</v>
      </c>
      <c r="C8764" s="449" t="s">
        <v>679</v>
      </c>
      <c r="D8764" s="451">
        <v>17.39</v>
      </c>
      <c r="E8764" s="210"/>
    </row>
    <row r="8765" spans="1:5" ht="38.25">
      <c r="A8765" s="449">
        <v>2631</v>
      </c>
      <c r="B8765" s="450" t="s">
        <v>9587</v>
      </c>
      <c r="C8765" s="449" t="s">
        <v>679</v>
      </c>
      <c r="D8765" s="451">
        <v>25.53</v>
      </c>
      <c r="E8765" s="210"/>
    </row>
    <row r="8766" spans="1:5" ht="38.25">
      <c r="A8766" s="449">
        <v>2619</v>
      </c>
      <c r="B8766" s="450" t="s">
        <v>9588</v>
      </c>
      <c r="C8766" s="449" t="s">
        <v>679</v>
      </c>
      <c r="D8766" s="451">
        <v>64.64</v>
      </c>
      <c r="E8766" s="210"/>
    </row>
    <row r="8767" spans="1:5" ht="38.25">
      <c r="A8767" s="449">
        <v>2620</v>
      </c>
      <c r="B8767" s="450" t="s">
        <v>9589</v>
      </c>
      <c r="C8767" s="449" t="s">
        <v>679</v>
      </c>
      <c r="D8767" s="451">
        <v>84.87</v>
      </c>
      <c r="E8767" s="210"/>
    </row>
    <row r="8768" spans="1:5">
      <c r="A8768" s="449">
        <v>25968</v>
      </c>
      <c r="B8768" s="450" t="s">
        <v>9590</v>
      </c>
      <c r="C8768" s="449" t="s">
        <v>679</v>
      </c>
      <c r="D8768" s="451">
        <v>53.55</v>
      </c>
      <c r="E8768" s="210"/>
    </row>
    <row r="8769" spans="1:5" ht="38.25">
      <c r="A8769" s="449">
        <v>38369</v>
      </c>
      <c r="B8769" s="450" t="s">
        <v>9591</v>
      </c>
      <c r="C8769" s="449" t="s">
        <v>679</v>
      </c>
      <c r="D8769" s="451">
        <v>17.559999999999999</v>
      </c>
      <c r="E8769" s="210"/>
    </row>
    <row r="8770" spans="1:5" ht="25.5">
      <c r="A8770" s="449">
        <v>38370</v>
      </c>
      <c r="B8770" s="450" t="s">
        <v>9592</v>
      </c>
      <c r="C8770" s="449" t="s">
        <v>679</v>
      </c>
      <c r="D8770" s="451">
        <v>17.559999999999999</v>
      </c>
      <c r="E8770" s="210"/>
    </row>
    <row r="8771" spans="1:5">
      <c r="A8771" s="449">
        <v>38372</v>
      </c>
      <c r="B8771" s="450" t="s">
        <v>9593</v>
      </c>
      <c r="C8771" s="449" t="s">
        <v>679</v>
      </c>
      <c r="D8771" s="451">
        <v>20.34</v>
      </c>
      <c r="E8771" s="210"/>
    </row>
    <row r="8772" spans="1:5">
      <c r="A8772" s="449">
        <v>2357</v>
      </c>
      <c r="B8772" s="450" t="s">
        <v>9594</v>
      </c>
      <c r="C8772" s="449" t="s">
        <v>682</v>
      </c>
      <c r="D8772" s="451">
        <v>16.03</v>
      </c>
      <c r="E8772" s="210"/>
    </row>
    <row r="8773" spans="1:5">
      <c r="A8773" s="449">
        <v>40806</v>
      </c>
      <c r="B8773" s="450" t="s">
        <v>9595</v>
      </c>
      <c r="C8773" s="449" t="s">
        <v>797</v>
      </c>
      <c r="D8773" s="451">
        <v>2841.35</v>
      </c>
      <c r="E8773" s="210"/>
    </row>
    <row r="8774" spans="1:5">
      <c r="A8774" s="449">
        <v>2355</v>
      </c>
      <c r="B8774" s="450" t="s">
        <v>9596</v>
      </c>
      <c r="C8774" s="449" t="s">
        <v>682</v>
      </c>
      <c r="D8774" s="451">
        <v>21.26</v>
      </c>
      <c r="E8774" s="210"/>
    </row>
    <row r="8775" spans="1:5">
      <c r="A8775" s="449">
        <v>40805</v>
      </c>
      <c r="B8775" s="450" t="s">
        <v>9597</v>
      </c>
      <c r="C8775" s="449" t="s">
        <v>797</v>
      </c>
      <c r="D8775" s="451">
        <v>3766.89</v>
      </c>
      <c r="E8775" s="210"/>
    </row>
    <row r="8776" spans="1:5">
      <c r="A8776" s="449">
        <v>2358</v>
      </c>
      <c r="B8776" s="450" t="s">
        <v>9598</v>
      </c>
      <c r="C8776" s="449" t="s">
        <v>682</v>
      </c>
      <c r="D8776" s="451">
        <v>16.989999999999998</v>
      </c>
      <c r="E8776" s="210"/>
    </row>
    <row r="8777" spans="1:5">
      <c r="A8777" s="449">
        <v>40807</v>
      </c>
      <c r="B8777" s="450" t="s">
        <v>9599</v>
      </c>
      <c r="C8777" s="449" t="s">
        <v>797</v>
      </c>
      <c r="D8777" s="451">
        <v>3010.99</v>
      </c>
      <c r="E8777" s="210"/>
    </row>
    <row r="8778" spans="1:5">
      <c r="A8778" s="449">
        <v>2359</v>
      </c>
      <c r="B8778" s="450" t="s">
        <v>9600</v>
      </c>
      <c r="C8778" s="449" t="s">
        <v>682</v>
      </c>
      <c r="D8778" s="451">
        <v>16.97</v>
      </c>
      <c r="E8778" s="210"/>
    </row>
    <row r="8779" spans="1:5">
      <c r="A8779" s="449">
        <v>40808</v>
      </c>
      <c r="B8779" s="450" t="s">
        <v>9601</v>
      </c>
      <c r="C8779" s="449" t="s">
        <v>797</v>
      </c>
      <c r="D8779" s="451">
        <v>3010.14</v>
      </c>
      <c r="E8779" s="210"/>
    </row>
    <row r="8780" spans="1:5">
      <c r="A8780" s="449">
        <v>43144</v>
      </c>
      <c r="B8780" s="450" t="s">
        <v>9602</v>
      </c>
      <c r="C8780" s="449" t="s">
        <v>676</v>
      </c>
      <c r="D8780" s="451">
        <v>28.37</v>
      </c>
      <c r="E8780" s="210"/>
    </row>
    <row r="8781" spans="1:5" ht="25.5">
      <c r="A8781" s="449">
        <v>39397</v>
      </c>
      <c r="B8781" s="450" t="s">
        <v>9603</v>
      </c>
      <c r="C8781" s="449" t="s">
        <v>678</v>
      </c>
      <c r="D8781" s="451">
        <v>12.93</v>
      </c>
      <c r="E8781" s="210"/>
    </row>
    <row r="8782" spans="1:5" ht="38.25">
      <c r="A8782" s="449">
        <v>2692</v>
      </c>
      <c r="B8782" s="450" t="s">
        <v>9604</v>
      </c>
      <c r="C8782" s="449" t="s">
        <v>678</v>
      </c>
      <c r="D8782" s="451">
        <v>5.22</v>
      </c>
      <c r="E8782" s="210"/>
    </row>
    <row r="8783" spans="1:5">
      <c r="A8783" s="449">
        <v>5330</v>
      </c>
      <c r="B8783" s="450" t="s">
        <v>9605</v>
      </c>
      <c r="C8783" s="449" t="s">
        <v>678</v>
      </c>
      <c r="D8783" s="451">
        <v>37.97</v>
      </c>
      <c r="E8783" s="210"/>
    </row>
    <row r="8784" spans="1:5" ht="25.5">
      <c r="A8784" s="449">
        <v>26017</v>
      </c>
      <c r="B8784" s="450" t="s">
        <v>9606</v>
      </c>
      <c r="C8784" s="449" t="s">
        <v>679</v>
      </c>
      <c r="D8784" s="451">
        <v>37.17</v>
      </c>
      <c r="E8784" s="210"/>
    </row>
    <row r="8785" spans="1:5" ht="25.5">
      <c r="A8785" s="449">
        <v>25931</v>
      </c>
      <c r="B8785" s="450" t="s">
        <v>9607</v>
      </c>
      <c r="C8785" s="449" t="s">
        <v>679</v>
      </c>
      <c r="D8785" s="451">
        <v>118.14</v>
      </c>
      <c r="E8785" s="210"/>
    </row>
    <row r="8786" spans="1:5" ht="38.25">
      <c r="A8786" s="449">
        <v>38140</v>
      </c>
      <c r="B8786" s="450" t="s">
        <v>9608</v>
      </c>
      <c r="C8786" s="449" t="s">
        <v>679</v>
      </c>
      <c r="D8786" s="451">
        <v>28.65</v>
      </c>
      <c r="E8786" s="210"/>
    </row>
    <row r="8787" spans="1:5" ht="38.25">
      <c r="A8787" s="449">
        <v>13887</v>
      </c>
      <c r="B8787" s="450" t="s">
        <v>9609</v>
      </c>
      <c r="C8787" s="449" t="s">
        <v>679</v>
      </c>
      <c r="D8787" s="451">
        <v>678.31</v>
      </c>
      <c r="E8787" s="210"/>
    </row>
    <row r="8788" spans="1:5" ht="25.5">
      <c r="A8788" s="449">
        <v>26018</v>
      </c>
      <c r="B8788" s="450" t="s">
        <v>9610</v>
      </c>
      <c r="C8788" s="449" t="s">
        <v>679</v>
      </c>
      <c r="D8788" s="451">
        <v>30.19</v>
      </c>
      <c r="E8788" s="210"/>
    </row>
    <row r="8789" spans="1:5" ht="38.25">
      <c r="A8789" s="449">
        <v>26019</v>
      </c>
      <c r="B8789" s="450" t="s">
        <v>9611</v>
      </c>
      <c r="C8789" s="449" t="s">
        <v>679</v>
      </c>
      <c r="D8789" s="451">
        <v>28.51</v>
      </c>
      <c r="E8789" s="210"/>
    </row>
    <row r="8790" spans="1:5" ht="25.5">
      <c r="A8790" s="449">
        <v>26020</v>
      </c>
      <c r="B8790" s="450" t="s">
        <v>9612</v>
      </c>
      <c r="C8790" s="449" t="s">
        <v>679</v>
      </c>
      <c r="D8790" s="451">
        <v>7.43</v>
      </c>
      <c r="E8790" s="210"/>
    </row>
    <row r="8791" spans="1:5" ht="25.5">
      <c r="A8791" s="449">
        <v>34544</v>
      </c>
      <c r="B8791" s="450" t="s">
        <v>9613</v>
      </c>
      <c r="C8791" s="449" t="s">
        <v>679</v>
      </c>
      <c r="D8791" s="451">
        <v>1559.13</v>
      </c>
      <c r="E8791" s="210"/>
    </row>
    <row r="8792" spans="1:5" ht="38.25">
      <c r="A8792" s="449">
        <v>34729</v>
      </c>
      <c r="B8792" s="450" t="s">
        <v>9614</v>
      </c>
      <c r="C8792" s="449" t="s">
        <v>679</v>
      </c>
      <c r="D8792" s="451">
        <v>1226.49</v>
      </c>
      <c r="E8792" s="210"/>
    </row>
    <row r="8793" spans="1:5" ht="38.25">
      <c r="A8793" s="449">
        <v>34734</v>
      </c>
      <c r="B8793" s="450" t="s">
        <v>9615</v>
      </c>
      <c r="C8793" s="449" t="s">
        <v>679</v>
      </c>
      <c r="D8793" s="451">
        <v>1899</v>
      </c>
      <c r="E8793" s="210"/>
    </row>
    <row r="8794" spans="1:5" ht="38.25">
      <c r="A8794" s="449">
        <v>34738</v>
      </c>
      <c r="B8794" s="450" t="s">
        <v>9616</v>
      </c>
      <c r="C8794" s="449" t="s">
        <v>679</v>
      </c>
      <c r="D8794" s="451">
        <v>4436.67</v>
      </c>
      <c r="E8794" s="210"/>
    </row>
    <row r="8795" spans="1:5">
      <c r="A8795" s="449">
        <v>2391</v>
      </c>
      <c r="B8795" s="450" t="s">
        <v>9617</v>
      </c>
      <c r="C8795" s="449" t="s">
        <v>679</v>
      </c>
      <c r="D8795" s="451">
        <v>360.85</v>
      </c>
      <c r="E8795" s="210"/>
    </row>
    <row r="8796" spans="1:5" ht="25.5">
      <c r="A8796" s="449">
        <v>2374</v>
      </c>
      <c r="B8796" s="450" t="s">
        <v>9618</v>
      </c>
      <c r="C8796" s="449" t="s">
        <v>679</v>
      </c>
      <c r="D8796" s="451">
        <v>409.37</v>
      </c>
      <c r="E8796" s="210"/>
    </row>
    <row r="8797" spans="1:5" ht="25.5">
      <c r="A8797" s="449">
        <v>2377</v>
      </c>
      <c r="B8797" s="450" t="s">
        <v>9619</v>
      </c>
      <c r="C8797" s="449" t="s">
        <v>679</v>
      </c>
      <c r="D8797" s="451">
        <v>574.51</v>
      </c>
      <c r="E8797" s="210"/>
    </row>
    <row r="8798" spans="1:5" ht="25.5">
      <c r="A8798" s="449">
        <v>2393</v>
      </c>
      <c r="B8798" s="450" t="s">
        <v>9620</v>
      </c>
      <c r="C8798" s="449" t="s">
        <v>679</v>
      </c>
      <c r="D8798" s="451">
        <v>962.09</v>
      </c>
      <c r="E8798" s="210"/>
    </row>
    <row r="8799" spans="1:5" ht="25.5">
      <c r="A8799" s="449">
        <v>34705</v>
      </c>
      <c r="B8799" s="450" t="s">
        <v>9621</v>
      </c>
      <c r="C8799" s="449" t="s">
        <v>679</v>
      </c>
      <c r="D8799" s="451">
        <v>841.49</v>
      </c>
      <c r="E8799" s="210"/>
    </row>
    <row r="8800" spans="1:5" ht="25.5">
      <c r="A8800" s="449">
        <v>34707</v>
      </c>
      <c r="B8800" s="450" t="s">
        <v>9622</v>
      </c>
      <c r="C8800" s="449" t="s">
        <v>679</v>
      </c>
      <c r="D8800" s="451">
        <v>1559.29</v>
      </c>
      <c r="E8800" s="210"/>
    </row>
    <row r="8801" spans="1:5" ht="25.5">
      <c r="A8801" s="449">
        <v>2378</v>
      </c>
      <c r="B8801" s="450" t="s">
        <v>9623</v>
      </c>
      <c r="C8801" s="449" t="s">
        <v>679</v>
      </c>
      <c r="D8801" s="451">
        <v>1321.56</v>
      </c>
      <c r="E8801" s="210"/>
    </row>
    <row r="8802" spans="1:5" ht="25.5">
      <c r="A8802" s="449">
        <v>2379</v>
      </c>
      <c r="B8802" s="450" t="s">
        <v>9624</v>
      </c>
      <c r="C8802" s="449" t="s">
        <v>679</v>
      </c>
      <c r="D8802" s="451">
        <v>1321.56</v>
      </c>
      <c r="E8802" s="210"/>
    </row>
    <row r="8803" spans="1:5" ht="25.5">
      <c r="A8803" s="449">
        <v>2376</v>
      </c>
      <c r="B8803" s="450" t="s">
        <v>9625</v>
      </c>
      <c r="C8803" s="449" t="s">
        <v>679</v>
      </c>
      <c r="D8803" s="451">
        <v>2176.6</v>
      </c>
      <c r="E8803" s="210"/>
    </row>
    <row r="8804" spans="1:5" ht="25.5">
      <c r="A8804" s="449">
        <v>2394</v>
      </c>
      <c r="B8804" s="450" t="s">
        <v>9626</v>
      </c>
      <c r="C8804" s="449" t="s">
        <v>679</v>
      </c>
      <c r="D8804" s="451">
        <v>4653.17</v>
      </c>
      <c r="E8804" s="210"/>
    </row>
    <row r="8805" spans="1:5" ht="25.5">
      <c r="A8805" s="449">
        <v>34686</v>
      </c>
      <c r="B8805" s="450" t="s">
        <v>9627</v>
      </c>
      <c r="C8805" s="449" t="s">
        <v>679</v>
      </c>
      <c r="D8805" s="451">
        <v>13.97</v>
      </c>
      <c r="E8805" s="210"/>
    </row>
    <row r="8806" spans="1:5">
      <c r="A8806" s="449">
        <v>34616</v>
      </c>
      <c r="B8806" s="450" t="s">
        <v>9628</v>
      </c>
      <c r="C8806" s="449" t="s">
        <v>679</v>
      </c>
      <c r="D8806" s="451">
        <v>53.99</v>
      </c>
      <c r="E8806" s="210"/>
    </row>
    <row r="8807" spans="1:5">
      <c r="A8807" s="449">
        <v>34623</v>
      </c>
      <c r="B8807" s="450" t="s">
        <v>9629</v>
      </c>
      <c r="C8807" s="449" t="s">
        <v>679</v>
      </c>
      <c r="D8807" s="451">
        <v>53.16</v>
      </c>
      <c r="E8807" s="210"/>
    </row>
    <row r="8808" spans="1:5">
      <c r="A8808" s="449">
        <v>34628</v>
      </c>
      <c r="B8808" s="450" t="s">
        <v>9630</v>
      </c>
      <c r="C8808" s="449" t="s">
        <v>679</v>
      </c>
      <c r="D8808" s="451">
        <v>76.150000000000006</v>
      </c>
      <c r="E8808" s="210"/>
    </row>
    <row r="8809" spans="1:5" ht="25.5">
      <c r="A8809" s="449">
        <v>34653</v>
      </c>
      <c r="B8809" s="450" t="s">
        <v>9631</v>
      </c>
      <c r="C8809" s="449" t="s">
        <v>679</v>
      </c>
      <c r="D8809" s="451">
        <v>9.42</v>
      </c>
      <c r="E8809" s="210"/>
    </row>
    <row r="8810" spans="1:5">
      <c r="A8810" s="449">
        <v>34688</v>
      </c>
      <c r="B8810" s="450" t="s">
        <v>9632</v>
      </c>
      <c r="C8810" s="449" t="s">
        <v>679</v>
      </c>
      <c r="D8810" s="451">
        <v>17.07</v>
      </c>
      <c r="E8810" s="210"/>
    </row>
    <row r="8811" spans="1:5" ht="25.5">
      <c r="A8811" s="449">
        <v>34709</v>
      </c>
      <c r="B8811" s="450" t="s">
        <v>9633</v>
      </c>
      <c r="C8811" s="449" t="s">
        <v>679</v>
      </c>
      <c r="D8811" s="451">
        <v>66.150000000000006</v>
      </c>
      <c r="E8811" s="210"/>
    </row>
    <row r="8812" spans="1:5">
      <c r="A8812" s="449">
        <v>34714</v>
      </c>
      <c r="B8812" s="450" t="s">
        <v>9634</v>
      </c>
      <c r="C8812" s="449" t="s">
        <v>679</v>
      </c>
      <c r="D8812" s="451">
        <v>79.010000000000005</v>
      </c>
      <c r="E8812" s="210"/>
    </row>
    <row r="8813" spans="1:5" ht="25.5">
      <c r="A8813" s="449">
        <v>2388</v>
      </c>
      <c r="B8813" s="450" t="s">
        <v>9635</v>
      </c>
      <c r="C8813" s="449" t="s">
        <v>679</v>
      </c>
      <c r="D8813" s="451">
        <v>65.66</v>
      </c>
      <c r="E8813" s="210"/>
    </row>
    <row r="8814" spans="1:5" ht="25.5">
      <c r="A8814" s="449">
        <v>34606</v>
      </c>
      <c r="B8814" s="450" t="s">
        <v>9636</v>
      </c>
      <c r="C8814" s="449" t="s">
        <v>679</v>
      </c>
      <c r="D8814" s="451">
        <v>100.71</v>
      </c>
      <c r="E8814" s="210"/>
    </row>
    <row r="8815" spans="1:5" ht="25.5">
      <c r="A8815" s="449">
        <v>34689</v>
      </c>
      <c r="B8815" s="450" t="s">
        <v>9637</v>
      </c>
      <c r="C8815" s="449" t="s">
        <v>679</v>
      </c>
      <c r="D8815" s="451">
        <v>32.06</v>
      </c>
      <c r="E8815" s="210"/>
    </row>
    <row r="8816" spans="1:5" ht="25.5">
      <c r="A8816" s="449">
        <v>2370</v>
      </c>
      <c r="B8816" s="450" t="s">
        <v>9638</v>
      </c>
      <c r="C8816" s="449" t="s">
        <v>679</v>
      </c>
      <c r="D8816" s="451">
        <v>12.2</v>
      </c>
      <c r="E8816" s="210"/>
    </row>
    <row r="8817" spans="1:5" ht="25.5">
      <c r="A8817" s="449">
        <v>2386</v>
      </c>
      <c r="B8817" s="450" t="s">
        <v>9639</v>
      </c>
      <c r="C8817" s="449" t="s">
        <v>679</v>
      </c>
      <c r="D8817" s="451">
        <v>20.46</v>
      </c>
      <c r="E8817" s="210"/>
    </row>
    <row r="8818" spans="1:5" ht="25.5">
      <c r="A8818" s="449">
        <v>2392</v>
      </c>
      <c r="B8818" s="450" t="s">
        <v>9640</v>
      </c>
      <c r="C8818" s="449" t="s">
        <v>679</v>
      </c>
      <c r="D8818" s="451">
        <v>81.89</v>
      </c>
      <c r="E8818" s="210"/>
    </row>
    <row r="8819" spans="1:5" ht="25.5">
      <c r="A8819" s="449">
        <v>2373</v>
      </c>
      <c r="B8819" s="450" t="s">
        <v>9641</v>
      </c>
      <c r="C8819" s="449" t="s">
        <v>679</v>
      </c>
      <c r="D8819" s="451">
        <v>115.38</v>
      </c>
      <c r="E8819" s="210"/>
    </row>
    <row r="8820" spans="1:5" ht="38.25">
      <c r="A8820" s="449">
        <v>39465</v>
      </c>
      <c r="B8820" s="450" t="s">
        <v>9642</v>
      </c>
      <c r="C8820" s="449" t="s">
        <v>679</v>
      </c>
      <c r="D8820" s="451">
        <v>70.48</v>
      </c>
      <c r="E8820" s="210"/>
    </row>
    <row r="8821" spans="1:5" ht="38.25">
      <c r="A8821" s="449">
        <v>39466</v>
      </c>
      <c r="B8821" s="450" t="s">
        <v>9643</v>
      </c>
      <c r="C8821" s="449" t="s">
        <v>679</v>
      </c>
      <c r="D8821" s="451">
        <v>79.3</v>
      </c>
      <c r="E8821" s="210"/>
    </row>
    <row r="8822" spans="1:5" ht="38.25">
      <c r="A8822" s="449">
        <v>39467</v>
      </c>
      <c r="B8822" s="450" t="s">
        <v>9644</v>
      </c>
      <c r="C8822" s="449" t="s">
        <v>679</v>
      </c>
      <c r="D8822" s="451">
        <v>101.43</v>
      </c>
      <c r="E8822" s="210"/>
    </row>
    <row r="8823" spans="1:5" ht="38.25">
      <c r="A8823" s="449">
        <v>39468</v>
      </c>
      <c r="B8823" s="450" t="s">
        <v>9645</v>
      </c>
      <c r="C8823" s="449" t="s">
        <v>679</v>
      </c>
      <c r="D8823" s="451">
        <v>180.29</v>
      </c>
      <c r="E8823" s="210"/>
    </row>
    <row r="8824" spans="1:5" ht="38.25">
      <c r="A8824" s="449">
        <v>39469</v>
      </c>
      <c r="B8824" s="450" t="s">
        <v>9646</v>
      </c>
      <c r="C8824" s="449" t="s">
        <v>679</v>
      </c>
      <c r="D8824" s="451">
        <v>73.44</v>
      </c>
      <c r="E8824" s="210"/>
    </row>
    <row r="8825" spans="1:5" ht="38.25">
      <c r="A8825" s="449">
        <v>39470</v>
      </c>
      <c r="B8825" s="450" t="s">
        <v>9647</v>
      </c>
      <c r="C8825" s="449" t="s">
        <v>679</v>
      </c>
      <c r="D8825" s="451">
        <v>90.23</v>
      </c>
      <c r="E8825" s="210"/>
    </row>
    <row r="8826" spans="1:5" ht="38.25">
      <c r="A8826" s="449">
        <v>39471</v>
      </c>
      <c r="B8826" s="450" t="s">
        <v>9648</v>
      </c>
      <c r="C8826" s="449" t="s">
        <v>679</v>
      </c>
      <c r="D8826" s="451">
        <v>108.44</v>
      </c>
      <c r="E8826" s="210"/>
    </row>
    <row r="8827" spans="1:5" ht="38.25">
      <c r="A8827" s="449">
        <v>39472</v>
      </c>
      <c r="B8827" s="450" t="s">
        <v>9649</v>
      </c>
      <c r="C8827" s="449" t="s">
        <v>679</v>
      </c>
      <c r="D8827" s="451">
        <v>188.42</v>
      </c>
      <c r="E8827" s="210"/>
    </row>
    <row r="8828" spans="1:5" ht="38.25">
      <c r="A8828" s="449">
        <v>39473</v>
      </c>
      <c r="B8828" s="450" t="s">
        <v>9650</v>
      </c>
      <c r="C8828" s="449" t="s">
        <v>679</v>
      </c>
      <c r="D8828" s="451">
        <v>121.72</v>
      </c>
      <c r="E8828" s="210"/>
    </row>
    <row r="8829" spans="1:5" ht="38.25">
      <c r="A8829" s="449">
        <v>39474</v>
      </c>
      <c r="B8829" s="450" t="s">
        <v>9651</v>
      </c>
      <c r="C8829" s="449" t="s">
        <v>679</v>
      </c>
      <c r="D8829" s="451">
        <v>129.76</v>
      </c>
      <c r="E8829" s="210"/>
    </row>
    <row r="8830" spans="1:5" ht="38.25">
      <c r="A8830" s="449">
        <v>39475</v>
      </c>
      <c r="B8830" s="450" t="s">
        <v>9652</v>
      </c>
      <c r="C8830" s="449" t="s">
        <v>679</v>
      </c>
      <c r="D8830" s="451">
        <v>147.22</v>
      </c>
      <c r="E8830" s="210"/>
    </row>
    <row r="8831" spans="1:5" ht="38.25">
      <c r="A8831" s="449">
        <v>39476</v>
      </c>
      <c r="B8831" s="450" t="s">
        <v>9653</v>
      </c>
      <c r="C8831" s="449" t="s">
        <v>679</v>
      </c>
      <c r="D8831" s="451">
        <v>277.14</v>
      </c>
      <c r="E8831" s="210"/>
    </row>
    <row r="8832" spans="1:5" ht="38.25">
      <c r="A8832" s="449">
        <v>39477</v>
      </c>
      <c r="B8832" s="450" t="s">
        <v>9654</v>
      </c>
      <c r="C8832" s="449" t="s">
        <v>679</v>
      </c>
      <c r="D8832" s="451">
        <v>135.79</v>
      </c>
      <c r="E8832" s="210"/>
    </row>
    <row r="8833" spans="1:5" ht="38.25">
      <c r="A8833" s="449">
        <v>39478</v>
      </c>
      <c r="B8833" s="450" t="s">
        <v>9655</v>
      </c>
      <c r="C8833" s="449" t="s">
        <v>679</v>
      </c>
      <c r="D8833" s="451">
        <v>139.99</v>
      </c>
      <c r="E8833" s="210"/>
    </row>
    <row r="8834" spans="1:5" ht="38.25">
      <c r="A8834" s="449">
        <v>39479</v>
      </c>
      <c r="B8834" s="450" t="s">
        <v>9656</v>
      </c>
      <c r="C8834" s="449" t="s">
        <v>679</v>
      </c>
      <c r="D8834" s="451">
        <v>164.94</v>
      </c>
      <c r="E8834" s="210"/>
    </row>
    <row r="8835" spans="1:5" ht="38.25">
      <c r="A8835" s="449">
        <v>39480</v>
      </c>
      <c r="B8835" s="450" t="s">
        <v>9657</v>
      </c>
      <c r="C8835" s="449" t="s">
        <v>679</v>
      </c>
      <c r="D8835" s="451">
        <v>340.35</v>
      </c>
      <c r="E8835" s="210"/>
    </row>
    <row r="8836" spans="1:5" ht="25.5">
      <c r="A8836" s="449">
        <v>39459</v>
      </c>
      <c r="B8836" s="450" t="s">
        <v>9658</v>
      </c>
      <c r="C8836" s="449" t="s">
        <v>679</v>
      </c>
      <c r="D8836" s="451">
        <v>288.87</v>
      </c>
      <c r="E8836" s="210"/>
    </row>
    <row r="8837" spans="1:5" ht="25.5">
      <c r="A8837" s="449">
        <v>39445</v>
      </c>
      <c r="B8837" s="450" t="s">
        <v>9659</v>
      </c>
      <c r="C8837" s="449" t="s">
        <v>679</v>
      </c>
      <c r="D8837" s="451">
        <v>145.04</v>
      </c>
      <c r="E8837" s="210"/>
    </row>
    <row r="8838" spans="1:5" ht="25.5">
      <c r="A8838" s="449">
        <v>39446</v>
      </c>
      <c r="B8838" s="450" t="s">
        <v>9660</v>
      </c>
      <c r="C8838" s="449" t="s">
        <v>679</v>
      </c>
      <c r="D8838" s="451">
        <v>147.62</v>
      </c>
      <c r="E8838" s="210"/>
    </row>
    <row r="8839" spans="1:5" ht="25.5">
      <c r="A8839" s="449">
        <v>39447</v>
      </c>
      <c r="B8839" s="450" t="s">
        <v>9661</v>
      </c>
      <c r="C8839" s="449" t="s">
        <v>679</v>
      </c>
      <c r="D8839" s="451">
        <v>157.86000000000001</v>
      </c>
      <c r="E8839" s="210"/>
    </row>
    <row r="8840" spans="1:5" ht="25.5">
      <c r="A8840" s="449">
        <v>39448</v>
      </c>
      <c r="B8840" s="450" t="s">
        <v>9662</v>
      </c>
      <c r="C8840" s="449" t="s">
        <v>679</v>
      </c>
      <c r="D8840" s="451">
        <v>269.19</v>
      </c>
      <c r="E8840" s="210"/>
    </row>
    <row r="8841" spans="1:5" ht="25.5">
      <c r="A8841" s="449">
        <v>39450</v>
      </c>
      <c r="B8841" s="450" t="s">
        <v>9663</v>
      </c>
      <c r="C8841" s="449" t="s">
        <v>679</v>
      </c>
      <c r="D8841" s="451">
        <v>164.23</v>
      </c>
      <c r="E8841" s="210"/>
    </row>
    <row r="8842" spans="1:5" ht="25.5">
      <c r="A8842" s="449">
        <v>39451</v>
      </c>
      <c r="B8842" s="450" t="s">
        <v>9664</v>
      </c>
      <c r="C8842" s="449" t="s">
        <v>679</v>
      </c>
      <c r="D8842" s="451">
        <v>179.13</v>
      </c>
      <c r="E8842" s="210"/>
    </row>
    <row r="8843" spans="1:5" ht="25.5">
      <c r="A8843" s="449">
        <v>39452</v>
      </c>
      <c r="B8843" s="450" t="s">
        <v>9665</v>
      </c>
      <c r="C8843" s="449" t="s">
        <v>679</v>
      </c>
      <c r="D8843" s="451">
        <v>180.2</v>
      </c>
      <c r="E8843" s="210"/>
    </row>
    <row r="8844" spans="1:5" ht="25.5">
      <c r="A8844" s="449">
        <v>39523</v>
      </c>
      <c r="B8844" s="450" t="s">
        <v>9666</v>
      </c>
      <c r="C8844" s="449" t="s">
        <v>679</v>
      </c>
      <c r="D8844" s="451">
        <v>301.57</v>
      </c>
      <c r="E8844" s="210"/>
    </row>
    <row r="8845" spans="1:5" ht="25.5">
      <c r="A8845" s="449">
        <v>39449</v>
      </c>
      <c r="B8845" s="450" t="s">
        <v>9667</v>
      </c>
      <c r="C8845" s="449" t="s">
        <v>679</v>
      </c>
      <c r="D8845" s="451">
        <v>333.96</v>
      </c>
      <c r="E8845" s="210"/>
    </row>
    <row r="8846" spans="1:5" ht="25.5">
      <c r="A8846" s="449">
        <v>39455</v>
      </c>
      <c r="B8846" s="450" t="s">
        <v>9668</v>
      </c>
      <c r="C8846" s="449" t="s">
        <v>679</v>
      </c>
      <c r="D8846" s="451">
        <v>165.25</v>
      </c>
      <c r="E8846" s="210"/>
    </row>
    <row r="8847" spans="1:5" ht="25.5">
      <c r="A8847" s="449">
        <v>39456</v>
      </c>
      <c r="B8847" s="450" t="s">
        <v>9669</v>
      </c>
      <c r="C8847" s="449" t="s">
        <v>679</v>
      </c>
      <c r="D8847" s="451">
        <v>165.37</v>
      </c>
      <c r="E8847" s="210"/>
    </row>
    <row r="8848" spans="1:5" ht="25.5">
      <c r="A8848" s="449">
        <v>39457</v>
      </c>
      <c r="B8848" s="450" t="s">
        <v>9670</v>
      </c>
      <c r="C8848" s="449" t="s">
        <v>679</v>
      </c>
      <c r="D8848" s="451">
        <v>180.28</v>
      </c>
      <c r="E8848" s="210"/>
    </row>
    <row r="8849" spans="1:5" ht="25.5">
      <c r="A8849" s="449">
        <v>39458</v>
      </c>
      <c r="B8849" s="450" t="s">
        <v>9671</v>
      </c>
      <c r="C8849" s="449" t="s">
        <v>679</v>
      </c>
      <c r="D8849" s="451">
        <v>336.42</v>
      </c>
      <c r="E8849" s="210"/>
    </row>
    <row r="8850" spans="1:5" ht="25.5">
      <c r="A8850" s="449">
        <v>39464</v>
      </c>
      <c r="B8850" s="450" t="s">
        <v>9672</v>
      </c>
      <c r="C8850" s="449" t="s">
        <v>679</v>
      </c>
      <c r="D8850" s="451">
        <v>541</v>
      </c>
      <c r="E8850" s="210"/>
    </row>
    <row r="8851" spans="1:5" ht="25.5">
      <c r="A8851" s="449">
        <v>39460</v>
      </c>
      <c r="B8851" s="450" t="s">
        <v>9673</v>
      </c>
      <c r="C8851" s="449" t="s">
        <v>679</v>
      </c>
      <c r="D8851" s="451">
        <v>205.19</v>
      </c>
      <c r="E8851" s="210"/>
    </row>
    <row r="8852" spans="1:5" ht="25.5">
      <c r="A8852" s="449">
        <v>39461</v>
      </c>
      <c r="B8852" s="450" t="s">
        <v>9674</v>
      </c>
      <c r="C8852" s="449" t="s">
        <v>679</v>
      </c>
      <c r="D8852" s="451">
        <v>240.43</v>
      </c>
      <c r="E8852" s="210"/>
    </row>
    <row r="8853" spans="1:5" ht="25.5">
      <c r="A8853" s="449">
        <v>39462</v>
      </c>
      <c r="B8853" s="450" t="s">
        <v>9675</v>
      </c>
      <c r="C8853" s="449" t="s">
        <v>679</v>
      </c>
      <c r="D8853" s="451">
        <v>231.71</v>
      </c>
      <c r="E8853" s="210"/>
    </row>
    <row r="8854" spans="1:5" ht="25.5">
      <c r="A8854" s="449">
        <v>39463</v>
      </c>
      <c r="B8854" s="450" t="s">
        <v>9676</v>
      </c>
      <c r="C8854" s="449" t="s">
        <v>679</v>
      </c>
      <c r="D8854" s="451">
        <v>536.79999999999995</v>
      </c>
      <c r="E8854" s="210"/>
    </row>
    <row r="8855" spans="1:5" ht="25.5">
      <c r="A8855" s="449">
        <v>26039</v>
      </c>
      <c r="B8855" s="450" t="s">
        <v>9677</v>
      </c>
      <c r="C8855" s="449" t="s">
        <v>679</v>
      </c>
      <c r="D8855" s="451">
        <v>351784.9</v>
      </c>
      <c r="E8855" s="210"/>
    </row>
    <row r="8856" spans="1:5" ht="38.25">
      <c r="A8856" s="449">
        <v>2401</v>
      </c>
      <c r="B8856" s="450" t="s">
        <v>9678</v>
      </c>
      <c r="C8856" s="449" t="s">
        <v>679</v>
      </c>
      <c r="D8856" s="451">
        <v>80914.42</v>
      </c>
      <c r="E8856" s="210"/>
    </row>
    <row r="8857" spans="1:5" ht="38.25">
      <c r="A8857" s="449">
        <v>38870</v>
      </c>
      <c r="B8857" s="450" t="s">
        <v>9679</v>
      </c>
      <c r="C8857" s="449" t="s">
        <v>679</v>
      </c>
      <c r="D8857" s="451">
        <v>56.44</v>
      </c>
      <c r="E8857" s="210"/>
    </row>
    <row r="8858" spans="1:5" ht="38.25">
      <c r="A8858" s="449">
        <v>38869</v>
      </c>
      <c r="B8858" s="450" t="s">
        <v>9680</v>
      </c>
      <c r="C8858" s="449" t="s">
        <v>679</v>
      </c>
      <c r="D8858" s="451">
        <v>49.78</v>
      </c>
      <c r="E8858" s="210"/>
    </row>
    <row r="8859" spans="1:5" ht="38.25">
      <c r="A8859" s="449">
        <v>38872</v>
      </c>
      <c r="B8859" s="450" t="s">
        <v>9681</v>
      </c>
      <c r="C8859" s="449" t="s">
        <v>679</v>
      </c>
      <c r="D8859" s="451">
        <v>77.09</v>
      </c>
      <c r="E8859" s="210"/>
    </row>
    <row r="8860" spans="1:5" ht="38.25">
      <c r="A8860" s="449">
        <v>38871</v>
      </c>
      <c r="B8860" s="450" t="s">
        <v>9682</v>
      </c>
      <c r="C8860" s="449" t="s">
        <v>679</v>
      </c>
      <c r="D8860" s="451">
        <v>62.01</v>
      </c>
      <c r="E8860" s="210"/>
    </row>
    <row r="8861" spans="1:5" ht="38.25">
      <c r="A8861" s="449">
        <v>39283</v>
      </c>
      <c r="B8861" s="450" t="s">
        <v>9683</v>
      </c>
      <c r="C8861" s="449" t="s">
        <v>679</v>
      </c>
      <c r="D8861" s="451">
        <v>193.14</v>
      </c>
      <c r="E8861" s="210"/>
    </row>
    <row r="8862" spans="1:5" ht="38.25">
      <c r="A8862" s="449">
        <v>39284</v>
      </c>
      <c r="B8862" s="450" t="s">
        <v>9684</v>
      </c>
      <c r="C8862" s="449" t="s">
        <v>679</v>
      </c>
      <c r="D8862" s="451">
        <v>209.3</v>
      </c>
      <c r="E8862" s="210"/>
    </row>
    <row r="8863" spans="1:5" ht="38.25">
      <c r="A8863" s="449">
        <v>39285</v>
      </c>
      <c r="B8863" s="450" t="s">
        <v>9685</v>
      </c>
      <c r="C8863" s="449" t="s">
        <v>679</v>
      </c>
      <c r="D8863" s="451">
        <v>212.32</v>
      </c>
      <c r="E8863" s="210"/>
    </row>
    <row r="8864" spans="1:5" ht="38.25">
      <c r="A8864" s="449">
        <v>39286</v>
      </c>
      <c r="B8864" s="450" t="s">
        <v>9686</v>
      </c>
      <c r="C8864" s="449" t="s">
        <v>679</v>
      </c>
      <c r="D8864" s="451">
        <v>207.7</v>
      </c>
      <c r="E8864" s="210"/>
    </row>
    <row r="8865" spans="1:5" ht="38.25">
      <c r="A8865" s="449">
        <v>39287</v>
      </c>
      <c r="B8865" s="450" t="s">
        <v>9687</v>
      </c>
      <c r="C8865" s="449" t="s">
        <v>679</v>
      </c>
      <c r="D8865" s="451">
        <v>243.88</v>
      </c>
      <c r="E8865" s="210"/>
    </row>
    <row r="8866" spans="1:5" ht="38.25">
      <c r="A8866" s="449">
        <v>39288</v>
      </c>
      <c r="B8866" s="450" t="s">
        <v>9688</v>
      </c>
      <c r="C8866" s="449" t="s">
        <v>679</v>
      </c>
      <c r="D8866" s="451">
        <v>260.27</v>
      </c>
      <c r="E8866" s="210"/>
    </row>
    <row r="8867" spans="1:5" ht="51">
      <c r="A8867" s="449">
        <v>25976</v>
      </c>
      <c r="B8867" s="450" t="s">
        <v>9689</v>
      </c>
      <c r="C8867" s="449" t="s">
        <v>684</v>
      </c>
      <c r="D8867" s="451">
        <v>468.42</v>
      </c>
      <c r="E8867" s="210"/>
    </row>
    <row r="8868" spans="1:5" ht="25.5">
      <c r="A8868" s="449">
        <v>10629</v>
      </c>
      <c r="B8868" s="450" t="s">
        <v>9690</v>
      </c>
      <c r="C8868" s="449" t="s">
        <v>684</v>
      </c>
      <c r="D8868" s="451">
        <v>576.94000000000005</v>
      </c>
      <c r="E8868" s="210"/>
    </row>
    <row r="8869" spans="1:5" ht="25.5">
      <c r="A8869" s="449">
        <v>10698</v>
      </c>
      <c r="B8869" s="450" t="s">
        <v>9691</v>
      </c>
      <c r="C8869" s="449" t="s">
        <v>684</v>
      </c>
      <c r="D8869" s="451">
        <v>168.34</v>
      </c>
      <c r="E8869" s="210"/>
    </row>
    <row r="8870" spans="1:5" ht="51">
      <c r="A8870" s="449">
        <v>40521</v>
      </c>
      <c r="B8870" s="450" t="s">
        <v>9692</v>
      </c>
      <c r="C8870" s="449" t="s">
        <v>679</v>
      </c>
      <c r="D8870" s="451">
        <v>123228.63</v>
      </c>
      <c r="E8870" s="210"/>
    </row>
    <row r="8871" spans="1:5" ht="38.25">
      <c r="A8871" s="449">
        <v>2432</v>
      </c>
      <c r="B8871" s="450" t="s">
        <v>9693</v>
      </c>
      <c r="C8871" s="449" t="s">
        <v>679</v>
      </c>
      <c r="D8871" s="451">
        <v>17.89</v>
      </c>
      <c r="E8871" s="210"/>
    </row>
    <row r="8872" spans="1:5" ht="38.25">
      <c r="A8872" s="449">
        <v>2433</v>
      </c>
      <c r="B8872" s="450" t="s">
        <v>9694</v>
      </c>
      <c r="C8872" s="449" t="s">
        <v>679</v>
      </c>
      <c r="D8872" s="451">
        <v>6.06</v>
      </c>
      <c r="E8872" s="210"/>
    </row>
    <row r="8873" spans="1:5" ht="38.25">
      <c r="A8873" s="449">
        <v>2420</v>
      </c>
      <c r="B8873" s="450" t="s">
        <v>9695</v>
      </c>
      <c r="C8873" s="449" t="s">
        <v>679</v>
      </c>
      <c r="D8873" s="451">
        <v>10.41</v>
      </c>
      <c r="E8873" s="210"/>
    </row>
    <row r="8874" spans="1:5" ht="38.25">
      <c r="A8874" s="449">
        <v>11447</v>
      </c>
      <c r="B8874" s="450" t="s">
        <v>9696</v>
      </c>
      <c r="C8874" s="449" t="s">
        <v>679</v>
      </c>
      <c r="D8874" s="451">
        <v>20.57</v>
      </c>
      <c r="E8874" s="210"/>
    </row>
    <row r="8875" spans="1:5" ht="25.5">
      <c r="A8875" s="449">
        <v>11451</v>
      </c>
      <c r="B8875" s="450" t="s">
        <v>9697</v>
      </c>
      <c r="C8875" s="449" t="s">
        <v>679</v>
      </c>
      <c r="D8875" s="451">
        <v>55.15</v>
      </c>
      <c r="E8875" s="210"/>
    </row>
    <row r="8876" spans="1:5" ht="25.5">
      <c r="A8876" s="449">
        <v>11116</v>
      </c>
      <c r="B8876" s="450" t="s">
        <v>9698</v>
      </c>
      <c r="C8876" s="449" t="s">
        <v>679</v>
      </c>
      <c r="D8876" s="451">
        <v>553.38</v>
      </c>
      <c r="E8876" s="210"/>
    </row>
    <row r="8877" spans="1:5" ht="25.5">
      <c r="A8877" s="449">
        <v>38411</v>
      </c>
      <c r="B8877" s="450" t="s">
        <v>9699</v>
      </c>
      <c r="C8877" s="449" t="s">
        <v>679</v>
      </c>
      <c r="D8877" s="451">
        <v>1622.72</v>
      </c>
      <c r="E8877" s="210"/>
    </row>
    <row r="8878" spans="1:5" ht="25.5">
      <c r="A8878" s="449">
        <v>1370</v>
      </c>
      <c r="B8878" s="450" t="s">
        <v>9700</v>
      </c>
      <c r="C8878" s="449" t="s">
        <v>679</v>
      </c>
      <c r="D8878" s="451">
        <v>93.96</v>
      </c>
      <c r="E8878" s="210"/>
    </row>
    <row r="8879" spans="1:5" ht="25.5">
      <c r="A8879" s="449">
        <v>38189</v>
      </c>
      <c r="B8879" s="450" t="s">
        <v>9701</v>
      </c>
      <c r="C8879" s="449" t="s">
        <v>679</v>
      </c>
      <c r="D8879" s="451">
        <v>201.81</v>
      </c>
      <c r="E8879" s="210"/>
    </row>
    <row r="8880" spans="1:5" ht="25.5">
      <c r="A8880" s="449">
        <v>38190</v>
      </c>
      <c r="B8880" s="450" t="s">
        <v>9702</v>
      </c>
      <c r="C8880" s="449" t="s">
        <v>679</v>
      </c>
      <c r="D8880" s="451">
        <v>453.82</v>
      </c>
      <c r="E8880" s="210"/>
    </row>
    <row r="8881" spans="1:5" ht="38.25">
      <c r="A8881" s="449">
        <v>36516</v>
      </c>
      <c r="B8881" s="450" t="s">
        <v>9703</v>
      </c>
      <c r="C8881" s="449" t="s">
        <v>679</v>
      </c>
      <c r="D8881" s="451">
        <v>105763.23</v>
      </c>
      <c r="E8881" s="210"/>
    </row>
    <row r="8882" spans="1:5" ht="25.5">
      <c r="A8882" s="449">
        <v>34777</v>
      </c>
      <c r="B8882" s="450" t="s">
        <v>9704</v>
      </c>
      <c r="C8882" s="449" t="s">
        <v>679</v>
      </c>
      <c r="D8882" s="451">
        <v>3.43</v>
      </c>
      <c r="E8882" s="210"/>
    </row>
    <row r="8883" spans="1:5" ht="38.25">
      <c r="A8883" s="449">
        <v>7272</v>
      </c>
      <c r="B8883" s="450" t="s">
        <v>9705</v>
      </c>
      <c r="C8883" s="449" t="s">
        <v>679</v>
      </c>
      <c r="D8883" s="451">
        <v>2.89</v>
      </c>
      <c r="E8883" s="210"/>
    </row>
    <row r="8884" spans="1:5" ht="25.5">
      <c r="A8884" s="449">
        <v>10605</v>
      </c>
      <c r="B8884" s="450" t="s">
        <v>9706</v>
      </c>
      <c r="C8884" s="449" t="s">
        <v>679</v>
      </c>
      <c r="D8884" s="451">
        <v>3.85</v>
      </c>
      <c r="E8884" s="210"/>
    </row>
    <row r="8885" spans="1:5" ht="25.5">
      <c r="A8885" s="449">
        <v>10604</v>
      </c>
      <c r="B8885" s="450" t="s">
        <v>9707</v>
      </c>
      <c r="C8885" s="449" t="s">
        <v>679</v>
      </c>
      <c r="D8885" s="451">
        <v>8.9700000000000006</v>
      </c>
      <c r="E8885" s="210"/>
    </row>
    <row r="8886" spans="1:5" ht="25.5">
      <c r="A8886" s="449">
        <v>672</v>
      </c>
      <c r="B8886" s="450" t="s">
        <v>9708</v>
      </c>
      <c r="C8886" s="449" t="s">
        <v>679</v>
      </c>
      <c r="D8886" s="451">
        <v>12.34</v>
      </c>
      <c r="E8886" s="210"/>
    </row>
    <row r="8887" spans="1:5" ht="25.5">
      <c r="A8887" s="449">
        <v>668</v>
      </c>
      <c r="B8887" s="450" t="s">
        <v>9709</v>
      </c>
      <c r="C8887" s="449" t="s">
        <v>679</v>
      </c>
      <c r="D8887" s="451">
        <v>14.9</v>
      </c>
      <c r="E8887" s="210"/>
    </row>
    <row r="8888" spans="1:5" ht="25.5">
      <c r="A8888" s="449">
        <v>10578</v>
      </c>
      <c r="B8888" s="450" t="s">
        <v>9710</v>
      </c>
      <c r="C8888" s="449" t="s">
        <v>679</v>
      </c>
      <c r="D8888" s="451">
        <v>17.36</v>
      </c>
      <c r="E8888" s="210"/>
    </row>
    <row r="8889" spans="1:5" ht="25.5">
      <c r="A8889" s="449">
        <v>666</v>
      </c>
      <c r="B8889" s="450" t="s">
        <v>9711</v>
      </c>
      <c r="C8889" s="449" t="s">
        <v>679</v>
      </c>
      <c r="D8889" s="451">
        <v>19.3</v>
      </c>
      <c r="E8889" s="210"/>
    </row>
    <row r="8890" spans="1:5" ht="25.5">
      <c r="A8890" s="449">
        <v>665</v>
      </c>
      <c r="B8890" s="450" t="s">
        <v>9712</v>
      </c>
      <c r="C8890" s="449" t="s">
        <v>679</v>
      </c>
      <c r="D8890" s="451">
        <v>25.81</v>
      </c>
      <c r="E8890" s="210"/>
    </row>
    <row r="8891" spans="1:5" ht="25.5">
      <c r="A8891" s="449">
        <v>10577</v>
      </c>
      <c r="B8891" s="450" t="s">
        <v>9713</v>
      </c>
      <c r="C8891" s="449" t="s">
        <v>679</v>
      </c>
      <c r="D8891" s="451">
        <v>22.89</v>
      </c>
      <c r="E8891" s="210"/>
    </row>
    <row r="8892" spans="1:5" ht="25.5">
      <c r="A8892" s="449">
        <v>10583</v>
      </c>
      <c r="B8892" s="450" t="s">
        <v>9714</v>
      </c>
      <c r="C8892" s="449" t="s">
        <v>679</v>
      </c>
      <c r="D8892" s="451">
        <v>11.89</v>
      </c>
      <c r="E8892" s="210"/>
    </row>
    <row r="8893" spans="1:5" ht="25.5">
      <c r="A8893" s="449">
        <v>10579</v>
      </c>
      <c r="B8893" s="450" t="s">
        <v>9715</v>
      </c>
      <c r="C8893" s="449" t="s">
        <v>679</v>
      </c>
      <c r="D8893" s="451">
        <v>20.73</v>
      </c>
      <c r="E8893" s="210"/>
    </row>
    <row r="8894" spans="1:5" ht="25.5">
      <c r="A8894" s="449">
        <v>10582</v>
      </c>
      <c r="B8894" s="450" t="s">
        <v>9716</v>
      </c>
      <c r="C8894" s="449" t="s">
        <v>679</v>
      </c>
      <c r="D8894" s="451">
        <v>10.47</v>
      </c>
      <c r="E8894" s="210"/>
    </row>
    <row r="8895" spans="1:5">
      <c r="A8895" s="449">
        <v>2436</v>
      </c>
      <c r="B8895" s="450" t="s">
        <v>9717</v>
      </c>
      <c r="C8895" s="449" t="s">
        <v>682</v>
      </c>
      <c r="D8895" s="451">
        <v>14.12</v>
      </c>
      <c r="E8895" s="210"/>
    </row>
    <row r="8896" spans="1:5">
      <c r="A8896" s="449">
        <v>40918</v>
      </c>
      <c r="B8896" s="450" t="s">
        <v>9718</v>
      </c>
      <c r="C8896" s="449" t="s">
        <v>797</v>
      </c>
      <c r="D8896" s="451">
        <v>2502.29</v>
      </c>
      <c r="E8896" s="210"/>
    </row>
    <row r="8897" spans="1:5">
      <c r="A8897" s="449">
        <v>2439</v>
      </c>
      <c r="B8897" s="450" t="s">
        <v>9719</v>
      </c>
      <c r="C8897" s="449" t="s">
        <v>682</v>
      </c>
      <c r="D8897" s="451">
        <v>14.12</v>
      </c>
      <c r="E8897" s="210"/>
    </row>
    <row r="8898" spans="1:5" ht="25.5">
      <c r="A8898" s="449">
        <v>40923</v>
      </c>
      <c r="B8898" s="450" t="s">
        <v>9720</v>
      </c>
      <c r="C8898" s="449" t="s">
        <v>797</v>
      </c>
      <c r="D8898" s="451">
        <v>2502.29</v>
      </c>
      <c r="E8898" s="210"/>
    </row>
    <row r="8899" spans="1:5" ht="25.5">
      <c r="A8899" s="449">
        <v>10998</v>
      </c>
      <c r="B8899" s="450" t="s">
        <v>9721</v>
      </c>
      <c r="C8899" s="449" t="s">
        <v>676</v>
      </c>
      <c r="D8899" s="451">
        <v>23.06</v>
      </c>
      <c r="E8899" s="210"/>
    </row>
    <row r="8900" spans="1:5" ht="25.5">
      <c r="A8900" s="449">
        <v>11002</v>
      </c>
      <c r="B8900" s="450" t="s">
        <v>9722</v>
      </c>
      <c r="C8900" s="449" t="s">
        <v>676</v>
      </c>
      <c r="D8900" s="451">
        <v>21.12</v>
      </c>
      <c r="E8900" s="210"/>
    </row>
    <row r="8901" spans="1:5" ht="25.5">
      <c r="A8901" s="449">
        <v>10999</v>
      </c>
      <c r="B8901" s="450" t="s">
        <v>9723</v>
      </c>
      <c r="C8901" s="449" t="s">
        <v>676</v>
      </c>
      <c r="D8901" s="451">
        <v>20.29</v>
      </c>
      <c r="E8901" s="210"/>
    </row>
    <row r="8902" spans="1:5" ht="25.5">
      <c r="A8902" s="449">
        <v>10997</v>
      </c>
      <c r="B8902" s="450" t="s">
        <v>9724</v>
      </c>
      <c r="C8902" s="449" t="s">
        <v>676</v>
      </c>
      <c r="D8902" s="451">
        <v>22</v>
      </c>
      <c r="E8902" s="210"/>
    </row>
    <row r="8903" spans="1:5" ht="25.5">
      <c r="A8903" s="449">
        <v>2685</v>
      </c>
      <c r="B8903" s="450" t="s">
        <v>9725</v>
      </c>
      <c r="C8903" s="449" t="s">
        <v>683</v>
      </c>
      <c r="D8903" s="451">
        <v>5.37</v>
      </c>
      <c r="E8903" s="210"/>
    </row>
    <row r="8904" spans="1:5" ht="25.5">
      <c r="A8904" s="449">
        <v>2680</v>
      </c>
      <c r="B8904" s="450" t="s">
        <v>9726</v>
      </c>
      <c r="C8904" s="449" t="s">
        <v>683</v>
      </c>
      <c r="D8904" s="451">
        <v>7.86</v>
      </c>
      <c r="E8904" s="210"/>
    </row>
    <row r="8905" spans="1:5" ht="25.5">
      <c r="A8905" s="449">
        <v>2684</v>
      </c>
      <c r="B8905" s="450" t="s">
        <v>9727</v>
      </c>
      <c r="C8905" s="449" t="s">
        <v>683</v>
      </c>
      <c r="D8905" s="451">
        <v>7.15</v>
      </c>
      <c r="E8905" s="210"/>
    </row>
    <row r="8906" spans="1:5" ht="25.5">
      <c r="A8906" s="449">
        <v>2673</v>
      </c>
      <c r="B8906" s="450" t="s">
        <v>9728</v>
      </c>
      <c r="C8906" s="449" t="s">
        <v>683</v>
      </c>
      <c r="D8906" s="451">
        <v>2.76</v>
      </c>
      <c r="E8906" s="210"/>
    </row>
    <row r="8907" spans="1:5" ht="25.5">
      <c r="A8907" s="449">
        <v>2681</v>
      </c>
      <c r="B8907" s="450" t="s">
        <v>9729</v>
      </c>
      <c r="C8907" s="449" t="s">
        <v>683</v>
      </c>
      <c r="D8907" s="451">
        <v>12.84</v>
      </c>
      <c r="E8907" s="210"/>
    </row>
    <row r="8908" spans="1:5" ht="25.5">
      <c r="A8908" s="449">
        <v>2682</v>
      </c>
      <c r="B8908" s="450" t="s">
        <v>9730</v>
      </c>
      <c r="C8908" s="449" t="s">
        <v>683</v>
      </c>
      <c r="D8908" s="451">
        <v>18.73</v>
      </c>
      <c r="E8908" s="210"/>
    </row>
    <row r="8909" spans="1:5" ht="25.5">
      <c r="A8909" s="449">
        <v>2686</v>
      </c>
      <c r="B8909" s="450" t="s">
        <v>9731</v>
      </c>
      <c r="C8909" s="449" t="s">
        <v>683</v>
      </c>
      <c r="D8909" s="451">
        <v>23.49</v>
      </c>
      <c r="E8909" s="210"/>
    </row>
    <row r="8910" spans="1:5" ht="25.5">
      <c r="A8910" s="449">
        <v>2674</v>
      </c>
      <c r="B8910" s="450" t="s">
        <v>9732</v>
      </c>
      <c r="C8910" s="449" t="s">
        <v>683</v>
      </c>
      <c r="D8910" s="451">
        <v>3.43</v>
      </c>
      <c r="E8910" s="210"/>
    </row>
    <row r="8911" spans="1:5" ht="25.5">
      <c r="A8911" s="449">
        <v>2683</v>
      </c>
      <c r="B8911" s="450" t="s">
        <v>9733</v>
      </c>
      <c r="C8911" s="449" t="s">
        <v>683</v>
      </c>
      <c r="D8911" s="451">
        <v>37.020000000000003</v>
      </c>
      <c r="E8911" s="210"/>
    </row>
    <row r="8912" spans="1:5" ht="25.5">
      <c r="A8912" s="449">
        <v>2676</v>
      </c>
      <c r="B8912" s="450" t="s">
        <v>9734</v>
      </c>
      <c r="C8912" s="449" t="s">
        <v>683</v>
      </c>
      <c r="D8912" s="451">
        <v>1.6</v>
      </c>
      <c r="E8912" s="210"/>
    </row>
    <row r="8913" spans="1:5" ht="25.5">
      <c r="A8913" s="449">
        <v>2678</v>
      </c>
      <c r="B8913" s="450" t="s">
        <v>9735</v>
      </c>
      <c r="C8913" s="449" t="s">
        <v>683</v>
      </c>
      <c r="D8913" s="451">
        <v>2.0099999999999998</v>
      </c>
      <c r="E8913" s="210"/>
    </row>
    <row r="8914" spans="1:5" ht="25.5">
      <c r="A8914" s="449">
        <v>2679</v>
      </c>
      <c r="B8914" s="450" t="s">
        <v>9736</v>
      </c>
      <c r="C8914" s="449" t="s">
        <v>683</v>
      </c>
      <c r="D8914" s="451">
        <v>3.1</v>
      </c>
      <c r="E8914" s="210"/>
    </row>
    <row r="8915" spans="1:5" ht="25.5">
      <c r="A8915" s="449">
        <v>12070</v>
      </c>
      <c r="B8915" s="450" t="s">
        <v>9737</v>
      </c>
      <c r="C8915" s="449" t="s">
        <v>683</v>
      </c>
      <c r="D8915" s="451">
        <v>4.3099999999999996</v>
      </c>
      <c r="E8915" s="210"/>
    </row>
    <row r="8916" spans="1:5" ht="25.5">
      <c r="A8916" s="449">
        <v>2675</v>
      </c>
      <c r="B8916" s="450" t="s">
        <v>9738</v>
      </c>
      <c r="C8916" s="449" t="s">
        <v>683</v>
      </c>
      <c r="D8916" s="451">
        <v>5.6</v>
      </c>
      <c r="E8916" s="210"/>
    </row>
    <row r="8917" spans="1:5" ht="25.5">
      <c r="A8917" s="449">
        <v>12067</v>
      </c>
      <c r="B8917" s="450" t="s">
        <v>9739</v>
      </c>
      <c r="C8917" s="449" t="s">
        <v>683</v>
      </c>
      <c r="D8917" s="451">
        <v>7.6</v>
      </c>
      <c r="E8917" s="210"/>
    </row>
    <row r="8918" spans="1:5" ht="25.5">
      <c r="A8918" s="449">
        <v>40401</v>
      </c>
      <c r="B8918" s="450" t="s">
        <v>9740</v>
      </c>
      <c r="C8918" s="449" t="s">
        <v>683</v>
      </c>
      <c r="D8918" s="451">
        <v>2.2000000000000002</v>
      </c>
      <c r="E8918" s="210"/>
    </row>
    <row r="8919" spans="1:5" ht="25.5">
      <c r="A8919" s="449">
        <v>40402</v>
      </c>
      <c r="B8919" s="450" t="s">
        <v>9741</v>
      </c>
      <c r="C8919" s="449" t="s">
        <v>683</v>
      </c>
      <c r="D8919" s="451">
        <v>2.83</v>
      </c>
      <c r="E8919" s="210"/>
    </row>
    <row r="8920" spans="1:5" ht="25.5">
      <c r="A8920" s="449">
        <v>40400</v>
      </c>
      <c r="B8920" s="450" t="s">
        <v>9742</v>
      </c>
      <c r="C8920" s="449" t="s">
        <v>683</v>
      </c>
      <c r="D8920" s="451">
        <v>1.49</v>
      </c>
      <c r="E8920" s="210"/>
    </row>
    <row r="8921" spans="1:5" ht="51">
      <c r="A8921" s="449">
        <v>2504</v>
      </c>
      <c r="B8921" s="450" t="s">
        <v>9743</v>
      </c>
      <c r="C8921" s="449" t="s">
        <v>683</v>
      </c>
      <c r="D8921" s="451">
        <v>10.46</v>
      </c>
      <c r="E8921" s="210"/>
    </row>
    <row r="8922" spans="1:5" ht="51">
      <c r="A8922" s="449">
        <v>2501</v>
      </c>
      <c r="B8922" s="450" t="s">
        <v>9744</v>
      </c>
      <c r="C8922" s="449" t="s">
        <v>683</v>
      </c>
      <c r="D8922" s="451">
        <v>13.72</v>
      </c>
      <c r="E8922" s="210"/>
    </row>
    <row r="8923" spans="1:5" ht="51">
      <c r="A8923" s="449">
        <v>2502</v>
      </c>
      <c r="B8923" s="450" t="s">
        <v>9745</v>
      </c>
      <c r="C8923" s="449" t="s">
        <v>683</v>
      </c>
      <c r="D8923" s="451">
        <v>20.7</v>
      </c>
      <c r="E8923" s="210"/>
    </row>
    <row r="8924" spans="1:5" ht="51">
      <c r="A8924" s="449">
        <v>2503</v>
      </c>
      <c r="B8924" s="450" t="s">
        <v>9746</v>
      </c>
      <c r="C8924" s="449" t="s">
        <v>683</v>
      </c>
      <c r="D8924" s="451">
        <v>26.64</v>
      </c>
      <c r="E8924" s="210"/>
    </row>
    <row r="8925" spans="1:5" ht="51">
      <c r="A8925" s="449">
        <v>2500</v>
      </c>
      <c r="B8925" s="450" t="s">
        <v>9747</v>
      </c>
      <c r="C8925" s="449" t="s">
        <v>683</v>
      </c>
      <c r="D8925" s="451">
        <v>35.49</v>
      </c>
      <c r="E8925" s="210"/>
    </row>
    <row r="8926" spans="1:5" ht="51">
      <c r="A8926" s="449">
        <v>2505</v>
      </c>
      <c r="B8926" s="450" t="s">
        <v>9748</v>
      </c>
      <c r="C8926" s="449" t="s">
        <v>683</v>
      </c>
      <c r="D8926" s="451">
        <v>55.31</v>
      </c>
      <c r="E8926" s="210"/>
    </row>
    <row r="8927" spans="1:5" ht="25.5">
      <c r="A8927" s="449">
        <v>12056</v>
      </c>
      <c r="B8927" s="450" t="s">
        <v>9749</v>
      </c>
      <c r="C8927" s="449" t="s">
        <v>683</v>
      </c>
      <c r="D8927" s="451">
        <v>22.35</v>
      </c>
      <c r="E8927" s="210"/>
    </row>
    <row r="8928" spans="1:5" ht="25.5">
      <c r="A8928" s="449">
        <v>12057</v>
      </c>
      <c r="B8928" s="450" t="s">
        <v>9750</v>
      </c>
      <c r="C8928" s="449" t="s">
        <v>683</v>
      </c>
      <c r="D8928" s="451">
        <v>18.98</v>
      </c>
      <c r="E8928" s="210"/>
    </row>
    <row r="8929" spans="1:5" ht="25.5">
      <c r="A8929" s="449">
        <v>12059</v>
      </c>
      <c r="B8929" s="450" t="s">
        <v>9751</v>
      </c>
      <c r="C8929" s="449" t="s">
        <v>683</v>
      </c>
      <c r="D8929" s="451">
        <v>6.66</v>
      </c>
      <c r="E8929" s="210"/>
    </row>
    <row r="8930" spans="1:5" ht="25.5">
      <c r="A8930" s="449">
        <v>12058</v>
      </c>
      <c r="B8930" s="450" t="s">
        <v>9752</v>
      </c>
      <c r="C8930" s="449" t="s">
        <v>683</v>
      </c>
      <c r="D8930" s="451">
        <v>11.83</v>
      </c>
      <c r="E8930" s="210"/>
    </row>
    <row r="8931" spans="1:5" ht="25.5">
      <c r="A8931" s="449">
        <v>12060</v>
      </c>
      <c r="B8931" s="450" t="s">
        <v>9753</v>
      </c>
      <c r="C8931" s="449" t="s">
        <v>683</v>
      </c>
      <c r="D8931" s="451">
        <v>49.32</v>
      </c>
      <c r="E8931" s="210"/>
    </row>
    <row r="8932" spans="1:5" ht="25.5">
      <c r="A8932" s="449">
        <v>12061</v>
      </c>
      <c r="B8932" s="450" t="s">
        <v>9754</v>
      </c>
      <c r="C8932" s="449" t="s">
        <v>683</v>
      </c>
      <c r="D8932" s="451">
        <v>30.12</v>
      </c>
      <c r="E8932" s="210"/>
    </row>
    <row r="8933" spans="1:5" ht="25.5">
      <c r="A8933" s="449">
        <v>12062</v>
      </c>
      <c r="B8933" s="450" t="s">
        <v>9755</v>
      </c>
      <c r="C8933" s="449" t="s">
        <v>683</v>
      </c>
      <c r="D8933" s="451">
        <v>55.54</v>
      </c>
      <c r="E8933" s="210"/>
    </row>
    <row r="8934" spans="1:5" ht="38.25">
      <c r="A8934" s="449">
        <v>21137</v>
      </c>
      <c r="B8934" s="450" t="s">
        <v>9756</v>
      </c>
      <c r="C8934" s="449" t="s">
        <v>683</v>
      </c>
      <c r="D8934" s="451">
        <v>9.65</v>
      </c>
      <c r="E8934" s="210"/>
    </row>
    <row r="8935" spans="1:5" ht="25.5">
      <c r="A8935" s="449">
        <v>2687</v>
      </c>
      <c r="B8935" s="450" t="s">
        <v>9757</v>
      </c>
      <c r="C8935" s="449" t="s">
        <v>683</v>
      </c>
      <c r="D8935" s="451">
        <v>1.4</v>
      </c>
      <c r="E8935" s="210"/>
    </row>
    <row r="8936" spans="1:5" ht="25.5">
      <c r="A8936" s="449">
        <v>2689</v>
      </c>
      <c r="B8936" s="450" t="s">
        <v>9758</v>
      </c>
      <c r="C8936" s="449" t="s">
        <v>683</v>
      </c>
      <c r="D8936" s="451">
        <v>1.67</v>
      </c>
      <c r="E8936" s="210"/>
    </row>
    <row r="8937" spans="1:5" ht="25.5">
      <c r="A8937" s="449">
        <v>2688</v>
      </c>
      <c r="B8937" s="450" t="s">
        <v>9759</v>
      </c>
      <c r="C8937" s="449" t="s">
        <v>683</v>
      </c>
      <c r="D8937" s="451">
        <v>1.8</v>
      </c>
      <c r="E8937" s="210"/>
    </row>
    <row r="8938" spans="1:5" ht="25.5">
      <c r="A8938" s="449">
        <v>2690</v>
      </c>
      <c r="B8938" s="450" t="s">
        <v>9760</v>
      </c>
      <c r="C8938" s="449" t="s">
        <v>683</v>
      </c>
      <c r="D8938" s="451">
        <v>3.09</v>
      </c>
      <c r="E8938" s="210"/>
    </row>
    <row r="8939" spans="1:5" ht="38.25">
      <c r="A8939" s="449">
        <v>39243</v>
      </c>
      <c r="B8939" s="450" t="s">
        <v>9761</v>
      </c>
      <c r="C8939" s="449" t="s">
        <v>683</v>
      </c>
      <c r="D8939" s="451">
        <v>2.0299999999999998</v>
      </c>
      <c r="E8939" s="210"/>
    </row>
    <row r="8940" spans="1:5" ht="38.25">
      <c r="A8940" s="449">
        <v>39244</v>
      </c>
      <c r="B8940" s="450" t="s">
        <v>9762</v>
      </c>
      <c r="C8940" s="449" t="s">
        <v>683</v>
      </c>
      <c r="D8940" s="451">
        <v>2.75</v>
      </c>
      <c r="E8940" s="210"/>
    </row>
    <row r="8941" spans="1:5" ht="38.25">
      <c r="A8941" s="449">
        <v>39245</v>
      </c>
      <c r="B8941" s="450" t="s">
        <v>9763</v>
      </c>
      <c r="C8941" s="449" t="s">
        <v>683</v>
      </c>
      <c r="D8941" s="451">
        <v>5.3</v>
      </c>
      <c r="E8941" s="210"/>
    </row>
    <row r="8942" spans="1:5" ht="38.25">
      <c r="A8942" s="449">
        <v>39254</v>
      </c>
      <c r="B8942" s="450" t="s">
        <v>9764</v>
      </c>
      <c r="C8942" s="449" t="s">
        <v>683</v>
      </c>
      <c r="D8942" s="451">
        <v>7.92</v>
      </c>
      <c r="E8942" s="210"/>
    </row>
    <row r="8943" spans="1:5" ht="38.25">
      <c r="A8943" s="449">
        <v>39255</v>
      </c>
      <c r="B8943" s="450" t="s">
        <v>9765</v>
      </c>
      <c r="C8943" s="449" t="s">
        <v>683</v>
      </c>
      <c r="D8943" s="451">
        <v>14.67</v>
      </c>
      <c r="E8943" s="210"/>
    </row>
    <row r="8944" spans="1:5" ht="38.25">
      <c r="A8944" s="449">
        <v>39253</v>
      </c>
      <c r="B8944" s="450" t="s">
        <v>9766</v>
      </c>
      <c r="C8944" s="449" t="s">
        <v>683</v>
      </c>
      <c r="D8944" s="451">
        <v>10.1</v>
      </c>
      <c r="E8944" s="210"/>
    </row>
    <row r="8945" spans="1:5" ht="51">
      <c r="A8945" s="449">
        <v>2446</v>
      </c>
      <c r="B8945" s="450" t="s">
        <v>9767</v>
      </c>
      <c r="C8945" s="449" t="s">
        <v>683</v>
      </c>
      <c r="D8945" s="451">
        <v>5.5</v>
      </c>
      <c r="E8945" s="210"/>
    </row>
    <row r="8946" spans="1:5" ht="51">
      <c r="A8946" s="449">
        <v>2442</v>
      </c>
      <c r="B8946" s="450" t="s">
        <v>9768</v>
      </c>
      <c r="C8946" s="449" t="s">
        <v>683</v>
      </c>
      <c r="D8946" s="451">
        <v>7.7</v>
      </c>
      <c r="E8946" s="210"/>
    </row>
    <row r="8947" spans="1:5" ht="51">
      <c r="A8947" s="449">
        <v>39246</v>
      </c>
      <c r="B8947" s="450" t="s">
        <v>9769</v>
      </c>
      <c r="C8947" s="449" t="s">
        <v>683</v>
      </c>
      <c r="D8947" s="451">
        <v>3.83</v>
      </c>
      <c r="E8947" s="210"/>
    </row>
    <row r="8948" spans="1:5" ht="51">
      <c r="A8948" s="449">
        <v>39247</v>
      </c>
      <c r="B8948" s="450" t="s">
        <v>9770</v>
      </c>
      <c r="C8948" s="449" t="s">
        <v>683</v>
      </c>
      <c r="D8948" s="451">
        <v>3.34</v>
      </c>
      <c r="E8948" s="210"/>
    </row>
    <row r="8949" spans="1:5" ht="51">
      <c r="A8949" s="449">
        <v>39248</v>
      </c>
      <c r="B8949" s="450" t="s">
        <v>9771</v>
      </c>
      <c r="C8949" s="449" t="s">
        <v>683</v>
      </c>
      <c r="D8949" s="451">
        <v>10.74</v>
      </c>
      <c r="E8949" s="210"/>
    </row>
    <row r="8950" spans="1:5">
      <c r="A8950" s="449">
        <v>2438</v>
      </c>
      <c r="B8950" s="450" t="s">
        <v>9772</v>
      </c>
      <c r="C8950" s="449" t="s">
        <v>682</v>
      </c>
      <c r="D8950" s="451">
        <v>14.27</v>
      </c>
      <c r="E8950" s="210"/>
    </row>
    <row r="8951" spans="1:5">
      <c r="A8951" s="449">
        <v>40922</v>
      </c>
      <c r="B8951" s="450" t="s">
        <v>9773</v>
      </c>
      <c r="C8951" s="449" t="s">
        <v>797</v>
      </c>
      <c r="D8951" s="451">
        <v>2530.11</v>
      </c>
      <c r="E8951" s="210"/>
    </row>
    <row r="8952" spans="1:5" ht="76.5">
      <c r="A8952" s="449">
        <v>36486</v>
      </c>
      <c r="B8952" s="450" t="s">
        <v>9774</v>
      </c>
      <c r="C8952" s="449" t="s">
        <v>679</v>
      </c>
      <c r="D8952" s="451">
        <v>59165.5</v>
      </c>
      <c r="E8952" s="210"/>
    </row>
    <row r="8953" spans="1:5" ht="63.75">
      <c r="A8953" s="449">
        <v>37777</v>
      </c>
      <c r="B8953" s="450" t="s">
        <v>9775</v>
      </c>
      <c r="C8953" s="449" t="s">
        <v>679</v>
      </c>
      <c r="D8953" s="451">
        <v>278550.06</v>
      </c>
      <c r="E8953" s="210"/>
    </row>
    <row r="8954" spans="1:5" ht="25.5">
      <c r="A8954" s="449">
        <v>12624</v>
      </c>
      <c r="B8954" s="450" t="s">
        <v>9776</v>
      </c>
      <c r="C8954" s="449" t="s">
        <v>679</v>
      </c>
      <c r="D8954" s="451">
        <v>11.81</v>
      </c>
      <c r="E8954" s="210"/>
    </row>
    <row r="8955" spans="1:5">
      <c r="A8955" s="449">
        <v>517</v>
      </c>
      <c r="B8955" s="450" t="s">
        <v>9777</v>
      </c>
      <c r="C8955" s="449" t="s">
        <v>678</v>
      </c>
      <c r="D8955" s="451">
        <v>7.77</v>
      </c>
      <c r="E8955" s="210"/>
    </row>
    <row r="8956" spans="1:5" ht="38.25">
      <c r="A8956" s="449">
        <v>41904</v>
      </c>
      <c r="B8956" s="450" t="s">
        <v>9778</v>
      </c>
      <c r="C8956" s="449" t="s">
        <v>685</v>
      </c>
      <c r="D8956" s="451">
        <v>3582.79</v>
      </c>
      <c r="E8956" s="210"/>
    </row>
    <row r="8957" spans="1:5" ht="38.25">
      <c r="A8957" s="449">
        <v>41903</v>
      </c>
      <c r="B8957" s="450" t="s">
        <v>9779</v>
      </c>
      <c r="C8957" s="449" t="s">
        <v>676</v>
      </c>
      <c r="D8957" s="451">
        <v>3.22</v>
      </c>
      <c r="E8957" s="210"/>
    </row>
    <row r="8958" spans="1:5" ht="38.25">
      <c r="A8958" s="449">
        <v>37534</v>
      </c>
      <c r="B8958" s="450" t="s">
        <v>9780</v>
      </c>
      <c r="C8958" s="449" t="s">
        <v>676</v>
      </c>
      <c r="D8958" s="451">
        <v>20.16</v>
      </c>
      <c r="E8958" s="210"/>
    </row>
    <row r="8959" spans="1:5" ht="38.25">
      <c r="A8959" s="449">
        <v>37535</v>
      </c>
      <c r="B8959" s="450" t="s">
        <v>9781</v>
      </c>
      <c r="C8959" s="449" t="s">
        <v>676</v>
      </c>
      <c r="D8959" s="451">
        <v>20.16</v>
      </c>
      <c r="E8959" s="210"/>
    </row>
    <row r="8960" spans="1:5" ht="38.25">
      <c r="A8960" s="449">
        <v>37533</v>
      </c>
      <c r="B8960" s="450" t="s">
        <v>9782</v>
      </c>
      <c r="C8960" s="449" t="s">
        <v>676</v>
      </c>
      <c r="D8960" s="451">
        <v>20.16</v>
      </c>
      <c r="E8960" s="210"/>
    </row>
    <row r="8961" spans="1:5" ht="38.25">
      <c r="A8961" s="449">
        <v>37537</v>
      </c>
      <c r="B8961" s="450" t="s">
        <v>9783</v>
      </c>
      <c r="C8961" s="449" t="s">
        <v>676</v>
      </c>
      <c r="D8961" s="451">
        <v>15.26</v>
      </c>
      <c r="E8961" s="210"/>
    </row>
    <row r="8962" spans="1:5" ht="38.25">
      <c r="A8962" s="449">
        <v>37536</v>
      </c>
      <c r="B8962" s="450" t="s">
        <v>9784</v>
      </c>
      <c r="C8962" s="449" t="s">
        <v>676</v>
      </c>
      <c r="D8962" s="451">
        <v>15.26</v>
      </c>
      <c r="E8962" s="210"/>
    </row>
    <row r="8963" spans="1:5" ht="38.25">
      <c r="A8963" s="449">
        <v>37532</v>
      </c>
      <c r="B8963" s="450" t="s">
        <v>9785</v>
      </c>
      <c r="C8963" s="449" t="s">
        <v>676</v>
      </c>
      <c r="D8963" s="451">
        <v>15.26</v>
      </c>
      <c r="E8963" s="210"/>
    </row>
    <row r="8964" spans="1:5">
      <c r="A8964" s="449">
        <v>2696</v>
      </c>
      <c r="B8964" s="450" t="s">
        <v>9786</v>
      </c>
      <c r="C8964" s="449" t="s">
        <v>682</v>
      </c>
      <c r="D8964" s="451">
        <v>14.12</v>
      </c>
      <c r="E8964" s="210"/>
    </row>
    <row r="8965" spans="1:5" ht="25.5">
      <c r="A8965" s="449">
        <v>40928</v>
      </c>
      <c r="B8965" s="450" t="s">
        <v>9787</v>
      </c>
      <c r="C8965" s="449" t="s">
        <v>797</v>
      </c>
      <c r="D8965" s="451">
        <v>2502.29</v>
      </c>
      <c r="E8965" s="210"/>
    </row>
    <row r="8966" spans="1:5">
      <c r="A8966" s="449">
        <v>4083</v>
      </c>
      <c r="B8966" s="450" t="s">
        <v>9788</v>
      </c>
      <c r="C8966" s="449" t="s">
        <v>682</v>
      </c>
      <c r="D8966" s="451">
        <v>18.28</v>
      </c>
      <c r="E8966" s="210"/>
    </row>
    <row r="8967" spans="1:5">
      <c r="A8967" s="449">
        <v>40818</v>
      </c>
      <c r="B8967" s="450" t="s">
        <v>9789</v>
      </c>
      <c r="C8967" s="449" t="s">
        <v>797</v>
      </c>
      <c r="D8967" s="451">
        <v>3238.65</v>
      </c>
      <c r="E8967" s="210"/>
    </row>
    <row r="8968" spans="1:5" ht="25.5">
      <c r="A8968" s="449">
        <v>43146</v>
      </c>
      <c r="B8968" s="450" t="s">
        <v>9790</v>
      </c>
      <c r="C8968" s="449" t="s">
        <v>676</v>
      </c>
      <c r="D8968" s="451">
        <v>6.68</v>
      </c>
      <c r="E8968" s="210"/>
    </row>
    <row r="8969" spans="1:5" ht="25.5">
      <c r="A8969" s="449">
        <v>2705</v>
      </c>
      <c r="B8969" s="450" t="s">
        <v>9791</v>
      </c>
      <c r="C8969" s="449" t="s">
        <v>687</v>
      </c>
      <c r="D8969" s="451">
        <v>0.84</v>
      </c>
      <c r="E8969" s="210"/>
    </row>
    <row r="8970" spans="1:5" ht="38.25">
      <c r="A8970" s="449">
        <v>14250</v>
      </c>
      <c r="B8970" s="450" t="s">
        <v>9792</v>
      </c>
      <c r="C8970" s="449" t="s">
        <v>687</v>
      </c>
      <c r="D8970" s="451">
        <v>0.86</v>
      </c>
      <c r="E8970" s="210"/>
    </row>
    <row r="8971" spans="1:5">
      <c r="A8971" s="449">
        <v>11683</v>
      </c>
      <c r="B8971" s="450" t="s">
        <v>9793</v>
      </c>
      <c r="C8971" s="449" t="s">
        <v>679</v>
      </c>
      <c r="D8971" s="451">
        <v>34.39</v>
      </c>
      <c r="E8971" s="210"/>
    </row>
    <row r="8972" spans="1:5">
      <c r="A8972" s="449">
        <v>11684</v>
      </c>
      <c r="B8972" s="450" t="s">
        <v>9794</v>
      </c>
      <c r="C8972" s="449" t="s">
        <v>679</v>
      </c>
      <c r="D8972" s="451">
        <v>37.65</v>
      </c>
      <c r="E8972" s="210"/>
    </row>
    <row r="8973" spans="1:5" ht="25.5">
      <c r="A8973" s="449">
        <v>6141</v>
      </c>
      <c r="B8973" s="450" t="s">
        <v>9795</v>
      </c>
      <c r="C8973" s="449" t="s">
        <v>679</v>
      </c>
      <c r="D8973" s="451">
        <v>4</v>
      </c>
      <c r="E8973" s="210"/>
    </row>
    <row r="8974" spans="1:5" ht="25.5">
      <c r="A8974" s="449">
        <v>11681</v>
      </c>
      <c r="B8974" s="450" t="s">
        <v>9796</v>
      </c>
      <c r="C8974" s="449" t="s">
        <v>679</v>
      </c>
      <c r="D8974" s="451">
        <v>6.7</v>
      </c>
      <c r="E8974" s="210"/>
    </row>
    <row r="8975" spans="1:5">
      <c r="A8975" s="449">
        <v>2706</v>
      </c>
      <c r="B8975" s="450" t="s">
        <v>9797</v>
      </c>
      <c r="C8975" s="449" t="s">
        <v>682</v>
      </c>
      <c r="D8975" s="451">
        <v>78.16</v>
      </c>
      <c r="E8975" s="210"/>
    </row>
    <row r="8976" spans="1:5" ht="25.5">
      <c r="A8976" s="449">
        <v>40811</v>
      </c>
      <c r="B8976" s="450" t="s">
        <v>9798</v>
      </c>
      <c r="C8976" s="449" t="s">
        <v>797</v>
      </c>
      <c r="D8976" s="451">
        <v>13847.35</v>
      </c>
      <c r="E8976" s="210"/>
    </row>
    <row r="8977" spans="1:5">
      <c r="A8977" s="449">
        <v>2707</v>
      </c>
      <c r="B8977" s="450" t="s">
        <v>9799</v>
      </c>
      <c r="C8977" s="449" t="s">
        <v>682</v>
      </c>
      <c r="D8977" s="451">
        <v>88.96</v>
      </c>
      <c r="E8977" s="210"/>
    </row>
    <row r="8978" spans="1:5" ht="25.5">
      <c r="A8978" s="449">
        <v>40813</v>
      </c>
      <c r="B8978" s="450" t="s">
        <v>9800</v>
      </c>
      <c r="C8978" s="449" t="s">
        <v>797</v>
      </c>
      <c r="D8978" s="451">
        <v>15761.12</v>
      </c>
      <c r="E8978" s="210"/>
    </row>
    <row r="8979" spans="1:5">
      <c r="A8979" s="449">
        <v>2708</v>
      </c>
      <c r="B8979" s="450" t="s">
        <v>9801</v>
      </c>
      <c r="C8979" s="449" t="s">
        <v>682</v>
      </c>
      <c r="D8979" s="451">
        <v>121.6</v>
      </c>
      <c r="E8979" s="210"/>
    </row>
    <row r="8980" spans="1:5" ht="25.5">
      <c r="A8980" s="449">
        <v>40814</v>
      </c>
      <c r="B8980" s="450" t="s">
        <v>9802</v>
      </c>
      <c r="C8980" s="449" t="s">
        <v>797</v>
      </c>
      <c r="D8980" s="451">
        <v>21545.040000000001</v>
      </c>
      <c r="E8980" s="210"/>
    </row>
    <row r="8981" spans="1:5">
      <c r="A8981" s="449">
        <v>34779</v>
      </c>
      <c r="B8981" s="450" t="s">
        <v>9803</v>
      </c>
      <c r="C8981" s="449" t="s">
        <v>682</v>
      </c>
      <c r="D8981" s="451">
        <v>79.3</v>
      </c>
      <c r="E8981" s="210"/>
    </row>
    <row r="8982" spans="1:5">
      <c r="A8982" s="449">
        <v>40936</v>
      </c>
      <c r="B8982" s="450" t="s">
        <v>9804</v>
      </c>
      <c r="C8982" s="449" t="s">
        <v>797</v>
      </c>
      <c r="D8982" s="451">
        <v>14049.35</v>
      </c>
      <c r="E8982" s="210"/>
    </row>
    <row r="8983" spans="1:5">
      <c r="A8983" s="449">
        <v>34780</v>
      </c>
      <c r="B8983" s="450" t="s">
        <v>9805</v>
      </c>
      <c r="C8983" s="449" t="s">
        <v>682</v>
      </c>
      <c r="D8983" s="451">
        <v>89.45</v>
      </c>
      <c r="E8983" s="210"/>
    </row>
    <row r="8984" spans="1:5">
      <c r="A8984" s="449">
        <v>40937</v>
      </c>
      <c r="B8984" s="450" t="s">
        <v>9806</v>
      </c>
      <c r="C8984" s="449" t="s">
        <v>797</v>
      </c>
      <c r="D8984" s="451">
        <v>15850.44</v>
      </c>
      <c r="E8984" s="210"/>
    </row>
    <row r="8985" spans="1:5">
      <c r="A8985" s="449">
        <v>34782</v>
      </c>
      <c r="B8985" s="450" t="s">
        <v>9807</v>
      </c>
      <c r="C8985" s="449" t="s">
        <v>682</v>
      </c>
      <c r="D8985" s="451">
        <v>122.6</v>
      </c>
      <c r="E8985" s="210"/>
    </row>
    <row r="8986" spans="1:5">
      <c r="A8986" s="449">
        <v>40938</v>
      </c>
      <c r="B8986" s="450" t="s">
        <v>9808</v>
      </c>
      <c r="C8986" s="449" t="s">
        <v>797</v>
      </c>
      <c r="D8986" s="451">
        <v>21721.53</v>
      </c>
      <c r="E8986" s="210"/>
    </row>
    <row r="8987" spans="1:5">
      <c r="A8987" s="449">
        <v>34783</v>
      </c>
      <c r="B8987" s="450" t="s">
        <v>9809</v>
      </c>
      <c r="C8987" s="449" t="s">
        <v>682</v>
      </c>
      <c r="D8987" s="451">
        <v>74.540000000000006</v>
      </c>
      <c r="E8987" s="210"/>
    </row>
    <row r="8988" spans="1:5">
      <c r="A8988" s="449">
        <v>40939</v>
      </c>
      <c r="B8988" s="450" t="s">
        <v>9810</v>
      </c>
      <c r="C8988" s="449" t="s">
        <v>797</v>
      </c>
      <c r="D8988" s="451">
        <v>13208.12</v>
      </c>
      <c r="E8988" s="210"/>
    </row>
    <row r="8989" spans="1:5">
      <c r="A8989" s="449">
        <v>34785</v>
      </c>
      <c r="B8989" s="450" t="s">
        <v>9811</v>
      </c>
      <c r="C8989" s="449" t="s">
        <v>682</v>
      </c>
      <c r="D8989" s="451">
        <v>73.8</v>
      </c>
      <c r="E8989" s="210"/>
    </row>
    <row r="8990" spans="1:5">
      <c r="A8990" s="449">
        <v>40940</v>
      </c>
      <c r="B8990" s="450" t="s">
        <v>9812</v>
      </c>
      <c r="C8990" s="449" t="s">
        <v>797</v>
      </c>
      <c r="D8990" s="451">
        <v>13078.04</v>
      </c>
      <c r="E8990" s="210"/>
    </row>
    <row r="8991" spans="1:5">
      <c r="A8991" s="449">
        <v>38403</v>
      </c>
      <c r="B8991" s="450" t="s">
        <v>9813</v>
      </c>
      <c r="C8991" s="449" t="s">
        <v>679</v>
      </c>
      <c r="D8991" s="451">
        <v>43.46</v>
      </c>
      <c r="E8991" s="210"/>
    </row>
    <row r="8992" spans="1:5" ht="25.5">
      <c r="A8992" s="449">
        <v>43482</v>
      </c>
      <c r="B8992" s="450" t="s">
        <v>9814</v>
      </c>
      <c r="C8992" s="449" t="s">
        <v>682</v>
      </c>
      <c r="D8992" s="451">
        <v>0.57999999999999996</v>
      </c>
      <c r="E8992" s="210"/>
    </row>
    <row r="8993" spans="1:5" ht="38.25">
      <c r="A8993" s="449">
        <v>43494</v>
      </c>
      <c r="B8993" s="450" t="s">
        <v>9815</v>
      </c>
      <c r="C8993" s="449" t="s">
        <v>797</v>
      </c>
      <c r="D8993" s="451">
        <v>108.8</v>
      </c>
      <c r="E8993" s="210"/>
    </row>
    <row r="8994" spans="1:5" ht="38.25">
      <c r="A8994" s="449">
        <v>43483</v>
      </c>
      <c r="B8994" s="450" t="s">
        <v>9816</v>
      </c>
      <c r="C8994" s="449" t="s">
        <v>682</v>
      </c>
      <c r="D8994" s="451">
        <v>1.05</v>
      </c>
      <c r="E8994" s="210"/>
    </row>
    <row r="8995" spans="1:5" ht="38.25">
      <c r="A8995" s="449">
        <v>43495</v>
      </c>
      <c r="B8995" s="450" t="s">
        <v>9817</v>
      </c>
      <c r="C8995" s="449" t="s">
        <v>797</v>
      </c>
      <c r="D8995" s="451">
        <v>197.14</v>
      </c>
      <c r="E8995" s="210"/>
    </row>
    <row r="8996" spans="1:5" ht="25.5">
      <c r="A8996" s="449">
        <v>43484</v>
      </c>
      <c r="B8996" s="450" t="s">
        <v>9818</v>
      </c>
      <c r="C8996" s="449" t="s">
        <v>682</v>
      </c>
      <c r="D8996" s="451">
        <v>0.91</v>
      </c>
      <c r="E8996" s="210"/>
    </row>
    <row r="8997" spans="1:5" ht="38.25">
      <c r="A8997" s="449">
        <v>43496</v>
      </c>
      <c r="B8997" s="450" t="s">
        <v>9819</v>
      </c>
      <c r="C8997" s="449" t="s">
        <v>797</v>
      </c>
      <c r="D8997" s="451">
        <v>171.87</v>
      </c>
      <c r="E8997" s="210"/>
    </row>
    <row r="8998" spans="1:5" ht="25.5">
      <c r="A8998" s="449">
        <v>43485</v>
      </c>
      <c r="B8998" s="450" t="s">
        <v>9820</v>
      </c>
      <c r="C8998" s="449" t="s">
        <v>682</v>
      </c>
      <c r="D8998" s="451">
        <v>0.8</v>
      </c>
      <c r="E8998" s="210"/>
    </row>
    <row r="8999" spans="1:5" ht="38.25">
      <c r="A8999" s="449">
        <v>43497</v>
      </c>
      <c r="B8999" s="450" t="s">
        <v>9821</v>
      </c>
      <c r="C8999" s="449" t="s">
        <v>797</v>
      </c>
      <c r="D8999" s="451">
        <v>151.31</v>
      </c>
      <c r="E8999" s="210"/>
    </row>
    <row r="9000" spans="1:5" ht="38.25">
      <c r="A9000" s="449">
        <v>43487</v>
      </c>
      <c r="B9000" s="450" t="s">
        <v>9822</v>
      </c>
      <c r="C9000" s="449" t="s">
        <v>682</v>
      </c>
      <c r="D9000" s="451">
        <v>0.94</v>
      </c>
      <c r="E9000" s="210"/>
    </row>
    <row r="9001" spans="1:5" ht="38.25">
      <c r="A9001" s="449">
        <v>43499</v>
      </c>
      <c r="B9001" s="450" t="s">
        <v>9823</v>
      </c>
      <c r="C9001" s="449" t="s">
        <v>797</v>
      </c>
      <c r="D9001" s="451">
        <v>177.24</v>
      </c>
      <c r="E9001" s="210"/>
    </row>
    <row r="9002" spans="1:5" ht="38.25">
      <c r="A9002" s="449">
        <v>43486</v>
      </c>
      <c r="B9002" s="450" t="s">
        <v>9824</v>
      </c>
      <c r="C9002" s="449" t="s">
        <v>682</v>
      </c>
      <c r="D9002" s="451">
        <v>0.55000000000000004</v>
      </c>
      <c r="E9002" s="210"/>
    </row>
    <row r="9003" spans="1:5" ht="38.25">
      <c r="A9003" s="449">
        <v>43498</v>
      </c>
      <c r="B9003" s="450" t="s">
        <v>9825</v>
      </c>
      <c r="C9003" s="449" t="s">
        <v>797</v>
      </c>
      <c r="D9003" s="451">
        <v>103.22</v>
      </c>
      <c r="E9003" s="210"/>
    </row>
    <row r="9004" spans="1:5" ht="38.25">
      <c r="A9004" s="449">
        <v>43488</v>
      </c>
      <c r="B9004" s="450" t="s">
        <v>9826</v>
      </c>
      <c r="C9004" s="449" t="s">
        <v>682</v>
      </c>
      <c r="D9004" s="451">
        <v>0.63</v>
      </c>
      <c r="E9004" s="210"/>
    </row>
    <row r="9005" spans="1:5" ht="38.25">
      <c r="A9005" s="449">
        <v>43500</v>
      </c>
      <c r="B9005" s="450" t="s">
        <v>9827</v>
      </c>
      <c r="C9005" s="449" t="s">
        <v>797</v>
      </c>
      <c r="D9005" s="451">
        <v>119.49</v>
      </c>
      <c r="E9005" s="210"/>
    </row>
    <row r="9006" spans="1:5" ht="25.5">
      <c r="A9006" s="449">
        <v>43489</v>
      </c>
      <c r="B9006" s="450" t="s">
        <v>9828</v>
      </c>
      <c r="C9006" s="449" t="s">
        <v>682</v>
      </c>
      <c r="D9006" s="451">
        <v>0.95</v>
      </c>
      <c r="E9006" s="210"/>
    </row>
    <row r="9007" spans="1:5" ht="38.25">
      <c r="A9007" s="449">
        <v>43501</v>
      </c>
      <c r="B9007" s="450" t="s">
        <v>9829</v>
      </c>
      <c r="C9007" s="449" t="s">
        <v>797</v>
      </c>
      <c r="D9007" s="451">
        <v>178.44</v>
      </c>
      <c r="E9007" s="210"/>
    </row>
    <row r="9008" spans="1:5" ht="25.5">
      <c r="A9008" s="449">
        <v>43490</v>
      </c>
      <c r="B9008" s="450" t="s">
        <v>9830</v>
      </c>
      <c r="C9008" s="449" t="s">
        <v>682</v>
      </c>
      <c r="D9008" s="451">
        <v>1.33</v>
      </c>
      <c r="E9008" s="210"/>
    </row>
    <row r="9009" spans="1:5" ht="25.5">
      <c r="A9009" s="449">
        <v>43502</v>
      </c>
      <c r="B9009" s="450" t="s">
        <v>9831</v>
      </c>
      <c r="C9009" s="449" t="s">
        <v>797</v>
      </c>
      <c r="D9009" s="451">
        <v>250.26</v>
      </c>
      <c r="E9009" s="210"/>
    </row>
    <row r="9010" spans="1:5" ht="25.5">
      <c r="A9010" s="449">
        <v>43491</v>
      </c>
      <c r="B9010" s="450" t="s">
        <v>9832</v>
      </c>
      <c r="C9010" s="449" t="s">
        <v>682</v>
      </c>
      <c r="D9010" s="451">
        <v>1.01</v>
      </c>
      <c r="E9010" s="210"/>
    </row>
    <row r="9011" spans="1:5" ht="38.25">
      <c r="A9011" s="449">
        <v>43503</v>
      </c>
      <c r="B9011" s="450" t="s">
        <v>9833</v>
      </c>
      <c r="C9011" s="449" t="s">
        <v>797</v>
      </c>
      <c r="D9011" s="451">
        <v>191.25</v>
      </c>
      <c r="E9011" s="210"/>
    </row>
    <row r="9012" spans="1:5" ht="25.5">
      <c r="A9012" s="449">
        <v>43492</v>
      </c>
      <c r="B9012" s="450" t="s">
        <v>9834</v>
      </c>
      <c r="C9012" s="449" t="s">
        <v>682</v>
      </c>
      <c r="D9012" s="451">
        <v>1.3</v>
      </c>
      <c r="E9012" s="210"/>
    </row>
    <row r="9013" spans="1:5" ht="38.25">
      <c r="A9013" s="449">
        <v>43504</v>
      </c>
      <c r="B9013" s="450" t="s">
        <v>9835</v>
      </c>
      <c r="C9013" s="449" t="s">
        <v>797</v>
      </c>
      <c r="D9013" s="451">
        <v>244.54</v>
      </c>
      <c r="E9013" s="210"/>
    </row>
    <row r="9014" spans="1:5" ht="25.5">
      <c r="A9014" s="449">
        <v>43493</v>
      </c>
      <c r="B9014" s="450" t="s">
        <v>9836</v>
      </c>
      <c r="C9014" s="449" t="s">
        <v>682</v>
      </c>
      <c r="D9014" s="451">
        <v>0.52</v>
      </c>
      <c r="E9014" s="210"/>
    </row>
    <row r="9015" spans="1:5" ht="38.25">
      <c r="A9015" s="449">
        <v>43505</v>
      </c>
      <c r="B9015" s="450" t="s">
        <v>9837</v>
      </c>
      <c r="C9015" s="449" t="s">
        <v>797</v>
      </c>
      <c r="D9015" s="451">
        <v>98.01</v>
      </c>
      <c r="E9015" s="210"/>
    </row>
    <row r="9016" spans="1:5" ht="63.75">
      <c r="A9016" s="449">
        <v>37774</v>
      </c>
      <c r="B9016" s="450" t="s">
        <v>9838</v>
      </c>
      <c r="C9016" s="449" t="s">
        <v>679</v>
      </c>
      <c r="D9016" s="451">
        <v>249038.01</v>
      </c>
      <c r="E9016" s="210"/>
    </row>
    <row r="9017" spans="1:5" ht="76.5">
      <c r="A9017" s="449">
        <v>38630</v>
      </c>
      <c r="B9017" s="450" t="s">
        <v>9839</v>
      </c>
      <c r="C9017" s="449" t="s">
        <v>679</v>
      </c>
      <c r="D9017" s="451">
        <v>1746751.95</v>
      </c>
      <c r="E9017" s="210"/>
    </row>
    <row r="9018" spans="1:5" ht="89.25">
      <c r="A9018" s="449">
        <v>38629</v>
      </c>
      <c r="B9018" s="450" t="s">
        <v>9840</v>
      </c>
      <c r="C9018" s="449" t="s">
        <v>679</v>
      </c>
      <c r="D9018" s="451">
        <v>2600126.9500000002</v>
      </c>
      <c r="E9018" s="210"/>
    </row>
    <row r="9019" spans="1:5" ht="25.5">
      <c r="A9019" s="449">
        <v>38476</v>
      </c>
      <c r="B9019" s="450" t="s">
        <v>9841</v>
      </c>
      <c r="C9019" s="449" t="s">
        <v>679</v>
      </c>
      <c r="D9019" s="451">
        <v>326.66000000000003</v>
      </c>
      <c r="E9019" s="210"/>
    </row>
    <row r="9020" spans="1:5" ht="25.5">
      <c r="A9020" s="449">
        <v>38477</v>
      </c>
      <c r="B9020" s="450" t="s">
        <v>9842</v>
      </c>
      <c r="C9020" s="449" t="s">
        <v>679</v>
      </c>
      <c r="D9020" s="451">
        <v>925.1</v>
      </c>
      <c r="E9020" s="210"/>
    </row>
    <row r="9021" spans="1:5" ht="51">
      <c r="A9021" s="449">
        <v>40635</v>
      </c>
      <c r="B9021" s="450" t="s">
        <v>9843</v>
      </c>
      <c r="C9021" s="449" t="s">
        <v>679</v>
      </c>
      <c r="D9021" s="451">
        <v>674204.75</v>
      </c>
      <c r="E9021" s="210"/>
    </row>
    <row r="9022" spans="1:5" ht="38.25">
      <c r="A9022" s="449">
        <v>36483</v>
      </c>
      <c r="B9022" s="450" t="s">
        <v>9844</v>
      </c>
      <c r="C9022" s="449" t="s">
        <v>679</v>
      </c>
      <c r="D9022" s="451">
        <v>610937.5</v>
      </c>
      <c r="E9022" s="210"/>
    </row>
    <row r="9023" spans="1:5" ht="38.25">
      <c r="A9023" s="449">
        <v>14525</v>
      </c>
      <c r="B9023" s="450" t="s">
        <v>9845</v>
      </c>
      <c r="C9023" s="449" t="s">
        <v>679</v>
      </c>
      <c r="D9023" s="451">
        <v>639687.5</v>
      </c>
      <c r="E9023" s="210"/>
    </row>
    <row r="9024" spans="1:5" ht="38.25">
      <c r="A9024" s="449">
        <v>36482</v>
      </c>
      <c r="B9024" s="450" t="s">
        <v>9846</v>
      </c>
      <c r="C9024" s="449" t="s">
        <v>679</v>
      </c>
      <c r="D9024" s="451">
        <v>548621.12</v>
      </c>
      <c r="E9024" s="210"/>
    </row>
    <row r="9025" spans="1:5" ht="38.25">
      <c r="A9025" s="449">
        <v>36408</v>
      </c>
      <c r="B9025" s="450" t="s">
        <v>9847</v>
      </c>
      <c r="C9025" s="449" t="s">
        <v>679</v>
      </c>
      <c r="D9025" s="451">
        <v>655500</v>
      </c>
      <c r="E9025" s="210"/>
    </row>
    <row r="9026" spans="1:5" ht="38.25">
      <c r="A9026" s="449">
        <v>2723</v>
      </c>
      <c r="B9026" s="450" t="s">
        <v>9848</v>
      </c>
      <c r="C9026" s="449" t="s">
        <v>679</v>
      </c>
      <c r="D9026" s="451">
        <v>503125</v>
      </c>
      <c r="E9026" s="210"/>
    </row>
    <row r="9027" spans="1:5" ht="38.25">
      <c r="A9027" s="449">
        <v>36481</v>
      </c>
      <c r="B9027" s="450" t="s">
        <v>9849</v>
      </c>
      <c r="C9027" s="449" t="s">
        <v>679</v>
      </c>
      <c r="D9027" s="451">
        <v>600156.25</v>
      </c>
      <c r="E9027" s="210"/>
    </row>
    <row r="9028" spans="1:5" ht="38.25">
      <c r="A9028" s="449">
        <v>10685</v>
      </c>
      <c r="B9028" s="450" t="s">
        <v>9850</v>
      </c>
      <c r="C9028" s="449" t="s">
        <v>679</v>
      </c>
      <c r="D9028" s="451">
        <v>575000</v>
      </c>
      <c r="E9028" s="210"/>
    </row>
    <row r="9029" spans="1:5" ht="63.75">
      <c r="A9029" s="449">
        <v>40636</v>
      </c>
      <c r="B9029" s="450" t="s">
        <v>9851</v>
      </c>
      <c r="C9029" s="449" t="s">
        <v>679</v>
      </c>
      <c r="D9029" s="451">
        <v>649048.5</v>
      </c>
      <c r="E9029" s="210"/>
    </row>
    <row r="9030" spans="1:5" ht="25.5">
      <c r="A9030" s="449">
        <v>4111</v>
      </c>
      <c r="B9030" s="450" t="s">
        <v>9852</v>
      </c>
      <c r="C9030" s="449" t="s">
        <v>679</v>
      </c>
      <c r="D9030" s="451">
        <v>56.3</v>
      </c>
      <c r="E9030" s="210"/>
    </row>
    <row r="9031" spans="1:5" ht="38.25">
      <c r="A9031" s="449">
        <v>26021</v>
      </c>
      <c r="B9031" s="450" t="s">
        <v>9853</v>
      </c>
      <c r="C9031" s="449" t="s">
        <v>679</v>
      </c>
      <c r="D9031" s="451">
        <v>68.64</v>
      </c>
      <c r="E9031" s="210"/>
    </row>
    <row r="9032" spans="1:5" ht="25.5">
      <c r="A9032" s="449">
        <v>12</v>
      </c>
      <c r="B9032" s="450" t="s">
        <v>9854</v>
      </c>
      <c r="C9032" s="449" t="s">
        <v>679</v>
      </c>
      <c r="D9032" s="451">
        <v>13.99</v>
      </c>
      <c r="E9032" s="210"/>
    </row>
    <row r="9033" spans="1:5" ht="38.25">
      <c r="A9033" s="449">
        <v>37554</v>
      </c>
      <c r="B9033" s="450" t="s">
        <v>9855</v>
      </c>
      <c r="C9033" s="449" t="s">
        <v>679</v>
      </c>
      <c r="D9033" s="451">
        <v>179.09</v>
      </c>
      <c r="E9033" s="210"/>
    </row>
    <row r="9034" spans="1:5" ht="38.25">
      <c r="A9034" s="449">
        <v>37555</v>
      </c>
      <c r="B9034" s="450" t="s">
        <v>9856</v>
      </c>
      <c r="C9034" s="449" t="s">
        <v>679</v>
      </c>
      <c r="D9034" s="451">
        <v>217.85</v>
      </c>
      <c r="E9034" s="210"/>
    </row>
    <row r="9035" spans="1:5" ht="51">
      <c r="A9035" s="449">
        <v>10902</v>
      </c>
      <c r="B9035" s="450" t="s">
        <v>9857</v>
      </c>
      <c r="C9035" s="449" t="s">
        <v>679</v>
      </c>
      <c r="D9035" s="451">
        <v>54.66</v>
      </c>
      <c r="E9035" s="210"/>
    </row>
    <row r="9036" spans="1:5" ht="51">
      <c r="A9036" s="449">
        <v>20965</v>
      </c>
      <c r="B9036" s="450" t="s">
        <v>9858</v>
      </c>
      <c r="C9036" s="449" t="s">
        <v>679</v>
      </c>
      <c r="D9036" s="451">
        <v>55.17</v>
      </c>
      <c r="E9036" s="210"/>
    </row>
    <row r="9037" spans="1:5" ht="51">
      <c r="A9037" s="449">
        <v>20966</v>
      </c>
      <c r="B9037" s="450" t="s">
        <v>9859</v>
      </c>
      <c r="C9037" s="449" t="s">
        <v>679</v>
      </c>
      <c r="D9037" s="451">
        <v>59.4</v>
      </c>
      <c r="E9037" s="210"/>
    </row>
    <row r="9038" spans="1:5" ht="51">
      <c r="A9038" s="449">
        <v>10903</v>
      </c>
      <c r="B9038" s="450" t="s">
        <v>9860</v>
      </c>
      <c r="C9038" s="449" t="s">
        <v>679</v>
      </c>
      <c r="D9038" s="451">
        <v>90.04</v>
      </c>
      <c r="E9038" s="210"/>
    </row>
    <row r="9039" spans="1:5" ht="51">
      <c r="A9039" s="449">
        <v>20967</v>
      </c>
      <c r="B9039" s="450" t="s">
        <v>9861</v>
      </c>
      <c r="C9039" s="449" t="s">
        <v>679</v>
      </c>
      <c r="D9039" s="451">
        <v>90.04</v>
      </c>
      <c r="E9039" s="210"/>
    </row>
    <row r="9040" spans="1:5" ht="51">
      <c r="A9040" s="449">
        <v>20968</v>
      </c>
      <c r="B9040" s="450" t="s">
        <v>9862</v>
      </c>
      <c r="C9040" s="449" t="s">
        <v>679</v>
      </c>
      <c r="D9040" s="451">
        <v>98.76</v>
      </c>
      <c r="E9040" s="210"/>
    </row>
    <row r="9041" spans="1:5" ht="38.25">
      <c r="A9041" s="449">
        <v>11359</v>
      </c>
      <c r="B9041" s="450" t="s">
        <v>9863</v>
      </c>
      <c r="C9041" s="449" t="s">
        <v>679</v>
      </c>
      <c r="D9041" s="451">
        <v>1020.9</v>
      </c>
      <c r="E9041" s="210"/>
    </row>
    <row r="9042" spans="1:5" ht="38.25">
      <c r="A9042" s="449">
        <v>39017</v>
      </c>
      <c r="B9042" s="450" t="s">
        <v>9864</v>
      </c>
      <c r="C9042" s="449" t="s">
        <v>679</v>
      </c>
      <c r="D9042" s="451">
        <v>0.21</v>
      </c>
      <c r="E9042" s="210"/>
    </row>
    <row r="9043" spans="1:5" ht="38.25">
      <c r="A9043" s="449">
        <v>39315</v>
      </c>
      <c r="B9043" s="450" t="s">
        <v>9865</v>
      </c>
      <c r="C9043" s="449" t="s">
        <v>679</v>
      </c>
      <c r="D9043" s="451">
        <v>0.34</v>
      </c>
      <c r="E9043" s="210"/>
    </row>
    <row r="9044" spans="1:5" ht="38.25">
      <c r="A9044" s="449">
        <v>39016</v>
      </c>
      <c r="B9044" s="450" t="s">
        <v>9866</v>
      </c>
      <c r="C9044" s="449" t="s">
        <v>679</v>
      </c>
      <c r="D9044" s="451">
        <v>0.34</v>
      </c>
      <c r="E9044" s="210"/>
    </row>
    <row r="9045" spans="1:5" ht="38.25">
      <c r="A9045" s="449">
        <v>40432</v>
      </c>
      <c r="B9045" s="450" t="s">
        <v>9867</v>
      </c>
      <c r="C9045" s="449" t="s">
        <v>679</v>
      </c>
      <c r="D9045" s="451">
        <v>2.68</v>
      </c>
      <c r="E9045" s="210"/>
    </row>
    <row r="9046" spans="1:5" ht="51">
      <c r="A9046" s="449">
        <v>39481</v>
      </c>
      <c r="B9046" s="450" t="s">
        <v>9868</v>
      </c>
      <c r="C9046" s="449" t="s">
        <v>679</v>
      </c>
      <c r="D9046" s="451">
        <v>1.68</v>
      </c>
      <c r="E9046" s="210"/>
    </row>
    <row r="9047" spans="1:5" ht="25.5">
      <c r="A9047" s="449">
        <v>40433</v>
      </c>
      <c r="B9047" s="450" t="s">
        <v>9869</v>
      </c>
      <c r="C9047" s="449" t="s">
        <v>679</v>
      </c>
      <c r="D9047" s="451">
        <v>1.49</v>
      </c>
      <c r="E9047" s="210"/>
    </row>
    <row r="9048" spans="1:5" ht="38.25">
      <c r="A9048" s="449">
        <v>20219</v>
      </c>
      <c r="B9048" s="450" t="s">
        <v>9870</v>
      </c>
      <c r="C9048" s="449" t="s">
        <v>679</v>
      </c>
      <c r="D9048" s="451">
        <v>104300</v>
      </c>
      <c r="E9048" s="210"/>
    </row>
    <row r="9049" spans="1:5" ht="63.75">
      <c r="A9049" s="449">
        <v>36484</v>
      </c>
      <c r="B9049" s="450" t="s">
        <v>9871</v>
      </c>
      <c r="C9049" s="449" t="s">
        <v>679</v>
      </c>
      <c r="D9049" s="451">
        <v>221409.9</v>
      </c>
      <c r="E9049" s="210"/>
    </row>
    <row r="9050" spans="1:5" ht="25.5">
      <c r="A9050" s="449">
        <v>38367</v>
      </c>
      <c r="B9050" s="450" t="s">
        <v>9872</v>
      </c>
      <c r="C9050" s="449" t="s">
        <v>679</v>
      </c>
      <c r="D9050" s="451">
        <v>17.55</v>
      </c>
      <c r="E9050" s="210"/>
    </row>
    <row r="9051" spans="1:5">
      <c r="A9051" s="449">
        <v>38368</v>
      </c>
      <c r="B9051" s="450" t="s">
        <v>9873</v>
      </c>
      <c r="C9051" s="449" t="s">
        <v>679</v>
      </c>
      <c r="D9051" s="451">
        <v>7.91</v>
      </c>
      <c r="E9051" s="210"/>
    </row>
    <row r="9052" spans="1:5" ht="25.5">
      <c r="A9052" s="449">
        <v>38091</v>
      </c>
      <c r="B9052" s="450" t="s">
        <v>9874</v>
      </c>
      <c r="C9052" s="449" t="s">
        <v>679</v>
      </c>
      <c r="D9052" s="451">
        <v>1.97</v>
      </c>
      <c r="E9052" s="210"/>
    </row>
    <row r="9053" spans="1:5" ht="25.5">
      <c r="A9053" s="449">
        <v>38095</v>
      </c>
      <c r="B9053" s="450" t="s">
        <v>9875</v>
      </c>
      <c r="C9053" s="449" t="s">
        <v>679</v>
      </c>
      <c r="D9053" s="451">
        <v>4.16</v>
      </c>
      <c r="E9053" s="210"/>
    </row>
    <row r="9054" spans="1:5" ht="25.5">
      <c r="A9054" s="449">
        <v>38092</v>
      </c>
      <c r="B9054" s="450" t="s">
        <v>9876</v>
      </c>
      <c r="C9054" s="449" t="s">
        <v>679</v>
      </c>
      <c r="D9054" s="451">
        <v>1.86</v>
      </c>
      <c r="E9054" s="210"/>
    </row>
    <row r="9055" spans="1:5" ht="25.5">
      <c r="A9055" s="449">
        <v>38093</v>
      </c>
      <c r="B9055" s="450" t="s">
        <v>9877</v>
      </c>
      <c r="C9055" s="449" t="s">
        <v>679</v>
      </c>
      <c r="D9055" s="451">
        <v>1.93</v>
      </c>
      <c r="E9055" s="210"/>
    </row>
    <row r="9056" spans="1:5" ht="25.5">
      <c r="A9056" s="449">
        <v>38096</v>
      </c>
      <c r="B9056" s="450" t="s">
        <v>9878</v>
      </c>
      <c r="C9056" s="449" t="s">
        <v>679</v>
      </c>
      <c r="D9056" s="451">
        <v>4.4800000000000004</v>
      </c>
      <c r="E9056" s="210"/>
    </row>
    <row r="9057" spans="1:5" ht="25.5">
      <c r="A9057" s="449">
        <v>38094</v>
      </c>
      <c r="B9057" s="450" t="s">
        <v>9879</v>
      </c>
      <c r="C9057" s="449" t="s">
        <v>679</v>
      </c>
      <c r="D9057" s="451">
        <v>2.36</v>
      </c>
      <c r="E9057" s="210"/>
    </row>
    <row r="9058" spans="1:5" ht="25.5">
      <c r="A9058" s="449">
        <v>38097</v>
      </c>
      <c r="B9058" s="450" t="s">
        <v>9880</v>
      </c>
      <c r="C9058" s="449" t="s">
        <v>679</v>
      </c>
      <c r="D9058" s="451">
        <v>4.8</v>
      </c>
      <c r="E9058" s="210"/>
    </row>
    <row r="9059" spans="1:5" ht="25.5">
      <c r="A9059" s="449">
        <v>38098</v>
      </c>
      <c r="B9059" s="450" t="s">
        <v>9881</v>
      </c>
      <c r="C9059" s="449" t="s">
        <v>679</v>
      </c>
      <c r="D9059" s="451">
        <v>4.8</v>
      </c>
      <c r="E9059" s="210"/>
    </row>
    <row r="9060" spans="1:5">
      <c r="A9060" s="449">
        <v>11186</v>
      </c>
      <c r="B9060" s="450" t="s">
        <v>9882</v>
      </c>
      <c r="C9060" s="449" t="s">
        <v>684</v>
      </c>
      <c r="D9060" s="451">
        <v>477.96</v>
      </c>
      <c r="E9060" s="210"/>
    </row>
    <row r="9061" spans="1:5" ht="51">
      <c r="A9061" s="449">
        <v>11558</v>
      </c>
      <c r="B9061" s="450" t="s">
        <v>9883</v>
      </c>
      <c r="C9061" s="449" t="s">
        <v>690</v>
      </c>
      <c r="D9061" s="451">
        <v>15.4</v>
      </c>
      <c r="E9061" s="210"/>
    </row>
    <row r="9062" spans="1:5" ht="51">
      <c r="A9062" s="449">
        <v>11557</v>
      </c>
      <c r="B9062" s="450" t="s">
        <v>9884</v>
      </c>
      <c r="C9062" s="449" t="s">
        <v>690</v>
      </c>
      <c r="D9062" s="451">
        <v>39</v>
      </c>
      <c r="E9062" s="210"/>
    </row>
    <row r="9063" spans="1:5">
      <c r="A9063" s="449">
        <v>2759</v>
      </c>
      <c r="B9063" s="450" t="s">
        <v>9885</v>
      </c>
      <c r="C9063" s="449" t="s">
        <v>679</v>
      </c>
      <c r="D9063" s="451">
        <v>8.6</v>
      </c>
      <c r="E9063" s="210"/>
    </row>
    <row r="9064" spans="1:5" ht="25.5">
      <c r="A9064" s="449">
        <v>38124</v>
      </c>
      <c r="B9064" s="450" t="s">
        <v>9886</v>
      </c>
      <c r="C9064" s="449" t="s">
        <v>679</v>
      </c>
      <c r="D9064" s="451">
        <v>29.99</v>
      </c>
      <c r="E9064" s="210"/>
    </row>
    <row r="9065" spans="1:5" ht="25.5">
      <c r="A9065" s="449">
        <v>38380</v>
      </c>
      <c r="B9065" s="450" t="s">
        <v>9887</v>
      </c>
      <c r="C9065" s="449" t="s">
        <v>679</v>
      </c>
      <c r="D9065" s="451">
        <v>27.88</v>
      </c>
      <c r="E9065" s="210"/>
    </row>
    <row r="9066" spans="1:5" ht="38.25">
      <c r="A9066" s="449">
        <v>20059</v>
      </c>
      <c r="B9066" s="450" t="s">
        <v>9888</v>
      </c>
      <c r="C9066" s="449" t="s">
        <v>679</v>
      </c>
      <c r="D9066" s="451">
        <v>16.75</v>
      </c>
      <c r="E9066" s="210"/>
    </row>
    <row r="9067" spans="1:5" ht="63.75">
      <c r="A9067" s="449">
        <v>42429</v>
      </c>
      <c r="B9067" s="450" t="s">
        <v>9889</v>
      </c>
      <c r="C9067" s="449" t="s">
        <v>679</v>
      </c>
      <c r="D9067" s="451">
        <v>4616.32</v>
      </c>
      <c r="E9067" s="210"/>
    </row>
    <row r="9068" spans="1:5">
      <c r="A9068" s="449">
        <v>39616</v>
      </c>
      <c r="B9068" s="450" t="s">
        <v>9890</v>
      </c>
      <c r="C9068" s="449" t="s">
        <v>679</v>
      </c>
      <c r="D9068" s="451">
        <v>534.99</v>
      </c>
      <c r="E9068" s="210"/>
    </row>
    <row r="9069" spans="1:5">
      <c r="A9069" s="449">
        <v>39618</v>
      </c>
      <c r="B9069" s="450" t="s">
        <v>9891</v>
      </c>
      <c r="C9069" s="449" t="s">
        <v>679</v>
      </c>
      <c r="D9069" s="451">
        <v>970.38</v>
      </c>
      <c r="E9069" s="210"/>
    </row>
    <row r="9070" spans="1:5">
      <c r="A9070" s="449">
        <v>39619</v>
      </c>
      <c r="B9070" s="450" t="s">
        <v>9892</v>
      </c>
      <c r="C9070" s="449" t="s">
        <v>679</v>
      </c>
      <c r="D9070" s="451">
        <v>1329.03</v>
      </c>
      <c r="E9070" s="210"/>
    </row>
    <row r="9071" spans="1:5">
      <c r="A9071" s="449">
        <v>39613</v>
      </c>
      <c r="B9071" s="450" t="s">
        <v>9893</v>
      </c>
      <c r="C9071" s="449" t="s">
        <v>679</v>
      </c>
      <c r="D9071" s="451">
        <v>212.51</v>
      </c>
      <c r="E9071" s="210"/>
    </row>
    <row r="9072" spans="1:5">
      <c r="A9072" s="449">
        <v>39614</v>
      </c>
      <c r="B9072" s="450" t="s">
        <v>9894</v>
      </c>
      <c r="C9072" s="449" t="s">
        <v>679</v>
      </c>
      <c r="D9072" s="451">
        <v>310.02999999999997</v>
      </c>
      <c r="E9072" s="210"/>
    </row>
    <row r="9073" spans="1:5" ht="63.75">
      <c r="A9073" s="449">
        <v>38538</v>
      </c>
      <c r="B9073" s="450" t="s">
        <v>9895</v>
      </c>
      <c r="C9073" s="449" t="s">
        <v>683</v>
      </c>
      <c r="D9073" s="451">
        <v>56.5</v>
      </c>
      <c r="E9073" s="210"/>
    </row>
    <row r="9074" spans="1:5" ht="51">
      <c r="A9074" s="449">
        <v>38539</v>
      </c>
      <c r="B9074" s="450" t="s">
        <v>9896</v>
      </c>
      <c r="C9074" s="449" t="s">
        <v>683</v>
      </c>
      <c r="D9074" s="451">
        <v>76.83</v>
      </c>
      <c r="E9074" s="210"/>
    </row>
    <row r="9075" spans="1:5" ht="51">
      <c r="A9075" s="449">
        <v>38540</v>
      </c>
      <c r="B9075" s="450" t="s">
        <v>9897</v>
      </c>
      <c r="C9075" s="449" t="s">
        <v>683</v>
      </c>
      <c r="D9075" s="451">
        <v>196.9</v>
      </c>
      <c r="E9075" s="210"/>
    </row>
    <row r="9076" spans="1:5">
      <c r="A9076" s="449">
        <v>38384</v>
      </c>
      <c r="B9076" s="450" t="s">
        <v>9898</v>
      </c>
      <c r="C9076" s="449" t="s">
        <v>679</v>
      </c>
      <c r="D9076" s="451">
        <v>20.49</v>
      </c>
      <c r="E9076" s="210"/>
    </row>
    <row r="9077" spans="1:5">
      <c r="A9077" s="449">
        <v>13</v>
      </c>
      <c r="B9077" s="450" t="s">
        <v>9899</v>
      </c>
      <c r="C9077" s="449" t="s">
        <v>676</v>
      </c>
      <c r="D9077" s="451">
        <v>21.54</v>
      </c>
      <c r="E9077" s="210"/>
    </row>
    <row r="9078" spans="1:5">
      <c r="A9078" s="449">
        <v>2762</v>
      </c>
      <c r="B9078" s="450" t="s">
        <v>9900</v>
      </c>
      <c r="C9078" s="449" t="s">
        <v>683</v>
      </c>
      <c r="D9078" s="451">
        <v>10.75</v>
      </c>
      <c r="E9078" s="210"/>
    </row>
    <row r="9079" spans="1:5" ht="38.25">
      <c r="A9079" s="449">
        <v>21142</v>
      </c>
      <c r="B9079" s="450" t="s">
        <v>9901</v>
      </c>
      <c r="C9079" s="449" t="s">
        <v>679</v>
      </c>
      <c r="D9079" s="451">
        <v>29.46</v>
      </c>
      <c r="E9079" s="210"/>
    </row>
    <row r="9080" spans="1:5">
      <c r="A9080" s="449">
        <v>4223</v>
      </c>
      <c r="B9080" s="450" t="s">
        <v>9902</v>
      </c>
      <c r="C9080" s="449" t="s">
        <v>678</v>
      </c>
      <c r="D9080" s="451">
        <v>4.03</v>
      </c>
      <c r="E9080" s="210"/>
    </row>
    <row r="9081" spans="1:5">
      <c r="A9081" s="449">
        <v>37372</v>
      </c>
      <c r="B9081" s="450" t="s">
        <v>9903</v>
      </c>
      <c r="C9081" s="449" t="s">
        <v>682</v>
      </c>
      <c r="D9081" s="451">
        <v>0.55000000000000004</v>
      </c>
      <c r="E9081" s="210"/>
    </row>
    <row r="9082" spans="1:5">
      <c r="A9082" s="449">
        <v>40863</v>
      </c>
      <c r="B9082" s="450" t="s">
        <v>9904</v>
      </c>
      <c r="C9082" s="449" t="s">
        <v>797</v>
      </c>
      <c r="D9082" s="451">
        <v>103.7</v>
      </c>
      <c r="E9082" s="210"/>
    </row>
    <row r="9083" spans="1:5" ht="25.5">
      <c r="A9083" s="449">
        <v>38475</v>
      </c>
      <c r="B9083" s="450" t="s">
        <v>9905</v>
      </c>
      <c r="C9083" s="449" t="s">
        <v>679</v>
      </c>
      <c r="D9083" s="451">
        <v>25.93</v>
      </c>
      <c r="E9083" s="210"/>
    </row>
    <row r="9084" spans="1:5">
      <c r="A9084" s="449">
        <v>38474</v>
      </c>
      <c r="B9084" s="450" t="s">
        <v>9906</v>
      </c>
      <c r="C9084" s="449" t="s">
        <v>679</v>
      </c>
      <c r="D9084" s="451">
        <v>32.06</v>
      </c>
      <c r="E9084" s="210"/>
    </row>
    <row r="9085" spans="1:5" ht="25.5">
      <c r="A9085" s="449">
        <v>10886</v>
      </c>
      <c r="B9085" s="450" t="s">
        <v>9907</v>
      </c>
      <c r="C9085" s="449" t="s">
        <v>679</v>
      </c>
      <c r="D9085" s="451">
        <v>164.5</v>
      </c>
      <c r="E9085" s="210"/>
    </row>
    <row r="9086" spans="1:5" ht="25.5">
      <c r="A9086" s="449">
        <v>10888</v>
      </c>
      <c r="B9086" s="450" t="s">
        <v>9908</v>
      </c>
      <c r="C9086" s="449" t="s">
        <v>679</v>
      </c>
      <c r="D9086" s="451">
        <v>520.61</v>
      </c>
      <c r="E9086" s="210"/>
    </row>
    <row r="9087" spans="1:5" ht="25.5">
      <c r="A9087" s="449">
        <v>10889</v>
      </c>
      <c r="B9087" s="450" t="s">
        <v>9909</v>
      </c>
      <c r="C9087" s="449" t="s">
        <v>679</v>
      </c>
      <c r="D9087" s="451">
        <v>564</v>
      </c>
      <c r="E9087" s="210"/>
    </row>
    <row r="9088" spans="1:5" ht="25.5">
      <c r="A9088" s="449">
        <v>10890</v>
      </c>
      <c r="B9088" s="450" t="s">
        <v>9910</v>
      </c>
      <c r="C9088" s="449" t="s">
        <v>679</v>
      </c>
      <c r="D9088" s="451">
        <v>260.3</v>
      </c>
      <c r="E9088" s="210"/>
    </row>
    <row r="9089" spans="1:5" ht="25.5">
      <c r="A9089" s="449">
        <v>10891</v>
      </c>
      <c r="B9089" s="450" t="s">
        <v>9911</v>
      </c>
      <c r="C9089" s="449" t="s">
        <v>679</v>
      </c>
      <c r="D9089" s="451">
        <v>159.07</v>
      </c>
      <c r="E9089" s="210"/>
    </row>
    <row r="9090" spans="1:5" ht="25.5">
      <c r="A9090" s="449">
        <v>10892</v>
      </c>
      <c r="B9090" s="450" t="s">
        <v>9912</v>
      </c>
      <c r="C9090" s="449" t="s">
        <v>679</v>
      </c>
      <c r="D9090" s="451">
        <v>188</v>
      </c>
      <c r="E9090" s="210"/>
    </row>
    <row r="9091" spans="1:5" ht="25.5">
      <c r="A9091" s="449">
        <v>20977</v>
      </c>
      <c r="B9091" s="450" t="s">
        <v>9913</v>
      </c>
      <c r="C9091" s="449" t="s">
        <v>679</v>
      </c>
      <c r="D9091" s="451">
        <v>224.15</v>
      </c>
      <c r="E9091" s="210"/>
    </row>
    <row r="9092" spans="1:5" ht="25.5">
      <c r="A9092" s="449">
        <v>3073</v>
      </c>
      <c r="B9092" s="450" t="s">
        <v>9914</v>
      </c>
      <c r="C9092" s="449" t="s">
        <v>679</v>
      </c>
      <c r="D9092" s="451">
        <v>224.57</v>
      </c>
      <c r="E9092" s="210"/>
    </row>
    <row r="9093" spans="1:5" ht="25.5">
      <c r="A9093" s="449">
        <v>3068</v>
      </c>
      <c r="B9093" s="450" t="s">
        <v>9915</v>
      </c>
      <c r="C9093" s="449" t="s">
        <v>679</v>
      </c>
      <c r="D9093" s="451">
        <v>44.89</v>
      </c>
      <c r="E9093" s="210"/>
    </row>
    <row r="9094" spans="1:5" ht="25.5">
      <c r="A9094" s="449">
        <v>3074</v>
      </c>
      <c r="B9094" s="450" t="s">
        <v>9916</v>
      </c>
      <c r="C9094" s="449" t="s">
        <v>679</v>
      </c>
      <c r="D9094" s="451">
        <v>141.78</v>
      </c>
      <c r="E9094" s="210"/>
    </row>
    <row r="9095" spans="1:5" ht="25.5">
      <c r="A9095" s="449">
        <v>3076</v>
      </c>
      <c r="B9095" s="450" t="s">
        <v>9917</v>
      </c>
      <c r="C9095" s="449" t="s">
        <v>679</v>
      </c>
      <c r="D9095" s="451">
        <v>184.62</v>
      </c>
      <c r="E9095" s="210"/>
    </row>
    <row r="9096" spans="1:5" ht="25.5">
      <c r="A9096" s="449">
        <v>3072</v>
      </c>
      <c r="B9096" s="450" t="s">
        <v>9918</v>
      </c>
      <c r="C9096" s="449" t="s">
        <v>679</v>
      </c>
      <c r="D9096" s="451">
        <v>46.51</v>
      </c>
      <c r="E9096" s="210"/>
    </row>
    <row r="9097" spans="1:5" ht="25.5">
      <c r="A9097" s="449">
        <v>3075</v>
      </c>
      <c r="B9097" s="450" t="s">
        <v>9919</v>
      </c>
      <c r="C9097" s="449" t="s">
        <v>679</v>
      </c>
      <c r="D9097" s="451">
        <v>116.67</v>
      </c>
      <c r="E9097" s="210"/>
    </row>
    <row r="9098" spans="1:5" ht="25.5">
      <c r="A9098" s="449">
        <v>10780</v>
      </c>
      <c r="B9098" s="450" t="s">
        <v>9920</v>
      </c>
      <c r="C9098" s="449" t="s">
        <v>679</v>
      </c>
      <c r="D9098" s="451">
        <v>9.86</v>
      </c>
      <c r="E9098" s="210"/>
    </row>
    <row r="9099" spans="1:5" ht="25.5">
      <c r="A9099" s="449">
        <v>10781</v>
      </c>
      <c r="B9099" s="450" t="s">
        <v>9921</v>
      </c>
      <c r="C9099" s="449" t="s">
        <v>679</v>
      </c>
      <c r="D9099" s="451">
        <v>15.82</v>
      </c>
      <c r="E9099" s="210"/>
    </row>
    <row r="9100" spans="1:5" ht="25.5">
      <c r="A9100" s="449">
        <v>20106</v>
      </c>
      <c r="B9100" s="450" t="s">
        <v>9922</v>
      </c>
      <c r="C9100" s="449" t="s">
        <v>679</v>
      </c>
      <c r="D9100" s="451">
        <v>5.21</v>
      </c>
      <c r="E9100" s="210"/>
    </row>
    <row r="9101" spans="1:5" ht="25.5">
      <c r="A9101" s="449">
        <v>20107</v>
      </c>
      <c r="B9101" s="450" t="s">
        <v>9923</v>
      </c>
      <c r="C9101" s="449" t="s">
        <v>679</v>
      </c>
      <c r="D9101" s="451">
        <v>5.97</v>
      </c>
      <c r="E9101" s="210"/>
    </row>
    <row r="9102" spans="1:5" ht="25.5">
      <c r="A9102" s="449">
        <v>20108</v>
      </c>
      <c r="B9102" s="450" t="s">
        <v>9924</v>
      </c>
      <c r="C9102" s="449" t="s">
        <v>679</v>
      </c>
      <c r="D9102" s="451">
        <v>7.88</v>
      </c>
      <c r="E9102" s="210"/>
    </row>
    <row r="9103" spans="1:5" ht="25.5">
      <c r="A9103" s="449">
        <v>20109</v>
      </c>
      <c r="B9103" s="450" t="s">
        <v>9925</v>
      </c>
      <c r="C9103" s="449" t="s">
        <v>679</v>
      </c>
      <c r="D9103" s="451">
        <v>9.86</v>
      </c>
      <c r="E9103" s="210"/>
    </row>
    <row r="9104" spans="1:5" ht="51">
      <c r="A9104" s="449">
        <v>43612</v>
      </c>
      <c r="B9104" s="450" t="s">
        <v>9926</v>
      </c>
      <c r="C9104" s="449" t="s">
        <v>686</v>
      </c>
      <c r="D9104" s="451">
        <v>82.91</v>
      </c>
      <c r="E9104" s="210"/>
    </row>
    <row r="9105" spans="1:5" ht="51">
      <c r="A9105" s="449">
        <v>43613</v>
      </c>
      <c r="B9105" s="450" t="s">
        <v>9927</v>
      </c>
      <c r="C9105" s="449" t="s">
        <v>686</v>
      </c>
      <c r="D9105" s="451">
        <v>68.63</v>
      </c>
      <c r="E9105" s="210"/>
    </row>
    <row r="9106" spans="1:5" ht="51">
      <c r="A9106" s="449">
        <v>11480</v>
      </c>
      <c r="B9106" s="450" t="s">
        <v>9928</v>
      </c>
      <c r="C9106" s="449" t="s">
        <v>686</v>
      </c>
      <c r="D9106" s="451">
        <v>105.33</v>
      </c>
      <c r="E9106" s="210"/>
    </row>
    <row r="9107" spans="1:5" ht="76.5">
      <c r="A9107" s="449">
        <v>11469</v>
      </c>
      <c r="B9107" s="450" t="s">
        <v>9929</v>
      </c>
      <c r="C9107" s="449" t="s">
        <v>679</v>
      </c>
      <c r="D9107" s="451">
        <v>11.24</v>
      </c>
      <c r="E9107" s="210"/>
    </row>
    <row r="9108" spans="1:5" ht="38.25">
      <c r="A9108" s="449">
        <v>11468</v>
      </c>
      <c r="B9108" s="450" t="s">
        <v>9930</v>
      </c>
      <c r="C9108" s="449" t="s">
        <v>679</v>
      </c>
      <c r="D9108" s="451">
        <v>11.25</v>
      </c>
      <c r="E9108" s="210"/>
    </row>
    <row r="9109" spans="1:5" ht="38.25">
      <c r="A9109" s="449">
        <v>11484</v>
      </c>
      <c r="B9109" s="450" t="s">
        <v>9931</v>
      </c>
      <c r="C9109" s="449" t="s">
        <v>679</v>
      </c>
      <c r="D9109" s="451">
        <v>49.42</v>
      </c>
      <c r="E9109" s="210"/>
    </row>
    <row r="9110" spans="1:5" ht="38.25">
      <c r="A9110" s="449">
        <v>38155</v>
      </c>
      <c r="B9110" s="450" t="s">
        <v>9932</v>
      </c>
      <c r="C9110" s="449" t="s">
        <v>679</v>
      </c>
      <c r="D9110" s="451">
        <v>76.72</v>
      </c>
      <c r="E9110" s="210"/>
    </row>
    <row r="9111" spans="1:5" ht="51">
      <c r="A9111" s="449">
        <v>11467</v>
      </c>
      <c r="B9111" s="450" t="s">
        <v>9933</v>
      </c>
      <c r="C9111" s="449" t="s">
        <v>679</v>
      </c>
      <c r="D9111" s="451">
        <v>17.53</v>
      </c>
      <c r="E9111" s="210"/>
    </row>
    <row r="9112" spans="1:5" ht="76.5">
      <c r="A9112" s="449">
        <v>38153</v>
      </c>
      <c r="B9112" s="450" t="s">
        <v>9934</v>
      </c>
      <c r="C9112" s="449" t="s">
        <v>686</v>
      </c>
      <c r="D9112" s="451">
        <v>44.78</v>
      </c>
      <c r="E9112" s="210"/>
    </row>
    <row r="9113" spans="1:5" ht="89.25">
      <c r="A9113" s="449">
        <v>43607</v>
      </c>
      <c r="B9113" s="450" t="s">
        <v>9935</v>
      </c>
      <c r="C9113" s="449" t="s">
        <v>686</v>
      </c>
      <c r="D9113" s="451">
        <v>84.7</v>
      </c>
      <c r="E9113" s="210"/>
    </row>
    <row r="9114" spans="1:5" ht="76.5">
      <c r="A9114" s="449">
        <v>3080</v>
      </c>
      <c r="B9114" s="450" t="s">
        <v>9936</v>
      </c>
      <c r="C9114" s="449" t="s">
        <v>686</v>
      </c>
      <c r="D9114" s="451">
        <v>56.95</v>
      </c>
      <c r="E9114" s="210"/>
    </row>
    <row r="9115" spans="1:5" ht="76.5">
      <c r="A9115" s="449">
        <v>3081</v>
      </c>
      <c r="B9115" s="450" t="s">
        <v>9937</v>
      </c>
      <c r="C9115" s="449" t="s">
        <v>686</v>
      </c>
      <c r="D9115" s="451">
        <v>112.67</v>
      </c>
      <c r="E9115" s="210"/>
    </row>
    <row r="9116" spans="1:5" ht="76.5">
      <c r="A9116" s="449">
        <v>3090</v>
      </c>
      <c r="B9116" s="450" t="s">
        <v>9938</v>
      </c>
      <c r="C9116" s="449" t="s">
        <v>686</v>
      </c>
      <c r="D9116" s="451">
        <v>50.83</v>
      </c>
      <c r="E9116" s="210"/>
    </row>
    <row r="9117" spans="1:5" ht="76.5">
      <c r="A9117" s="449">
        <v>43611</v>
      </c>
      <c r="B9117" s="450" t="s">
        <v>9939</v>
      </c>
      <c r="C9117" s="449" t="s">
        <v>686</v>
      </c>
      <c r="D9117" s="451">
        <v>84.35</v>
      </c>
      <c r="E9117" s="210"/>
    </row>
    <row r="9118" spans="1:5" ht="63.75">
      <c r="A9118" s="449">
        <v>3103</v>
      </c>
      <c r="B9118" s="450" t="s">
        <v>9940</v>
      </c>
      <c r="C9118" s="449" t="s">
        <v>679</v>
      </c>
      <c r="D9118" s="451">
        <v>42.14</v>
      </c>
      <c r="E9118" s="210"/>
    </row>
    <row r="9119" spans="1:5" ht="76.5">
      <c r="A9119" s="449">
        <v>3097</v>
      </c>
      <c r="B9119" s="450" t="s">
        <v>9941</v>
      </c>
      <c r="C9119" s="449" t="s">
        <v>686</v>
      </c>
      <c r="D9119" s="451">
        <v>63.76</v>
      </c>
      <c r="E9119" s="210"/>
    </row>
    <row r="9120" spans="1:5" ht="76.5">
      <c r="A9120" s="449">
        <v>3099</v>
      </c>
      <c r="B9120" s="450" t="s">
        <v>9942</v>
      </c>
      <c r="C9120" s="449" t="s">
        <v>686</v>
      </c>
      <c r="D9120" s="451">
        <v>102.1</v>
      </c>
      <c r="E9120" s="210"/>
    </row>
    <row r="9121" spans="1:5" ht="76.5">
      <c r="A9121" s="449">
        <v>38151</v>
      </c>
      <c r="B9121" s="450" t="s">
        <v>9943</v>
      </c>
      <c r="C9121" s="449" t="s">
        <v>686</v>
      </c>
      <c r="D9121" s="451">
        <v>74.02</v>
      </c>
      <c r="E9121" s="210"/>
    </row>
    <row r="9122" spans="1:5" ht="76.5">
      <c r="A9122" s="449">
        <v>38152</v>
      </c>
      <c r="B9122" s="450" t="s">
        <v>9944</v>
      </c>
      <c r="C9122" s="449" t="s">
        <v>686</v>
      </c>
      <c r="D9122" s="451">
        <v>119.4</v>
      </c>
      <c r="E9122" s="210"/>
    </row>
    <row r="9123" spans="1:5" ht="89.25">
      <c r="A9123" s="449">
        <v>43610</v>
      </c>
      <c r="B9123" s="450" t="s">
        <v>9945</v>
      </c>
      <c r="C9123" s="449" t="s">
        <v>686</v>
      </c>
      <c r="D9123" s="451">
        <v>63.27</v>
      </c>
      <c r="E9123" s="210"/>
    </row>
    <row r="9124" spans="1:5" ht="76.5">
      <c r="A9124" s="449">
        <v>3093</v>
      </c>
      <c r="B9124" s="450" t="s">
        <v>9946</v>
      </c>
      <c r="C9124" s="449" t="s">
        <v>686</v>
      </c>
      <c r="D9124" s="451">
        <v>102.1</v>
      </c>
      <c r="E9124" s="210"/>
    </row>
    <row r="9125" spans="1:5" ht="51">
      <c r="A9125" s="449">
        <v>38165</v>
      </c>
      <c r="B9125" s="450" t="s">
        <v>9947</v>
      </c>
      <c r="C9125" s="449" t="s">
        <v>686</v>
      </c>
      <c r="D9125" s="451">
        <v>74.11</v>
      </c>
      <c r="E9125" s="210"/>
    </row>
    <row r="9126" spans="1:5" ht="38.25">
      <c r="A9126" s="449">
        <v>38177</v>
      </c>
      <c r="B9126" s="450" t="s">
        <v>9948</v>
      </c>
      <c r="C9126" s="449" t="s">
        <v>679</v>
      </c>
      <c r="D9126" s="451">
        <v>22.02</v>
      </c>
      <c r="E9126" s="210"/>
    </row>
    <row r="9127" spans="1:5" ht="38.25">
      <c r="A9127" s="449">
        <v>11458</v>
      </c>
      <c r="B9127" s="450" t="s">
        <v>9949</v>
      </c>
      <c r="C9127" s="449" t="s">
        <v>679</v>
      </c>
      <c r="D9127" s="451">
        <v>26.29</v>
      </c>
      <c r="E9127" s="210"/>
    </row>
    <row r="9128" spans="1:5" ht="76.5">
      <c r="A9128" s="449">
        <v>3108</v>
      </c>
      <c r="B9128" s="450" t="s">
        <v>9950</v>
      </c>
      <c r="C9128" s="449" t="s">
        <v>679</v>
      </c>
      <c r="D9128" s="451">
        <v>111.76</v>
      </c>
      <c r="E9128" s="210"/>
    </row>
    <row r="9129" spans="1:5" ht="76.5">
      <c r="A9129" s="449">
        <v>3105</v>
      </c>
      <c r="B9129" s="450" t="s">
        <v>9951</v>
      </c>
      <c r="C9129" s="449" t="s">
        <v>679</v>
      </c>
      <c r="D9129" s="451">
        <v>146.18</v>
      </c>
      <c r="E9129" s="210"/>
    </row>
    <row r="9130" spans="1:5" ht="63.75">
      <c r="A9130" s="449">
        <v>38178</v>
      </c>
      <c r="B9130" s="450" t="s">
        <v>9952</v>
      </c>
      <c r="C9130" s="449" t="s">
        <v>679</v>
      </c>
      <c r="D9130" s="451">
        <v>24.23</v>
      </c>
      <c r="E9130" s="210"/>
    </row>
    <row r="9131" spans="1:5" ht="63.75">
      <c r="A9131" s="449">
        <v>43575</v>
      </c>
      <c r="B9131" s="450" t="s">
        <v>9953</v>
      </c>
      <c r="C9131" s="449" t="s">
        <v>679</v>
      </c>
      <c r="D9131" s="451">
        <v>52.5</v>
      </c>
      <c r="E9131" s="210"/>
    </row>
    <row r="9132" spans="1:5" ht="63.75">
      <c r="A9132" s="449">
        <v>43577</v>
      </c>
      <c r="B9132" s="450" t="s">
        <v>9954</v>
      </c>
      <c r="C9132" s="449" t="s">
        <v>679</v>
      </c>
      <c r="D9132" s="451">
        <v>91.27</v>
      </c>
      <c r="E9132" s="210"/>
    </row>
    <row r="9133" spans="1:5" ht="38.25">
      <c r="A9133" s="449">
        <v>43458</v>
      </c>
      <c r="B9133" s="450" t="s">
        <v>9955</v>
      </c>
      <c r="C9133" s="449" t="s">
        <v>682</v>
      </c>
      <c r="D9133" s="451">
        <v>0.04</v>
      </c>
      <c r="E9133" s="210"/>
    </row>
    <row r="9134" spans="1:5" ht="38.25">
      <c r="A9134" s="449">
        <v>43470</v>
      </c>
      <c r="B9134" s="450" t="s">
        <v>9956</v>
      </c>
      <c r="C9134" s="449" t="s">
        <v>797</v>
      </c>
      <c r="D9134" s="451">
        <v>7.9</v>
      </c>
      <c r="E9134" s="210"/>
    </row>
    <row r="9135" spans="1:5" ht="38.25">
      <c r="A9135" s="449">
        <v>43459</v>
      </c>
      <c r="B9135" s="450" t="s">
        <v>9957</v>
      </c>
      <c r="C9135" s="449" t="s">
        <v>682</v>
      </c>
      <c r="D9135" s="451">
        <v>0.38</v>
      </c>
      <c r="E9135" s="210"/>
    </row>
    <row r="9136" spans="1:5" ht="38.25">
      <c r="A9136" s="449">
        <v>43471</v>
      </c>
      <c r="B9136" s="450" t="s">
        <v>9958</v>
      </c>
      <c r="C9136" s="449" t="s">
        <v>797</v>
      </c>
      <c r="D9136" s="451">
        <v>71.44</v>
      </c>
      <c r="E9136" s="210"/>
    </row>
    <row r="9137" spans="1:5" ht="38.25">
      <c r="A9137" s="449">
        <v>43460</v>
      </c>
      <c r="B9137" s="450" t="s">
        <v>9959</v>
      </c>
      <c r="C9137" s="449" t="s">
        <v>682</v>
      </c>
      <c r="D9137" s="451">
        <v>0.62</v>
      </c>
      <c r="E9137" s="210"/>
    </row>
    <row r="9138" spans="1:5" ht="38.25">
      <c r="A9138" s="449">
        <v>43472</v>
      </c>
      <c r="B9138" s="450" t="s">
        <v>9960</v>
      </c>
      <c r="C9138" s="449" t="s">
        <v>797</v>
      </c>
      <c r="D9138" s="451">
        <v>117.38</v>
      </c>
      <c r="E9138" s="210"/>
    </row>
    <row r="9139" spans="1:5" ht="38.25">
      <c r="A9139" s="449">
        <v>43461</v>
      </c>
      <c r="B9139" s="450" t="s">
        <v>9961</v>
      </c>
      <c r="C9139" s="449" t="s">
        <v>682</v>
      </c>
      <c r="D9139" s="451">
        <v>0.28000000000000003</v>
      </c>
      <c r="E9139" s="210"/>
    </row>
    <row r="9140" spans="1:5" ht="38.25">
      <c r="A9140" s="449">
        <v>43473</v>
      </c>
      <c r="B9140" s="450" t="s">
        <v>9962</v>
      </c>
      <c r="C9140" s="449" t="s">
        <v>797</v>
      </c>
      <c r="D9140" s="451">
        <v>53.34</v>
      </c>
      <c r="E9140" s="210"/>
    </row>
    <row r="9141" spans="1:5" ht="38.25">
      <c r="A9141" s="449">
        <v>43463</v>
      </c>
      <c r="B9141" s="450" t="s">
        <v>9963</v>
      </c>
      <c r="C9141" s="449" t="s">
        <v>682</v>
      </c>
      <c r="D9141" s="451">
        <v>0.08</v>
      </c>
      <c r="E9141" s="210"/>
    </row>
    <row r="9142" spans="1:5" ht="38.25">
      <c r="A9142" s="449">
        <v>43475</v>
      </c>
      <c r="B9142" s="450" t="s">
        <v>9964</v>
      </c>
      <c r="C9142" s="449" t="s">
        <v>797</v>
      </c>
      <c r="D9142" s="451">
        <v>14.97</v>
      </c>
      <c r="E9142" s="210"/>
    </row>
    <row r="9143" spans="1:5" ht="38.25">
      <c r="A9143" s="449">
        <v>43462</v>
      </c>
      <c r="B9143" s="450" t="s">
        <v>9965</v>
      </c>
      <c r="C9143" s="449" t="s">
        <v>682</v>
      </c>
      <c r="D9143" s="451">
        <v>0.01</v>
      </c>
      <c r="E9143" s="210"/>
    </row>
    <row r="9144" spans="1:5" ht="38.25">
      <c r="A9144" s="449">
        <v>43474</v>
      </c>
      <c r="B9144" s="450" t="s">
        <v>9966</v>
      </c>
      <c r="C9144" s="449" t="s">
        <v>797</v>
      </c>
      <c r="D9144" s="451">
        <v>1.6</v>
      </c>
      <c r="E9144" s="210"/>
    </row>
    <row r="9145" spans="1:5" ht="38.25">
      <c r="A9145" s="449">
        <v>43464</v>
      </c>
      <c r="B9145" s="450" t="s">
        <v>9967</v>
      </c>
      <c r="C9145" s="449" t="s">
        <v>682</v>
      </c>
      <c r="D9145" s="451">
        <v>0.01</v>
      </c>
      <c r="E9145" s="210"/>
    </row>
    <row r="9146" spans="1:5" ht="38.25">
      <c r="A9146" s="449">
        <v>43476</v>
      </c>
      <c r="B9146" s="450" t="s">
        <v>9968</v>
      </c>
      <c r="C9146" s="449" t="s">
        <v>797</v>
      </c>
      <c r="D9146" s="451">
        <v>0.01</v>
      </c>
      <c r="E9146" s="210"/>
    </row>
    <row r="9147" spans="1:5" ht="38.25">
      <c r="A9147" s="449">
        <v>43465</v>
      </c>
      <c r="B9147" s="450" t="s">
        <v>9969</v>
      </c>
      <c r="C9147" s="449" t="s">
        <v>682</v>
      </c>
      <c r="D9147" s="451">
        <v>0.57999999999999996</v>
      </c>
      <c r="E9147" s="210"/>
    </row>
    <row r="9148" spans="1:5" ht="38.25">
      <c r="A9148" s="449">
        <v>43477</v>
      </c>
      <c r="B9148" s="450" t="s">
        <v>9970</v>
      </c>
      <c r="C9148" s="449" t="s">
        <v>797</v>
      </c>
      <c r="D9148" s="451">
        <v>110.22</v>
      </c>
      <c r="E9148" s="210"/>
    </row>
    <row r="9149" spans="1:5" ht="38.25">
      <c r="A9149" s="449">
        <v>43466</v>
      </c>
      <c r="B9149" s="450" t="s">
        <v>9971</v>
      </c>
      <c r="C9149" s="449" t="s">
        <v>682</v>
      </c>
      <c r="D9149" s="451">
        <v>1.27</v>
      </c>
      <c r="E9149" s="210"/>
    </row>
    <row r="9150" spans="1:5" ht="38.25">
      <c r="A9150" s="449">
        <v>43478</v>
      </c>
      <c r="B9150" s="450" t="s">
        <v>9972</v>
      </c>
      <c r="C9150" s="449" t="s">
        <v>797</v>
      </c>
      <c r="D9150" s="451">
        <v>240.1</v>
      </c>
      <c r="E9150" s="210"/>
    </row>
    <row r="9151" spans="1:5" ht="38.25">
      <c r="A9151" s="449">
        <v>43467</v>
      </c>
      <c r="B9151" s="450" t="s">
        <v>9973</v>
      </c>
      <c r="C9151" s="449" t="s">
        <v>682</v>
      </c>
      <c r="D9151" s="451">
        <v>0.41</v>
      </c>
      <c r="E9151" s="210"/>
    </row>
    <row r="9152" spans="1:5" ht="38.25">
      <c r="A9152" s="449">
        <v>43479</v>
      </c>
      <c r="B9152" s="450" t="s">
        <v>9974</v>
      </c>
      <c r="C9152" s="449" t="s">
        <v>797</v>
      </c>
      <c r="D9152" s="451">
        <v>76.97</v>
      </c>
      <c r="E9152" s="210"/>
    </row>
    <row r="9153" spans="1:5" ht="38.25">
      <c r="A9153" s="449">
        <v>43468</v>
      </c>
      <c r="B9153" s="450" t="s">
        <v>9975</v>
      </c>
      <c r="C9153" s="449" t="s">
        <v>682</v>
      </c>
      <c r="D9153" s="451">
        <v>0.89</v>
      </c>
      <c r="E9153" s="210"/>
    </row>
    <row r="9154" spans="1:5" ht="38.25">
      <c r="A9154" s="449">
        <v>43480</v>
      </c>
      <c r="B9154" s="450" t="s">
        <v>9976</v>
      </c>
      <c r="C9154" s="449" t="s">
        <v>797</v>
      </c>
      <c r="D9154" s="451">
        <v>167.28</v>
      </c>
      <c r="E9154" s="210"/>
    </row>
    <row r="9155" spans="1:5" ht="38.25">
      <c r="A9155" s="449">
        <v>43469</v>
      </c>
      <c r="B9155" s="450" t="s">
        <v>9977</v>
      </c>
      <c r="C9155" s="449" t="s">
        <v>682</v>
      </c>
      <c r="D9155" s="451">
        <v>0.06</v>
      </c>
      <c r="E9155" s="210"/>
    </row>
    <row r="9156" spans="1:5" ht="38.25">
      <c r="A9156" s="449">
        <v>43481</v>
      </c>
      <c r="B9156" s="450" t="s">
        <v>9978</v>
      </c>
      <c r="C9156" s="449" t="s">
        <v>797</v>
      </c>
      <c r="D9156" s="451">
        <v>10.78</v>
      </c>
      <c r="E9156" s="210"/>
    </row>
    <row r="9157" spans="1:5" ht="63.75">
      <c r="A9157" s="449">
        <v>3119</v>
      </c>
      <c r="B9157" s="450" t="s">
        <v>9979</v>
      </c>
      <c r="C9157" s="449" t="s">
        <v>679</v>
      </c>
      <c r="D9157" s="451">
        <v>2.84</v>
      </c>
      <c r="E9157" s="210"/>
    </row>
    <row r="9158" spans="1:5" ht="51">
      <c r="A9158" s="449">
        <v>3122</v>
      </c>
      <c r="B9158" s="450" t="s">
        <v>9980</v>
      </c>
      <c r="C9158" s="449" t="s">
        <v>679</v>
      </c>
      <c r="D9158" s="451">
        <v>5.79</v>
      </c>
      <c r="E9158" s="210"/>
    </row>
    <row r="9159" spans="1:5" ht="51">
      <c r="A9159" s="449">
        <v>3121</v>
      </c>
      <c r="B9159" s="450" t="s">
        <v>9981</v>
      </c>
      <c r="C9159" s="449" t="s">
        <v>679</v>
      </c>
      <c r="D9159" s="451">
        <v>6.56</v>
      </c>
      <c r="E9159" s="210"/>
    </row>
    <row r="9160" spans="1:5" ht="51">
      <c r="A9160" s="449">
        <v>3120</v>
      </c>
      <c r="B9160" s="450" t="s">
        <v>9982</v>
      </c>
      <c r="C9160" s="449" t="s">
        <v>679</v>
      </c>
      <c r="D9160" s="451">
        <v>12.44</v>
      </c>
      <c r="E9160" s="210"/>
    </row>
    <row r="9161" spans="1:5" ht="51">
      <c r="A9161" s="449">
        <v>11455</v>
      </c>
      <c r="B9161" s="450" t="s">
        <v>9983</v>
      </c>
      <c r="C9161" s="449" t="s">
        <v>679</v>
      </c>
      <c r="D9161" s="451">
        <v>18</v>
      </c>
      <c r="E9161" s="210"/>
    </row>
    <row r="9162" spans="1:5" ht="51">
      <c r="A9162" s="449">
        <v>11456</v>
      </c>
      <c r="B9162" s="450" t="s">
        <v>9984</v>
      </c>
      <c r="C9162" s="449" t="s">
        <v>679</v>
      </c>
      <c r="D9162" s="451">
        <v>21.51</v>
      </c>
      <c r="E9162" s="210"/>
    </row>
    <row r="9163" spans="1:5" ht="76.5">
      <c r="A9163" s="449">
        <v>3107</v>
      </c>
      <c r="B9163" s="450" t="s">
        <v>9985</v>
      </c>
      <c r="C9163" s="449" t="s">
        <v>679</v>
      </c>
      <c r="D9163" s="451">
        <v>9.07</v>
      </c>
      <c r="E9163" s="210"/>
    </row>
    <row r="9164" spans="1:5" ht="76.5">
      <c r="A9164" s="449">
        <v>43583</v>
      </c>
      <c r="B9164" s="450" t="s">
        <v>9986</v>
      </c>
      <c r="C9164" s="449" t="s">
        <v>679</v>
      </c>
      <c r="D9164" s="451">
        <v>10.23</v>
      </c>
      <c r="E9164" s="210"/>
    </row>
    <row r="9165" spans="1:5" ht="63.75">
      <c r="A9165" s="449">
        <v>43586</v>
      </c>
      <c r="B9165" s="450" t="s">
        <v>9987</v>
      </c>
      <c r="C9165" s="449" t="s">
        <v>679</v>
      </c>
      <c r="D9165" s="451">
        <v>10.49</v>
      </c>
      <c r="E9165" s="210"/>
    </row>
    <row r="9166" spans="1:5" ht="76.5">
      <c r="A9166" s="449">
        <v>11461</v>
      </c>
      <c r="B9166" s="450" t="s">
        <v>9988</v>
      </c>
      <c r="C9166" s="449" t="s">
        <v>679</v>
      </c>
      <c r="D9166" s="451">
        <v>11.43</v>
      </c>
      <c r="E9166" s="210"/>
    </row>
    <row r="9167" spans="1:5" ht="63.75">
      <c r="A9167" s="449">
        <v>43587</v>
      </c>
      <c r="B9167" s="450" t="s">
        <v>9989</v>
      </c>
      <c r="C9167" s="449" t="s">
        <v>679</v>
      </c>
      <c r="D9167" s="451">
        <v>13.19</v>
      </c>
      <c r="E9167" s="210"/>
    </row>
    <row r="9168" spans="1:5" ht="76.5">
      <c r="A9168" s="449">
        <v>3106</v>
      </c>
      <c r="B9168" s="450" t="s">
        <v>9990</v>
      </c>
      <c r="C9168" s="449" t="s">
        <v>679</v>
      </c>
      <c r="D9168" s="451">
        <v>16.73</v>
      </c>
      <c r="E9168" s="210"/>
    </row>
    <row r="9169" spans="1:5">
      <c r="A9169" s="449">
        <v>25951</v>
      </c>
      <c r="B9169" s="450" t="s">
        <v>9991</v>
      </c>
      <c r="C9169" s="449" t="s">
        <v>676</v>
      </c>
      <c r="D9169" s="451">
        <v>3</v>
      </c>
      <c r="E9169" s="210"/>
    </row>
    <row r="9170" spans="1:5">
      <c r="A9170" s="449">
        <v>3123</v>
      </c>
      <c r="B9170" s="450" t="s">
        <v>9992</v>
      </c>
      <c r="C9170" s="449" t="s">
        <v>676</v>
      </c>
      <c r="D9170" s="451">
        <v>2.8</v>
      </c>
      <c r="E9170" s="210"/>
    </row>
    <row r="9171" spans="1:5">
      <c r="A9171" s="449">
        <v>38125</v>
      </c>
      <c r="B9171" s="450" t="s">
        <v>9993</v>
      </c>
      <c r="C9171" s="449" t="s">
        <v>676</v>
      </c>
      <c r="D9171" s="451">
        <v>0.85</v>
      </c>
      <c r="E9171" s="210"/>
    </row>
    <row r="9172" spans="1:5" ht="51">
      <c r="A9172" s="449">
        <v>39014</v>
      </c>
      <c r="B9172" s="450" t="s">
        <v>9994</v>
      </c>
      <c r="C9172" s="449" t="s">
        <v>676</v>
      </c>
      <c r="D9172" s="451">
        <v>8.64</v>
      </c>
      <c r="E9172" s="210"/>
    </row>
    <row r="9173" spans="1:5" ht="38.25">
      <c r="A9173" s="449">
        <v>39365</v>
      </c>
      <c r="B9173" s="450" t="s">
        <v>9995</v>
      </c>
      <c r="C9173" s="449" t="s">
        <v>679</v>
      </c>
      <c r="D9173" s="451">
        <v>1153.31</v>
      </c>
      <c r="E9173" s="210"/>
    </row>
    <row r="9174" spans="1:5" ht="38.25">
      <c r="A9174" s="449">
        <v>39366</v>
      </c>
      <c r="B9174" s="450" t="s">
        <v>9996</v>
      </c>
      <c r="C9174" s="449" t="s">
        <v>679</v>
      </c>
      <c r="D9174" s="451">
        <v>2952.97</v>
      </c>
      <c r="E9174" s="210"/>
    </row>
    <row r="9175" spans="1:5" ht="38.25">
      <c r="A9175" s="449">
        <v>39367</v>
      </c>
      <c r="B9175" s="450" t="s">
        <v>9997</v>
      </c>
      <c r="C9175" s="449" t="s">
        <v>679</v>
      </c>
      <c r="D9175" s="451">
        <v>4036.17</v>
      </c>
      <c r="E9175" s="210"/>
    </row>
    <row r="9176" spans="1:5" ht="25.5">
      <c r="A9176" s="449">
        <v>37394</v>
      </c>
      <c r="B9176" s="450" t="s">
        <v>9998</v>
      </c>
      <c r="C9176" s="449" t="s">
        <v>799</v>
      </c>
      <c r="D9176" s="451">
        <v>40.6</v>
      </c>
      <c r="E9176" s="210"/>
    </row>
    <row r="9177" spans="1:5" ht="25.5">
      <c r="A9177" s="449">
        <v>14146</v>
      </c>
      <c r="B9177" s="450" t="s">
        <v>9999</v>
      </c>
      <c r="C9177" s="449" t="s">
        <v>799</v>
      </c>
      <c r="D9177" s="451">
        <v>65.3</v>
      </c>
      <c r="E9177" s="210"/>
    </row>
    <row r="9178" spans="1:5" ht="25.5">
      <c r="A9178" s="449">
        <v>38134</v>
      </c>
      <c r="B9178" s="450" t="s">
        <v>10000</v>
      </c>
      <c r="C9178" s="449" t="s">
        <v>676</v>
      </c>
      <c r="D9178" s="451">
        <v>83.83</v>
      </c>
      <c r="E9178" s="210"/>
    </row>
    <row r="9179" spans="1:5" ht="25.5">
      <c r="A9179" s="449">
        <v>38132</v>
      </c>
      <c r="B9179" s="450" t="s">
        <v>10001</v>
      </c>
      <c r="C9179" s="449" t="s">
        <v>676</v>
      </c>
      <c r="D9179" s="451">
        <v>85.5</v>
      </c>
      <c r="E9179" s="210"/>
    </row>
    <row r="9180" spans="1:5" ht="25.5">
      <c r="A9180" s="449">
        <v>38133</v>
      </c>
      <c r="B9180" s="450" t="s">
        <v>10002</v>
      </c>
      <c r="C9180" s="449" t="s">
        <v>676</v>
      </c>
      <c r="D9180" s="451">
        <v>82.71</v>
      </c>
      <c r="E9180" s="210"/>
    </row>
    <row r="9181" spans="1:5" ht="38.25">
      <c r="A9181" s="449">
        <v>938</v>
      </c>
      <c r="B9181" s="450" t="s">
        <v>10003</v>
      </c>
      <c r="C9181" s="449" t="s">
        <v>683</v>
      </c>
      <c r="D9181" s="451">
        <v>1.57</v>
      </c>
      <c r="E9181" s="210"/>
    </row>
    <row r="9182" spans="1:5" ht="38.25">
      <c r="A9182" s="449">
        <v>937</v>
      </c>
      <c r="B9182" s="450" t="s">
        <v>10004</v>
      </c>
      <c r="C9182" s="449" t="s">
        <v>683</v>
      </c>
      <c r="D9182" s="451">
        <v>9.7100000000000009</v>
      </c>
      <c r="E9182" s="210"/>
    </row>
    <row r="9183" spans="1:5" ht="38.25">
      <c r="A9183" s="449">
        <v>939</v>
      </c>
      <c r="B9183" s="450" t="s">
        <v>10005</v>
      </c>
      <c r="C9183" s="449" t="s">
        <v>683</v>
      </c>
      <c r="D9183" s="451">
        <v>2.5099999999999998</v>
      </c>
      <c r="E9183" s="210"/>
    </row>
    <row r="9184" spans="1:5" ht="38.25">
      <c r="A9184" s="449">
        <v>944</v>
      </c>
      <c r="B9184" s="450" t="s">
        <v>10006</v>
      </c>
      <c r="C9184" s="449" t="s">
        <v>683</v>
      </c>
      <c r="D9184" s="451">
        <v>4.29</v>
      </c>
      <c r="E9184" s="210"/>
    </row>
    <row r="9185" spans="1:5" ht="38.25">
      <c r="A9185" s="449">
        <v>940</v>
      </c>
      <c r="B9185" s="450" t="s">
        <v>10007</v>
      </c>
      <c r="C9185" s="449" t="s">
        <v>683</v>
      </c>
      <c r="D9185" s="451">
        <v>5.94</v>
      </c>
      <c r="E9185" s="210"/>
    </row>
    <row r="9186" spans="1:5" ht="38.25">
      <c r="A9186" s="449">
        <v>936</v>
      </c>
      <c r="B9186" s="450" t="s">
        <v>10008</v>
      </c>
      <c r="C9186" s="449" t="s">
        <v>683</v>
      </c>
      <c r="D9186" s="451">
        <v>2.0299999999999998</v>
      </c>
      <c r="E9186" s="210"/>
    </row>
    <row r="9187" spans="1:5" ht="38.25">
      <c r="A9187" s="449">
        <v>935</v>
      </c>
      <c r="B9187" s="450" t="s">
        <v>10009</v>
      </c>
      <c r="C9187" s="449" t="s">
        <v>683</v>
      </c>
      <c r="D9187" s="451">
        <v>1.55</v>
      </c>
      <c r="E9187" s="210"/>
    </row>
    <row r="9188" spans="1:5" ht="25.5">
      <c r="A9188" s="449">
        <v>406</v>
      </c>
      <c r="B9188" s="450" t="s">
        <v>10010</v>
      </c>
      <c r="C9188" s="449" t="s">
        <v>679</v>
      </c>
      <c r="D9188" s="451">
        <v>81.790000000000006</v>
      </c>
      <c r="E9188" s="210"/>
    </row>
    <row r="9189" spans="1:5" ht="25.5">
      <c r="A9189" s="449">
        <v>42529</v>
      </c>
      <c r="B9189" s="450" t="s">
        <v>10011</v>
      </c>
      <c r="C9189" s="449" t="s">
        <v>683</v>
      </c>
      <c r="D9189" s="451">
        <v>1.32</v>
      </c>
      <c r="E9189" s="210"/>
    </row>
    <row r="9190" spans="1:5" ht="38.25">
      <c r="A9190" s="449">
        <v>39634</v>
      </c>
      <c r="B9190" s="450" t="s">
        <v>10012</v>
      </c>
      <c r="C9190" s="449" t="s">
        <v>683</v>
      </c>
      <c r="D9190" s="451">
        <v>9.74</v>
      </c>
      <c r="E9190" s="210"/>
    </row>
    <row r="9191" spans="1:5" ht="25.5">
      <c r="A9191" s="449">
        <v>39701</v>
      </c>
      <c r="B9191" s="450" t="s">
        <v>10013</v>
      </c>
      <c r="C9191" s="449" t="s">
        <v>679</v>
      </c>
      <c r="D9191" s="451">
        <v>91.45</v>
      </c>
      <c r="E9191" s="210"/>
    </row>
    <row r="9192" spans="1:5">
      <c r="A9192" s="449">
        <v>12815</v>
      </c>
      <c r="B9192" s="450" t="s">
        <v>10014</v>
      </c>
      <c r="C9192" s="449" t="s">
        <v>679</v>
      </c>
      <c r="D9192" s="451">
        <v>9.02</v>
      </c>
      <c r="E9192" s="210"/>
    </row>
    <row r="9193" spans="1:5" ht="25.5">
      <c r="A9193" s="449">
        <v>407</v>
      </c>
      <c r="B9193" s="450" t="s">
        <v>10015</v>
      </c>
      <c r="C9193" s="449" t="s">
        <v>676</v>
      </c>
      <c r="D9193" s="451">
        <v>55.36</v>
      </c>
      <c r="E9193" s="210"/>
    </row>
    <row r="9194" spans="1:5" ht="38.25">
      <c r="A9194" s="449">
        <v>39431</v>
      </c>
      <c r="B9194" s="450" t="s">
        <v>10016</v>
      </c>
      <c r="C9194" s="449" t="s">
        <v>683</v>
      </c>
      <c r="D9194" s="451">
        <v>0.21</v>
      </c>
      <c r="E9194" s="210"/>
    </row>
    <row r="9195" spans="1:5" ht="38.25">
      <c r="A9195" s="449">
        <v>39432</v>
      </c>
      <c r="B9195" s="450" t="s">
        <v>10017</v>
      </c>
      <c r="C9195" s="449" t="s">
        <v>683</v>
      </c>
      <c r="D9195" s="451">
        <v>2.82</v>
      </c>
      <c r="E9195" s="210"/>
    </row>
    <row r="9196" spans="1:5" ht="25.5">
      <c r="A9196" s="449">
        <v>20111</v>
      </c>
      <c r="B9196" s="450" t="s">
        <v>10018</v>
      </c>
      <c r="C9196" s="449" t="s">
        <v>679</v>
      </c>
      <c r="D9196" s="451">
        <v>10</v>
      </c>
      <c r="E9196" s="210"/>
    </row>
    <row r="9197" spans="1:5" ht="25.5">
      <c r="A9197" s="449">
        <v>21127</v>
      </c>
      <c r="B9197" s="450" t="s">
        <v>10019</v>
      </c>
      <c r="C9197" s="449" t="s">
        <v>679</v>
      </c>
      <c r="D9197" s="451">
        <v>3.78</v>
      </c>
      <c r="E9197" s="210"/>
    </row>
    <row r="9198" spans="1:5" ht="25.5">
      <c r="A9198" s="449">
        <v>404</v>
      </c>
      <c r="B9198" s="450" t="s">
        <v>10020</v>
      </c>
      <c r="C9198" s="449" t="s">
        <v>683</v>
      </c>
      <c r="D9198" s="451">
        <v>1.36</v>
      </c>
      <c r="E9198" s="210"/>
    </row>
    <row r="9199" spans="1:5" ht="25.5">
      <c r="A9199" s="449">
        <v>14151</v>
      </c>
      <c r="B9199" s="450" t="s">
        <v>10021</v>
      </c>
      <c r="C9199" s="449" t="s">
        <v>679</v>
      </c>
      <c r="D9199" s="451">
        <v>46.93</v>
      </c>
      <c r="E9199" s="210"/>
    </row>
    <row r="9200" spans="1:5" ht="25.5">
      <c r="A9200" s="449">
        <v>14153</v>
      </c>
      <c r="B9200" s="450" t="s">
        <v>10022</v>
      </c>
      <c r="C9200" s="449" t="s">
        <v>679</v>
      </c>
      <c r="D9200" s="451">
        <v>53.05</v>
      </c>
      <c r="E9200" s="210"/>
    </row>
    <row r="9201" spans="1:5" ht="25.5">
      <c r="A9201" s="449">
        <v>14152</v>
      </c>
      <c r="B9201" s="450" t="s">
        <v>10023</v>
      </c>
      <c r="C9201" s="449" t="s">
        <v>679</v>
      </c>
      <c r="D9201" s="451">
        <v>40.729999999999997</v>
      </c>
      <c r="E9201" s="210"/>
    </row>
    <row r="9202" spans="1:5" ht="25.5">
      <c r="A9202" s="449">
        <v>14154</v>
      </c>
      <c r="B9202" s="450" t="s">
        <v>10024</v>
      </c>
      <c r="C9202" s="449" t="s">
        <v>679</v>
      </c>
      <c r="D9202" s="451">
        <v>142.55000000000001</v>
      </c>
      <c r="E9202" s="210"/>
    </row>
    <row r="9203" spans="1:5" ht="25.5">
      <c r="A9203" s="449">
        <v>3146</v>
      </c>
      <c r="B9203" s="450" t="s">
        <v>10025</v>
      </c>
      <c r="C9203" s="449" t="s">
        <v>679</v>
      </c>
      <c r="D9203" s="451">
        <v>5</v>
      </c>
      <c r="E9203" s="210"/>
    </row>
    <row r="9204" spans="1:5" ht="25.5">
      <c r="A9204" s="449">
        <v>3143</v>
      </c>
      <c r="B9204" s="450" t="s">
        <v>10026</v>
      </c>
      <c r="C9204" s="449" t="s">
        <v>679</v>
      </c>
      <c r="D9204" s="451">
        <v>11.37</v>
      </c>
      <c r="E9204" s="210"/>
    </row>
    <row r="9205" spans="1:5" ht="25.5">
      <c r="A9205" s="449">
        <v>3148</v>
      </c>
      <c r="B9205" s="450" t="s">
        <v>10027</v>
      </c>
      <c r="C9205" s="449" t="s">
        <v>679</v>
      </c>
      <c r="D9205" s="451">
        <v>18.440000000000001</v>
      </c>
      <c r="E9205" s="210"/>
    </row>
    <row r="9206" spans="1:5" ht="38.25">
      <c r="A9206" s="449">
        <v>4310</v>
      </c>
      <c r="B9206" s="450" t="s">
        <v>10028</v>
      </c>
      <c r="C9206" s="449" t="s">
        <v>679</v>
      </c>
      <c r="D9206" s="451">
        <v>2.81</v>
      </c>
      <c r="E9206" s="210"/>
    </row>
    <row r="9207" spans="1:5" ht="25.5">
      <c r="A9207" s="449">
        <v>4311</v>
      </c>
      <c r="B9207" s="450" t="s">
        <v>10029</v>
      </c>
      <c r="C9207" s="449" t="s">
        <v>679</v>
      </c>
      <c r="D9207" s="451">
        <v>1.98</v>
      </c>
      <c r="E9207" s="210"/>
    </row>
    <row r="9208" spans="1:5" ht="38.25">
      <c r="A9208" s="449">
        <v>4312</v>
      </c>
      <c r="B9208" s="450" t="s">
        <v>10030</v>
      </c>
      <c r="C9208" s="449" t="s">
        <v>679</v>
      </c>
      <c r="D9208" s="451">
        <v>2.77</v>
      </c>
      <c r="E9208" s="210"/>
    </row>
    <row r="9209" spans="1:5">
      <c r="A9209" s="449">
        <v>13261</v>
      </c>
      <c r="B9209" s="450" t="s">
        <v>10031</v>
      </c>
      <c r="C9209" s="449" t="s">
        <v>679</v>
      </c>
      <c r="D9209" s="451">
        <v>3.31</v>
      </c>
      <c r="E9209" s="210"/>
    </row>
    <row r="9210" spans="1:5" ht="25.5">
      <c r="A9210" s="449">
        <v>3255</v>
      </c>
      <c r="B9210" s="450" t="s">
        <v>10032</v>
      </c>
      <c r="C9210" s="449" t="s">
        <v>679</v>
      </c>
      <c r="D9210" s="451">
        <v>7.47</v>
      </c>
      <c r="E9210" s="210"/>
    </row>
    <row r="9211" spans="1:5" ht="25.5">
      <c r="A9211" s="449">
        <v>3254</v>
      </c>
      <c r="B9211" s="450" t="s">
        <v>10033</v>
      </c>
      <c r="C9211" s="449" t="s">
        <v>679</v>
      </c>
      <c r="D9211" s="451">
        <v>121.37</v>
      </c>
      <c r="E9211" s="210"/>
    </row>
    <row r="9212" spans="1:5" ht="25.5">
      <c r="A9212" s="449">
        <v>3259</v>
      </c>
      <c r="B9212" s="450" t="s">
        <v>10034</v>
      </c>
      <c r="C9212" s="449" t="s">
        <v>679</v>
      </c>
      <c r="D9212" s="451">
        <v>14.58</v>
      </c>
      <c r="E9212" s="210"/>
    </row>
    <row r="9213" spans="1:5" ht="25.5">
      <c r="A9213" s="449">
        <v>3258</v>
      </c>
      <c r="B9213" s="450" t="s">
        <v>10035</v>
      </c>
      <c r="C9213" s="449" t="s">
        <v>679</v>
      </c>
      <c r="D9213" s="451">
        <v>8.81</v>
      </c>
      <c r="E9213" s="210"/>
    </row>
    <row r="9214" spans="1:5" ht="25.5">
      <c r="A9214" s="449">
        <v>3251</v>
      </c>
      <c r="B9214" s="450" t="s">
        <v>10036</v>
      </c>
      <c r="C9214" s="449" t="s">
        <v>679</v>
      </c>
      <c r="D9214" s="451">
        <v>5.19</v>
      </c>
      <c r="E9214" s="210"/>
    </row>
    <row r="9215" spans="1:5" ht="25.5">
      <c r="A9215" s="449">
        <v>3256</v>
      </c>
      <c r="B9215" s="450" t="s">
        <v>10037</v>
      </c>
      <c r="C9215" s="449" t="s">
        <v>679</v>
      </c>
      <c r="D9215" s="451">
        <v>9.84</v>
      </c>
      <c r="E9215" s="210"/>
    </row>
    <row r="9216" spans="1:5" ht="25.5">
      <c r="A9216" s="449">
        <v>3261</v>
      </c>
      <c r="B9216" s="450" t="s">
        <v>10038</v>
      </c>
      <c r="C9216" s="449" t="s">
        <v>679</v>
      </c>
      <c r="D9216" s="451">
        <v>107.33</v>
      </c>
      <c r="E9216" s="210"/>
    </row>
    <row r="9217" spans="1:5" ht="25.5">
      <c r="A9217" s="449">
        <v>3260</v>
      </c>
      <c r="B9217" s="450" t="s">
        <v>10039</v>
      </c>
      <c r="C9217" s="449" t="s">
        <v>679</v>
      </c>
      <c r="D9217" s="451">
        <v>18.440000000000001</v>
      </c>
      <c r="E9217" s="210"/>
    </row>
    <row r="9218" spans="1:5" ht="25.5">
      <c r="A9218" s="449">
        <v>3272</v>
      </c>
      <c r="B9218" s="450" t="s">
        <v>10040</v>
      </c>
      <c r="C9218" s="449" t="s">
        <v>679</v>
      </c>
      <c r="D9218" s="451">
        <v>39.58</v>
      </c>
      <c r="E9218" s="210"/>
    </row>
    <row r="9219" spans="1:5" ht="25.5">
      <c r="A9219" s="449">
        <v>3265</v>
      </c>
      <c r="B9219" s="450" t="s">
        <v>10041</v>
      </c>
      <c r="C9219" s="449" t="s">
        <v>679</v>
      </c>
      <c r="D9219" s="451">
        <v>31.45</v>
      </c>
      <c r="E9219" s="210"/>
    </row>
    <row r="9220" spans="1:5" ht="25.5">
      <c r="A9220" s="449">
        <v>3262</v>
      </c>
      <c r="B9220" s="450" t="s">
        <v>10042</v>
      </c>
      <c r="C9220" s="449" t="s">
        <v>679</v>
      </c>
      <c r="D9220" s="451">
        <v>13.76</v>
      </c>
      <c r="E9220" s="210"/>
    </row>
    <row r="9221" spans="1:5" ht="25.5">
      <c r="A9221" s="449">
        <v>3264</v>
      </c>
      <c r="B9221" s="450" t="s">
        <v>10043</v>
      </c>
      <c r="C9221" s="449" t="s">
        <v>679</v>
      </c>
      <c r="D9221" s="451">
        <v>22.61</v>
      </c>
      <c r="E9221" s="210"/>
    </row>
    <row r="9222" spans="1:5" ht="25.5">
      <c r="A9222" s="449">
        <v>3267</v>
      </c>
      <c r="B9222" s="450" t="s">
        <v>10044</v>
      </c>
      <c r="C9222" s="449" t="s">
        <v>679</v>
      </c>
      <c r="D9222" s="451">
        <v>73.849999999999994</v>
      </c>
      <c r="E9222" s="210"/>
    </row>
    <row r="9223" spans="1:5" ht="25.5">
      <c r="A9223" s="449">
        <v>3266</v>
      </c>
      <c r="B9223" s="450" t="s">
        <v>10045</v>
      </c>
      <c r="C9223" s="449" t="s">
        <v>679</v>
      </c>
      <c r="D9223" s="451">
        <v>46.98</v>
      </c>
      <c r="E9223" s="210"/>
    </row>
    <row r="9224" spans="1:5" ht="25.5">
      <c r="A9224" s="449">
        <v>3263</v>
      </c>
      <c r="B9224" s="450" t="s">
        <v>10046</v>
      </c>
      <c r="C9224" s="449" t="s">
        <v>679</v>
      </c>
      <c r="D9224" s="451">
        <v>18.8</v>
      </c>
      <c r="E9224" s="210"/>
    </row>
    <row r="9225" spans="1:5" ht="25.5">
      <c r="A9225" s="449">
        <v>3268</v>
      </c>
      <c r="B9225" s="450" t="s">
        <v>10047</v>
      </c>
      <c r="C9225" s="449" t="s">
        <v>679</v>
      </c>
      <c r="D9225" s="451">
        <v>99.85</v>
      </c>
      <c r="E9225" s="210"/>
    </row>
    <row r="9226" spans="1:5" ht="25.5">
      <c r="A9226" s="449">
        <v>3271</v>
      </c>
      <c r="B9226" s="450" t="s">
        <v>10048</v>
      </c>
      <c r="C9226" s="449" t="s">
        <v>679</v>
      </c>
      <c r="D9226" s="451">
        <v>147.61000000000001</v>
      </c>
      <c r="E9226" s="210"/>
    </row>
    <row r="9227" spans="1:5" ht="25.5">
      <c r="A9227" s="449">
        <v>3270</v>
      </c>
      <c r="B9227" s="450" t="s">
        <v>10049</v>
      </c>
      <c r="C9227" s="449" t="s">
        <v>679</v>
      </c>
      <c r="D9227" s="451">
        <v>248</v>
      </c>
      <c r="E9227" s="210"/>
    </row>
    <row r="9228" spans="1:5" ht="51">
      <c r="A9228" s="449">
        <v>3275</v>
      </c>
      <c r="B9228" s="450" t="s">
        <v>10050</v>
      </c>
      <c r="C9228" s="449" t="s">
        <v>684</v>
      </c>
      <c r="D9228" s="451">
        <v>125.58</v>
      </c>
      <c r="E9228" s="210"/>
    </row>
    <row r="9229" spans="1:5" ht="51">
      <c r="A9229" s="449">
        <v>39512</v>
      </c>
      <c r="B9229" s="450" t="s">
        <v>10051</v>
      </c>
      <c r="C9229" s="449" t="s">
        <v>684</v>
      </c>
      <c r="D9229" s="451">
        <v>115.9</v>
      </c>
      <c r="E9229" s="210"/>
    </row>
    <row r="9230" spans="1:5" ht="51">
      <c r="A9230" s="449">
        <v>39511</v>
      </c>
      <c r="B9230" s="450" t="s">
        <v>10052</v>
      </c>
      <c r="C9230" s="449" t="s">
        <v>684</v>
      </c>
      <c r="D9230" s="451">
        <v>126.41</v>
      </c>
      <c r="E9230" s="210"/>
    </row>
    <row r="9231" spans="1:5" ht="63.75">
      <c r="A9231" s="449">
        <v>39513</v>
      </c>
      <c r="B9231" s="450" t="s">
        <v>10053</v>
      </c>
      <c r="C9231" s="449" t="s">
        <v>684</v>
      </c>
      <c r="D9231" s="451">
        <v>135.59</v>
      </c>
      <c r="E9231" s="210"/>
    </row>
    <row r="9232" spans="1:5" ht="38.25">
      <c r="A9232" s="449">
        <v>3286</v>
      </c>
      <c r="B9232" s="450" t="s">
        <v>10054</v>
      </c>
      <c r="C9232" s="449" t="s">
        <v>684</v>
      </c>
      <c r="D9232" s="451">
        <v>62.86</v>
      </c>
      <c r="E9232" s="210"/>
    </row>
    <row r="9233" spans="1:5" ht="51">
      <c r="A9233" s="449">
        <v>3287</v>
      </c>
      <c r="B9233" s="450" t="s">
        <v>10055</v>
      </c>
      <c r="C9233" s="449" t="s">
        <v>684</v>
      </c>
      <c r="D9233" s="451">
        <v>95</v>
      </c>
      <c r="E9233" s="210"/>
    </row>
    <row r="9234" spans="1:5" ht="38.25">
      <c r="A9234" s="449">
        <v>3283</v>
      </c>
      <c r="B9234" s="450" t="s">
        <v>10056</v>
      </c>
      <c r="C9234" s="449" t="s">
        <v>684</v>
      </c>
      <c r="D9234" s="451">
        <v>19.95</v>
      </c>
      <c r="E9234" s="210"/>
    </row>
    <row r="9235" spans="1:5" ht="38.25">
      <c r="A9235" s="449">
        <v>11587</v>
      </c>
      <c r="B9235" s="450" t="s">
        <v>10057</v>
      </c>
      <c r="C9235" s="449" t="s">
        <v>684</v>
      </c>
      <c r="D9235" s="451">
        <v>86.11</v>
      </c>
      <c r="E9235" s="210"/>
    </row>
    <row r="9236" spans="1:5" ht="38.25">
      <c r="A9236" s="449">
        <v>36225</v>
      </c>
      <c r="B9236" s="450" t="s">
        <v>10058</v>
      </c>
      <c r="C9236" s="449" t="s">
        <v>684</v>
      </c>
      <c r="D9236" s="451">
        <v>34.979999999999997</v>
      </c>
      <c r="E9236" s="210"/>
    </row>
    <row r="9237" spans="1:5" ht="38.25">
      <c r="A9237" s="449">
        <v>36230</v>
      </c>
      <c r="B9237" s="450" t="s">
        <v>10059</v>
      </c>
      <c r="C9237" s="449" t="s">
        <v>684</v>
      </c>
      <c r="D9237" s="451">
        <v>25.7</v>
      </c>
      <c r="E9237" s="210"/>
    </row>
    <row r="9238" spans="1:5" ht="38.25">
      <c r="A9238" s="449">
        <v>36238</v>
      </c>
      <c r="B9238" s="450" t="s">
        <v>10060</v>
      </c>
      <c r="C9238" s="449" t="s">
        <v>684</v>
      </c>
      <c r="D9238" s="451">
        <v>25.11</v>
      </c>
      <c r="E9238" s="210"/>
    </row>
    <row r="9239" spans="1:5" ht="63.75">
      <c r="A9239" s="449">
        <v>39363</v>
      </c>
      <c r="B9239" s="450" t="s">
        <v>10061</v>
      </c>
      <c r="C9239" s="449" t="s">
        <v>679</v>
      </c>
      <c r="D9239" s="451">
        <v>4697.91</v>
      </c>
      <c r="E9239" s="210"/>
    </row>
    <row r="9240" spans="1:5" ht="63.75">
      <c r="A9240" s="449">
        <v>39361</v>
      </c>
      <c r="B9240" s="450" t="s">
        <v>10062</v>
      </c>
      <c r="C9240" s="449" t="s">
        <v>679</v>
      </c>
      <c r="D9240" s="451">
        <v>1208.03</v>
      </c>
      <c r="E9240" s="210"/>
    </row>
    <row r="9241" spans="1:5" ht="63.75">
      <c r="A9241" s="449">
        <v>39362</v>
      </c>
      <c r="B9241" s="450" t="s">
        <v>10063</v>
      </c>
      <c r="C9241" s="449" t="s">
        <v>679</v>
      </c>
      <c r="D9241" s="451">
        <v>3717.43</v>
      </c>
      <c r="E9241" s="210"/>
    </row>
    <row r="9242" spans="1:5" ht="63.75">
      <c r="A9242" s="449">
        <v>39364</v>
      </c>
      <c r="B9242" s="450" t="s">
        <v>10064</v>
      </c>
      <c r="C9242" s="449" t="s">
        <v>679</v>
      </c>
      <c r="D9242" s="451">
        <v>10738.08</v>
      </c>
      <c r="E9242" s="210"/>
    </row>
    <row r="9243" spans="1:5" ht="38.25">
      <c r="A9243" s="449">
        <v>14576</v>
      </c>
      <c r="B9243" s="450" t="s">
        <v>10065</v>
      </c>
      <c r="C9243" s="449" t="s">
        <v>679</v>
      </c>
      <c r="D9243" s="451">
        <v>5861045.1900000004</v>
      </c>
      <c r="E9243" s="210"/>
    </row>
    <row r="9244" spans="1:5" ht="25.5">
      <c r="A9244" s="449">
        <v>13877</v>
      </c>
      <c r="B9244" s="450" t="s">
        <v>10066</v>
      </c>
      <c r="C9244" s="449" t="s">
        <v>679</v>
      </c>
      <c r="D9244" s="451">
        <v>2509026.0299999998</v>
      </c>
      <c r="E9244" s="210"/>
    </row>
    <row r="9245" spans="1:5" ht="25.5">
      <c r="A9245" s="449">
        <v>7307</v>
      </c>
      <c r="B9245" s="450" t="s">
        <v>10067</v>
      </c>
      <c r="C9245" s="449" t="s">
        <v>678</v>
      </c>
      <c r="D9245" s="451">
        <v>26.96</v>
      </c>
      <c r="E9245" s="210"/>
    </row>
    <row r="9246" spans="1:5">
      <c r="A9246" s="449">
        <v>38122</v>
      </c>
      <c r="B9246" s="450" t="s">
        <v>10068</v>
      </c>
      <c r="C9246" s="449" t="s">
        <v>678</v>
      </c>
      <c r="D9246" s="451">
        <v>7</v>
      </c>
      <c r="E9246" s="210"/>
    </row>
    <row r="9247" spans="1:5" ht="38.25">
      <c r="A9247" s="449">
        <v>38633</v>
      </c>
      <c r="B9247" s="450" t="s">
        <v>10069</v>
      </c>
      <c r="C9247" s="449" t="s">
        <v>679</v>
      </c>
      <c r="D9247" s="451">
        <v>20.170000000000002</v>
      </c>
      <c r="E9247" s="210"/>
    </row>
    <row r="9248" spans="1:5" ht="38.25">
      <c r="A9248" s="449">
        <v>12344</v>
      </c>
      <c r="B9248" s="450" t="s">
        <v>10070</v>
      </c>
      <c r="C9248" s="449" t="s">
        <v>679</v>
      </c>
      <c r="D9248" s="451">
        <v>3.9</v>
      </c>
      <c r="E9248" s="210"/>
    </row>
    <row r="9249" spans="1:5" ht="38.25">
      <c r="A9249" s="449">
        <v>12343</v>
      </c>
      <c r="B9249" s="450" t="s">
        <v>10071</v>
      </c>
      <c r="C9249" s="449" t="s">
        <v>679</v>
      </c>
      <c r="D9249" s="451">
        <v>6.05</v>
      </c>
      <c r="E9249" s="210"/>
    </row>
    <row r="9250" spans="1:5" ht="38.25">
      <c r="A9250" s="449">
        <v>3295</v>
      </c>
      <c r="B9250" s="450" t="s">
        <v>10072</v>
      </c>
      <c r="C9250" s="449" t="s">
        <v>679</v>
      </c>
      <c r="D9250" s="451">
        <v>21.14</v>
      </c>
      <c r="E9250" s="210"/>
    </row>
    <row r="9251" spans="1:5" ht="38.25">
      <c r="A9251" s="449">
        <v>3302</v>
      </c>
      <c r="B9251" s="450" t="s">
        <v>10073</v>
      </c>
      <c r="C9251" s="449" t="s">
        <v>679</v>
      </c>
      <c r="D9251" s="451">
        <v>22.1</v>
      </c>
      <c r="E9251" s="210"/>
    </row>
    <row r="9252" spans="1:5" ht="38.25">
      <c r="A9252" s="449">
        <v>3297</v>
      </c>
      <c r="B9252" s="450" t="s">
        <v>10074</v>
      </c>
      <c r="C9252" s="449" t="s">
        <v>679</v>
      </c>
      <c r="D9252" s="451">
        <v>23.59</v>
      </c>
      <c r="E9252" s="210"/>
    </row>
    <row r="9253" spans="1:5" ht="38.25">
      <c r="A9253" s="449">
        <v>3294</v>
      </c>
      <c r="B9253" s="450" t="s">
        <v>10075</v>
      </c>
      <c r="C9253" s="449" t="s">
        <v>679</v>
      </c>
      <c r="D9253" s="451">
        <v>23.95</v>
      </c>
      <c r="E9253" s="210"/>
    </row>
    <row r="9254" spans="1:5" ht="38.25">
      <c r="A9254" s="449">
        <v>3292</v>
      </c>
      <c r="B9254" s="450" t="s">
        <v>10076</v>
      </c>
      <c r="C9254" s="449" t="s">
        <v>679</v>
      </c>
      <c r="D9254" s="451">
        <v>22.5</v>
      </c>
      <c r="E9254" s="210"/>
    </row>
    <row r="9255" spans="1:5" ht="38.25">
      <c r="A9255" s="449">
        <v>3298</v>
      </c>
      <c r="B9255" s="450" t="s">
        <v>10077</v>
      </c>
      <c r="C9255" s="449" t="s">
        <v>679</v>
      </c>
      <c r="D9255" s="451">
        <v>52.73</v>
      </c>
      <c r="E9255" s="210"/>
    </row>
    <row r="9256" spans="1:5" ht="38.25">
      <c r="A9256" s="449">
        <v>11596</v>
      </c>
      <c r="B9256" s="450" t="s">
        <v>10078</v>
      </c>
      <c r="C9256" s="449" t="s">
        <v>679</v>
      </c>
      <c r="D9256" s="451">
        <v>427.42</v>
      </c>
      <c r="E9256" s="210"/>
    </row>
    <row r="9257" spans="1:5" ht="38.25">
      <c r="A9257" s="449">
        <v>34802</v>
      </c>
      <c r="B9257" s="450" t="s">
        <v>10079</v>
      </c>
      <c r="C9257" s="449" t="s">
        <v>679</v>
      </c>
      <c r="D9257" s="451">
        <v>1173.83</v>
      </c>
      <c r="E9257" s="210"/>
    </row>
    <row r="9258" spans="1:5" ht="38.25">
      <c r="A9258" s="449">
        <v>11588</v>
      </c>
      <c r="B9258" s="450" t="s">
        <v>10080</v>
      </c>
      <c r="C9258" s="449" t="s">
        <v>679</v>
      </c>
      <c r="D9258" s="451">
        <v>1266.3699999999999</v>
      </c>
      <c r="E9258" s="210"/>
    </row>
    <row r="9259" spans="1:5" ht="38.25">
      <c r="A9259" s="449">
        <v>34383</v>
      </c>
      <c r="B9259" s="450" t="s">
        <v>10081</v>
      </c>
      <c r="C9259" s="449" t="s">
        <v>679</v>
      </c>
      <c r="D9259" s="451">
        <v>1393.1</v>
      </c>
      <c r="E9259" s="210"/>
    </row>
    <row r="9260" spans="1:5" ht="38.25">
      <c r="A9260" s="449">
        <v>40451</v>
      </c>
      <c r="B9260" s="450" t="s">
        <v>10082</v>
      </c>
      <c r="C9260" s="449" t="s">
        <v>684</v>
      </c>
      <c r="D9260" s="451">
        <v>112.61</v>
      </c>
      <c r="E9260" s="210"/>
    </row>
    <row r="9261" spans="1:5" ht="38.25">
      <c r="A9261" s="449">
        <v>40453</v>
      </c>
      <c r="B9261" s="450" t="s">
        <v>10083</v>
      </c>
      <c r="C9261" s="449" t="s">
        <v>684</v>
      </c>
      <c r="D9261" s="451">
        <v>121.84</v>
      </c>
      <c r="E9261" s="210"/>
    </row>
    <row r="9262" spans="1:5" ht="38.25">
      <c r="A9262" s="449">
        <v>40452</v>
      </c>
      <c r="B9262" s="450" t="s">
        <v>10084</v>
      </c>
      <c r="C9262" s="449" t="s">
        <v>684</v>
      </c>
      <c r="D9262" s="451">
        <v>133.63999999999999</v>
      </c>
      <c r="E9262" s="210"/>
    </row>
    <row r="9263" spans="1:5" ht="38.25">
      <c r="A9263" s="449">
        <v>11594</v>
      </c>
      <c r="B9263" s="450" t="s">
        <v>10085</v>
      </c>
      <c r="C9263" s="449" t="s">
        <v>679</v>
      </c>
      <c r="D9263" s="451">
        <v>403.63</v>
      </c>
      <c r="E9263" s="210"/>
    </row>
    <row r="9264" spans="1:5" ht="38.25">
      <c r="A9264" s="449">
        <v>3311</v>
      </c>
      <c r="B9264" s="450" t="s">
        <v>10086</v>
      </c>
      <c r="C9264" s="449" t="s">
        <v>677</v>
      </c>
      <c r="D9264" s="451">
        <v>403.63</v>
      </c>
      <c r="E9264" s="210"/>
    </row>
    <row r="9265" spans="1:5" ht="25.5">
      <c r="A9265" s="449">
        <v>11599</v>
      </c>
      <c r="B9265" s="450" t="s">
        <v>10087</v>
      </c>
      <c r="C9265" s="449" t="s">
        <v>679</v>
      </c>
      <c r="D9265" s="451">
        <v>536.78</v>
      </c>
      <c r="E9265" s="210"/>
    </row>
    <row r="9266" spans="1:5" ht="38.25">
      <c r="A9266" s="449">
        <v>11593</v>
      </c>
      <c r="B9266" s="450" t="s">
        <v>10088</v>
      </c>
      <c r="C9266" s="449" t="s">
        <v>679</v>
      </c>
      <c r="D9266" s="451">
        <v>752.53</v>
      </c>
      <c r="E9266" s="210"/>
    </row>
    <row r="9267" spans="1:5" ht="38.25">
      <c r="A9267" s="449">
        <v>3314</v>
      </c>
      <c r="B9267" s="450" t="s">
        <v>10089</v>
      </c>
      <c r="C9267" s="449" t="s">
        <v>677</v>
      </c>
      <c r="D9267" s="451">
        <v>538.21</v>
      </c>
      <c r="E9267" s="210"/>
    </row>
    <row r="9268" spans="1:5" ht="38.25">
      <c r="A9268" s="449">
        <v>11597</v>
      </c>
      <c r="B9268" s="450" t="s">
        <v>10090</v>
      </c>
      <c r="C9268" s="449" t="s">
        <v>679</v>
      </c>
      <c r="D9268" s="451">
        <v>625.88</v>
      </c>
      <c r="E9268" s="210"/>
    </row>
    <row r="9269" spans="1:5" ht="25.5">
      <c r="A9269" s="449">
        <v>3309</v>
      </c>
      <c r="B9269" s="450" t="s">
        <v>10091</v>
      </c>
      <c r="C9269" s="449" t="s">
        <v>677</v>
      </c>
      <c r="D9269" s="451">
        <v>427.42</v>
      </c>
      <c r="E9269" s="210"/>
    </row>
    <row r="9270" spans="1:5" ht="63.75">
      <c r="A9270" s="449">
        <v>34612</v>
      </c>
      <c r="B9270" s="450" t="s">
        <v>10092</v>
      </c>
      <c r="C9270" s="449" t="s">
        <v>679</v>
      </c>
      <c r="D9270" s="451">
        <v>774.1</v>
      </c>
      <c r="E9270" s="210"/>
    </row>
    <row r="9271" spans="1:5" ht="63.75">
      <c r="A9271" s="449">
        <v>34635</v>
      </c>
      <c r="B9271" s="450" t="s">
        <v>10093</v>
      </c>
      <c r="C9271" s="449" t="s">
        <v>679</v>
      </c>
      <c r="D9271" s="451">
        <v>995.46</v>
      </c>
      <c r="E9271" s="210"/>
    </row>
    <row r="9272" spans="1:5" ht="63.75">
      <c r="A9272" s="449">
        <v>34633</v>
      </c>
      <c r="B9272" s="450" t="s">
        <v>10094</v>
      </c>
      <c r="C9272" s="449" t="s">
        <v>679</v>
      </c>
      <c r="D9272" s="451">
        <v>1097.25</v>
      </c>
      <c r="E9272" s="210"/>
    </row>
    <row r="9273" spans="1:5" ht="51">
      <c r="A9273" s="449">
        <v>40440</v>
      </c>
      <c r="B9273" s="450" t="s">
        <v>10095</v>
      </c>
      <c r="C9273" s="449" t="s">
        <v>677</v>
      </c>
      <c r="D9273" s="451">
        <v>560.6</v>
      </c>
      <c r="E9273" s="210"/>
    </row>
    <row r="9274" spans="1:5" ht="51">
      <c r="A9274" s="449">
        <v>40441</v>
      </c>
      <c r="B9274" s="450" t="s">
        <v>10096</v>
      </c>
      <c r="C9274" s="449" t="s">
        <v>677</v>
      </c>
      <c r="D9274" s="451">
        <v>357.91</v>
      </c>
      <c r="E9274" s="210"/>
    </row>
    <row r="9275" spans="1:5" ht="63.75">
      <c r="A9275" s="449">
        <v>40449</v>
      </c>
      <c r="B9275" s="450" t="s">
        <v>10097</v>
      </c>
      <c r="C9275" s="449" t="s">
        <v>677</v>
      </c>
      <c r="D9275" s="451">
        <v>300.89</v>
      </c>
      <c r="E9275" s="210"/>
    </row>
    <row r="9276" spans="1:5" ht="38.25">
      <c r="A9276" s="449">
        <v>34800</v>
      </c>
      <c r="B9276" s="450" t="s">
        <v>10098</v>
      </c>
      <c r="C9276" s="449" t="s">
        <v>677</v>
      </c>
      <c r="D9276" s="451">
        <v>376.26</v>
      </c>
      <c r="E9276" s="210"/>
    </row>
    <row r="9277" spans="1:5" ht="38.25">
      <c r="A9277" s="449">
        <v>11592</v>
      </c>
      <c r="B9277" s="450" t="s">
        <v>10099</v>
      </c>
      <c r="C9277" s="449" t="s">
        <v>679</v>
      </c>
      <c r="D9277" s="451">
        <v>538.21</v>
      </c>
      <c r="E9277" s="210"/>
    </row>
    <row r="9278" spans="1:5" ht="38.25">
      <c r="A9278" s="449">
        <v>40438</v>
      </c>
      <c r="B9278" s="450" t="s">
        <v>10100</v>
      </c>
      <c r="C9278" s="449" t="s">
        <v>677</v>
      </c>
      <c r="D9278" s="451">
        <v>250.67</v>
      </c>
      <c r="E9278" s="210"/>
    </row>
    <row r="9279" spans="1:5" ht="38.25">
      <c r="A9279" s="449">
        <v>40436</v>
      </c>
      <c r="B9279" s="450" t="s">
        <v>10101</v>
      </c>
      <c r="C9279" s="449" t="s">
        <v>677</v>
      </c>
      <c r="D9279" s="451">
        <v>312.57</v>
      </c>
      <c r="E9279" s="210"/>
    </row>
    <row r="9280" spans="1:5" ht="51">
      <c r="A9280" s="449">
        <v>4315</v>
      </c>
      <c r="B9280" s="450" t="s">
        <v>10102</v>
      </c>
      <c r="C9280" s="449" t="s">
        <v>679</v>
      </c>
      <c r="D9280" s="451">
        <v>2.04</v>
      </c>
      <c r="E9280" s="210"/>
    </row>
    <row r="9281" spans="1:5" ht="25.5">
      <c r="A9281" s="449">
        <v>402</v>
      </c>
      <c r="B9281" s="450" t="s">
        <v>10103</v>
      </c>
      <c r="C9281" s="449" t="s">
        <v>679</v>
      </c>
      <c r="D9281" s="451">
        <v>13.99</v>
      </c>
      <c r="E9281" s="210"/>
    </row>
    <row r="9282" spans="1:5">
      <c r="A9282" s="449">
        <v>4226</v>
      </c>
      <c r="B9282" s="450" t="s">
        <v>10104</v>
      </c>
      <c r="C9282" s="449" t="s">
        <v>676</v>
      </c>
      <c r="D9282" s="451">
        <v>8.6300000000000008</v>
      </c>
      <c r="E9282" s="210"/>
    </row>
    <row r="9283" spans="1:5">
      <c r="A9283" s="449">
        <v>4222</v>
      </c>
      <c r="B9283" s="450" t="s">
        <v>10105</v>
      </c>
      <c r="C9283" s="449" t="s">
        <v>678</v>
      </c>
      <c r="D9283" s="451">
        <v>5.91</v>
      </c>
      <c r="E9283" s="210"/>
    </row>
    <row r="9284" spans="1:5" ht="51">
      <c r="A9284" s="449">
        <v>34804</v>
      </c>
      <c r="B9284" s="450" t="s">
        <v>10106</v>
      </c>
      <c r="C9284" s="449" t="s">
        <v>684</v>
      </c>
      <c r="D9284" s="451">
        <v>45.43</v>
      </c>
      <c r="E9284" s="210"/>
    </row>
    <row r="9285" spans="1:5" ht="38.25">
      <c r="A9285" s="449">
        <v>4013</v>
      </c>
      <c r="B9285" s="450" t="s">
        <v>10107</v>
      </c>
      <c r="C9285" s="449" t="s">
        <v>684</v>
      </c>
      <c r="D9285" s="451">
        <v>6.45</v>
      </c>
      <c r="E9285" s="210"/>
    </row>
    <row r="9286" spans="1:5" ht="38.25">
      <c r="A9286" s="449">
        <v>4011</v>
      </c>
      <c r="B9286" s="450" t="s">
        <v>10108</v>
      </c>
      <c r="C9286" s="449" t="s">
        <v>684</v>
      </c>
      <c r="D9286" s="451">
        <v>7.2</v>
      </c>
      <c r="E9286" s="210"/>
    </row>
    <row r="9287" spans="1:5" ht="38.25">
      <c r="A9287" s="449">
        <v>4021</v>
      </c>
      <c r="B9287" s="450" t="s">
        <v>10109</v>
      </c>
      <c r="C9287" s="449" t="s">
        <v>684</v>
      </c>
      <c r="D9287" s="451">
        <v>8.98</v>
      </c>
      <c r="E9287" s="210"/>
    </row>
    <row r="9288" spans="1:5" ht="38.25">
      <c r="A9288" s="449">
        <v>4019</v>
      </c>
      <c r="B9288" s="450" t="s">
        <v>10110</v>
      </c>
      <c r="C9288" s="449" t="s">
        <v>684</v>
      </c>
      <c r="D9288" s="451">
        <v>10.78</v>
      </c>
      <c r="E9288" s="210"/>
    </row>
    <row r="9289" spans="1:5" ht="38.25">
      <c r="A9289" s="449">
        <v>4012</v>
      </c>
      <c r="B9289" s="450" t="s">
        <v>10111</v>
      </c>
      <c r="C9289" s="449" t="s">
        <v>684</v>
      </c>
      <c r="D9289" s="451">
        <v>14.45</v>
      </c>
      <c r="E9289" s="210"/>
    </row>
    <row r="9290" spans="1:5" ht="38.25">
      <c r="A9290" s="449">
        <v>4020</v>
      </c>
      <c r="B9290" s="450" t="s">
        <v>10112</v>
      </c>
      <c r="C9290" s="449" t="s">
        <v>684</v>
      </c>
      <c r="D9290" s="451">
        <v>18.100000000000001</v>
      </c>
      <c r="E9290" s="210"/>
    </row>
    <row r="9291" spans="1:5" ht="38.25">
      <c r="A9291" s="449">
        <v>4018</v>
      </c>
      <c r="B9291" s="450" t="s">
        <v>10113</v>
      </c>
      <c r="C9291" s="449" t="s">
        <v>684</v>
      </c>
      <c r="D9291" s="451">
        <v>21.68</v>
      </c>
      <c r="E9291" s="210"/>
    </row>
    <row r="9292" spans="1:5" ht="38.25">
      <c r="A9292" s="449">
        <v>36498</v>
      </c>
      <c r="B9292" s="450" t="s">
        <v>10114</v>
      </c>
      <c r="C9292" s="449" t="s">
        <v>679</v>
      </c>
      <c r="D9292" s="451">
        <v>4772.12</v>
      </c>
      <c r="E9292" s="210"/>
    </row>
    <row r="9293" spans="1:5">
      <c r="A9293" s="449">
        <v>12872</v>
      </c>
      <c r="B9293" s="450" t="s">
        <v>10115</v>
      </c>
      <c r="C9293" s="449" t="s">
        <v>682</v>
      </c>
      <c r="D9293" s="451">
        <v>13.66</v>
      </c>
      <c r="E9293" s="210"/>
    </row>
    <row r="9294" spans="1:5">
      <c r="A9294" s="449">
        <v>41075</v>
      </c>
      <c r="B9294" s="450" t="s">
        <v>10116</v>
      </c>
      <c r="C9294" s="449" t="s">
        <v>797</v>
      </c>
      <c r="D9294" s="451">
        <v>2420.84</v>
      </c>
      <c r="E9294" s="210"/>
    </row>
    <row r="9295" spans="1:5" ht="38.25">
      <c r="A9295" s="449">
        <v>3315</v>
      </c>
      <c r="B9295" s="450" t="s">
        <v>10117</v>
      </c>
      <c r="C9295" s="449" t="s">
        <v>676</v>
      </c>
      <c r="D9295" s="451">
        <v>0.54</v>
      </c>
      <c r="E9295" s="210"/>
    </row>
    <row r="9296" spans="1:5">
      <c r="A9296" s="449">
        <v>36870</v>
      </c>
      <c r="B9296" s="450" t="s">
        <v>10118</v>
      </c>
      <c r="C9296" s="449" t="s">
        <v>676</v>
      </c>
      <c r="D9296" s="451">
        <v>0.81</v>
      </c>
      <c r="E9296" s="210"/>
    </row>
    <row r="9297" spans="1:5" ht="51">
      <c r="A9297" s="449">
        <v>5092</v>
      </c>
      <c r="B9297" s="450" t="s">
        <v>10119</v>
      </c>
      <c r="C9297" s="449" t="s">
        <v>690</v>
      </c>
      <c r="D9297" s="451">
        <v>18.850000000000001</v>
      </c>
      <c r="E9297" s="210"/>
    </row>
    <row r="9298" spans="1:5" ht="25.5">
      <c r="A9298" s="449">
        <v>11462</v>
      </c>
      <c r="B9298" s="450" t="s">
        <v>10120</v>
      </c>
      <c r="C9298" s="449" t="s">
        <v>690</v>
      </c>
      <c r="D9298" s="451">
        <v>19.28</v>
      </c>
      <c r="E9298" s="210"/>
    </row>
    <row r="9299" spans="1:5" ht="38.25">
      <c r="A9299" s="449">
        <v>36529</v>
      </c>
      <c r="B9299" s="450" t="s">
        <v>10121</v>
      </c>
      <c r="C9299" s="449" t="s">
        <v>679</v>
      </c>
      <c r="D9299" s="451">
        <v>64438.77</v>
      </c>
      <c r="E9299" s="210"/>
    </row>
    <row r="9300" spans="1:5" ht="38.25">
      <c r="A9300" s="449">
        <v>3318</v>
      </c>
      <c r="B9300" s="450" t="s">
        <v>10122</v>
      </c>
      <c r="C9300" s="449" t="s">
        <v>679</v>
      </c>
      <c r="D9300" s="451">
        <v>50520</v>
      </c>
      <c r="E9300" s="210"/>
    </row>
    <row r="9301" spans="1:5">
      <c r="A9301" s="449">
        <v>3324</v>
      </c>
      <c r="B9301" s="450" t="s">
        <v>10123</v>
      </c>
      <c r="C9301" s="449" t="s">
        <v>684</v>
      </c>
      <c r="D9301" s="451">
        <v>8.57</v>
      </c>
      <c r="E9301" s="210"/>
    </row>
    <row r="9302" spans="1:5" ht="25.5">
      <c r="A9302" s="449">
        <v>3322</v>
      </c>
      <c r="B9302" s="450" t="s">
        <v>10124</v>
      </c>
      <c r="C9302" s="449" t="s">
        <v>684</v>
      </c>
      <c r="D9302" s="451">
        <v>12</v>
      </c>
      <c r="E9302" s="210"/>
    </row>
    <row r="9303" spans="1:5">
      <c r="A9303" s="449">
        <v>5076</v>
      </c>
      <c r="B9303" s="450" t="s">
        <v>10125</v>
      </c>
      <c r="C9303" s="449" t="s">
        <v>676</v>
      </c>
      <c r="D9303" s="451">
        <v>18.5</v>
      </c>
      <c r="E9303" s="210"/>
    </row>
    <row r="9304" spans="1:5">
      <c r="A9304" s="449">
        <v>5077</v>
      </c>
      <c r="B9304" s="450" t="s">
        <v>10126</v>
      </c>
      <c r="C9304" s="449" t="s">
        <v>676</v>
      </c>
      <c r="D9304" s="451">
        <v>20.440000000000001</v>
      </c>
      <c r="E9304" s="210"/>
    </row>
    <row r="9305" spans="1:5" ht="38.25">
      <c r="A9305" s="449">
        <v>11837</v>
      </c>
      <c r="B9305" s="450" t="s">
        <v>10127</v>
      </c>
      <c r="C9305" s="449" t="s">
        <v>679</v>
      </c>
      <c r="D9305" s="451">
        <v>44.04</v>
      </c>
      <c r="E9305" s="210"/>
    </row>
    <row r="9306" spans="1:5" ht="38.25">
      <c r="A9306" s="449">
        <v>38055</v>
      </c>
      <c r="B9306" s="450" t="s">
        <v>10128</v>
      </c>
      <c r="C9306" s="449" t="s">
        <v>679</v>
      </c>
      <c r="D9306" s="451">
        <v>3.99</v>
      </c>
      <c r="E9306" s="210"/>
    </row>
    <row r="9307" spans="1:5" ht="38.25">
      <c r="A9307" s="449">
        <v>415</v>
      </c>
      <c r="B9307" s="450" t="s">
        <v>10129</v>
      </c>
      <c r="C9307" s="449" t="s">
        <v>679</v>
      </c>
      <c r="D9307" s="451">
        <v>18.059999999999999</v>
      </c>
      <c r="E9307" s="210"/>
    </row>
    <row r="9308" spans="1:5" ht="38.25">
      <c r="A9308" s="449">
        <v>416</v>
      </c>
      <c r="B9308" s="450" t="s">
        <v>10130</v>
      </c>
      <c r="C9308" s="449" t="s">
        <v>679</v>
      </c>
      <c r="D9308" s="451">
        <v>6.61</v>
      </c>
      <c r="E9308" s="210"/>
    </row>
    <row r="9309" spans="1:5" ht="38.25">
      <c r="A9309" s="449">
        <v>425</v>
      </c>
      <c r="B9309" s="450" t="s">
        <v>10131</v>
      </c>
      <c r="C9309" s="449" t="s">
        <v>679</v>
      </c>
      <c r="D9309" s="451">
        <v>4.0999999999999996</v>
      </c>
      <c r="E9309" s="210"/>
    </row>
    <row r="9310" spans="1:5" ht="38.25">
      <c r="A9310" s="449">
        <v>426</v>
      </c>
      <c r="B9310" s="450" t="s">
        <v>10132</v>
      </c>
      <c r="C9310" s="449" t="s">
        <v>679</v>
      </c>
      <c r="D9310" s="451">
        <v>22.57</v>
      </c>
      <c r="E9310" s="210"/>
    </row>
    <row r="9311" spans="1:5" ht="38.25">
      <c r="A9311" s="449">
        <v>38056</v>
      </c>
      <c r="B9311" s="450" t="s">
        <v>10133</v>
      </c>
      <c r="C9311" s="449" t="s">
        <v>679</v>
      </c>
      <c r="D9311" s="451">
        <v>22.04</v>
      </c>
      <c r="E9311" s="210"/>
    </row>
    <row r="9312" spans="1:5" ht="25.5">
      <c r="A9312" s="449">
        <v>1564</v>
      </c>
      <c r="B9312" s="450" t="s">
        <v>10134</v>
      </c>
      <c r="C9312" s="449" t="s">
        <v>679</v>
      </c>
      <c r="D9312" s="451">
        <v>8.41</v>
      </c>
      <c r="E9312" s="210"/>
    </row>
    <row r="9313" spans="1:5">
      <c r="A9313" s="449">
        <v>11032</v>
      </c>
      <c r="B9313" s="450" t="s">
        <v>10135</v>
      </c>
      <c r="C9313" s="449" t="s">
        <v>679</v>
      </c>
      <c r="D9313" s="451">
        <v>11.5</v>
      </c>
      <c r="E9313" s="210"/>
    </row>
    <row r="9314" spans="1:5" ht="38.25">
      <c r="A9314" s="449">
        <v>36786</v>
      </c>
      <c r="B9314" s="450" t="s">
        <v>10136</v>
      </c>
      <c r="C9314" s="449" t="s">
        <v>85</v>
      </c>
      <c r="D9314" s="451">
        <v>148.86000000000001</v>
      </c>
      <c r="E9314" s="210"/>
    </row>
    <row r="9315" spans="1:5" ht="25.5">
      <c r="A9315" s="449">
        <v>36785</v>
      </c>
      <c r="B9315" s="450" t="s">
        <v>10137</v>
      </c>
      <c r="C9315" s="449" t="s">
        <v>85</v>
      </c>
      <c r="D9315" s="451">
        <v>129.35</v>
      </c>
      <c r="E9315" s="210"/>
    </row>
    <row r="9316" spans="1:5" ht="38.25">
      <c r="A9316" s="449">
        <v>36782</v>
      </c>
      <c r="B9316" s="450" t="s">
        <v>10138</v>
      </c>
      <c r="C9316" s="449" t="s">
        <v>85</v>
      </c>
      <c r="D9316" s="451">
        <v>154.4</v>
      </c>
      <c r="E9316" s="210"/>
    </row>
    <row r="9317" spans="1:5" ht="38.25">
      <c r="A9317" s="449">
        <v>25930</v>
      </c>
      <c r="B9317" s="450" t="s">
        <v>10139</v>
      </c>
      <c r="C9317" s="449" t="s">
        <v>85</v>
      </c>
      <c r="D9317" s="451">
        <v>173.91</v>
      </c>
      <c r="E9317" s="210"/>
    </row>
    <row r="9318" spans="1:5" ht="38.25">
      <c r="A9318" s="449">
        <v>4824</v>
      </c>
      <c r="B9318" s="450" t="s">
        <v>10140</v>
      </c>
      <c r="C9318" s="449" t="s">
        <v>676</v>
      </c>
      <c r="D9318" s="451">
        <v>0.53</v>
      </c>
      <c r="E9318" s="210"/>
    </row>
    <row r="9319" spans="1:5" ht="38.25">
      <c r="A9319" s="449">
        <v>11795</v>
      </c>
      <c r="B9319" s="450" t="s">
        <v>10141</v>
      </c>
      <c r="C9319" s="449" t="s">
        <v>684</v>
      </c>
      <c r="D9319" s="451">
        <v>422.64</v>
      </c>
      <c r="E9319" s="210"/>
    </row>
    <row r="9320" spans="1:5">
      <c r="A9320" s="449">
        <v>134</v>
      </c>
      <c r="B9320" s="450" t="s">
        <v>10142</v>
      </c>
      <c r="C9320" s="449" t="s">
        <v>676</v>
      </c>
      <c r="D9320" s="451">
        <v>1.28</v>
      </c>
      <c r="E9320" s="210"/>
    </row>
    <row r="9321" spans="1:5">
      <c r="A9321" s="449">
        <v>4229</v>
      </c>
      <c r="B9321" s="450" t="s">
        <v>10143</v>
      </c>
      <c r="C9321" s="449" t="s">
        <v>676</v>
      </c>
      <c r="D9321" s="451">
        <v>29.28</v>
      </c>
      <c r="E9321" s="210"/>
    </row>
    <row r="9322" spans="1:5" ht="25.5">
      <c r="A9322" s="449">
        <v>11244</v>
      </c>
      <c r="B9322" s="450" t="s">
        <v>10144</v>
      </c>
      <c r="C9322" s="449" t="s">
        <v>679</v>
      </c>
      <c r="D9322" s="451">
        <v>292.55</v>
      </c>
      <c r="E9322" s="210"/>
    </row>
    <row r="9323" spans="1:5" ht="38.25">
      <c r="A9323" s="449">
        <v>11245</v>
      </c>
      <c r="B9323" s="450" t="s">
        <v>10145</v>
      </c>
      <c r="C9323" s="449" t="s">
        <v>679</v>
      </c>
      <c r="D9323" s="451">
        <v>404.65</v>
      </c>
      <c r="E9323" s="210"/>
    </row>
    <row r="9324" spans="1:5" ht="25.5">
      <c r="A9324" s="449">
        <v>11235</v>
      </c>
      <c r="B9324" s="450" t="s">
        <v>10146</v>
      </c>
      <c r="C9324" s="449" t="s">
        <v>679</v>
      </c>
      <c r="D9324" s="451">
        <v>223.25</v>
      </c>
      <c r="E9324" s="210"/>
    </row>
    <row r="9325" spans="1:5" ht="25.5">
      <c r="A9325" s="449">
        <v>11236</v>
      </c>
      <c r="B9325" s="450" t="s">
        <v>10147</v>
      </c>
      <c r="C9325" s="449" t="s">
        <v>679</v>
      </c>
      <c r="D9325" s="451">
        <v>283.72000000000003</v>
      </c>
      <c r="E9325" s="210"/>
    </row>
    <row r="9326" spans="1:5">
      <c r="A9326" s="449">
        <v>11731</v>
      </c>
      <c r="B9326" s="450" t="s">
        <v>10148</v>
      </c>
      <c r="C9326" s="449" t="s">
        <v>679</v>
      </c>
      <c r="D9326" s="451">
        <v>5.64</v>
      </c>
      <c r="E9326" s="210"/>
    </row>
    <row r="9327" spans="1:5">
      <c r="A9327" s="449">
        <v>11732</v>
      </c>
      <c r="B9327" s="450" t="s">
        <v>10149</v>
      </c>
      <c r="C9327" s="449" t="s">
        <v>679</v>
      </c>
      <c r="D9327" s="451">
        <v>28.65</v>
      </c>
      <c r="E9327" s="210"/>
    </row>
    <row r="9328" spans="1:5" ht="25.5">
      <c r="A9328" s="449">
        <v>36494</v>
      </c>
      <c r="B9328" s="450" t="s">
        <v>10150</v>
      </c>
      <c r="C9328" s="449" t="s">
        <v>679</v>
      </c>
      <c r="D9328" s="451">
        <v>607038.12</v>
      </c>
      <c r="E9328" s="210"/>
    </row>
    <row r="9329" spans="1:5" ht="25.5">
      <c r="A9329" s="449">
        <v>36493</v>
      </c>
      <c r="B9329" s="450" t="s">
        <v>10151</v>
      </c>
      <c r="C9329" s="449" t="s">
        <v>679</v>
      </c>
      <c r="D9329" s="451">
        <v>687749.53</v>
      </c>
      <c r="E9329" s="210"/>
    </row>
    <row r="9330" spans="1:5" ht="25.5">
      <c r="A9330" s="449">
        <v>36492</v>
      </c>
      <c r="B9330" s="450" t="s">
        <v>10152</v>
      </c>
      <c r="C9330" s="449" t="s">
        <v>679</v>
      </c>
      <c r="D9330" s="451">
        <v>1277577.81</v>
      </c>
      <c r="E9330" s="210"/>
    </row>
    <row r="9331" spans="1:5" ht="38.25">
      <c r="A9331" s="449">
        <v>13333</v>
      </c>
      <c r="B9331" s="450" t="s">
        <v>10153</v>
      </c>
      <c r="C9331" s="449" t="s">
        <v>679</v>
      </c>
      <c r="D9331" s="451">
        <v>132151.10999999999</v>
      </c>
      <c r="E9331" s="210"/>
    </row>
    <row r="9332" spans="1:5" ht="38.25">
      <c r="A9332" s="449">
        <v>13533</v>
      </c>
      <c r="B9332" s="450" t="s">
        <v>10154</v>
      </c>
      <c r="C9332" s="449" t="s">
        <v>679</v>
      </c>
      <c r="D9332" s="451">
        <v>118128.41</v>
      </c>
      <c r="E9332" s="210"/>
    </row>
    <row r="9333" spans="1:5" ht="38.25">
      <c r="A9333" s="449">
        <v>36499</v>
      </c>
      <c r="B9333" s="450" t="s">
        <v>10155</v>
      </c>
      <c r="C9333" s="449" t="s">
        <v>679</v>
      </c>
      <c r="D9333" s="451">
        <v>2576.94</v>
      </c>
      <c r="E9333" s="210"/>
    </row>
    <row r="9334" spans="1:5" ht="51">
      <c r="A9334" s="449">
        <v>39585</v>
      </c>
      <c r="B9334" s="450" t="s">
        <v>10156</v>
      </c>
      <c r="C9334" s="449" t="s">
        <v>679</v>
      </c>
      <c r="D9334" s="451">
        <v>85329.96</v>
      </c>
      <c r="E9334" s="210"/>
    </row>
    <row r="9335" spans="1:5" ht="51">
      <c r="A9335" s="449">
        <v>39586</v>
      </c>
      <c r="B9335" s="450" t="s">
        <v>10157</v>
      </c>
      <c r="C9335" s="449" t="s">
        <v>679</v>
      </c>
      <c r="D9335" s="451">
        <v>100086.27</v>
      </c>
      <c r="E9335" s="210"/>
    </row>
    <row r="9336" spans="1:5" ht="51">
      <c r="A9336" s="449">
        <v>39587</v>
      </c>
      <c r="B9336" s="450" t="s">
        <v>10158</v>
      </c>
      <c r="C9336" s="449" t="s">
        <v>679</v>
      </c>
      <c r="D9336" s="451">
        <v>121899.95</v>
      </c>
      <c r="E9336" s="210"/>
    </row>
    <row r="9337" spans="1:5" ht="51">
      <c r="A9337" s="449">
        <v>39588</v>
      </c>
      <c r="B9337" s="450" t="s">
        <v>10159</v>
      </c>
      <c r="C9337" s="449" t="s">
        <v>679</v>
      </c>
      <c r="D9337" s="451">
        <v>141147.31</v>
      </c>
      <c r="E9337" s="210"/>
    </row>
    <row r="9338" spans="1:5" ht="51">
      <c r="A9338" s="449">
        <v>39584</v>
      </c>
      <c r="B9338" s="450" t="s">
        <v>10160</v>
      </c>
      <c r="C9338" s="449" t="s">
        <v>679</v>
      </c>
      <c r="D9338" s="451">
        <v>75988.58</v>
      </c>
      <c r="E9338" s="210"/>
    </row>
    <row r="9339" spans="1:5" ht="51">
      <c r="A9339" s="449">
        <v>39590</v>
      </c>
      <c r="B9339" s="450" t="s">
        <v>10161</v>
      </c>
      <c r="C9339" s="449" t="s">
        <v>679</v>
      </c>
      <c r="D9339" s="451">
        <v>74166.5</v>
      </c>
      <c r="E9339" s="210"/>
    </row>
    <row r="9340" spans="1:5" ht="51">
      <c r="A9340" s="449">
        <v>39592</v>
      </c>
      <c r="B9340" s="450" t="s">
        <v>10162</v>
      </c>
      <c r="C9340" s="449" t="s">
        <v>679</v>
      </c>
      <c r="D9340" s="451">
        <v>106579.05</v>
      </c>
      <c r="E9340" s="210"/>
    </row>
    <row r="9341" spans="1:5" ht="51">
      <c r="A9341" s="449">
        <v>39593</v>
      </c>
      <c r="B9341" s="450" t="s">
        <v>10163</v>
      </c>
      <c r="C9341" s="449" t="s">
        <v>679</v>
      </c>
      <c r="D9341" s="451">
        <v>121899.95</v>
      </c>
      <c r="E9341" s="210"/>
    </row>
    <row r="9342" spans="1:5" ht="51">
      <c r="A9342" s="449">
        <v>14254</v>
      </c>
      <c r="B9342" s="450" t="s">
        <v>10164</v>
      </c>
      <c r="C9342" s="449" t="s">
        <v>679</v>
      </c>
      <c r="D9342" s="451">
        <v>69290.5</v>
      </c>
      <c r="E9342" s="210"/>
    </row>
    <row r="9343" spans="1:5" ht="25.5">
      <c r="A9343" s="449">
        <v>25987</v>
      </c>
      <c r="B9343" s="450" t="s">
        <v>10165</v>
      </c>
      <c r="C9343" s="449" t="s">
        <v>679</v>
      </c>
      <c r="D9343" s="451">
        <v>57863.09</v>
      </c>
      <c r="E9343" s="210"/>
    </row>
    <row r="9344" spans="1:5" ht="25.5">
      <c r="A9344" s="449">
        <v>25019</v>
      </c>
      <c r="B9344" s="450" t="s">
        <v>10166</v>
      </c>
      <c r="C9344" s="449" t="s">
        <v>679</v>
      </c>
      <c r="D9344" s="451">
        <v>99183.81</v>
      </c>
      <c r="E9344" s="210"/>
    </row>
    <row r="9345" spans="1:5" ht="25.5">
      <c r="A9345" s="449">
        <v>36501</v>
      </c>
      <c r="B9345" s="450" t="s">
        <v>10167</v>
      </c>
      <c r="C9345" s="449" t="s">
        <v>679</v>
      </c>
      <c r="D9345" s="451">
        <v>88307.77</v>
      </c>
      <c r="E9345" s="210"/>
    </row>
    <row r="9346" spans="1:5" ht="25.5">
      <c r="A9346" s="449">
        <v>25986</v>
      </c>
      <c r="B9346" s="450" t="s">
        <v>10168</v>
      </c>
      <c r="C9346" s="449" t="s">
        <v>679</v>
      </c>
      <c r="D9346" s="451">
        <v>106162.86</v>
      </c>
      <c r="E9346" s="210"/>
    </row>
    <row r="9347" spans="1:5" ht="25.5">
      <c r="A9347" s="449">
        <v>36500</v>
      </c>
      <c r="B9347" s="450" t="s">
        <v>10169</v>
      </c>
      <c r="C9347" s="449" t="s">
        <v>679</v>
      </c>
      <c r="D9347" s="451">
        <v>62404.69</v>
      </c>
      <c r="E9347" s="210"/>
    </row>
    <row r="9348" spans="1:5" ht="63.75">
      <c r="A9348" s="449">
        <v>20017</v>
      </c>
      <c r="B9348" s="450" t="s">
        <v>10170</v>
      </c>
      <c r="C9348" s="449" t="s">
        <v>683</v>
      </c>
      <c r="D9348" s="451">
        <v>4.07</v>
      </c>
      <c r="E9348" s="210"/>
    </row>
    <row r="9349" spans="1:5" ht="51">
      <c r="A9349" s="449">
        <v>20007</v>
      </c>
      <c r="B9349" s="450" t="s">
        <v>10171</v>
      </c>
      <c r="C9349" s="449" t="s">
        <v>683</v>
      </c>
      <c r="D9349" s="451">
        <v>2.4300000000000002</v>
      </c>
      <c r="E9349" s="210"/>
    </row>
    <row r="9350" spans="1:5" ht="38.25">
      <c r="A9350" s="449">
        <v>39831</v>
      </c>
      <c r="B9350" s="450" t="s">
        <v>10172</v>
      </c>
      <c r="C9350" s="449" t="s">
        <v>681</v>
      </c>
      <c r="D9350" s="451">
        <v>223.37</v>
      </c>
      <c r="E9350" s="210"/>
    </row>
    <row r="9351" spans="1:5" ht="51">
      <c r="A9351" s="449">
        <v>39836</v>
      </c>
      <c r="B9351" s="450" t="s">
        <v>10173</v>
      </c>
      <c r="C9351" s="449" t="s">
        <v>681</v>
      </c>
      <c r="D9351" s="451">
        <v>196.27</v>
      </c>
      <c r="E9351" s="210"/>
    </row>
    <row r="9352" spans="1:5" ht="38.25">
      <c r="A9352" s="449">
        <v>39830</v>
      </c>
      <c r="B9352" s="450" t="s">
        <v>10174</v>
      </c>
      <c r="C9352" s="449" t="s">
        <v>681</v>
      </c>
      <c r="D9352" s="451">
        <v>223.84</v>
      </c>
      <c r="E9352" s="210"/>
    </row>
    <row r="9353" spans="1:5" ht="38.25">
      <c r="A9353" s="449">
        <v>36888</v>
      </c>
      <c r="B9353" s="450" t="s">
        <v>10175</v>
      </c>
      <c r="C9353" s="449" t="s">
        <v>683</v>
      </c>
      <c r="D9353" s="451">
        <v>15.02</v>
      </c>
      <c r="E9353" s="210"/>
    </row>
    <row r="9354" spans="1:5" ht="38.25">
      <c r="A9354" s="449">
        <v>40527</v>
      </c>
      <c r="B9354" s="450" t="s">
        <v>10176</v>
      </c>
      <c r="C9354" s="449" t="s">
        <v>679</v>
      </c>
      <c r="D9354" s="451">
        <v>2612.9</v>
      </c>
      <c r="E9354" s="210"/>
    </row>
    <row r="9355" spans="1:5" ht="38.25">
      <c r="A9355" s="449">
        <v>36497</v>
      </c>
      <c r="B9355" s="450" t="s">
        <v>10177</v>
      </c>
      <c r="C9355" s="449" t="s">
        <v>679</v>
      </c>
      <c r="D9355" s="451">
        <v>2982.91</v>
      </c>
      <c r="E9355" s="210"/>
    </row>
    <row r="9356" spans="1:5" ht="38.25">
      <c r="A9356" s="449">
        <v>36487</v>
      </c>
      <c r="B9356" s="450" t="s">
        <v>10178</v>
      </c>
      <c r="C9356" s="449" t="s">
        <v>679</v>
      </c>
      <c r="D9356" s="451">
        <v>5193.7</v>
      </c>
      <c r="E9356" s="210"/>
    </row>
    <row r="9357" spans="1:5" ht="38.25">
      <c r="A9357" s="449">
        <v>25952</v>
      </c>
      <c r="B9357" s="450" t="s">
        <v>10179</v>
      </c>
      <c r="C9357" s="449" t="s">
        <v>679</v>
      </c>
      <c r="D9357" s="451">
        <v>1061499.48</v>
      </c>
      <c r="E9357" s="210"/>
    </row>
    <row r="9358" spans="1:5" ht="38.25">
      <c r="A9358" s="449">
        <v>25954</v>
      </c>
      <c r="B9358" s="450" t="s">
        <v>10180</v>
      </c>
      <c r="C9358" s="449" t="s">
        <v>679</v>
      </c>
      <c r="D9358" s="451">
        <v>2041345.16</v>
      </c>
      <c r="E9358" s="210"/>
    </row>
    <row r="9359" spans="1:5" ht="38.25">
      <c r="A9359" s="449">
        <v>25953</v>
      </c>
      <c r="B9359" s="450" t="s">
        <v>10181</v>
      </c>
      <c r="C9359" s="449" t="s">
        <v>679</v>
      </c>
      <c r="D9359" s="451">
        <v>3470286.76</v>
      </c>
      <c r="E9359" s="210"/>
    </row>
    <row r="9360" spans="1:5" ht="76.5">
      <c r="A9360" s="449">
        <v>37776</v>
      </c>
      <c r="B9360" s="450" t="s">
        <v>10182</v>
      </c>
      <c r="C9360" s="449" t="s">
        <v>679</v>
      </c>
      <c r="D9360" s="451">
        <v>212684.22</v>
      </c>
      <c r="E9360" s="210"/>
    </row>
    <row r="9361" spans="1:5" ht="76.5">
      <c r="A9361" s="449">
        <v>37775</v>
      </c>
      <c r="B9361" s="450" t="s">
        <v>10183</v>
      </c>
      <c r="C9361" s="449" t="s">
        <v>679</v>
      </c>
      <c r="D9361" s="451">
        <v>334993.75</v>
      </c>
      <c r="E9361" s="210"/>
    </row>
    <row r="9362" spans="1:5" ht="76.5">
      <c r="A9362" s="449">
        <v>36491</v>
      </c>
      <c r="B9362" s="450" t="s">
        <v>10184</v>
      </c>
      <c r="C9362" s="449" t="s">
        <v>679</v>
      </c>
      <c r="D9362" s="451">
        <v>1240581.25</v>
      </c>
      <c r="E9362" s="210"/>
    </row>
    <row r="9363" spans="1:5" ht="76.5">
      <c r="A9363" s="449">
        <v>10712</v>
      </c>
      <c r="B9363" s="450" t="s">
        <v>10185</v>
      </c>
      <c r="C9363" s="449" t="s">
        <v>679</v>
      </c>
      <c r="D9363" s="451">
        <v>83748.429999999993</v>
      </c>
      <c r="E9363" s="210"/>
    </row>
    <row r="9364" spans="1:5" ht="76.5">
      <c r="A9364" s="449">
        <v>3363</v>
      </c>
      <c r="B9364" s="450" t="s">
        <v>10186</v>
      </c>
      <c r="C9364" s="449" t="s">
        <v>679</v>
      </c>
      <c r="D9364" s="451">
        <v>117800</v>
      </c>
      <c r="E9364" s="210"/>
    </row>
    <row r="9365" spans="1:5" ht="76.5">
      <c r="A9365" s="449">
        <v>3365</v>
      </c>
      <c r="B9365" s="450" t="s">
        <v>10187</v>
      </c>
      <c r="C9365" s="449" t="s">
        <v>679</v>
      </c>
      <c r="D9365" s="451">
        <v>275357.5</v>
      </c>
      <c r="E9365" s="210"/>
    </row>
    <row r="9366" spans="1:5" ht="25.5">
      <c r="A9366" s="449">
        <v>7569</v>
      </c>
      <c r="B9366" s="450" t="s">
        <v>10188</v>
      </c>
      <c r="C9366" s="449" t="s">
        <v>679</v>
      </c>
      <c r="D9366" s="451">
        <v>65.349999999999994</v>
      </c>
      <c r="E9366" s="210"/>
    </row>
    <row r="9367" spans="1:5" ht="25.5">
      <c r="A9367" s="449">
        <v>34349</v>
      </c>
      <c r="B9367" s="450" t="s">
        <v>10189</v>
      </c>
      <c r="C9367" s="449" t="s">
        <v>679</v>
      </c>
      <c r="D9367" s="451">
        <v>25.63</v>
      </c>
      <c r="E9367" s="210"/>
    </row>
    <row r="9368" spans="1:5" ht="38.25">
      <c r="A9368" s="449">
        <v>11991</v>
      </c>
      <c r="B9368" s="450" t="s">
        <v>10190</v>
      </c>
      <c r="C9368" s="449" t="s">
        <v>679</v>
      </c>
      <c r="D9368" s="451">
        <v>50.16</v>
      </c>
      <c r="E9368" s="210"/>
    </row>
    <row r="9369" spans="1:5" ht="25.5">
      <c r="A9369" s="449">
        <v>20062</v>
      </c>
      <c r="B9369" s="450" t="s">
        <v>10191</v>
      </c>
      <c r="C9369" s="449" t="s">
        <v>679</v>
      </c>
      <c r="D9369" s="451">
        <v>14.66</v>
      </c>
      <c r="E9369" s="210"/>
    </row>
    <row r="9370" spans="1:5" ht="51">
      <c r="A9370" s="449">
        <v>11029</v>
      </c>
      <c r="B9370" s="450" t="s">
        <v>10192</v>
      </c>
      <c r="C9370" s="449" t="s">
        <v>686</v>
      </c>
      <c r="D9370" s="451">
        <v>1.76</v>
      </c>
      <c r="E9370" s="210"/>
    </row>
    <row r="9371" spans="1:5" ht="51">
      <c r="A9371" s="449">
        <v>4316</v>
      </c>
      <c r="B9371" s="450" t="s">
        <v>10193</v>
      </c>
      <c r="C9371" s="449" t="s">
        <v>679</v>
      </c>
      <c r="D9371" s="451">
        <v>1.78</v>
      </c>
      <c r="E9371" s="210"/>
    </row>
    <row r="9372" spans="1:5" ht="51">
      <c r="A9372" s="449">
        <v>4313</v>
      </c>
      <c r="B9372" s="450" t="s">
        <v>10194</v>
      </c>
      <c r="C9372" s="449" t="s">
        <v>686</v>
      </c>
      <c r="D9372" s="451">
        <v>2.5499999999999998</v>
      </c>
      <c r="E9372" s="210"/>
    </row>
    <row r="9373" spans="1:5" ht="51">
      <c r="A9373" s="449">
        <v>4317</v>
      </c>
      <c r="B9373" s="450" t="s">
        <v>10195</v>
      </c>
      <c r="C9373" s="449" t="s">
        <v>679</v>
      </c>
      <c r="D9373" s="451">
        <v>2.91</v>
      </c>
      <c r="E9373" s="210"/>
    </row>
    <row r="9374" spans="1:5" ht="51">
      <c r="A9374" s="449">
        <v>4314</v>
      </c>
      <c r="B9374" s="450" t="s">
        <v>10196</v>
      </c>
      <c r="C9374" s="449" t="s">
        <v>686</v>
      </c>
      <c r="D9374" s="451">
        <v>3.41</v>
      </c>
      <c r="E9374" s="210"/>
    </row>
    <row r="9375" spans="1:5" ht="51">
      <c r="A9375" s="449">
        <v>10921</v>
      </c>
      <c r="B9375" s="450" t="s">
        <v>10197</v>
      </c>
      <c r="C9375" s="449" t="s">
        <v>679</v>
      </c>
      <c r="D9375" s="451">
        <v>4619.55</v>
      </c>
      <c r="E9375" s="210"/>
    </row>
    <row r="9376" spans="1:5" ht="51">
      <c r="A9376" s="449">
        <v>10922</v>
      </c>
      <c r="B9376" s="450" t="s">
        <v>10198</v>
      </c>
      <c r="C9376" s="449" t="s">
        <v>679</v>
      </c>
      <c r="D9376" s="451">
        <v>4184.2700000000004</v>
      </c>
      <c r="E9376" s="210"/>
    </row>
    <row r="9377" spans="1:5" ht="25.5">
      <c r="A9377" s="449">
        <v>10923</v>
      </c>
      <c r="B9377" s="450" t="s">
        <v>10199</v>
      </c>
      <c r="C9377" s="449" t="s">
        <v>679</v>
      </c>
      <c r="D9377" s="451">
        <v>2473.08</v>
      </c>
      <c r="E9377" s="210"/>
    </row>
    <row r="9378" spans="1:5" ht="25.5">
      <c r="A9378" s="449">
        <v>10924</v>
      </c>
      <c r="B9378" s="450" t="s">
        <v>10200</v>
      </c>
      <c r="C9378" s="449" t="s">
        <v>679</v>
      </c>
      <c r="D9378" s="451">
        <v>2604.63</v>
      </c>
      <c r="E9378" s="210"/>
    </row>
    <row r="9379" spans="1:5" ht="51">
      <c r="A9379" s="449">
        <v>37772</v>
      </c>
      <c r="B9379" s="450" t="s">
        <v>10201</v>
      </c>
      <c r="C9379" s="449" t="s">
        <v>679</v>
      </c>
      <c r="D9379" s="451">
        <v>151152.01</v>
      </c>
      <c r="E9379" s="210"/>
    </row>
    <row r="9380" spans="1:5" ht="63.75">
      <c r="A9380" s="449">
        <v>37771</v>
      </c>
      <c r="B9380" s="450" t="s">
        <v>10202</v>
      </c>
      <c r="C9380" s="449" t="s">
        <v>679</v>
      </c>
      <c r="D9380" s="451">
        <v>160801.66</v>
      </c>
      <c r="E9380" s="210"/>
    </row>
    <row r="9381" spans="1:5" ht="51">
      <c r="A9381" s="449">
        <v>12772</v>
      </c>
      <c r="B9381" s="450" t="s">
        <v>10203</v>
      </c>
      <c r="C9381" s="449" t="s">
        <v>679</v>
      </c>
      <c r="D9381" s="451">
        <v>802.57</v>
      </c>
      <c r="E9381" s="210"/>
    </row>
    <row r="9382" spans="1:5" ht="51">
      <c r="A9382" s="449">
        <v>12770</v>
      </c>
      <c r="B9382" s="450" t="s">
        <v>10204</v>
      </c>
      <c r="C9382" s="449" t="s">
        <v>679</v>
      </c>
      <c r="D9382" s="451">
        <v>482.9</v>
      </c>
      <c r="E9382" s="210"/>
    </row>
    <row r="9383" spans="1:5" ht="51">
      <c r="A9383" s="449">
        <v>12775</v>
      </c>
      <c r="B9383" s="450" t="s">
        <v>10205</v>
      </c>
      <c r="C9383" s="449" t="s">
        <v>679</v>
      </c>
      <c r="D9383" s="451">
        <v>353.67</v>
      </c>
      <c r="E9383" s="210"/>
    </row>
    <row r="9384" spans="1:5" ht="51">
      <c r="A9384" s="449">
        <v>12768</v>
      </c>
      <c r="B9384" s="450" t="s">
        <v>10206</v>
      </c>
      <c r="C9384" s="449" t="s">
        <v>679</v>
      </c>
      <c r="D9384" s="451">
        <v>1129.04</v>
      </c>
      <c r="E9384" s="210"/>
    </row>
    <row r="9385" spans="1:5" ht="51">
      <c r="A9385" s="449">
        <v>12769</v>
      </c>
      <c r="B9385" s="450" t="s">
        <v>10207</v>
      </c>
      <c r="C9385" s="449" t="s">
        <v>679</v>
      </c>
      <c r="D9385" s="451">
        <v>92.5</v>
      </c>
      <c r="E9385" s="210"/>
    </row>
    <row r="9386" spans="1:5" ht="51">
      <c r="A9386" s="449">
        <v>12773</v>
      </c>
      <c r="B9386" s="450" t="s">
        <v>10208</v>
      </c>
      <c r="C9386" s="449" t="s">
        <v>679</v>
      </c>
      <c r="D9386" s="451">
        <v>99.3</v>
      </c>
      <c r="E9386" s="210"/>
    </row>
    <row r="9387" spans="1:5" ht="51">
      <c r="A9387" s="449">
        <v>12774</v>
      </c>
      <c r="B9387" s="450" t="s">
        <v>10209</v>
      </c>
      <c r="C9387" s="449" t="s">
        <v>679</v>
      </c>
      <c r="D9387" s="451">
        <v>122.42</v>
      </c>
      <c r="E9387" s="210"/>
    </row>
    <row r="9388" spans="1:5" ht="51">
      <c r="A9388" s="449">
        <v>12776</v>
      </c>
      <c r="B9388" s="450" t="s">
        <v>10210</v>
      </c>
      <c r="C9388" s="449" t="s">
        <v>679</v>
      </c>
      <c r="D9388" s="451">
        <v>1822.79</v>
      </c>
      <c r="E9388" s="210"/>
    </row>
    <row r="9389" spans="1:5" ht="51">
      <c r="A9389" s="449">
        <v>12777</v>
      </c>
      <c r="B9389" s="450" t="s">
        <v>10211</v>
      </c>
      <c r="C9389" s="449" t="s">
        <v>679</v>
      </c>
      <c r="D9389" s="451">
        <v>2380.5100000000002</v>
      </c>
      <c r="E9389" s="210"/>
    </row>
    <row r="9390" spans="1:5" ht="38.25">
      <c r="A9390" s="449">
        <v>3391</v>
      </c>
      <c r="B9390" s="450" t="s">
        <v>10212</v>
      </c>
      <c r="C9390" s="449" t="s">
        <v>679</v>
      </c>
      <c r="D9390" s="451">
        <v>33.729999999999997</v>
      </c>
      <c r="E9390" s="210"/>
    </row>
    <row r="9391" spans="1:5" ht="38.25">
      <c r="A9391" s="449">
        <v>3389</v>
      </c>
      <c r="B9391" s="450" t="s">
        <v>10213</v>
      </c>
      <c r="C9391" s="449" t="s">
        <v>679</v>
      </c>
      <c r="D9391" s="451">
        <v>17.5</v>
      </c>
      <c r="E9391" s="210"/>
    </row>
    <row r="9392" spans="1:5" ht="38.25">
      <c r="A9392" s="449">
        <v>3390</v>
      </c>
      <c r="B9392" s="450" t="s">
        <v>10214</v>
      </c>
      <c r="C9392" s="449" t="s">
        <v>679</v>
      </c>
      <c r="D9392" s="451">
        <v>19.690000000000001</v>
      </c>
      <c r="E9392" s="210"/>
    </row>
    <row r="9393" spans="1:5">
      <c r="A9393" s="449">
        <v>12873</v>
      </c>
      <c r="B9393" s="450" t="s">
        <v>10215</v>
      </c>
      <c r="C9393" s="449" t="s">
        <v>682</v>
      </c>
      <c r="D9393" s="451">
        <v>14.47</v>
      </c>
      <c r="E9393" s="210"/>
    </row>
    <row r="9394" spans="1:5">
      <c r="A9394" s="449">
        <v>41076</v>
      </c>
      <c r="B9394" s="450" t="s">
        <v>10216</v>
      </c>
      <c r="C9394" s="449" t="s">
        <v>797</v>
      </c>
      <c r="D9394" s="451">
        <v>2565.5300000000002</v>
      </c>
      <c r="E9394" s="210"/>
    </row>
    <row r="9395" spans="1:5" ht="25.5">
      <c r="A9395" s="449">
        <v>140</v>
      </c>
      <c r="B9395" s="450" t="s">
        <v>10217</v>
      </c>
      <c r="C9395" s="449" t="s">
        <v>676</v>
      </c>
      <c r="D9395" s="451">
        <v>14.27</v>
      </c>
      <c r="E9395" s="210"/>
    </row>
    <row r="9396" spans="1:5" ht="38.25">
      <c r="A9396" s="449">
        <v>151</v>
      </c>
      <c r="B9396" s="450" t="s">
        <v>10218</v>
      </c>
      <c r="C9396" s="449" t="s">
        <v>678</v>
      </c>
      <c r="D9396" s="451">
        <v>21.07</v>
      </c>
      <c r="E9396" s="210"/>
    </row>
    <row r="9397" spans="1:5">
      <c r="A9397" s="449">
        <v>7340</v>
      </c>
      <c r="B9397" s="450" t="s">
        <v>10219</v>
      </c>
      <c r="C9397" s="449" t="s">
        <v>678</v>
      </c>
      <c r="D9397" s="451">
        <v>47</v>
      </c>
      <c r="E9397" s="210"/>
    </row>
    <row r="9398" spans="1:5" ht="25.5">
      <c r="A9398" s="449">
        <v>2701</v>
      </c>
      <c r="B9398" s="450" t="s">
        <v>10220</v>
      </c>
      <c r="C9398" s="449" t="s">
        <v>682</v>
      </c>
      <c r="D9398" s="451">
        <v>10.48</v>
      </c>
      <c r="E9398" s="210"/>
    </row>
    <row r="9399" spans="1:5" ht="25.5">
      <c r="A9399" s="449">
        <v>40929</v>
      </c>
      <c r="B9399" s="450" t="s">
        <v>10221</v>
      </c>
      <c r="C9399" s="449" t="s">
        <v>797</v>
      </c>
      <c r="D9399" s="451">
        <v>1859.92</v>
      </c>
      <c r="E9399" s="210"/>
    </row>
    <row r="9400" spans="1:5" ht="25.5">
      <c r="A9400" s="449">
        <v>38114</v>
      </c>
      <c r="B9400" s="450" t="s">
        <v>10222</v>
      </c>
      <c r="C9400" s="449" t="s">
        <v>679</v>
      </c>
      <c r="D9400" s="451">
        <v>14.45</v>
      </c>
      <c r="E9400" s="210"/>
    </row>
    <row r="9401" spans="1:5" ht="38.25">
      <c r="A9401" s="449">
        <v>38064</v>
      </c>
      <c r="B9401" s="450" t="s">
        <v>10223</v>
      </c>
      <c r="C9401" s="449" t="s">
        <v>679</v>
      </c>
      <c r="D9401" s="451">
        <v>16.16</v>
      </c>
      <c r="E9401" s="210"/>
    </row>
    <row r="9402" spans="1:5" ht="25.5">
      <c r="A9402" s="449">
        <v>38115</v>
      </c>
      <c r="B9402" s="450" t="s">
        <v>10224</v>
      </c>
      <c r="C9402" s="449" t="s">
        <v>679</v>
      </c>
      <c r="D9402" s="451">
        <v>15.43</v>
      </c>
      <c r="E9402" s="210"/>
    </row>
    <row r="9403" spans="1:5" ht="38.25">
      <c r="A9403" s="449">
        <v>38065</v>
      </c>
      <c r="B9403" s="450" t="s">
        <v>10225</v>
      </c>
      <c r="C9403" s="449" t="s">
        <v>679</v>
      </c>
      <c r="D9403" s="451">
        <v>22.93</v>
      </c>
      <c r="E9403" s="210"/>
    </row>
    <row r="9404" spans="1:5" ht="38.25">
      <c r="A9404" s="449">
        <v>38078</v>
      </c>
      <c r="B9404" s="450" t="s">
        <v>10226</v>
      </c>
      <c r="C9404" s="449" t="s">
        <v>679</v>
      </c>
      <c r="D9404" s="451">
        <v>13.37</v>
      </c>
      <c r="E9404" s="210"/>
    </row>
    <row r="9405" spans="1:5" ht="25.5">
      <c r="A9405" s="449">
        <v>38113</v>
      </c>
      <c r="B9405" s="450" t="s">
        <v>10227</v>
      </c>
      <c r="C9405" s="449" t="s">
        <v>679</v>
      </c>
      <c r="D9405" s="451">
        <v>7.26</v>
      </c>
      <c r="E9405" s="210"/>
    </row>
    <row r="9406" spans="1:5" ht="38.25">
      <c r="A9406" s="449">
        <v>38063</v>
      </c>
      <c r="B9406" s="450" t="s">
        <v>10228</v>
      </c>
      <c r="C9406" s="449" t="s">
        <v>679</v>
      </c>
      <c r="D9406" s="451">
        <v>7.79</v>
      </c>
      <c r="E9406" s="210"/>
    </row>
    <row r="9407" spans="1:5" ht="51">
      <c r="A9407" s="449">
        <v>38080</v>
      </c>
      <c r="B9407" s="450" t="s">
        <v>10229</v>
      </c>
      <c r="C9407" s="449" t="s">
        <v>679</v>
      </c>
      <c r="D9407" s="451">
        <v>23.23</v>
      </c>
      <c r="E9407" s="210"/>
    </row>
    <row r="9408" spans="1:5" ht="51">
      <c r="A9408" s="449">
        <v>38069</v>
      </c>
      <c r="B9408" s="450" t="s">
        <v>10230</v>
      </c>
      <c r="C9408" s="449" t="s">
        <v>679</v>
      </c>
      <c r="D9408" s="451">
        <v>12.7</v>
      </c>
      <c r="E9408" s="210"/>
    </row>
    <row r="9409" spans="1:5" ht="38.25">
      <c r="A9409" s="449">
        <v>38077</v>
      </c>
      <c r="B9409" s="450" t="s">
        <v>10231</v>
      </c>
      <c r="C9409" s="449" t="s">
        <v>679</v>
      </c>
      <c r="D9409" s="451">
        <v>12.41</v>
      </c>
      <c r="E9409" s="210"/>
    </row>
    <row r="9410" spans="1:5" ht="51">
      <c r="A9410" s="449">
        <v>38073</v>
      </c>
      <c r="B9410" s="450" t="s">
        <v>10232</v>
      </c>
      <c r="C9410" s="449" t="s">
        <v>679</v>
      </c>
      <c r="D9410" s="451">
        <v>18.91</v>
      </c>
      <c r="E9410" s="210"/>
    </row>
    <row r="9411" spans="1:5" ht="25.5">
      <c r="A9411" s="449">
        <v>38112</v>
      </c>
      <c r="B9411" s="450" t="s">
        <v>10233</v>
      </c>
      <c r="C9411" s="449" t="s">
        <v>679</v>
      </c>
      <c r="D9411" s="451">
        <v>5.58</v>
      </c>
      <c r="E9411" s="210"/>
    </row>
    <row r="9412" spans="1:5" ht="38.25">
      <c r="A9412" s="449">
        <v>38062</v>
      </c>
      <c r="B9412" s="450" t="s">
        <v>10234</v>
      </c>
      <c r="C9412" s="449" t="s">
        <v>679</v>
      </c>
      <c r="D9412" s="451">
        <v>5.72</v>
      </c>
      <c r="E9412" s="210"/>
    </row>
    <row r="9413" spans="1:5" ht="38.25">
      <c r="A9413" s="449">
        <v>12128</v>
      </c>
      <c r="B9413" s="450" t="s">
        <v>10235</v>
      </c>
      <c r="C9413" s="449" t="s">
        <v>679</v>
      </c>
      <c r="D9413" s="451">
        <v>7.65</v>
      </c>
      <c r="E9413" s="210"/>
    </row>
    <row r="9414" spans="1:5" ht="38.25">
      <c r="A9414" s="449">
        <v>12129</v>
      </c>
      <c r="B9414" s="450" t="s">
        <v>10236</v>
      </c>
      <c r="C9414" s="449" t="s">
        <v>679</v>
      </c>
      <c r="D9414" s="451">
        <v>10.11</v>
      </c>
      <c r="E9414" s="210"/>
    </row>
    <row r="9415" spans="1:5" ht="51">
      <c r="A9415" s="449">
        <v>38081</v>
      </c>
      <c r="B9415" s="450" t="s">
        <v>10237</v>
      </c>
      <c r="C9415" s="449" t="s">
        <v>679</v>
      </c>
      <c r="D9415" s="451">
        <v>19.7</v>
      </c>
      <c r="E9415" s="210"/>
    </row>
    <row r="9416" spans="1:5" ht="38.25">
      <c r="A9416" s="449">
        <v>38070</v>
      </c>
      <c r="B9416" s="450" t="s">
        <v>10238</v>
      </c>
      <c r="C9416" s="449" t="s">
        <v>679</v>
      </c>
      <c r="D9416" s="451">
        <v>13.58</v>
      </c>
      <c r="E9416" s="210"/>
    </row>
    <row r="9417" spans="1:5" ht="38.25">
      <c r="A9417" s="449">
        <v>38074</v>
      </c>
      <c r="B9417" s="450" t="s">
        <v>10239</v>
      </c>
      <c r="C9417" s="449" t="s">
        <v>679</v>
      </c>
      <c r="D9417" s="451">
        <v>20.64</v>
      </c>
      <c r="E9417" s="210"/>
    </row>
    <row r="9418" spans="1:5" ht="51">
      <c r="A9418" s="449">
        <v>38079</v>
      </c>
      <c r="B9418" s="450" t="s">
        <v>10240</v>
      </c>
      <c r="C9418" s="449" t="s">
        <v>679</v>
      </c>
      <c r="D9418" s="451">
        <v>17.72</v>
      </c>
      <c r="E9418" s="210"/>
    </row>
    <row r="9419" spans="1:5" ht="51">
      <c r="A9419" s="449">
        <v>38072</v>
      </c>
      <c r="B9419" s="450" t="s">
        <v>10241</v>
      </c>
      <c r="C9419" s="449" t="s">
        <v>679</v>
      </c>
      <c r="D9419" s="451">
        <v>17.03</v>
      </c>
      <c r="E9419" s="210"/>
    </row>
    <row r="9420" spans="1:5" ht="38.25">
      <c r="A9420" s="449">
        <v>38068</v>
      </c>
      <c r="B9420" s="450" t="s">
        <v>10242</v>
      </c>
      <c r="C9420" s="449" t="s">
        <v>679</v>
      </c>
      <c r="D9420" s="451">
        <v>11.75</v>
      </c>
      <c r="E9420" s="210"/>
    </row>
    <row r="9421" spans="1:5" ht="38.25">
      <c r="A9421" s="449">
        <v>38071</v>
      </c>
      <c r="B9421" s="450" t="s">
        <v>10243</v>
      </c>
      <c r="C9421" s="449" t="s">
        <v>679</v>
      </c>
      <c r="D9421" s="451">
        <v>14.05</v>
      </c>
      <c r="E9421" s="210"/>
    </row>
    <row r="9422" spans="1:5" ht="51">
      <c r="A9422" s="449">
        <v>38412</v>
      </c>
      <c r="B9422" s="450" t="s">
        <v>10244</v>
      </c>
      <c r="C9422" s="449" t="s">
        <v>679</v>
      </c>
      <c r="D9422" s="451">
        <v>1849.5</v>
      </c>
      <c r="E9422" s="210"/>
    </row>
    <row r="9423" spans="1:5" ht="38.25">
      <c r="A9423" s="449">
        <v>3405</v>
      </c>
      <c r="B9423" s="450" t="s">
        <v>10245</v>
      </c>
      <c r="C9423" s="449" t="s">
        <v>679</v>
      </c>
      <c r="D9423" s="451">
        <v>84.94</v>
      </c>
      <c r="E9423" s="210"/>
    </row>
    <row r="9424" spans="1:5" ht="25.5">
      <c r="A9424" s="449">
        <v>3394</v>
      </c>
      <c r="B9424" s="450" t="s">
        <v>10246</v>
      </c>
      <c r="C9424" s="449" t="s">
        <v>679</v>
      </c>
      <c r="D9424" s="451">
        <v>448.38</v>
      </c>
      <c r="E9424" s="210"/>
    </row>
    <row r="9425" spans="1:5" ht="25.5">
      <c r="A9425" s="449">
        <v>3393</v>
      </c>
      <c r="B9425" s="450" t="s">
        <v>10247</v>
      </c>
      <c r="C9425" s="449" t="s">
        <v>679</v>
      </c>
      <c r="D9425" s="451">
        <v>763.41</v>
      </c>
      <c r="E9425" s="210"/>
    </row>
    <row r="9426" spans="1:5" ht="25.5">
      <c r="A9426" s="449">
        <v>3406</v>
      </c>
      <c r="B9426" s="450" t="s">
        <v>10248</v>
      </c>
      <c r="C9426" s="449" t="s">
        <v>679</v>
      </c>
      <c r="D9426" s="451">
        <v>26</v>
      </c>
      <c r="E9426" s="210"/>
    </row>
    <row r="9427" spans="1:5" ht="25.5">
      <c r="A9427" s="449">
        <v>3395</v>
      </c>
      <c r="B9427" s="450" t="s">
        <v>10249</v>
      </c>
      <c r="C9427" s="449" t="s">
        <v>679</v>
      </c>
      <c r="D9427" s="451">
        <v>109.68</v>
      </c>
      <c r="E9427" s="210"/>
    </row>
    <row r="9428" spans="1:5" ht="38.25">
      <c r="A9428" s="449">
        <v>3398</v>
      </c>
      <c r="B9428" s="450" t="s">
        <v>10250</v>
      </c>
      <c r="C9428" s="449" t="s">
        <v>679</v>
      </c>
      <c r="D9428" s="451">
        <v>5.21</v>
      </c>
      <c r="E9428" s="210"/>
    </row>
    <row r="9429" spans="1:5" ht="51">
      <c r="A9429" s="449">
        <v>34377</v>
      </c>
      <c r="B9429" s="450" t="s">
        <v>10251</v>
      </c>
      <c r="C9429" s="449" t="s">
        <v>679</v>
      </c>
      <c r="D9429" s="451">
        <v>340.19</v>
      </c>
      <c r="E9429" s="210"/>
    </row>
    <row r="9430" spans="1:5" ht="76.5">
      <c r="A9430" s="449">
        <v>40662</v>
      </c>
      <c r="B9430" s="450" t="s">
        <v>10252</v>
      </c>
      <c r="C9430" s="449" t="s">
        <v>679</v>
      </c>
      <c r="D9430" s="451">
        <v>214.54</v>
      </c>
      <c r="E9430" s="210"/>
    </row>
    <row r="9431" spans="1:5" ht="76.5">
      <c r="A9431" s="449">
        <v>3437</v>
      </c>
      <c r="B9431" s="450" t="s">
        <v>10253</v>
      </c>
      <c r="C9431" s="449" t="s">
        <v>684</v>
      </c>
      <c r="D9431" s="451">
        <v>595.95000000000005</v>
      </c>
      <c r="E9431" s="210"/>
    </row>
    <row r="9432" spans="1:5" ht="25.5">
      <c r="A9432" s="449">
        <v>11190</v>
      </c>
      <c r="B9432" s="450" t="s">
        <v>10254</v>
      </c>
      <c r="C9432" s="449" t="s">
        <v>679</v>
      </c>
      <c r="D9432" s="451">
        <v>204.9</v>
      </c>
      <c r="E9432" s="210"/>
    </row>
    <row r="9433" spans="1:5" ht="89.25">
      <c r="A9433" s="449">
        <v>3428</v>
      </c>
      <c r="B9433" s="450" t="s">
        <v>10255</v>
      </c>
      <c r="C9433" s="449" t="s">
        <v>684</v>
      </c>
      <c r="D9433" s="451">
        <v>884</v>
      </c>
      <c r="E9433" s="210"/>
    </row>
    <row r="9434" spans="1:5" ht="89.25">
      <c r="A9434" s="449">
        <v>3429</v>
      </c>
      <c r="B9434" s="450" t="s">
        <v>10256</v>
      </c>
      <c r="C9434" s="449" t="s">
        <v>684</v>
      </c>
      <c r="D9434" s="451">
        <v>505.07</v>
      </c>
      <c r="E9434" s="210"/>
    </row>
    <row r="9435" spans="1:5" ht="63.75">
      <c r="A9435" s="449">
        <v>34370</v>
      </c>
      <c r="B9435" s="450" t="s">
        <v>10257</v>
      </c>
      <c r="C9435" s="449" t="s">
        <v>679</v>
      </c>
      <c r="D9435" s="451">
        <v>1032.6199999999999</v>
      </c>
      <c r="E9435" s="210"/>
    </row>
    <row r="9436" spans="1:5" ht="63.75">
      <c r="A9436" s="449">
        <v>34372</v>
      </c>
      <c r="B9436" s="450" t="s">
        <v>10258</v>
      </c>
      <c r="C9436" s="449" t="s">
        <v>679</v>
      </c>
      <c r="D9436" s="451">
        <v>1436.52</v>
      </c>
      <c r="E9436" s="210"/>
    </row>
    <row r="9437" spans="1:5" ht="51">
      <c r="A9437" s="449">
        <v>36896</v>
      </c>
      <c r="B9437" s="450" t="s">
        <v>10259</v>
      </c>
      <c r="C9437" s="449" t="s">
        <v>679</v>
      </c>
      <c r="D9437" s="451">
        <v>592.5</v>
      </c>
      <c r="E9437" s="210"/>
    </row>
    <row r="9438" spans="1:5" ht="51">
      <c r="A9438" s="449">
        <v>34367</v>
      </c>
      <c r="B9438" s="450" t="s">
        <v>10260</v>
      </c>
      <c r="C9438" s="449" t="s">
        <v>679</v>
      </c>
      <c r="D9438" s="451">
        <v>695.97</v>
      </c>
      <c r="E9438" s="210"/>
    </row>
    <row r="9439" spans="1:5" ht="51">
      <c r="A9439" s="449">
        <v>36897</v>
      </c>
      <c r="B9439" s="450" t="s">
        <v>10261</v>
      </c>
      <c r="C9439" s="449" t="s">
        <v>679</v>
      </c>
      <c r="D9439" s="451">
        <v>820.71</v>
      </c>
      <c r="E9439" s="210"/>
    </row>
    <row r="9440" spans="1:5" ht="51">
      <c r="A9440" s="449">
        <v>34369</v>
      </c>
      <c r="B9440" s="450" t="s">
        <v>10262</v>
      </c>
      <c r="C9440" s="449" t="s">
        <v>679</v>
      </c>
      <c r="D9440" s="451">
        <v>972.38</v>
      </c>
      <c r="E9440" s="210"/>
    </row>
    <row r="9441" spans="1:5" ht="63.75">
      <c r="A9441" s="449">
        <v>34364</v>
      </c>
      <c r="B9441" s="450" t="s">
        <v>10263</v>
      </c>
      <c r="C9441" s="449" t="s">
        <v>679</v>
      </c>
      <c r="D9441" s="451">
        <v>951.11</v>
      </c>
      <c r="E9441" s="210"/>
    </row>
    <row r="9442" spans="1:5" ht="102">
      <c r="A9442" s="449">
        <v>40659</v>
      </c>
      <c r="B9442" s="450" t="s">
        <v>10264</v>
      </c>
      <c r="C9442" s="449" t="s">
        <v>684</v>
      </c>
      <c r="D9442" s="451">
        <v>843.19</v>
      </c>
      <c r="E9442" s="210"/>
    </row>
    <row r="9443" spans="1:5" ht="102">
      <c r="A9443" s="449">
        <v>40660</v>
      </c>
      <c r="B9443" s="450" t="s">
        <v>10265</v>
      </c>
      <c r="C9443" s="449" t="s">
        <v>684</v>
      </c>
      <c r="D9443" s="451">
        <v>1068.6400000000001</v>
      </c>
      <c r="E9443" s="210"/>
    </row>
    <row r="9444" spans="1:5" ht="102">
      <c r="A9444" s="449">
        <v>40661</v>
      </c>
      <c r="B9444" s="450" t="s">
        <v>10266</v>
      </c>
      <c r="C9444" s="449" t="s">
        <v>684</v>
      </c>
      <c r="D9444" s="451">
        <v>657.03</v>
      </c>
      <c r="E9444" s="210"/>
    </row>
    <row r="9445" spans="1:5" ht="89.25">
      <c r="A9445" s="449">
        <v>3421</v>
      </c>
      <c r="B9445" s="450" t="s">
        <v>10267</v>
      </c>
      <c r="C9445" s="449" t="s">
        <v>684</v>
      </c>
      <c r="D9445" s="451">
        <v>662.06</v>
      </c>
      <c r="E9445" s="210"/>
    </row>
    <row r="9446" spans="1:5" ht="38.25">
      <c r="A9446" s="449">
        <v>599</v>
      </c>
      <c r="B9446" s="450" t="s">
        <v>10268</v>
      </c>
      <c r="C9446" s="449" t="s">
        <v>684</v>
      </c>
      <c r="D9446" s="451">
        <v>513.83000000000004</v>
      </c>
      <c r="E9446" s="210"/>
    </row>
    <row r="9447" spans="1:5" ht="38.25">
      <c r="A9447" s="449">
        <v>34381</v>
      </c>
      <c r="B9447" s="450" t="s">
        <v>10269</v>
      </c>
      <c r="C9447" s="449" t="s">
        <v>679</v>
      </c>
      <c r="D9447" s="451">
        <v>347.27</v>
      </c>
      <c r="E9447" s="210"/>
    </row>
    <row r="9448" spans="1:5" ht="76.5">
      <c r="A9448" s="449">
        <v>3423</v>
      </c>
      <c r="B9448" s="450" t="s">
        <v>10270</v>
      </c>
      <c r="C9448" s="449" t="s">
        <v>684</v>
      </c>
      <c r="D9448" s="451">
        <v>933.66</v>
      </c>
      <c r="E9448" s="210"/>
    </row>
    <row r="9449" spans="1:5" ht="38.25">
      <c r="A9449" s="449">
        <v>34797</v>
      </c>
      <c r="B9449" s="450" t="s">
        <v>10271</v>
      </c>
      <c r="C9449" s="449" t="s">
        <v>679</v>
      </c>
      <c r="D9449" s="451">
        <v>446.3</v>
      </c>
      <c r="E9449" s="210"/>
    </row>
    <row r="9450" spans="1:5">
      <c r="A9450" s="449">
        <v>25964</v>
      </c>
      <c r="B9450" s="450" t="s">
        <v>10272</v>
      </c>
      <c r="C9450" s="449" t="s">
        <v>682</v>
      </c>
      <c r="D9450" s="451">
        <v>13.22</v>
      </c>
      <c r="E9450" s="210"/>
    </row>
    <row r="9451" spans="1:5">
      <c r="A9451" s="449">
        <v>41077</v>
      </c>
      <c r="B9451" s="450" t="s">
        <v>10273</v>
      </c>
      <c r="C9451" s="449" t="s">
        <v>797</v>
      </c>
      <c r="D9451" s="451">
        <v>2343.13</v>
      </c>
      <c r="E9451" s="210"/>
    </row>
    <row r="9452" spans="1:5" ht="38.25">
      <c r="A9452" s="449">
        <v>20159</v>
      </c>
      <c r="B9452" s="450" t="s">
        <v>10274</v>
      </c>
      <c r="C9452" s="449" t="s">
        <v>679</v>
      </c>
      <c r="D9452" s="451">
        <v>49.75</v>
      </c>
      <c r="E9452" s="210"/>
    </row>
    <row r="9453" spans="1:5" ht="25.5">
      <c r="A9453" s="449">
        <v>37963</v>
      </c>
      <c r="B9453" s="450" t="s">
        <v>10275</v>
      </c>
      <c r="C9453" s="449" t="s">
        <v>679</v>
      </c>
      <c r="D9453" s="451">
        <v>5.16</v>
      </c>
      <c r="E9453" s="210"/>
    </row>
    <row r="9454" spans="1:5" ht="25.5">
      <c r="A9454" s="449">
        <v>37964</v>
      </c>
      <c r="B9454" s="450" t="s">
        <v>10276</v>
      </c>
      <c r="C9454" s="449" t="s">
        <v>679</v>
      </c>
      <c r="D9454" s="451">
        <v>8.6</v>
      </c>
      <c r="E9454" s="210"/>
    </row>
    <row r="9455" spans="1:5" ht="25.5">
      <c r="A9455" s="449">
        <v>37965</v>
      </c>
      <c r="B9455" s="450" t="s">
        <v>10277</v>
      </c>
      <c r="C9455" s="449" t="s">
        <v>679</v>
      </c>
      <c r="D9455" s="451">
        <v>12.47</v>
      </c>
      <c r="E9455" s="210"/>
    </row>
    <row r="9456" spans="1:5" ht="25.5">
      <c r="A9456" s="449">
        <v>37966</v>
      </c>
      <c r="B9456" s="450" t="s">
        <v>10278</v>
      </c>
      <c r="C9456" s="449" t="s">
        <v>679</v>
      </c>
      <c r="D9456" s="451">
        <v>22.59</v>
      </c>
      <c r="E9456" s="210"/>
    </row>
    <row r="9457" spans="1:5" ht="25.5">
      <c r="A9457" s="449">
        <v>37967</v>
      </c>
      <c r="B9457" s="450" t="s">
        <v>10279</v>
      </c>
      <c r="C9457" s="449" t="s">
        <v>679</v>
      </c>
      <c r="D9457" s="451">
        <v>36.22</v>
      </c>
      <c r="E9457" s="210"/>
    </row>
    <row r="9458" spans="1:5" ht="25.5">
      <c r="A9458" s="449">
        <v>37968</v>
      </c>
      <c r="B9458" s="450" t="s">
        <v>10280</v>
      </c>
      <c r="C9458" s="449" t="s">
        <v>679</v>
      </c>
      <c r="D9458" s="451">
        <v>79.44</v>
      </c>
      <c r="E9458" s="210"/>
    </row>
    <row r="9459" spans="1:5" ht="25.5">
      <c r="A9459" s="449">
        <v>37969</v>
      </c>
      <c r="B9459" s="450" t="s">
        <v>10281</v>
      </c>
      <c r="C9459" s="449" t="s">
        <v>679</v>
      </c>
      <c r="D9459" s="451">
        <v>212.21</v>
      </c>
      <c r="E9459" s="210"/>
    </row>
    <row r="9460" spans="1:5" ht="25.5">
      <c r="A9460" s="449">
        <v>37970</v>
      </c>
      <c r="B9460" s="450" t="s">
        <v>10282</v>
      </c>
      <c r="C9460" s="449" t="s">
        <v>679</v>
      </c>
      <c r="D9460" s="451">
        <v>247.56</v>
      </c>
      <c r="E9460" s="210"/>
    </row>
    <row r="9461" spans="1:5" ht="25.5">
      <c r="A9461" s="449">
        <v>21118</v>
      </c>
      <c r="B9461" s="450" t="s">
        <v>10283</v>
      </c>
      <c r="C9461" s="449" t="s">
        <v>679</v>
      </c>
      <c r="D9461" s="451">
        <v>3.9</v>
      </c>
      <c r="E9461" s="210"/>
    </row>
    <row r="9462" spans="1:5" ht="25.5">
      <c r="A9462" s="449">
        <v>37956</v>
      </c>
      <c r="B9462" s="450" t="s">
        <v>10284</v>
      </c>
      <c r="C9462" s="449" t="s">
        <v>679</v>
      </c>
      <c r="D9462" s="451">
        <v>6.18</v>
      </c>
      <c r="E9462" s="210"/>
    </row>
    <row r="9463" spans="1:5" ht="25.5">
      <c r="A9463" s="449">
        <v>37957</v>
      </c>
      <c r="B9463" s="450" t="s">
        <v>10285</v>
      </c>
      <c r="C9463" s="449" t="s">
        <v>679</v>
      </c>
      <c r="D9463" s="451">
        <v>13.03</v>
      </c>
      <c r="E9463" s="210"/>
    </row>
    <row r="9464" spans="1:5" ht="25.5">
      <c r="A9464" s="449">
        <v>37958</v>
      </c>
      <c r="B9464" s="450" t="s">
        <v>10286</v>
      </c>
      <c r="C9464" s="449" t="s">
        <v>679</v>
      </c>
      <c r="D9464" s="451">
        <v>22.59</v>
      </c>
      <c r="E9464" s="210"/>
    </row>
    <row r="9465" spans="1:5" ht="25.5">
      <c r="A9465" s="449">
        <v>37959</v>
      </c>
      <c r="B9465" s="450" t="s">
        <v>10287</v>
      </c>
      <c r="C9465" s="449" t="s">
        <v>679</v>
      </c>
      <c r="D9465" s="451">
        <v>36.22</v>
      </c>
      <c r="E9465" s="210"/>
    </row>
    <row r="9466" spans="1:5" ht="25.5">
      <c r="A9466" s="449">
        <v>37960</v>
      </c>
      <c r="B9466" s="450" t="s">
        <v>10288</v>
      </c>
      <c r="C9466" s="449" t="s">
        <v>679</v>
      </c>
      <c r="D9466" s="451">
        <v>78</v>
      </c>
      <c r="E9466" s="210"/>
    </row>
    <row r="9467" spans="1:5" ht="25.5">
      <c r="A9467" s="449">
        <v>37961</v>
      </c>
      <c r="B9467" s="450" t="s">
        <v>10289</v>
      </c>
      <c r="C9467" s="449" t="s">
        <v>679</v>
      </c>
      <c r="D9467" s="451">
        <v>206.94</v>
      </c>
      <c r="E9467" s="210"/>
    </row>
    <row r="9468" spans="1:5" ht="25.5">
      <c r="A9468" s="449">
        <v>37962</v>
      </c>
      <c r="B9468" s="450" t="s">
        <v>10290</v>
      </c>
      <c r="C9468" s="449" t="s">
        <v>679</v>
      </c>
      <c r="D9468" s="451">
        <v>240.46</v>
      </c>
      <c r="E9468" s="210"/>
    </row>
    <row r="9469" spans="1:5" ht="38.25">
      <c r="A9469" s="449">
        <v>3533</v>
      </c>
      <c r="B9469" s="450" t="s">
        <v>10291</v>
      </c>
      <c r="C9469" s="449" t="s">
        <v>679</v>
      </c>
      <c r="D9469" s="451">
        <v>2.2400000000000002</v>
      </c>
      <c r="E9469" s="210"/>
    </row>
    <row r="9470" spans="1:5" ht="38.25">
      <c r="A9470" s="449">
        <v>3538</v>
      </c>
      <c r="B9470" s="450" t="s">
        <v>10292</v>
      </c>
      <c r="C9470" s="449" t="s">
        <v>679</v>
      </c>
      <c r="D9470" s="451">
        <v>3.86</v>
      </c>
      <c r="E9470" s="210"/>
    </row>
    <row r="9471" spans="1:5" ht="38.25">
      <c r="A9471" s="449">
        <v>3497</v>
      </c>
      <c r="B9471" s="450" t="s">
        <v>10293</v>
      </c>
      <c r="C9471" s="449" t="s">
        <v>679</v>
      </c>
      <c r="D9471" s="451">
        <v>14.43</v>
      </c>
      <c r="E9471" s="210"/>
    </row>
    <row r="9472" spans="1:5" ht="25.5">
      <c r="A9472" s="449">
        <v>3498</v>
      </c>
      <c r="B9472" s="450" t="s">
        <v>10294</v>
      </c>
      <c r="C9472" s="449" t="s">
        <v>679</v>
      </c>
      <c r="D9472" s="451">
        <v>4.58</v>
      </c>
      <c r="E9472" s="210"/>
    </row>
    <row r="9473" spans="1:5" ht="25.5">
      <c r="A9473" s="449">
        <v>3496</v>
      </c>
      <c r="B9473" s="450" t="s">
        <v>10295</v>
      </c>
      <c r="C9473" s="449" t="s">
        <v>679</v>
      </c>
      <c r="D9473" s="451">
        <v>3.7</v>
      </c>
      <c r="E9473" s="210"/>
    </row>
    <row r="9474" spans="1:5" ht="25.5">
      <c r="A9474" s="449">
        <v>38429</v>
      </c>
      <c r="B9474" s="450" t="s">
        <v>10296</v>
      </c>
      <c r="C9474" s="449" t="s">
        <v>679</v>
      </c>
      <c r="D9474" s="451">
        <v>13.17</v>
      </c>
      <c r="E9474" s="210"/>
    </row>
    <row r="9475" spans="1:5" ht="25.5">
      <c r="A9475" s="449">
        <v>38431</v>
      </c>
      <c r="B9475" s="450" t="s">
        <v>10297</v>
      </c>
      <c r="C9475" s="449" t="s">
        <v>679</v>
      </c>
      <c r="D9475" s="451">
        <v>20.87</v>
      </c>
      <c r="E9475" s="210"/>
    </row>
    <row r="9476" spans="1:5" ht="25.5">
      <c r="A9476" s="449">
        <v>38430</v>
      </c>
      <c r="B9476" s="450" t="s">
        <v>10298</v>
      </c>
      <c r="C9476" s="449" t="s">
        <v>679</v>
      </c>
      <c r="D9476" s="451">
        <v>26.66</v>
      </c>
      <c r="E9476" s="210"/>
    </row>
    <row r="9477" spans="1:5" ht="25.5">
      <c r="A9477" s="449">
        <v>36348</v>
      </c>
      <c r="B9477" s="450" t="s">
        <v>10299</v>
      </c>
      <c r="C9477" s="449" t="s">
        <v>679</v>
      </c>
      <c r="D9477" s="451">
        <v>1.87</v>
      </c>
      <c r="E9477" s="210"/>
    </row>
    <row r="9478" spans="1:5" ht="25.5">
      <c r="A9478" s="449">
        <v>36349</v>
      </c>
      <c r="B9478" s="450" t="s">
        <v>10300</v>
      </c>
      <c r="C9478" s="449" t="s">
        <v>679</v>
      </c>
      <c r="D9478" s="451">
        <v>2.81</v>
      </c>
      <c r="E9478" s="210"/>
    </row>
    <row r="9479" spans="1:5" ht="25.5">
      <c r="A9479" s="449">
        <v>38433</v>
      </c>
      <c r="B9479" s="450" t="s">
        <v>10301</v>
      </c>
      <c r="C9479" s="449" t="s">
        <v>679</v>
      </c>
      <c r="D9479" s="451">
        <v>5.21</v>
      </c>
      <c r="E9479" s="210"/>
    </row>
    <row r="9480" spans="1:5" ht="25.5">
      <c r="A9480" s="449">
        <v>38440</v>
      </c>
      <c r="B9480" s="450" t="s">
        <v>10302</v>
      </c>
      <c r="C9480" s="449" t="s">
        <v>679</v>
      </c>
      <c r="D9480" s="451">
        <v>179.81</v>
      </c>
      <c r="E9480" s="210"/>
    </row>
    <row r="9481" spans="1:5" ht="25.5">
      <c r="A9481" s="449">
        <v>36359</v>
      </c>
      <c r="B9481" s="450" t="s">
        <v>10303</v>
      </c>
      <c r="C9481" s="449" t="s">
        <v>679</v>
      </c>
      <c r="D9481" s="451">
        <v>2.23</v>
      </c>
      <c r="E9481" s="210"/>
    </row>
    <row r="9482" spans="1:5" ht="25.5">
      <c r="A9482" s="449">
        <v>36360</v>
      </c>
      <c r="B9482" s="450" t="s">
        <v>10304</v>
      </c>
      <c r="C9482" s="449" t="s">
        <v>679</v>
      </c>
      <c r="D9482" s="451">
        <v>3.45</v>
      </c>
      <c r="E9482" s="210"/>
    </row>
    <row r="9483" spans="1:5" ht="25.5">
      <c r="A9483" s="449">
        <v>38434</v>
      </c>
      <c r="B9483" s="450" t="s">
        <v>10305</v>
      </c>
      <c r="C9483" s="449" t="s">
        <v>679</v>
      </c>
      <c r="D9483" s="451">
        <v>5.28</v>
      </c>
      <c r="E9483" s="210"/>
    </row>
    <row r="9484" spans="1:5" ht="25.5">
      <c r="A9484" s="449">
        <v>38435</v>
      </c>
      <c r="B9484" s="450" t="s">
        <v>10306</v>
      </c>
      <c r="C9484" s="449" t="s">
        <v>679</v>
      </c>
      <c r="D9484" s="451">
        <v>10.029999999999999</v>
      </c>
      <c r="E9484" s="210"/>
    </row>
    <row r="9485" spans="1:5" ht="25.5">
      <c r="A9485" s="449">
        <v>38436</v>
      </c>
      <c r="B9485" s="450" t="s">
        <v>10307</v>
      </c>
      <c r="C9485" s="449" t="s">
        <v>679</v>
      </c>
      <c r="D9485" s="451">
        <v>20.73</v>
      </c>
      <c r="E9485" s="210"/>
    </row>
    <row r="9486" spans="1:5" ht="25.5">
      <c r="A9486" s="449">
        <v>38437</v>
      </c>
      <c r="B9486" s="450" t="s">
        <v>10308</v>
      </c>
      <c r="C9486" s="449" t="s">
        <v>679</v>
      </c>
      <c r="D9486" s="451">
        <v>31.13</v>
      </c>
      <c r="E9486" s="210"/>
    </row>
    <row r="9487" spans="1:5" ht="25.5">
      <c r="A9487" s="449">
        <v>38438</v>
      </c>
      <c r="B9487" s="450" t="s">
        <v>10309</v>
      </c>
      <c r="C9487" s="449" t="s">
        <v>679</v>
      </c>
      <c r="D9487" s="451">
        <v>78.66</v>
      </c>
      <c r="E9487" s="210"/>
    </row>
    <row r="9488" spans="1:5" ht="25.5">
      <c r="A9488" s="449">
        <v>38439</v>
      </c>
      <c r="B9488" s="450" t="s">
        <v>10310</v>
      </c>
      <c r="C9488" s="449" t="s">
        <v>679</v>
      </c>
      <c r="D9488" s="451">
        <v>119.9</v>
      </c>
      <c r="E9488" s="210"/>
    </row>
    <row r="9489" spans="1:5" ht="25.5">
      <c r="A9489" s="449">
        <v>10836</v>
      </c>
      <c r="B9489" s="450" t="s">
        <v>10311</v>
      </c>
      <c r="C9489" s="449" t="s">
        <v>679</v>
      </c>
      <c r="D9489" s="451">
        <v>17.440000000000001</v>
      </c>
      <c r="E9489" s="210"/>
    </row>
    <row r="9490" spans="1:5" ht="25.5">
      <c r="A9490" s="449">
        <v>20128</v>
      </c>
      <c r="B9490" s="450" t="s">
        <v>10312</v>
      </c>
      <c r="C9490" s="449" t="s">
        <v>679</v>
      </c>
      <c r="D9490" s="451">
        <v>51.11</v>
      </c>
      <c r="E9490" s="210"/>
    </row>
    <row r="9491" spans="1:5" ht="25.5">
      <c r="A9491" s="449">
        <v>20131</v>
      </c>
      <c r="B9491" s="450" t="s">
        <v>10313</v>
      </c>
      <c r="C9491" s="449" t="s">
        <v>679</v>
      </c>
      <c r="D9491" s="451">
        <v>46.65</v>
      </c>
      <c r="E9491" s="210"/>
    </row>
    <row r="9492" spans="1:5" ht="25.5">
      <c r="A9492" s="449">
        <v>3521</v>
      </c>
      <c r="B9492" s="450" t="s">
        <v>10314</v>
      </c>
      <c r="C9492" s="449" t="s">
        <v>679</v>
      </c>
      <c r="D9492" s="451">
        <v>1.94</v>
      </c>
      <c r="E9492" s="210"/>
    </row>
    <row r="9493" spans="1:5" ht="25.5">
      <c r="A9493" s="449">
        <v>3531</v>
      </c>
      <c r="B9493" s="450" t="s">
        <v>10315</v>
      </c>
      <c r="C9493" s="449" t="s">
        <v>679</v>
      </c>
      <c r="D9493" s="451">
        <v>2.2000000000000002</v>
      </c>
      <c r="E9493" s="210"/>
    </row>
    <row r="9494" spans="1:5" ht="25.5">
      <c r="A9494" s="449">
        <v>3522</v>
      </c>
      <c r="B9494" s="450" t="s">
        <v>10316</v>
      </c>
      <c r="C9494" s="449" t="s">
        <v>679</v>
      </c>
      <c r="D9494" s="451">
        <v>3.27</v>
      </c>
      <c r="E9494" s="210"/>
    </row>
    <row r="9495" spans="1:5" ht="25.5">
      <c r="A9495" s="449">
        <v>3527</v>
      </c>
      <c r="B9495" s="450" t="s">
        <v>10317</v>
      </c>
      <c r="C9495" s="449" t="s">
        <v>679</v>
      </c>
      <c r="D9495" s="451">
        <v>11.26</v>
      </c>
      <c r="E9495" s="210"/>
    </row>
    <row r="9496" spans="1:5" ht="38.25">
      <c r="A9496" s="449">
        <v>10835</v>
      </c>
      <c r="B9496" s="450" t="s">
        <v>10318</v>
      </c>
      <c r="C9496" s="449" t="s">
        <v>679</v>
      </c>
      <c r="D9496" s="451">
        <v>3.65</v>
      </c>
      <c r="E9496" s="210"/>
    </row>
    <row r="9497" spans="1:5" ht="25.5">
      <c r="A9497" s="449">
        <v>3475</v>
      </c>
      <c r="B9497" s="450" t="s">
        <v>10319</v>
      </c>
      <c r="C9497" s="449" t="s">
        <v>679</v>
      </c>
      <c r="D9497" s="451">
        <v>3.78</v>
      </c>
      <c r="E9497" s="210"/>
    </row>
    <row r="9498" spans="1:5" ht="25.5">
      <c r="A9498" s="449">
        <v>3485</v>
      </c>
      <c r="B9498" s="450" t="s">
        <v>10320</v>
      </c>
      <c r="C9498" s="449" t="s">
        <v>679</v>
      </c>
      <c r="D9498" s="451">
        <v>12.09</v>
      </c>
      <c r="E9498" s="210"/>
    </row>
    <row r="9499" spans="1:5" ht="25.5">
      <c r="A9499" s="449">
        <v>3534</v>
      </c>
      <c r="B9499" s="450" t="s">
        <v>10321</v>
      </c>
      <c r="C9499" s="449" t="s">
        <v>679</v>
      </c>
      <c r="D9499" s="451">
        <v>4.78</v>
      </c>
      <c r="E9499" s="210"/>
    </row>
    <row r="9500" spans="1:5" ht="25.5">
      <c r="A9500" s="449">
        <v>3543</v>
      </c>
      <c r="B9500" s="450" t="s">
        <v>10322</v>
      </c>
      <c r="C9500" s="449" t="s">
        <v>679</v>
      </c>
      <c r="D9500" s="451">
        <v>2.4</v>
      </c>
      <c r="E9500" s="210"/>
    </row>
    <row r="9501" spans="1:5" ht="25.5">
      <c r="A9501" s="449">
        <v>3482</v>
      </c>
      <c r="B9501" s="450" t="s">
        <v>10323</v>
      </c>
      <c r="C9501" s="449" t="s">
        <v>679</v>
      </c>
      <c r="D9501" s="451">
        <v>6.08</v>
      </c>
      <c r="E9501" s="210"/>
    </row>
    <row r="9502" spans="1:5" ht="25.5">
      <c r="A9502" s="449">
        <v>3505</v>
      </c>
      <c r="B9502" s="450" t="s">
        <v>10324</v>
      </c>
      <c r="C9502" s="449" t="s">
        <v>679</v>
      </c>
      <c r="D9502" s="451">
        <v>3.44</v>
      </c>
      <c r="E9502" s="210"/>
    </row>
    <row r="9503" spans="1:5" ht="25.5">
      <c r="A9503" s="449">
        <v>3516</v>
      </c>
      <c r="B9503" s="450" t="s">
        <v>10325</v>
      </c>
      <c r="C9503" s="449" t="s">
        <v>679</v>
      </c>
      <c r="D9503" s="451">
        <v>0.95</v>
      </c>
      <c r="E9503" s="210"/>
    </row>
    <row r="9504" spans="1:5" ht="25.5">
      <c r="A9504" s="449">
        <v>3517</v>
      </c>
      <c r="B9504" s="450" t="s">
        <v>10326</v>
      </c>
      <c r="C9504" s="449" t="s">
        <v>679</v>
      </c>
      <c r="D9504" s="451">
        <v>3.33</v>
      </c>
      <c r="E9504" s="210"/>
    </row>
    <row r="9505" spans="1:5" ht="38.25">
      <c r="A9505" s="449">
        <v>3515</v>
      </c>
      <c r="B9505" s="450" t="s">
        <v>10327</v>
      </c>
      <c r="C9505" s="449" t="s">
        <v>679</v>
      </c>
      <c r="D9505" s="451">
        <v>5.58</v>
      </c>
      <c r="E9505" s="210"/>
    </row>
    <row r="9506" spans="1:5" ht="38.25">
      <c r="A9506" s="449">
        <v>20147</v>
      </c>
      <c r="B9506" s="450" t="s">
        <v>10328</v>
      </c>
      <c r="C9506" s="449" t="s">
        <v>679</v>
      </c>
      <c r="D9506" s="451">
        <v>6.01</v>
      </c>
      <c r="E9506" s="210"/>
    </row>
    <row r="9507" spans="1:5" ht="38.25">
      <c r="A9507" s="449">
        <v>3524</v>
      </c>
      <c r="B9507" s="450" t="s">
        <v>10329</v>
      </c>
      <c r="C9507" s="449" t="s">
        <v>679</v>
      </c>
      <c r="D9507" s="451">
        <v>7.12</v>
      </c>
      <c r="E9507" s="210"/>
    </row>
    <row r="9508" spans="1:5" ht="38.25">
      <c r="A9508" s="449">
        <v>3532</v>
      </c>
      <c r="B9508" s="450" t="s">
        <v>10330</v>
      </c>
      <c r="C9508" s="449" t="s">
        <v>679</v>
      </c>
      <c r="D9508" s="451">
        <v>13.04</v>
      </c>
      <c r="E9508" s="210"/>
    </row>
    <row r="9509" spans="1:5" ht="25.5">
      <c r="A9509" s="449">
        <v>3528</v>
      </c>
      <c r="B9509" s="450" t="s">
        <v>10331</v>
      </c>
      <c r="C9509" s="449" t="s">
        <v>679</v>
      </c>
      <c r="D9509" s="451">
        <v>7.52</v>
      </c>
      <c r="E9509" s="210"/>
    </row>
    <row r="9510" spans="1:5" ht="25.5">
      <c r="A9510" s="449">
        <v>37952</v>
      </c>
      <c r="B9510" s="450" t="s">
        <v>10332</v>
      </c>
      <c r="C9510" s="449" t="s">
        <v>679</v>
      </c>
      <c r="D9510" s="451">
        <v>53.59</v>
      </c>
      <c r="E9510" s="210"/>
    </row>
    <row r="9511" spans="1:5" ht="25.5">
      <c r="A9511" s="449">
        <v>37951</v>
      </c>
      <c r="B9511" s="450" t="s">
        <v>10333</v>
      </c>
      <c r="C9511" s="449" t="s">
        <v>679</v>
      </c>
      <c r="D9511" s="451">
        <v>1.95</v>
      </c>
      <c r="E9511" s="210"/>
    </row>
    <row r="9512" spans="1:5" ht="25.5">
      <c r="A9512" s="449">
        <v>3518</v>
      </c>
      <c r="B9512" s="450" t="s">
        <v>10334</v>
      </c>
      <c r="C9512" s="449" t="s">
        <v>679</v>
      </c>
      <c r="D9512" s="451">
        <v>2.85</v>
      </c>
      <c r="E9512" s="210"/>
    </row>
    <row r="9513" spans="1:5" ht="25.5">
      <c r="A9513" s="449">
        <v>3519</v>
      </c>
      <c r="B9513" s="450" t="s">
        <v>10335</v>
      </c>
      <c r="C9513" s="449" t="s">
        <v>679</v>
      </c>
      <c r="D9513" s="451">
        <v>6.76</v>
      </c>
      <c r="E9513" s="210"/>
    </row>
    <row r="9514" spans="1:5" ht="25.5">
      <c r="A9514" s="449">
        <v>3520</v>
      </c>
      <c r="B9514" s="450" t="s">
        <v>10336</v>
      </c>
      <c r="C9514" s="449" t="s">
        <v>679</v>
      </c>
      <c r="D9514" s="451">
        <v>7.57</v>
      </c>
      <c r="E9514" s="210"/>
    </row>
    <row r="9515" spans="1:5" ht="25.5">
      <c r="A9515" s="449">
        <v>37950</v>
      </c>
      <c r="B9515" s="450" t="s">
        <v>10337</v>
      </c>
      <c r="C9515" s="449" t="s">
        <v>679</v>
      </c>
      <c r="D9515" s="451">
        <v>46.65</v>
      </c>
      <c r="E9515" s="210"/>
    </row>
    <row r="9516" spans="1:5" ht="25.5">
      <c r="A9516" s="449">
        <v>37949</v>
      </c>
      <c r="B9516" s="450" t="s">
        <v>10338</v>
      </c>
      <c r="C9516" s="449" t="s">
        <v>679</v>
      </c>
      <c r="D9516" s="451">
        <v>1.71</v>
      </c>
      <c r="E9516" s="210"/>
    </row>
    <row r="9517" spans="1:5" ht="25.5">
      <c r="A9517" s="449">
        <v>3526</v>
      </c>
      <c r="B9517" s="450" t="s">
        <v>10339</v>
      </c>
      <c r="C9517" s="449" t="s">
        <v>679</v>
      </c>
      <c r="D9517" s="451">
        <v>2.29</v>
      </c>
      <c r="E9517" s="210"/>
    </row>
    <row r="9518" spans="1:5" ht="25.5">
      <c r="A9518" s="449">
        <v>3509</v>
      </c>
      <c r="B9518" s="450" t="s">
        <v>10340</v>
      </c>
      <c r="C9518" s="449" t="s">
        <v>679</v>
      </c>
      <c r="D9518" s="451">
        <v>5.95</v>
      </c>
      <c r="E9518" s="210"/>
    </row>
    <row r="9519" spans="1:5" ht="25.5">
      <c r="A9519" s="449">
        <v>3530</v>
      </c>
      <c r="B9519" s="450" t="s">
        <v>10341</v>
      </c>
      <c r="C9519" s="449" t="s">
        <v>679</v>
      </c>
      <c r="D9519" s="451">
        <v>224.43</v>
      </c>
      <c r="E9519" s="210"/>
    </row>
    <row r="9520" spans="1:5" ht="25.5">
      <c r="A9520" s="449">
        <v>3542</v>
      </c>
      <c r="B9520" s="450" t="s">
        <v>10342</v>
      </c>
      <c r="C9520" s="449" t="s">
        <v>679</v>
      </c>
      <c r="D9520" s="451">
        <v>0.52</v>
      </c>
      <c r="E9520" s="210"/>
    </row>
    <row r="9521" spans="1:5" ht="25.5">
      <c r="A9521" s="449">
        <v>3529</v>
      </c>
      <c r="B9521" s="450" t="s">
        <v>10343</v>
      </c>
      <c r="C9521" s="449" t="s">
        <v>679</v>
      </c>
      <c r="D9521" s="451">
        <v>0.72</v>
      </c>
      <c r="E9521" s="210"/>
    </row>
    <row r="9522" spans="1:5" ht="25.5">
      <c r="A9522" s="449">
        <v>3536</v>
      </c>
      <c r="B9522" s="450" t="s">
        <v>10344</v>
      </c>
      <c r="C9522" s="449" t="s">
        <v>679</v>
      </c>
      <c r="D9522" s="451">
        <v>2.15</v>
      </c>
      <c r="E9522" s="210"/>
    </row>
    <row r="9523" spans="1:5" ht="25.5">
      <c r="A9523" s="449">
        <v>3535</v>
      </c>
      <c r="B9523" s="450" t="s">
        <v>10345</v>
      </c>
      <c r="C9523" s="449" t="s">
        <v>679</v>
      </c>
      <c r="D9523" s="451">
        <v>5.0999999999999996</v>
      </c>
      <c r="E9523" s="210"/>
    </row>
    <row r="9524" spans="1:5" ht="25.5">
      <c r="A9524" s="449">
        <v>3540</v>
      </c>
      <c r="B9524" s="450" t="s">
        <v>10346</v>
      </c>
      <c r="C9524" s="449" t="s">
        <v>679</v>
      </c>
      <c r="D9524" s="451">
        <v>5.51</v>
      </c>
      <c r="E9524" s="210"/>
    </row>
    <row r="9525" spans="1:5" ht="25.5">
      <c r="A9525" s="449">
        <v>3539</v>
      </c>
      <c r="B9525" s="450" t="s">
        <v>10347</v>
      </c>
      <c r="C9525" s="449" t="s">
        <v>679</v>
      </c>
      <c r="D9525" s="451">
        <v>23.94</v>
      </c>
      <c r="E9525" s="210"/>
    </row>
    <row r="9526" spans="1:5" ht="25.5">
      <c r="A9526" s="449">
        <v>3513</v>
      </c>
      <c r="B9526" s="450" t="s">
        <v>10348</v>
      </c>
      <c r="C9526" s="449" t="s">
        <v>679</v>
      </c>
      <c r="D9526" s="451">
        <v>106.39</v>
      </c>
      <c r="E9526" s="210"/>
    </row>
    <row r="9527" spans="1:5" ht="25.5">
      <c r="A9527" s="449">
        <v>3492</v>
      </c>
      <c r="B9527" s="450" t="s">
        <v>10349</v>
      </c>
      <c r="C9527" s="449" t="s">
        <v>679</v>
      </c>
      <c r="D9527" s="451">
        <v>20.48</v>
      </c>
      <c r="E9527" s="210"/>
    </row>
    <row r="9528" spans="1:5" ht="25.5">
      <c r="A9528" s="449">
        <v>3491</v>
      </c>
      <c r="B9528" s="450" t="s">
        <v>10350</v>
      </c>
      <c r="C9528" s="449" t="s">
        <v>679</v>
      </c>
      <c r="D9528" s="451">
        <v>11.68</v>
      </c>
      <c r="E9528" s="210"/>
    </row>
    <row r="9529" spans="1:5" ht="25.5">
      <c r="A9529" s="449">
        <v>3493</v>
      </c>
      <c r="B9529" s="450" t="s">
        <v>10351</v>
      </c>
      <c r="C9529" s="449" t="s">
        <v>679</v>
      </c>
      <c r="D9529" s="451">
        <v>28</v>
      </c>
      <c r="E9529" s="210"/>
    </row>
    <row r="9530" spans="1:5" ht="25.5">
      <c r="A9530" s="449">
        <v>12628</v>
      </c>
      <c r="B9530" s="450" t="s">
        <v>10352</v>
      </c>
      <c r="C9530" s="449" t="s">
        <v>679</v>
      </c>
      <c r="D9530" s="451">
        <v>7.43</v>
      </c>
      <c r="E9530" s="210"/>
    </row>
    <row r="9531" spans="1:5" ht="25.5">
      <c r="A9531" s="449">
        <v>12629</v>
      </c>
      <c r="B9531" s="450" t="s">
        <v>10353</v>
      </c>
      <c r="C9531" s="449" t="s">
        <v>679</v>
      </c>
      <c r="D9531" s="451">
        <v>8.06</v>
      </c>
      <c r="E9531" s="210"/>
    </row>
    <row r="9532" spans="1:5" ht="25.5">
      <c r="A9532" s="449">
        <v>3481</v>
      </c>
      <c r="B9532" s="450" t="s">
        <v>10354</v>
      </c>
      <c r="C9532" s="449" t="s">
        <v>679</v>
      </c>
      <c r="D9532" s="451">
        <v>14.18</v>
      </c>
      <c r="E9532" s="210"/>
    </row>
    <row r="9533" spans="1:5" ht="25.5">
      <c r="A9533" s="449">
        <v>3510</v>
      </c>
      <c r="B9533" s="450" t="s">
        <v>10355</v>
      </c>
      <c r="C9533" s="449" t="s">
        <v>679</v>
      </c>
      <c r="D9533" s="451">
        <v>13.25</v>
      </c>
      <c r="E9533" s="210"/>
    </row>
    <row r="9534" spans="1:5" ht="25.5">
      <c r="A9534" s="449">
        <v>3508</v>
      </c>
      <c r="B9534" s="450" t="s">
        <v>10356</v>
      </c>
      <c r="C9534" s="449" t="s">
        <v>679</v>
      </c>
      <c r="D9534" s="451">
        <v>34.65</v>
      </c>
      <c r="E9534" s="210"/>
    </row>
    <row r="9535" spans="1:5" ht="38.25">
      <c r="A9535" s="449">
        <v>38939</v>
      </c>
      <c r="B9535" s="450" t="s">
        <v>10357</v>
      </c>
      <c r="C9535" s="449" t="s">
        <v>679</v>
      </c>
      <c r="D9535" s="451">
        <v>19.98</v>
      </c>
      <c r="E9535" s="210"/>
    </row>
    <row r="9536" spans="1:5" ht="38.25">
      <c r="A9536" s="449">
        <v>38940</v>
      </c>
      <c r="B9536" s="450" t="s">
        <v>10358</v>
      </c>
      <c r="C9536" s="449" t="s">
        <v>679</v>
      </c>
      <c r="D9536" s="451">
        <v>30.51</v>
      </c>
      <c r="E9536" s="210"/>
    </row>
    <row r="9537" spans="1:5" ht="38.25">
      <c r="A9537" s="449">
        <v>38941</v>
      </c>
      <c r="B9537" s="450" t="s">
        <v>10359</v>
      </c>
      <c r="C9537" s="449" t="s">
        <v>679</v>
      </c>
      <c r="D9537" s="451">
        <v>36.04</v>
      </c>
      <c r="E9537" s="210"/>
    </row>
    <row r="9538" spans="1:5" ht="38.25">
      <c r="A9538" s="449">
        <v>38942</v>
      </c>
      <c r="B9538" s="450" t="s">
        <v>10360</v>
      </c>
      <c r="C9538" s="449" t="s">
        <v>679</v>
      </c>
      <c r="D9538" s="451">
        <v>40.369999999999997</v>
      </c>
      <c r="E9538" s="210"/>
    </row>
    <row r="9539" spans="1:5" ht="25.5">
      <c r="A9539" s="449">
        <v>38987</v>
      </c>
      <c r="B9539" s="450" t="s">
        <v>10361</v>
      </c>
      <c r="C9539" s="449" t="s">
        <v>679</v>
      </c>
      <c r="D9539" s="451">
        <v>9.33</v>
      </c>
      <c r="E9539" s="210"/>
    </row>
    <row r="9540" spans="1:5" ht="25.5">
      <c r="A9540" s="449">
        <v>38988</v>
      </c>
      <c r="B9540" s="450" t="s">
        <v>10362</v>
      </c>
      <c r="C9540" s="449" t="s">
        <v>679</v>
      </c>
      <c r="D9540" s="451">
        <v>21.68</v>
      </c>
      <c r="E9540" s="210"/>
    </row>
    <row r="9541" spans="1:5" ht="25.5">
      <c r="A9541" s="449">
        <v>38989</v>
      </c>
      <c r="B9541" s="450" t="s">
        <v>10363</v>
      </c>
      <c r="C9541" s="449" t="s">
        <v>679</v>
      </c>
      <c r="D9541" s="451">
        <v>28.81</v>
      </c>
      <c r="E9541" s="210"/>
    </row>
    <row r="9542" spans="1:5" ht="25.5">
      <c r="A9542" s="449">
        <v>38990</v>
      </c>
      <c r="B9542" s="450" t="s">
        <v>10364</v>
      </c>
      <c r="C9542" s="449" t="s">
        <v>679</v>
      </c>
      <c r="D9542" s="451">
        <v>75.930000000000007</v>
      </c>
      <c r="E9542" s="210"/>
    </row>
    <row r="9543" spans="1:5" ht="25.5">
      <c r="A9543" s="449">
        <v>38991</v>
      </c>
      <c r="B9543" s="450" t="s">
        <v>10365</v>
      </c>
      <c r="C9543" s="449" t="s">
        <v>679</v>
      </c>
      <c r="D9543" s="451">
        <v>153.41</v>
      </c>
      <c r="E9543" s="210"/>
    </row>
    <row r="9544" spans="1:5" ht="25.5">
      <c r="A9544" s="449">
        <v>38913</v>
      </c>
      <c r="B9544" s="450" t="s">
        <v>10366</v>
      </c>
      <c r="C9544" s="449" t="s">
        <v>679</v>
      </c>
      <c r="D9544" s="451">
        <v>18.54</v>
      </c>
      <c r="E9544" s="210"/>
    </row>
    <row r="9545" spans="1:5" ht="25.5">
      <c r="A9545" s="449">
        <v>38914</v>
      </c>
      <c r="B9545" s="450" t="s">
        <v>10367</v>
      </c>
      <c r="C9545" s="449" t="s">
        <v>679</v>
      </c>
      <c r="D9545" s="451">
        <v>21.51</v>
      </c>
      <c r="E9545" s="210"/>
    </row>
    <row r="9546" spans="1:5" ht="25.5">
      <c r="A9546" s="449">
        <v>38915</v>
      </c>
      <c r="B9546" s="450" t="s">
        <v>10368</v>
      </c>
      <c r="C9546" s="449" t="s">
        <v>679</v>
      </c>
      <c r="D9546" s="451">
        <v>37.340000000000003</v>
      </c>
      <c r="E9546" s="210"/>
    </row>
    <row r="9547" spans="1:5" ht="25.5">
      <c r="A9547" s="449">
        <v>38916</v>
      </c>
      <c r="B9547" s="450" t="s">
        <v>10369</v>
      </c>
      <c r="C9547" s="449" t="s">
        <v>679</v>
      </c>
      <c r="D9547" s="451">
        <v>49.27</v>
      </c>
      <c r="E9547" s="210"/>
    </row>
    <row r="9548" spans="1:5" ht="25.5">
      <c r="A9548" s="449">
        <v>39300</v>
      </c>
      <c r="B9548" s="450" t="s">
        <v>10370</v>
      </c>
      <c r="C9548" s="449" t="s">
        <v>679</v>
      </c>
      <c r="D9548" s="451">
        <v>16.75</v>
      </c>
      <c r="E9548" s="210"/>
    </row>
    <row r="9549" spans="1:5" ht="25.5">
      <c r="A9549" s="449">
        <v>39301</v>
      </c>
      <c r="B9549" s="450" t="s">
        <v>10371</v>
      </c>
      <c r="C9549" s="449" t="s">
        <v>679</v>
      </c>
      <c r="D9549" s="451">
        <v>23.24</v>
      </c>
      <c r="E9549" s="210"/>
    </row>
    <row r="9550" spans="1:5" ht="25.5">
      <c r="A9550" s="449">
        <v>39302</v>
      </c>
      <c r="B9550" s="450" t="s">
        <v>10372</v>
      </c>
      <c r="C9550" s="449" t="s">
        <v>679</v>
      </c>
      <c r="D9550" s="451">
        <v>29.2</v>
      </c>
      <c r="E9550" s="210"/>
    </row>
    <row r="9551" spans="1:5" ht="25.5">
      <c r="A9551" s="449">
        <v>39303</v>
      </c>
      <c r="B9551" s="450" t="s">
        <v>10373</v>
      </c>
      <c r="C9551" s="449" t="s">
        <v>679</v>
      </c>
      <c r="D9551" s="451">
        <v>51.35</v>
      </c>
      <c r="E9551" s="210"/>
    </row>
    <row r="9552" spans="1:5" ht="38.25">
      <c r="A9552" s="449">
        <v>38923</v>
      </c>
      <c r="B9552" s="450" t="s">
        <v>10374</v>
      </c>
      <c r="C9552" s="449" t="s">
        <v>679</v>
      </c>
      <c r="D9552" s="451">
        <v>16.36</v>
      </c>
      <c r="E9552" s="210"/>
    </row>
    <row r="9553" spans="1:5" ht="38.25">
      <c r="A9553" s="449">
        <v>38925</v>
      </c>
      <c r="B9553" s="450" t="s">
        <v>10375</v>
      </c>
      <c r="C9553" s="449" t="s">
        <v>679</v>
      </c>
      <c r="D9553" s="451">
        <v>17.579999999999998</v>
      </c>
      <c r="E9553" s="210"/>
    </row>
    <row r="9554" spans="1:5" ht="38.25">
      <c r="A9554" s="449">
        <v>38926</v>
      </c>
      <c r="B9554" s="450" t="s">
        <v>10376</v>
      </c>
      <c r="C9554" s="449" t="s">
        <v>679</v>
      </c>
      <c r="D9554" s="451">
        <v>25.1</v>
      </c>
      <c r="E9554" s="210"/>
    </row>
    <row r="9555" spans="1:5" ht="38.25">
      <c r="A9555" s="449">
        <v>38927</v>
      </c>
      <c r="B9555" s="450" t="s">
        <v>10377</v>
      </c>
      <c r="C9555" s="449" t="s">
        <v>679</v>
      </c>
      <c r="D9555" s="451">
        <v>26.85</v>
      </c>
      <c r="E9555" s="210"/>
    </row>
    <row r="9556" spans="1:5" ht="38.25">
      <c r="A9556" s="449">
        <v>39304</v>
      </c>
      <c r="B9556" s="450" t="s">
        <v>10378</v>
      </c>
      <c r="C9556" s="449" t="s">
        <v>679</v>
      </c>
      <c r="D9556" s="451">
        <v>20.69</v>
      </c>
      <c r="E9556" s="210"/>
    </row>
    <row r="9557" spans="1:5" ht="38.25">
      <c r="A9557" s="449">
        <v>38924</v>
      </c>
      <c r="B9557" s="450" t="s">
        <v>10379</v>
      </c>
      <c r="C9557" s="449" t="s">
        <v>679</v>
      </c>
      <c r="D9557" s="451">
        <v>29.48</v>
      </c>
      <c r="E9557" s="210"/>
    </row>
    <row r="9558" spans="1:5" ht="38.25">
      <c r="A9558" s="449">
        <v>39305</v>
      </c>
      <c r="B9558" s="450" t="s">
        <v>10380</v>
      </c>
      <c r="C9558" s="449" t="s">
        <v>679</v>
      </c>
      <c r="D9558" s="451">
        <v>27.08</v>
      </c>
      <c r="E9558" s="210"/>
    </row>
    <row r="9559" spans="1:5" ht="38.25">
      <c r="A9559" s="449">
        <v>39306</v>
      </c>
      <c r="B9559" s="450" t="s">
        <v>10381</v>
      </c>
      <c r="C9559" s="449" t="s">
        <v>679</v>
      </c>
      <c r="D9559" s="451">
        <v>33.880000000000003</v>
      </c>
      <c r="E9559" s="210"/>
    </row>
    <row r="9560" spans="1:5" ht="38.25">
      <c r="A9560" s="449">
        <v>38928</v>
      </c>
      <c r="B9560" s="450" t="s">
        <v>10382</v>
      </c>
      <c r="C9560" s="449" t="s">
        <v>679</v>
      </c>
      <c r="D9560" s="451">
        <v>29.76</v>
      </c>
      <c r="E9560" s="210"/>
    </row>
    <row r="9561" spans="1:5" ht="38.25">
      <c r="A9561" s="449">
        <v>38929</v>
      </c>
      <c r="B9561" s="450" t="s">
        <v>10383</v>
      </c>
      <c r="C9561" s="449" t="s">
        <v>679</v>
      </c>
      <c r="D9561" s="451">
        <v>52.77</v>
      </c>
      <c r="E9561" s="210"/>
    </row>
    <row r="9562" spans="1:5" ht="38.25">
      <c r="A9562" s="449">
        <v>39307</v>
      </c>
      <c r="B9562" s="450" t="s">
        <v>10384</v>
      </c>
      <c r="C9562" s="449" t="s">
        <v>679</v>
      </c>
      <c r="D9562" s="451">
        <v>38.99</v>
      </c>
      <c r="E9562" s="210"/>
    </row>
    <row r="9563" spans="1:5" ht="38.25">
      <c r="A9563" s="449">
        <v>38930</v>
      </c>
      <c r="B9563" s="450" t="s">
        <v>10385</v>
      </c>
      <c r="C9563" s="449" t="s">
        <v>679</v>
      </c>
      <c r="D9563" s="451">
        <v>66.290000000000006</v>
      </c>
      <c r="E9563" s="210"/>
    </row>
    <row r="9564" spans="1:5" ht="38.25">
      <c r="A9564" s="449">
        <v>38931</v>
      </c>
      <c r="B9564" s="450" t="s">
        <v>10386</v>
      </c>
      <c r="C9564" s="449" t="s">
        <v>679</v>
      </c>
      <c r="D9564" s="451">
        <v>16.690000000000001</v>
      </c>
      <c r="E9564" s="210"/>
    </row>
    <row r="9565" spans="1:5" ht="38.25">
      <c r="A9565" s="449">
        <v>38932</v>
      </c>
      <c r="B9565" s="450" t="s">
        <v>10387</v>
      </c>
      <c r="C9565" s="449" t="s">
        <v>679</v>
      </c>
      <c r="D9565" s="451">
        <v>16.86</v>
      </c>
      <c r="E9565" s="210"/>
    </row>
    <row r="9566" spans="1:5" ht="38.25">
      <c r="A9566" s="449">
        <v>38934</v>
      </c>
      <c r="B9566" s="450" t="s">
        <v>10388</v>
      </c>
      <c r="C9566" s="449" t="s">
        <v>679</v>
      </c>
      <c r="D9566" s="451">
        <v>24.91</v>
      </c>
      <c r="E9566" s="210"/>
    </row>
    <row r="9567" spans="1:5" ht="38.25">
      <c r="A9567" s="449">
        <v>38935</v>
      </c>
      <c r="B9567" s="450" t="s">
        <v>10389</v>
      </c>
      <c r="C9567" s="449" t="s">
        <v>679</v>
      </c>
      <c r="D9567" s="451">
        <v>26.66</v>
      </c>
      <c r="E9567" s="210"/>
    </row>
    <row r="9568" spans="1:5" ht="38.25">
      <c r="A9568" s="449">
        <v>38936</v>
      </c>
      <c r="B9568" s="450" t="s">
        <v>10390</v>
      </c>
      <c r="C9568" s="449" t="s">
        <v>679</v>
      </c>
      <c r="D9568" s="451">
        <v>28.55</v>
      </c>
      <c r="E9568" s="210"/>
    </row>
    <row r="9569" spans="1:5" ht="38.25">
      <c r="A9569" s="449">
        <v>38937</v>
      </c>
      <c r="B9569" s="450" t="s">
        <v>10391</v>
      </c>
      <c r="C9569" s="449" t="s">
        <v>679</v>
      </c>
      <c r="D9569" s="451">
        <v>34.799999999999997</v>
      </c>
      <c r="E9569" s="210"/>
    </row>
    <row r="9570" spans="1:5" ht="38.25">
      <c r="A9570" s="449">
        <v>38938</v>
      </c>
      <c r="B9570" s="450" t="s">
        <v>10392</v>
      </c>
      <c r="C9570" s="449" t="s">
        <v>679</v>
      </c>
      <c r="D9570" s="451">
        <v>51.74</v>
      </c>
      <c r="E9570" s="210"/>
    </row>
    <row r="9571" spans="1:5" ht="25.5">
      <c r="A9571" s="449">
        <v>3489</v>
      </c>
      <c r="B9571" s="450" t="s">
        <v>10393</v>
      </c>
      <c r="C9571" s="449" t="s">
        <v>679</v>
      </c>
      <c r="D9571" s="451">
        <v>13.1</v>
      </c>
      <c r="E9571" s="210"/>
    </row>
    <row r="9572" spans="1:5" ht="25.5">
      <c r="A9572" s="449">
        <v>20151</v>
      </c>
      <c r="B9572" s="450" t="s">
        <v>10394</v>
      </c>
      <c r="C9572" s="449" t="s">
        <v>679</v>
      </c>
      <c r="D9572" s="451">
        <v>21.01</v>
      </c>
      <c r="E9572" s="210"/>
    </row>
    <row r="9573" spans="1:5" ht="25.5">
      <c r="A9573" s="449">
        <v>20152</v>
      </c>
      <c r="B9573" s="450" t="s">
        <v>10395</v>
      </c>
      <c r="C9573" s="449" t="s">
        <v>679</v>
      </c>
      <c r="D9573" s="451">
        <v>73.11</v>
      </c>
      <c r="E9573" s="210"/>
    </row>
    <row r="9574" spans="1:5" ht="25.5">
      <c r="A9574" s="449">
        <v>20148</v>
      </c>
      <c r="B9574" s="450" t="s">
        <v>10396</v>
      </c>
      <c r="C9574" s="449" t="s">
        <v>679</v>
      </c>
      <c r="D9574" s="451">
        <v>4.18</v>
      </c>
      <c r="E9574" s="210"/>
    </row>
    <row r="9575" spans="1:5" ht="25.5">
      <c r="A9575" s="449">
        <v>20149</v>
      </c>
      <c r="B9575" s="450" t="s">
        <v>10397</v>
      </c>
      <c r="C9575" s="449" t="s">
        <v>679</v>
      </c>
      <c r="D9575" s="451">
        <v>6.47</v>
      </c>
      <c r="E9575" s="210"/>
    </row>
    <row r="9576" spans="1:5" ht="25.5">
      <c r="A9576" s="449">
        <v>20150</v>
      </c>
      <c r="B9576" s="450" t="s">
        <v>10398</v>
      </c>
      <c r="C9576" s="449" t="s">
        <v>679</v>
      </c>
      <c r="D9576" s="451">
        <v>15.08</v>
      </c>
      <c r="E9576" s="210"/>
    </row>
    <row r="9577" spans="1:5" ht="25.5">
      <c r="A9577" s="449">
        <v>20157</v>
      </c>
      <c r="B9577" s="450" t="s">
        <v>10399</v>
      </c>
      <c r="C9577" s="449" t="s">
        <v>679</v>
      </c>
      <c r="D9577" s="451">
        <v>28.35</v>
      </c>
      <c r="E9577" s="210"/>
    </row>
    <row r="9578" spans="1:5" ht="25.5">
      <c r="A9578" s="449">
        <v>20158</v>
      </c>
      <c r="B9578" s="450" t="s">
        <v>10400</v>
      </c>
      <c r="C9578" s="449" t="s">
        <v>679</v>
      </c>
      <c r="D9578" s="451">
        <v>94.18</v>
      </c>
      <c r="E9578" s="210"/>
    </row>
    <row r="9579" spans="1:5" ht="25.5">
      <c r="A9579" s="449">
        <v>20154</v>
      </c>
      <c r="B9579" s="450" t="s">
        <v>10401</v>
      </c>
      <c r="C9579" s="449" t="s">
        <v>679</v>
      </c>
      <c r="D9579" s="451">
        <v>5.37</v>
      </c>
      <c r="E9579" s="210"/>
    </row>
    <row r="9580" spans="1:5" ht="25.5">
      <c r="A9580" s="449">
        <v>20155</v>
      </c>
      <c r="B9580" s="450" t="s">
        <v>10402</v>
      </c>
      <c r="C9580" s="449" t="s">
        <v>679</v>
      </c>
      <c r="D9580" s="451">
        <v>8.0399999999999991</v>
      </c>
      <c r="E9580" s="210"/>
    </row>
    <row r="9581" spans="1:5" ht="25.5">
      <c r="A9581" s="449">
        <v>20156</v>
      </c>
      <c r="B9581" s="450" t="s">
        <v>10403</v>
      </c>
      <c r="C9581" s="449" t="s">
        <v>679</v>
      </c>
      <c r="D9581" s="451">
        <v>18.100000000000001</v>
      </c>
      <c r="E9581" s="210"/>
    </row>
    <row r="9582" spans="1:5" ht="25.5">
      <c r="A9582" s="449">
        <v>3512</v>
      </c>
      <c r="B9582" s="450" t="s">
        <v>10404</v>
      </c>
      <c r="C9582" s="449" t="s">
        <v>679</v>
      </c>
      <c r="D9582" s="451">
        <v>205.24</v>
      </c>
      <c r="E9582" s="210"/>
    </row>
    <row r="9583" spans="1:5" ht="25.5">
      <c r="A9583" s="449">
        <v>3499</v>
      </c>
      <c r="B9583" s="450" t="s">
        <v>10405</v>
      </c>
      <c r="C9583" s="449" t="s">
        <v>679</v>
      </c>
      <c r="D9583" s="451">
        <v>0.87</v>
      </c>
      <c r="E9583" s="210"/>
    </row>
    <row r="9584" spans="1:5" ht="25.5">
      <c r="A9584" s="449">
        <v>3500</v>
      </c>
      <c r="B9584" s="450" t="s">
        <v>10406</v>
      </c>
      <c r="C9584" s="449" t="s">
        <v>679</v>
      </c>
      <c r="D9584" s="451">
        <v>1.47</v>
      </c>
      <c r="E9584" s="210"/>
    </row>
    <row r="9585" spans="1:5" ht="25.5">
      <c r="A9585" s="449">
        <v>3501</v>
      </c>
      <c r="B9585" s="450" t="s">
        <v>10407</v>
      </c>
      <c r="C9585" s="449" t="s">
        <v>679</v>
      </c>
      <c r="D9585" s="451">
        <v>4.26</v>
      </c>
      <c r="E9585" s="210"/>
    </row>
    <row r="9586" spans="1:5" ht="25.5">
      <c r="A9586" s="449">
        <v>3502</v>
      </c>
      <c r="B9586" s="450" t="s">
        <v>10408</v>
      </c>
      <c r="C9586" s="449" t="s">
        <v>679</v>
      </c>
      <c r="D9586" s="451">
        <v>6.06</v>
      </c>
      <c r="E9586" s="210"/>
    </row>
    <row r="9587" spans="1:5" ht="25.5">
      <c r="A9587" s="449">
        <v>3503</v>
      </c>
      <c r="B9587" s="450" t="s">
        <v>10409</v>
      </c>
      <c r="C9587" s="449" t="s">
        <v>679</v>
      </c>
      <c r="D9587" s="451">
        <v>7.25</v>
      </c>
      <c r="E9587" s="210"/>
    </row>
    <row r="9588" spans="1:5" ht="25.5">
      <c r="A9588" s="449">
        <v>3477</v>
      </c>
      <c r="B9588" s="450" t="s">
        <v>10410</v>
      </c>
      <c r="C9588" s="449" t="s">
        <v>679</v>
      </c>
      <c r="D9588" s="451">
        <v>28.09</v>
      </c>
      <c r="E9588" s="210"/>
    </row>
    <row r="9589" spans="1:5" ht="25.5">
      <c r="A9589" s="449">
        <v>3478</v>
      </c>
      <c r="B9589" s="450" t="s">
        <v>10411</v>
      </c>
      <c r="C9589" s="449" t="s">
        <v>679</v>
      </c>
      <c r="D9589" s="451">
        <v>64.55</v>
      </c>
      <c r="E9589" s="210"/>
    </row>
    <row r="9590" spans="1:5" ht="25.5">
      <c r="A9590" s="449">
        <v>3525</v>
      </c>
      <c r="B9590" s="450" t="s">
        <v>10412</v>
      </c>
      <c r="C9590" s="449" t="s">
        <v>679</v>
      </c>
      <c r="D9590" s="451">
        <v>76.59</v>
      </c>
      <c r="E9590" s="210"/>
    </row>
    <row r="9591" spans="1:5" ht="25.5">
      <c r="A9591" s="449">
        <v>3511</v>
      </c>
      <c r="B9591" s="450" t="s">
        <v>10413</v>
      </c>
      <c r="C9591" s="449" t="s">
        <v>679</v>
      </c>
      <c r="D9591" s="451">
        <v>89.86</v>
      </c>
      <c r="E9591" s="210"/>
    </row>
    <row r="9592" spans="1:5" ht="38.25">
      <c r="A9592" s="449">
        <v>38917</v>
      </c>
      <c r="B9592" s="450" t="s">
        <v>10414</v>
      </c>
      <c r="C9592" s="449" t="s">
        <v>679</v>
      </c>
      <c r="D9592" s="451">
        <v>15.97</v>
      </c>
      <c r="E9592" s="210"/>
    </row>
    <row r="9593" spans="1:5" ht="38.25">
      <c r="A9593" s="449">
        <v>38919</v>
      </c>
      <c r="B9593" s="450" t="s">
        <v>10415</v>
      </c>
      <c r="C9593" s="449" t="s">
        <v>679</v>
      </c>
      <c r="D9593" s="451">
        <v>23.76</v>
      </c>
      <c r="E9593" s="210"/>
    </row>
    <row r="9594" spans="1:5" ht="38.25">
      <c r="A9594" s="449">
        <v>38922</v>
      </c>
      <c r="B9594" s="450" t="s">
        <v>10416</v>
      </c>
      <c r="C9594" s="449" t="s">
        <v>679</v>
      </c>
      <c r="D9594" s="451">
        <v>30.7</v>
      </c>
      <c r="E9594" s="210"/>
    </row>
    <row r="9595" spans="1:5" ht="38.25">
      <c r="A9595" s="449">
        <v>38921</v>
      </c>
      <c r="B9595" s="450" t="s">
        <v>10417</v>
      </c>
      <c r="C9595" s="449" t="s">
        <v>679</v>
      </c>
      <c r="D9595" s="451">
        <v>37.950000000000003</v>
      </c>
      <c r="E9595" s="210"/>
    </row>
    <row r="9596" spans="1:5" ht="38.25">
      <c r="A9596" s="449">
        <v>38918</v>
      </c>
      <c r="B9596" s="450" t="s">
        <v>10418</v>
      </c>
      <c r="C9596" s="449" t="s">
        <v>679</v>
      </c>
      <c r="D9596" s="451">
        <v>36.07</v>
      </c>
      <c r="E9596" s="210"/>
    </row>
    <row r="9597" spans="1:5" ht="38.25">
      <c r="A9597" s="449">
        <v>38920</v>
      </c>
      <c r="B9597" s="450" t="s">
        <v>10419</v>
      </c>
      <c r="C9597" s="449" t="s">
        <v>679</v>
      </c>
      <c r="D9597" s="451">
        <v>45.09</v>
      </c>
      <c r="E9597" s="210"/>
    </row>
    <row r="9598" spans="1:5" ht="51">
      <c r="A9598" s="449">
        <v>12032</v>
      </c>
      <c r="B9598" s="450" t="s">
        <v>10420</v>
      </c>
      <c r="C9598" s="449" t="s">
        <v>681</v>
      </c>
      <c r="D9598" s="451">
        <v>58.68</v>
      </c>
      <c r="E9598" s="210"/>
    </row>
    <row r="9599" spans="1:5" ht="51">
      <c r="A9599" s="449">
        <v>12030</v>
      </c>
      <c r="B9599" s="450" t="s">
        <v>10421</v>
      </c>
      <c r="C9599" s="449" t="s">
        <v>681</v>
      </c>
      <c r="D9599" s="451">
        <v>55.14</v>
      </c>
      <c r="E9599" s="210"/>
    </row>
    <row r="9600" spans="1:5" ht="38.25">
      <c r="A9600" s="449">
        <v>10908</v>
      </c>
      <c r="B9600" s="450" t="s">
        <v>10422</v>
      </c>
      <c r="C9600" s="449" t="s">
        <v>679</v>
      </c>
      <c r="D9600" s="451">
        <v>15.87</v>
      </c>
      <c r="E9600" s="210"/>
    </row>
    <row r="9601" spans="1:5" ht="38.25">
      <c r="A9601" s="449">
        <v>10909</v>
      </c>
      <c r="B9601" s="450" t="s">
        <v>10423</v>
      </c>
      <c r="C9601" s="449" t="s">
        <v>679</v>
      </c>
      <c r="D9601" s="451">
        <v>25.31</v>
      </c>
      <c r="E9601" s="210"/>
    </row>
    <row r="9602" spans="1:5" ht="38.25">
      <c r="A9602" s="449">
        <v>3669</v>
      </c>
      <c r="B9602" s="450" t="s">
        <v>10424</v>
      </c>
      <c r="C9602" s="449" t="s">
        <v>679</v>
      </c>
      <c r="D9602" s="451">
        <v>10.84</v>
      </c>
      <c r="E9602" s="210"/>
    </row>
    <row r="9603" spans="1:5" ht="38.25">
      <c r="A9603" s="449">
        <v>20138</v>
      </c>
      <c r="B9603" s="450" t="s">
        <v>10425</v>
      </c>
      <c r="C9603" s="449" t="s">
        <v>679</v>
      </c>
      <c r="D9603" s="451">
        <v>53.88</v>
      </c>
      <c r="E9603" s="210"/>
    </row>
    <row r="9604" spans="1:5" ht="38.25">
      <c r="A9604" s="449">
        <v>20139</v>
      </c>
      <c r="B9604" s="450" t="s">
        <v>10426</v>
      </c>
      <c r="C9604" s="449" t="s">
        <v>679</v>
      </c>
      <c r="D9604" s="451">
        <v>90.53</v>
      </c>
      <c r="E9604" s="210"/>
    </row>
    <row r="9605" spans="1:5" ht="25.5">
      <c r="A9605" s="449">
        <v>3668</v>
      </c>
      <c r="B9605" s="450" t="s">
        <v>10427</v>
      </c>
      <c r="C9605" s="449" t="s">
        <v>679</v>
      </c>
      <c r="D9605" s="451">
        <v>35.89</v>
      </c>
      <c r="E9605" s="210"/>
    </row>
    <row r="9606" spans="1:5" ht="25.5">
      <c r="A9606" s="449">
        <v>3656</v>
      </c>
      <c r="B9606" s="450" t="s">
        <v>10428</v>
      </c>
      <c r="C9606" s="449" t="s">
        <v>679</v>
      </c>
      <c r="D9606" s="451">
        <v>17.79</v>
      </c>
      <c r="E9606" s="210"/>
    </row>
    <row r="9607" spans="1:5" ht="25.5">
      <c r="A9607" s="449">
        <v>10911</v>
      </c>
      <c r="B9607" s="450" t="s">
        <v>10429</v>
      </c>
      <c r="C9607" s="449" t="s">
        <v>679</v>
      </c>
      <c r="D9607" s="451">
        <v>19.739999999999998</v>
      </c>
      <c r="E9607" s="210"/>
    </row>
    <row r="9608" spans="1:5" ht="25.5">
      <c r="A9608" s="449">
        <v>3654</v>
      </c>
      <c r="B9608" s="450" t="s">
        <v>10430</v>
      </c>
      <c r="C9608" s="449" t="s">
        <v>679</v>
      </c>
      <c r="D9608" s="451">
        <v>4.5599999999999996</v>
      </c>
      <c r="E9608" s="210"/>
    </row>
    <row r="9609" spans="1:5" ht="25.5">
      <c r="A9609" s="449">
        <v>3664</v>
      </c>
      <c r="B9609" s="450" t="s">
        <v>10431</v>
      </c>
      <c r="C9609" s="449" t="s">
        <v>679</v>
      </c>
      <c r="D9609" s="451">
        <v>5.66</v>
      </c>
      <c r="E9609" s="210"/>
    </row>
    <row r="9610" spans="1:5" ht="25.5">
      <c r="A9610" s="449">
        <v>3657</v>
      </c>
      <c r="B9610" s="450" t="s">
        <v>10432</v>
      </c>
      <c r="C9610" s="449" t="s">
        <v>679</v>
      </c>
      <c r="D9610" s="451">
        <v>6.1</v>
      </c>
      <c r="E9610" s="210"/>
    </row>
    <row r="9611" spans="1:5" ht="38.25">
      <c r="A9611" s="449">
        <v>12625</v>
      </c>
      <c r="B9611" s="450" t="s">
        <v>10433</v>
      </c>
      <c r="C9611" s="449" t="s">
        <v>679</v>
      </c>
      <c r="D9611" s="451">
        <v>10.19</v>
      </c>
      <c r="E9611" s="210"/>
    </row>
    <row r="9612" spans="1:5" ht="25.5">
      <c r="A9612" s="449">
        <v>20136</v>
      </c>
      <c r="B9612" s="450" t="s">
        <v>10434</v>
      </c>
      <c r="C9612" s="449" t="s">
        <v>679</v>
      </c>
      <c r="D9612" s="451">
        <v>121.6</v>
      </c>
      <c r="E9612" s="210"/>
    </row>
    <row r="9613" spans="1:5" ht="38.25">
      <c r="A9613" s="449">
        <v>20144</v>
      </c>
      <c r="B9613" s="450" t="s">
        <v>10435</v>
      </c>
      <c r="C9613" s="449" t="s">
        <v>679</v>
      </c>
      <c r="D9613" s="451">
        <v>53.41</v>
      </c>
      <c r="E9613" s="210"/>
    </row>
    <row r="9614" spans="1:5" ht="25.5">
      <c r="A9614" s="449">
        <v>20143</v>
      </c>
      <c r="B9614" s="450" t="s">
        <v>10436</v>
      </c>
      <c r="C9614" s="449" t="s">
        <v>679</v>
      </c>
      <c r="D9614" s="451">
        <v>49.88</v>
      </c>
      <c r="E9614" s="210"/>
    </row>
    <row r="9615" spans="1:5" ht="38.25">
      <c r="A9615" s="449">
        <v>20145</v>
      </c>
      <c r="B9615" s="450" t="s">
        <v>10437</v>
      </c>
      <c r="C9615" s="449" t="s">
        <v>679</v>
      </c>
      <c r="D9615" s="451">
        <v>141.56</v>
      </c>
      <c r="E9615" s="210"/>
    </row>
    <row r="9616" spans="1:5" ht="38.25">
      <c r="A9616" s="449">
        <v>20146</v>
      </c>
      <c r="B9616" s="450" t="s">
        <v>10438</v>
      </c>
      <c r="C9616" s="449" t="s">
        <v>679</v>
      </c>
      <c r="D9616" s="451">
        <v>159.63</v>
      </c>
      <c r="E9616" s="210"/>
    </row>
    <row r="9617" spans="1:5" ht="25.5">
      <c r="A9617" s="449">
        <v>20140</v>
      </c>
      <c r="B9617" s="450" t="s">
        <v>10439</v>
      </c>
      <c r="C9617" s="449" t="s">
        <v>679</v>
      </c>
      <c r="D9617" s="451">
        <v>6.36</v>
      </c>
      <c r="E9617" s="210"/>
    </row>
    <row r="9618" spans="1:5" ht="25.5">
      <c r="A9618" s="449">
        <v>20141</v>
      </c>
      <c r="B9618" s="450" t="s">
        <v>10440</v>
      </c>
      <c r="C9618" s="449" t="s">
        <v>679</v>
      </c>
      <c r="D9618" s="451">
        <v>11.16</v>
      </c>
      <c r="E9618" s="210"/>
    </row>
    <row r="9619" spans="1:5" ht="25.5">
      <c r="A9619" s="449">
        <v>20142</v>
      </c>
      <c r="B9619" s="450" t="s">
        <v>10441</v>
      </c>
      <c r="C9619" s="449" t="s">
        <v>679</v>
      </c>
      <c r="D9619" s="451">
        <v>34.14</v>
      </c>
      <c r="E9619" s="210"/>
    </row>
    <row r="9620" spans="1:5" ht="25.5">
      <c r="A9620" s="449">
        <v>3659</v>
      </c>
      <c r="B9620" s="450" t="s">
        <v>10442</v>
      </c>
      <c r="C9620" s="449" t="s">
        <v>679</v>
      </c>
      <c r="D9620" s="451">
        <v>14.81</v>
      </c>
      <c r="E9620" s="210"/>
    </row>
    <row r="9621" spans="1:5" ht="25.5">
      <c r="A9621" s="449">
        <v>3660</v>
      </c>
      <c r="B9621" s="450" t="s">
        <v>10443</v>
      </c>
      <c r="C9621" s="449" t="s">
        <v>679</v>
      </c>
      <c r="D9621" s="451">
        <v>21.34</v>
      </c>
      <c r="E9621" s="210"/>
    </row>
    <row r="9622" spans="1:5" ht="25.5">
      <c r="A9622" s="449">
        <v>3662</v>
      </c>
      <c r="B9622" s="450" t="s">
        <v>10444</v>
      </c>
      <c r="C9622" s="449" t="s">
        <v>679</v>
      </c>
      <c r="D9622" s="451">
        <v>8.06</v>
      </c>
      <c r="E9622" s="210"/>
    </row>
    <row r="9623" spans="1:5" ht="25.5">
      <c r="A9623" s="449">
        <v>3661</v>
      </c>
      <c r="B9623" s="450" t="s">
        <v>10445</v>
      </c>
      <c r="C9623" s="449" t="s">
        <v>679</v>
      </c>
      <c r="D9623" s="451">
        <v>11.86</v>
      </c>
      <c r="E9623" s="210"/>
    </row>
    <row r="9624" spans="1:5" ht="25.5">
      <c r="A9624" s="449">
        <v>3658</v>
      </c>
      <c r="B9624" s="450" t="s">
        <v>10446</v>
      </c>
      <c r="C9624" s="449" t="s">
        <v>679</v>
      </c>
      <c r="D9624" s="451">
        <v>15.1</v>
      </c>
      <c r="E9624" s="210"/>
    </row>
    <row r="9625" spans="1:5" ht="25.5">
      <c r="A9625" s="449">
        <v>3670</v>
      </c>
      <c r="B9625" s="450" t="s">
        <v>10447</v>
      </c>
      <c r="C9625" s="449" t="s">
        <v>679</v>
      </c>
      <c r="D9625" s="451">
        <v>19.7</v>
      </c>
      <c r="E9625" s="210"/>
    </row>
    <row r="9626" spans="1:5" ht="25.5">
      <c r="A9626" s="449">
        <v>3666</v>
      </c>
      <c r="B9626" s="450" t="s">
        <v>10448</v>
      </c>
      <c r="C9626" s="449" t="s">
        <v>679</v>
      </c>
      <c r="D9626" s="451">
        <v>3.33</v>
      </c>
      <c r="E9626" s="210"/>
    </row>
    <row r="9627" spans="1:5">
      <c r="A9627" s="449">
        <v>14157</v>
      </c>
      <c r="B9627" s="450" t="s">
        <v>10449</v>
      </c>
      <c r="C9627" s="449" t="s">
        <v>679</v>
      </c>
      <c r="D9627" s="451">
        <v>1.21</v>
      </c>
      <c r="E9627" s="210"/>
    </row>
    <row r="9628" spans="1:5" ht="25.5">
      <c r="A9628" s="449">
        <v>3653</v>
      </c>
      <c r="B9628" s="450" t="s">
        <v>10450</v>
      </c>
      <c r="C9628" s="449" t="s">
        <v>679</v>
      </c>
      <c r="D9628" s="451">
        <v>129.81</v>
      </c>
      <c r="E9628" s="210"/>
    </row>
    <row r="9629" spans="1:5" ht="25.5">
      <c r="A9629" s="449">
        <v>3649</v>
      </c>
      <c r="B9629" s="450" t="s">
        <v>10451</v>
      </c>
      <c r="C9629" s="449" t="s">
        <v>679</v>
      </c>
      <c r="D9629" s="451">
        <v>268.87</v>
      </c>
      <c r="E9629" s="210"/>
    </row>
    <row r="9630" spans="1:5" ht="38.25">
      <c r="A9630" s="449">
        <v>42696</v>
      </c>
      <c r="B9630" s="450" t="s">
        <v>10452</v>
      </c>
      <c r="C9630" s="449" t="s">
        <v>679</v>
      </c>
      <c r="D9630" s="451">
        <v>752.27</v>
      </c>
      <c r="E9630" s="210"/>
    </row>
    <row r="9631" spans="1:5" ht="38.25">
      <c r="A9631" s="449">
        <v>42697</v>
      </c>
      <c r="B9631" s="450" t="s">
        <v>10453</v>
      </c>
      <c r="C9631" s="449" t="s">
        <v>679</v>
      </c>
      <c r="D9631" s="451">
        <v>1132.94</v>
      </c>
      <c r="E9631" s="210"/>
    </row>
    <row r="9632" spans="1:5" ht="38.25">
      <c r="A9632" s="449">
        <v>42698</v>
      </c>
      <c r="B9632" s="450" t="s">
        <v>10454</v>
      </c>
      <c r="C9632" s="449" t="s">
        <v>679</v>
      </c>
      <c r="D9632" s="451">
        <v>1578.15</v>
      </c>
      <c r="E9632" s="210"/>
    </row>
    <row r="9633" spans="1:5" ht="25.5">
      <c r="A9633" s="449">
        <v>39875</v>
      </c>
      <c r="B9633" s="450" t="s">
        <v>10455</v>
      </c>
      <c r="C9633" s="449" t="s">
        <v>679</v>
      </c>
      <c r="D9633" s="451">
        <v>674.97</v>
      </c>
      <c r="E9633" s="210"/>
    </row>
    <row r="9634" spans="1:5" ht="25.5">
      <c r="A9634" s="449">
        <v>39876</v>
      </c>
      <c r="B9634" s="450" t="s">
        <v>10456</v>
      </c>
      <c r="C9634" s="449" t="s">
        <v>679</v>
      </c>
      <c r="D9634" s="451">
        <v>845.06</v>
      </c>
      <c r="E9634" s="210"/>
    </row>
    <row r="9635" spans="1:5" ht="25.5">
      <c r="A9635" s="449">
        <v>39877</v>
      </c>
      <c r="B9635" s="450" t="s">
        <v>10457</v>
      </c>
      <c r="C9635" s="449" t="s">
        <v>679</v>
      </c>
      <c r="D9635" s="451">
        <v>1172.06</v>
      </c>
      <c r="E9635" s="210"/>
    </row>
    <row r="9636" spans="1:5" ht="25.5">
      <c r="A9636" s="449">
        <v>39878</v>
      </c>
      <c r="B9636" s="450" t="s">
        <v>10458</v>
      </c>
      <c r="C9636" s="449" t="s">
        <v>679</v>
      </c>
      <c r="D9636" s="451">
        <v>1548.1</v>
      </c>
      <c r="E9636" s="210"/>
    </row>
    <row r="9637" spans="1:5" ht="25.5">
      <c r="A9637" s="449">
        <v>39872</v>
      </c>
      <c r="B9637" s="450" t="s">
        <v>10459</v>
      </c>
      <c r="C9637" s="449" t="s">
        <v>679</v>
      </c>
      <c r="D9637" s="451">
        <v>462.88</v>
      </c>
      <c r="E9637" s="210"/>
    </row>
    <row r="9638" spans="1:5" ht="25.5">
      <c r="A9638" s="449">
        <v>39873</v>
      </c>
      <c r="B9638" s="450" t="s">
        <v>10460</v>
      </c>
      <c r="C9638" s="449" t="s">
        <v>679</v>
      </c>
      <c r="D9638" s="451">
        <v>536.91</v>
      </c>
      <c r="E9638" s="210"/>
    </row>
    <row r="9639" spans="1:5" ht="25.5">
      <c r="A9639" s="449">
        <v>39874</v>
      </c>
      <c r="B9639" s="450" t="s">
        <v>10461</v>
      </c>
      <c r="C9639" s="449" t="s">
        <v>679</v>
      </c>
      <c r="D9639" s="451">
        <v>589.72</v>
      </c>
      <c r="E9639" s="210"/>
    </row>
    <row r="9640" spans="1:5" ht="25.5">
      <c r="A9640" s="449">
        <v>3674</v>
      </c>
      <c r="B9640" s="450" t="s">
        <v>10462</v>
      </c>
      <c r="C9640" s="449" t="s">
        <v>683</v>
      </c>
      <c r="D9640" s="451">
        <v>62.4</v>
      </c>
      <c r="E9640" s="210"/>
    </row>
    <row r="9641" spans="1:5" ht="25.5">
      <c r="A9641" s="449">
        <v>3681</v>
      </c>
      <c r="B9641" s="450" t="s">
        <v>10463</v>
      </c>
      <c r="C9641" s="449" t="s">
        <v>683</v>
      </c>
      <c r="D9641" s="451">
        <v>92.84</v>
      </c>
      <c r="E9641" s="210"/>
    </row>
    <row r="9642" spans="1:5" ht="25.5">
      <c r="A9642" s="449">
        <v>3676</v>
      </c>
      <c r="B9642" s="450" t="s">
        <v>10464</v>
      </c>
      <c r="C9642" s="449" t="s">
        <v>683</v>
      </c>
      <c r="D9642" s="451">
        <v>349.41</v>
      </c>
      <c r="E9642" s="210"/>
    </row>
    <row r="9643" spans="1:5" ht="25.5">
      <c r="A9643" s="449">
        <v>3679</v>
      </c>
      <c r="B9643" s="450" t="s">
        <v>10465</v>
      </c>
      <c r="C9643" s="449" t="s">
        <v>683</v>
      </c>
      <c r="D9643" s="451">
        <v>289.07</v>
      </c>
      <c r="E9643" s="210"/>
    </row>
    <row r="9644" spans="1:5" ht="25.5">
      <c r="A9644" s="449">
        <v>3672</v>
      </c>
      <c r="B9644" s="450" t="s">
        <v>10466</v>
      </c>
      <c r="C9644" s="449" t="s">
        <v>683</v>
      </c>
      <c r="D9644" s="451">
        <v>0.98</v>
      </c>
      <c r="E9644" s="210"/>
    </row>
    <row r="9645" spans="1:5" ht="25.5">
      <c r="A9645" s="449">
        <v>3671</v>
      </c>
      <c r="B9645" s="450" t="s">
        <v>10467</v>
      </c>
      <c r="C9645" s="449" t="s">
        <v>683</v>
      </c>
      <c r="D9645" s="451">
        <v>0.93</v>
      </c>
      <c r="E9645" s="210"/>
    </row>
    <row r="9646" spans="1:5" ht="25.5">
      <c r="A9646" s="449">
        <v>3673</v>
      </c>
      <c r="B9646" s="450" t="s">
        <v>10468</v>
      </c>
      <c r="C9646" s="449" t="s">
        <v>683</v>
      </c>
      <c r="D9646" s="451">
        <v>1.46</v>
      </c>
      <c r="E9646" s="210"/>
    </row>
    <row r="9647" spans="1:5" ht="38.25">
      <c r="A9647" s="449">
        <v>38394</v>
      </c>
      <c r="B9647" s="450" t="s">
        <v>10469</v>
      </c>
      <c r="C9647" s="449" t="s">
        <v>679</v>
      </c>
      <c r="D9647" s="451">
        <v>323.39</v>
      </c>
      <c r="E9647" s="210"/>
    </row>
    <row r="9648" spans="1:5" ht="25.5">
      <c r="A9648" s="449">
        <v>3729</v>
      </c>
      <c r="B9648" s="450" t="s">
        <v>10470</v>
      </c>
      <c r="C9648" s="449" t="s">
        <v>679</v>
      </c>
      <c r="D9648" s="451">
        <v>76.2</v>
      </c>
      <c r="E9648" s="210"/>
    </row>
    <row r="9649" spans="1:5" ht="102">
      <c r="A9649" s="449">
        <v>39357</v>
      </c>
      <c r="B9649" s="450" t="s">
        <v>10471</v>
      </c>
      <c r="C9649" s="449" t="s">
        <v>679</v>
      </c>
      <c r="D9649" s="451">
        <v>145.07</v>
      </c>
      <c r="E9649" s="210"/>
    </row>
    <row r="9650" spans="1:5" ht="102">
      <c r="A9650" s="449">
        <v>39358</v>
      </c>
      <c r="B9650" s="450" t="s">
        <v>10472</v>
      </c>
      <c r="C9650" s="449" t="s">
        <v>679</v>
      </c>
      <c r="D9650" s="451">
        <v>159.08000000000001</v>
      </c>
      <c r="E9650" s="210"/>
    </row>
    <row r="9651" spans="1:5" ht="114.75">
      <c r="A9651" s="449">
        <v>39356</v>
      </c>
      <c r="B9651" s="450" t="s">
        <v>10473</v>
      </c>
      <c r="C9651" s="449" t="s">
        <v>679</v>
      </c>
      <c r="D9651" s="451">
        <v>271.39</v>
      </c>
      <c r="E9651" s="210"/>
    </row>
    <row r="9652" spans="1:5" ht="114.75">
      <c r="A9652" s="449">
        <v>39355</v>
      </c>
      <c r="B9652" s="450" t="s">
        <v>10474</v>
      </c>
      <c r="C9652" s="449" t="s">
        <v>679</v>
      </c>
      <c r="D9652" s="451">
        <v>233.54</v>
      </c>
      <c r="E9652" s="210"/>
    </row>
    <row r="9653" spans="1:5" ht="102">
      <c r="A9653" s="449">
        <v>39353</v>
      </c>
      <c r="B9653" s="450" t="s">
        <v>10475</v>
      </c>
      <c r="C9653" s="449" t="s">
        <v>679</v>
      </c>
      <c r="D9653" s="451">
        <v>320.26</v>
      </c>
      <c r="E9653" s="210"/>
    </row>
    <row r="9654" spans="1:5" ht="102">
      <c r="A9654" s="449">
        <v>39354</v>
      </c>
      <c r="B9654" s="450" t="s">
        <v>10476</v>
      </c>
      <c r="C9654" s="449" t="s">
        <v>679</v>
      </c>
      <c r="D9654" s="451">
        <v>319.19</v>
      </c>
      <c r="E9654" s="210"/>
    </row>
    <row r="9655" spans="1:5" ht="25.5">
      <c r="A9655" s="449">
        <v>39398</v>
      </c>
      <c r="B9655" s="450" t="s">
        <v>10477</v>
      </c>
      <c r="C9655" s="449" t="s">
        <v>679</v>
      </c>
      <c r="D9655" s="451">
        <v>77.64</v>
      </c>
      <c r="E9655" s="210"/>
    </row>
    <row r="9656" spans="1:5" ht="51">
      <c r="A9656" s="449">
        <v>13343</v>
      </c>
      <c r="B9656" s="450" t="s">
        <v>10478</v>
      </c>
      <c r="C9656" s="449" t="s">
        <v>679</v>
      </c>
      <c r="D9656" s="451">
        <v>29.47</v>
      </c>
      <c r="E9656" s="210"/>
    </row>
    <row r="9657" spans="1:5" ht="38.25">
      <c r="A9657" s="449">
        <v>12118</v>
      </c>
      <c r="B9657" s="450" t="s">
        <v>10479</v>
      </c>
      <c r="C9657" s="449" t="s">
        <v>679</v>
      </c>
      <c r="D9657" s="451">
        <v>18.36</v>
      </c>
      <c r="E9657" s="210"/>
    </row>
    <row r="9658" spans="1:5" ht="76.5">
      <c r="A9658" s="449">
        <v>39482</v>
      </c>
      <c r="B9658" s="450" t="s">
        <v>10480</v>
      </c>
      <c r="C9658" s="449" t="s">
        <v>679</v>
      </c>
      <c r="D9658" s="451">
        <v>543.05999999999995</v>
      </c>
      <c r="E9658" s="210"/>
    </row>
    <row r="9659" spans="1:5" ht="89.25">
      <c r="A9659" s="449">
        <v>39486</v>
      </c>
      <c r="B9659" s="450" t="s">
        <v>10481</v>
      </c>
      <c r="C9659" s="449" t="s">
        <v>679</v>
      </c>
      <c r="D9659" s="451">
        <v>443.21</v>
      </c>
      <c r="E9659" s="210"/>
    </row>
    <row r="9660" spans="1:5" ht="76.5">
      <c r="A9660" s="449">
        <v>39484</v>
      </c>
      <c r="B9660" s="450" t="s">
        <v>10482</v>
      </c>
      <c r="C9660" s="449" t="s">
        <v>679</v>
      </c>
      <c r="D9660" s="451">
        <v>543.05999999999995</v>
      </c>
      <c r="E9660" s="210"/>
    </row>
    <row r="9661" spans="1:5" ht="76.5">
      <c r="A9661" s="449">
        <v>39488</v>
      </c>
      <c r="B9661" s="450" t="s">
        <v>10483</v>
      </c>
      <c r="C9661" s="449" t="s">
        <v>679</v>
      </c>
      <c r="D9661" s="451">
        <v>450.47</v>
      </c>
      <c r="E9661" s="210"/>
    </row>
    <row r="9662" spans="1:5" ht="76.5">
      <c r="A9662" s="449">
        <v>39485</v>
      </c>
      <c r="B9662" s="450" t="s">
        <v>10484</v>
      </c>
      <c r="C9662" s="449" t="s">
        <v>679</v>
      </c>
      <c r="D9662" s="451">
        <v>543.05999999999995</v>
      </c>
      <c r="E9662" s="210"/>
    </row>
    <row r="9663" spans="1:5" ht="76.5">
      <c r="A9663" s="449">
        <v>39489</v>
      </c>
      <c r="B9663" s="450" t="s">
        <v>10485</v>
      </c>
      <c r="C9663" s="449" t="s">
        <v>679</v>
      </c>
      <c r="D9663" s="451">
        <v>458.1</v>
      </c>
      <c r="E9663" s="210"/>
    </row>
    <row r="9664" spans="1:5" ht="30" customHeight="1">
      <c r="A9664" s="449">
        <v>39490</v>
      </c>
      <c r="B9664" s="450" t="s">
        <v>10486</v>
      </c>
      <c r="C9664" s="449" t="s">
        <v>679</v>
      </c>
      <c r="D9664" s="451">
        <v>682.63</v>
      </c>
      <c r="E9664" s="210"/>
    </row>
    <row r="9665" spans="1:5" ht="33" customHeight="1">
      <c r="A9665" s="449">
        <v>39494</v>
      </c>
      <c r="B9665" s="450" t="s">
        <v>10487</v>
      </c>
      <c r="C9665" s="449" t="s">
        <v>679</v>
      </c>
      <c r="D9665" s="451">
        <v>490.19</v>
      </c>
      <c r="E9665" s="210"/>
    </row>
    <row r="9666" spans="1:5" ht="89.25">
      <c r="A9666" s="449">
        <v>39495</v>
      </c>
      <c r="B9666" s="450" t="s">
        <v>10488</v>
      </c>
      <c r="C9666" s="449" t="s">
        <v>679</v>
      </c>
      <c r="D9666" s="451">
        <v>552.38</v>
      </c>
      <c r="E9666" s="210"/>
    </row>
    <row r="9667" spans="1:5" ht="89.25">
      <c r="A9667" s="449">
        <v>39496</v>
      </c>
      <c r="B9667" s="450" t="s">
        <v>10489</v>
      </c>
      <c r="C9667" s="449" t="s">
        <v>679</v>
      </c>
      <c r="D9667" s="451">
        <v>607.61</v>
      </c>
      <c r="E9667" s="210"/>
    </row>
    <row r="9668" spans="1:5" ht="89.25">
      <c r="A9668" s="449">
        <v>39492</v>
      </c>
      <c r="B9668" s="450" t="s">
        <v>10490</v>
      </c>
      <c r="C9668" s="449" t="s">
        <v>679</v>
      </c>
      <c r="D9668" s="451">
        <v>703.45</v>
      </c>
      <c r="E9668" s="210"/>
    </row>
    <row r="9669" spans="1:5" ht="89.25">
      <c r="A9669" s="449">
        <v>39497</v>
      </c>
      <c r="B9669" s="450" t="s">
        <v>10491</v>
      </c>
      <c r="C9669" s="449" t="s">
        <v>679</v>
      </c>
      <c r="D9669" s="451">
        <v>635.4</v>
      </c>
      <c r="E9669" s="210"/>
    </row>
    <row r="9670" spans="1:5" ht="89.25">
      <c r="A9670" s="449">
        <v>39493</v>
      </c>
      <c r="B9670" s="450" t="s">
        <v>10492</v>
      </c>
      <c r="C9670" s="449" t="s">
        <v>679</v>
      </c>
      <c r="D9670" s="451">
        <v>754.52</v>
      </c>
      <c r="E9670" s="210"/>
    </row>
    <row r="9671" spans="1:5" ht="76.5">
      <c r="A9671" s="449">
        <v>39500</v>
      </c>
      <c r="B9671" s="450" t="s">
        <v>10493</v>
      </c>
      <c r="C9671" s="449" t="s">
        <v>679</v>
      </c>
      <c r="D9671" s="451">
        <v>823.24</v>
      </c>
      <c r="E9671" s="210"/>
    </row>
    <row r="9672" spans="1:5" ht="89.25">
      <c r="A9672" s="449">
        <v>39498</v>
      </c>
      <c r="B9672" s="450" t="s">
        <v>10494</v>
      </c>
      <c r="C9672" s="449" t="s">
        <v>679</v>
      </c>
      <c r="D9672" s="451">
        <v>1015.33</v>
      </c>
      <c r="E9672" s="210"/>
    </row>
    <row r="9673" spans="1:5" ht="76.5">
      <c r="A9673" s="449">
        <v>43628</v>
      </c>
      <c r="B9673" s="450" t="s">
        <v>10495</v>
      </c>
      <c r="C9673" s="449" t="s">
        <v>679</v>
      </c>
      <c r="D9673" s="451">
        <v>800.3</v>
      </c>
      <c r="E9673" s="210"/>
    </row>
    <row r="9674" spans="1:5" ht="76.5">
      <c r="A9674" s="449">
        <v>39501</v>
      </c>
      <c r="B9674" s="450" t="s">
        <v>10496</v>
      </c>
      <c r="C9674" s="449" t="s">
        <v>679</v>
      </c>
      <c r="D9674" s="451">
        <v>845.54</v>
      </c>
      <c r="E9674" s="210"/>
    </row>
    <row r="9675" spans="1:5" ht="89.25">
      <c r="A9675" s="449">
        <v>39499</v>
      </c>
      <c r="B9675" s="450" t="s">
        <v>10497</v>
      </c>
      <c r="C9675" s="449" t="s">
        <v>679</v>
      </c>
      <c r="D9675" s="451">
        <v>1029.75</v>
      </c>
      <c r="E9675" s="210"/>
    </row>
    <row r="9676" spans="1:5" ht="76.5">
      <c r="A9676" s="449">
        <v>43621</v>
      </c>
      <c r="B9676" s="450" t="s">
        <v>10498</v>
      </c>
      <c r="C9676" s="449" t="s">
        <v>679</v>
      </c>
      <c r="D9676" s="451">
        <v>850.32</v>
      </c>
      <c r="E9676" s="210"/>
    </row>
    <row r="9677" spans="1:5" ht="38.25">
      <c r="A9677" s="449">
        <v>3733</v>
      </c>
      <c r="B9677" s="450" t="s">
        <v>10499</v>
      </c>
      <c r="C9677" s="449" t="s">
        <v>684</v>
      </c>
      <c r="D9677" s="451">
        <v>54.83</v>
      </c>
      <c r="E9677" s="210"/>
    </row>
    <row r="9678" spans="1:5" ht="25.5">
      <c r="A9678" s="449">
        <v>3731</v>
      </c>
      <c r="B9678" s="450" t="s">
        <v>10500</v>
      </c>
      <c r="C9678" s="449" t="s">
        <v>684</v>
      </c>
      <c r="D9678" s="451">
        <v>50.9</v>
      </c>
      <c r="E9678" s="210"/>
    </row>
    <row r="9679" spans="1:5" ht="25.5">
      <c r="A9679" s="449">
        <v>38137</v>
      </c>
      <c r="B9679" s="450" t="s">
        <v>10501</v>
      </c>
      <c r="C9679" s="449" t="s">
        <v>684</v>
      </c>
      <c r="D9679" s="451">
        <v>51.2</v>
      </c>
      <c r="E9679" s="210"/>
    </row>
    <row r="9680" spans="1:5" ht="25.5">
      <c r="A9680" s="449">
        <v>38135</v>
      </c>
      <c r="B9680" s="450" t="s">
        <v>10502</v>
      </c>
      <c r="C9680" s="449" t="s">
        <v>684</v>
      </c>
      <c r="D9680" s="451">
        <v>64.900000000000006</v>
      </c>
      <c r="E9680" s="210"/>
    </row>
    <row r="9681" spans="1:5" ht="25.5">
      <c r="A9681" s="449">
        <v>38138</v>
      </c>
      <c r="B9681" s="450" t="s">
        <v>10503</v>
      </c>
      <c r="C9681" s="449" t="s">
        <v>684</v>
      </c>
      <c r="D9681" s="451">
        <v>50.27</v>
      </c>
      <c r="E9681" s="210"/>
    </row>
    <row r="9682" spans="1:5" ht="51">
      <c r="A9682" s="449">
        <v>3736</v>
      </c>
      <c r="B9682" s="450" t="s">
        <v>10504</v>
      </c>
      <c r="C9682" s="449" t="s">
        <v>684</v>
      </c>
      <c r="D9682" s="451">
        <v>66.099999999999994</v>
      </c>
      <c r="E9682" s="210"/>
    </row>
    <row r="9683" spans="1:5" ht="51">
      <c r="A9683" s="449">
        <v>3741</v>
      </c>
      <c r="B9683" s="450" t="s">
        <v>10505</v>
      </c>
      <c r="C9683" s="449" t="s">
        <v>684</v>
      </c>
      <c r="D9683" s="451">
        <v>68.900000000000006</v>
      </c>
      <c r="E9683" s="210"/>
    </row>
    <row r="9684" spans="1:5" ht="51">
      <c r="A9684" s="449">
        <v>3745</v>
      </c>
      <c r="B9684" s="450" t="s">
        <v>10506</v>
      </c>
      <c r="C9684" s="449" t="s">
        <v>684</v>
      </c>
      <c r="D9684" s="451">
        <v>74.290000000000006</v>
      </c>
      <c r="E9684" s="210"/>
    </row>
    <row r="9685" spans="1:5" ht="51">
      <c r="A9685" s="449">
        <v>3743</v>
      </c>
      <c r="B9685" s="450" t="s">
        <v>10507</v>
      </c>
      <c r="C9685" s="449" t="s">
        <v>684</v>
      </c>
      <c r="D9685" s="451">
        <v>68.66</v>
      </c>
      <c r="E9685" s="210"/>
    </row>
    <row r="9686" spans="1:5" ht="51">
      <c r="A9686" s="449">
        <v>3744</v>
      </c>
      <c r="B9686" s="450" t="s">
        <v>10508</v>
      </c>
      <c r="C9686" s="449" t="s">
        <v>684</v>
      </c>
      <c r="D9686" s="451">
        <v>75.569999999999993</v>
      </c>
      <c r="E9686" s="210"/>
    </row>
    <row r="9687" spans="1:5" ht="51">
      <c r="A9687" s="449">
        <v>3739</v>
      </c>
      <c r="B9687" s="450" t="s">
        <v>10509</v>
      </c>
      <c r="C9687" s="449" t="s">
        <v>684</v>
      </c>
      <c r="D9687" s="451">
        <v>79.42</v>
      </c>
      <c r="E9687" s="210"/>
    </row>
    <row r="9688" spans="1:5" ht="51">
      <c r="A9688" s="449">
        <v>3737</v>
      </c>
      <c r="B9688" s="450" t="s">
        <v>10510</v>
      </c>
      <c r="C9688" s="449" t="s">
        <v>684</v>
      </c>
      <c r="D9688" s="451">
        <v>83.26</v>
      </c>
      <c r="E9688" s="210"/>
    </row>
    <row r="9689" spans="1:5" ht="51">
      <c r="A9689" s="449">
        <v>3738</v>
      </c>
      <c r="B9689" s="450" t="s">
        <v>10511</v>
      </c>
      <c r="C9689" s="449" t="s">
        <v>684</v>
      </c>
      <c r="D9689" s="451">
        <v>96.07</v>
      </c>
      <c r="E9689" s="210"/>
    </row>
    <row r="9690" spans="1:5" ht="51">
      <c r="A9690" s="449">
        <v>3747</v>
      </c>
      <c r="B9690" s="450" t="s">
        <v>10512</v>
      </c>
      <c r="C9690" s="449" t="s">
        <v>684</v>
      </c>
      <c r="D9690" s="451">
        <v>75.569999999999993</v>
      </c>
      <c r="E9690" s="210"/>
    </row>
    <row r="9691" spans="1:5" ht="38.25">
      <c r="A9691" s="449">
        <v>11649</v>
      </c>
      <c r="B9691" s="450" t="s">
        <v>10513</v>
      </c>
      <c r="C9691" s="449" t="s">
        <v>679</v>
      </c>
      <c r="D9691" s="451">
        <v>548.27</v>
      </c>
      <c r="E9691" s="210"/>
    </row>
    <row r="9692" spans="1:5" ht="38.25">
      <c r="A9692" s="449">
        <v>11650</v>
      </c>
      <c r="B9692" s="450" t="s">
        <v>10514</v>
      </c>
      <c r="C9692" s="449" t="s">
        <v>679</v>
      </c>
      <c r="D9692" s="451">
        <v>934.49</v>
      </c>
      <c r="E9692" s="210"/>
    </row>
    <row r="9693" spans="1:5" ht="51">
      <c r="A9693" s="449">
        <v>3742</v>
      </c>
      <c r="B9693" s="450" t="s">
        <v>10515</v>
      </c>
      <c r="C9693" s="449" t="s">
        <v>684</v>
      </c>
      <c r="D9693" s="451">
        <v>99.66</v>
      </c>
      <c r="E9693" s="210"/>
    </row>
    <row r="9694" spans="1:5" ht="51">
      <c r="A9694" s="449">
        <v>3746</v>
      </c>
      <c r="B9694" s="450" t="s">
        <v>10516</v>
      </c>
      <c r="C9694" s="449" t="s">
        <v>684</v>
      </c>
      <c r="D9694" s="451">
        <v>116.36</v>
      </c>
      <c r="E9694" s="210"/>
    </row>
    <row r="9695" spans="1:5" ht="51">
      <c r="A9695" s="449">
        <v>21106</v>
      </c>
      <c r="B9695" s="450" t="s">
        <v>10517</v>
      </c>
      <c r="C9695" s="449" t="s">
        <v>676</v>
      </c>
      <c r="D9695" s="451">
        <v>41.36</v>
      </c>
      <c r="E9695" s="210"/>
    </row>
    <row r="9696" spans="1:5">
      <c r="A9696" s="449">
        <v>3755</v>
      </c>
      <c r="B9696" s="450" t="s">
        <v>10518</v>
      </c>
      <c r="C9696" s="449" t="s">
        <v>679</v>
      </c>
      <c r="D9696" s="451">
        <v>16.64</v>
      </c>
      <c r="E9696" s="210"/>
    </row>
    <row r="9697" spans="1:5">
      <c r="A9697" s="449">
        <v>3750</v>
      </c>
      <c r="B9697" s="450" t="s">
        <v>10519</v>
      </c>
      <c r="C9697" s="449" t="s">
        <v>679</v>
      </c>
      <c r="D9697" s="451">
        <v>22.37</v>
      </c>
      <c r="E9697" s="210"/>
    </row>
    <row r="9698" spans="1:5">
      <c r="A9698" s="449">
        <v>3756</v>
      </c>
      <c r="B9698" s="450" t="s">
        <v>10520</v>
      </c>
      <c r="C9698" s="449" t="s">
        <v>679</v>
      </c>
      <c r="D9698" s="451">
        <v>41.81</v>
      </c>
      <c r="E9698" s="210"/>
    </row>
    <row r="9699" spans="1:5" ht="25.5">
      <c r="A9699" s="449">
        <v>39377</v>
      </c>
      <c r="B9699" s="450" t="s">
        <v>10521</v>
      </c>
      <c r="C9699" s="449" t="s">
        <v>679</v>
      </c>
      <c r="D9699" s="451">
        <v>123.85</v>
      </c>
      <c r="E9699" s="210"/>
    </row>
    <row r="9700" spans="1:5" ht="25.5">
      <c r="A9700" s="449">
        <v>38191</v>
      </c>
      <c r="B9700" s="450" t="s">
        <v>10522</v>
      </c>
      <c r="C9700" s="449" t="s">
        <v>679</v>
      </c>
      <c r="D9700" s="451">
        <v>9.2200000000000006</v>
      </c>
      <c r="E9700" s="210"/>
    </row>
    <row r="9701" spans="1:5" ht="25.5">
      <c r="A9701" s="449">
        <v>39381</v>
      </c>
      <c r="B9701" s="450" t="s">
        <v>10523</v>
      </c>
      <c r="C9701" s="449" t="s">
        <v>679</v>
      </c>
      <c r="D9701" s="451">
        <v>8.6</v>
      </c>
      <c r="E9701" s="210"/>
    </row>
    <row r="9702" spans="1:5" ht="25.5">
      <c r="A9702" s="449">
        <v>38780</v>
      </c>
      <c r="B9702" s="450" t="s">
        <v>10524</v>
      </c>
      <c r="C9702" s="449" t="s">
        <v>679</v>
      </c>
      <c r="D9702" s="451">
        <v>10.52</v>
      </c>
      <c r="E9702" s="210"/>
    </row>
    <row r="9703" spans="1:5" ht="25.5">
      <c r="A9703" s="449">
        <v>38781</v>
      </c>
      <c r="B9703" s="450" t="s">
        <v>10525</v>
      </c>
      <c r="C9703" s="449" t="s">
        <v>679</v>
      </c>
      <c r="D9703" s="451">
        <v>35.520000000000003</v>
      </c>
      <c r="E9703" s="210"/>
    </row>
    <row r="9704" spans="1:5" ht="25.5">
      <c r="A9704" s="449">
        <v>38192</v>
      </c>
      <c r="B9704" s="450" t="s">
        <v>10526</v>
      </c>
      <c r="C9704" s="449" t="s">
        <v>679</v>
      </c>
      <c r="D9704" s="451">
        <v>64.27</v>
      </c>
      <c r="E9704" s="210"/>
    </row>
    <row r="9705" spans="1:5" ht="25.5">
      <c r="A9705" s="449">
        <v>3753</v>
      </c>
      <c r="B9705" s="450" t="s">
        <v>10527</v>
      </c>
      <c r="C9705" s="449" t="s">
        <v>679</v>
      </c>
      <c r="D9705" s="451">
        <v>5.62</v>
      </c>
      <c r="E9705" s="210"/>
    </row>
    <row r="9706" spans="1:5" ht="25.5">
      <c r="A9706" s="449">
        <v>38782</v>
      </c>
      <c r="B9706" s="450" t="s">
        <v>10528</v>
      </c>
      <c r="C9706" s="449" t="s">
        <v>679</v>
      </c>
      <c r="D9706" s="451">
        <v>7.32</v>
      </c>
      <c r="E9706" s="210"/>
    </row>
    <row r="9707" spans="1:5" ht="25.5">
      <c r="A9707" s="449">
        <v>38778</v>
      </c>
      <c r="B9707" s="450" t="s">
        <v>10529</v>
      </c>
      <c r="C9707" s="449" t="s">
        <v>679</v>
      </c>
      <c r="D9707" s="451">
        <v>5.5</v>
      </c>
      <c r="E9707" s="210"/>
    </row>
    <row r="9708" spans="1:5" ht="25.5">
      <c r="A9708" s="449">
        <v>38779</v>
      </c>
      <c r="B9708" s="450" t="s">
        <v>10530</v>
      </c>
      <c r="C9708" s="449" t="s">
        <v>679</v>
      </c>
      <c r="D9708" s="451">
        <v>5.83</v>
      </c>
      <c r="E9708" s="210"/>
    </row>
    <row r="9709" spans="1:5" ht="25.5">
      <c r="A9709" s="449">
        <v>39388</v>
      </c>
      <c r="B9709" s="450" t="s">
        <v>10531</v>
      </c>
      <c r="C9709" s="449" t="s">
        <v>679</v>
      </c>
      <c r="D9709" s="451">
        <v>8.59</v>
      </c>
      <c r="E9709" s="210"/>
    </row>
    <row r="9710" spans="1:5" ht="25.5">
      <c r="A9710" s="449">
        <v>39387</v>
      </c>
      <c r="B9710" s="450" t="s">
        <v>10532</v>
      </c>
      <c r="C9710" s="449" t="s">
        <v>679</v>
      </c>
      <c r="D9710" s="451">
        <v>13.4</v>
      </c>
      <c r="E9710" s="210"/>
    </row>
    <row r="9711" spans="1:5" ht="25.5">
      <c r="A9711" s="449">
        <v>39386</v>
      </c>
      <c r="B9711" s="450" t="s">
        <v>10533</v>
      </c>
      <c r="C9711" s="449" t="s">
        <v>679</v>
      </c>
      <c r="D9711" s="451">
        <v>9.34</v>
      </c>
      <c r="E9711" s="210"/>
    </row>
    <row r="9712" spans="1:5" ht="25.5">
      <c r="A9712" s="449">
        <v>38194</v>
      </c>
      <c r="B9712" s="450" t="s">
        <v>10534</v>
      </c>
      <c r="C9712" s="449" t="s">
        <v>679</v>
      </c>
      <c r="D9712" s="451">
        <v>6.99</v>
      </c>
      <c r="E9712" s="210"/>
    </row>
    <row r="9713" spans="1:5" ht="25.5">
      <c r="A9713" s="449">
        <v>38193</v>
      </c>
      <c r="B9713" s="450" t="s">
        <v>10535</v>
      </c>
      <c r="C9713" s="449" t="s">
        <v>679</v>
      </c>
      <c r="D9713" s="451">
        <v>6.07</v>
      </c>
      <c r="E9713" s="210"/>
    </row>
    <row r="9714" spans="1:5" ht="25.5">
      <c r="A9714" s="449">
        <v>12216</v>
      </c>
      <c r="B9714" s="450" t="s">
        <v>10536</v>
      </c>
      <c r="C9714" s="449" t="s">
        <v>679</v>
      </c>
      <c r="D9714" s="451">
        <v>32.14</v>
      </c>
      <c r="E9714" s="210"/>
    </row>
    <row r="9715" spans="1:5" ht="25.5">
      <c r="A9715" s="449">
        <v>3757</v>
      </c>
      <c r="B9715" s="450" t="s">
        <v>10537</v>
      </c>
      <c r="C9715" s="449" t="s">
        <v>679</v>
      </c>
      <c r="D9715" s="451">
        <v>37.17</v>
      </c>
      <c r="E9715" s="210"/>
    </row>
    <row r="9716" spans="1:5" ht="25.5">
      <c r="A9716" s="449">
        <v>3758</v>
      </c>
      <c r="B9716" s="450" t="s">
        <v>10538</v>
      </c>
      <c r="C9716" s="449" t="s">
        <v>679</v>
      </c>
      <c r="D9716" s="451">
        <v>43.34</v>
      </c>
      <c r="E9716" s="210"/>
    </row>
    <row r="9717" spans="1:5">
      <c r="A9717" s="449">
        <v>12214</v>
      </c>
      <c r="B9717" s="450" t="s">
        <v>10539</v>
      </c>
      <c r="C9717" s="449" t="s">
        <v>679</v>
      </c>
      <c r="D9717" s="451">
        <v>14.84</v>
      </c>
      <c r="E9717" s="210"/>
    </row>
    <row r="9718" spans="1:5">
      <c r="A9718" s="449">
        <v>3749</v>
      </c>
      <c r="B9718" s="450" t="s">
        <v>10540</v>
      </c>
      <c r="C9718" s="449" t="s">
        <v>679</v>
      </c>
      <c r="D9718" s="451">
        <v>26.45</v>
      </c>
      <c r="E9718" s="210"/>
    </row>
    <row r="9719" spans="1:5">
      <c r="A9719" s="449">
        <v>3751</v>
      </c>
      <c r="B9719" s="450" t="s">
        <v>10541</v>
      </c>
      <c r="C9719" s="449" t="s">
        <v>679</v>
      </c>
      <c r="D9719" s="451">
        <v>36.090000000000003</v>
      </c>
      <c r="E9719" s="210"/>
    </row>
    <row r="9720" spans="1:5" ht="25.5">
      <c r="A9720" s="449">
        <v>39376</v>
      </c>
      <c r="B9720" s="450" t="s">
        <v>10542</v>
      </c>
      <c r="C9720" s="449" t="s">
        <v>679</v>
      </c>
      <c r="D9720" s="451">
        <v>30.43</v>
      </c>
      <c r="E9720" s="210"/>
    </row>
    <row r="9721" spans="1:5" ht="25.5">
      <c r="A9721" s="449">
        <v>3752</v>
      </c>
      <c r="B9721" s="450" t="s">
        <v>10543</v>
      </c>
      <c r="C9721" s="449" t="s">
        <v>679</v>
      </c>
      <c r="D9721" s="451">
        <v>59.54</v>
      </c>
      <c r="E9721" s="210"/>
    </row>
    <row r="9722" spans="1:5" ht="63.75">
      <c r="A9722" s="449">
        <v>746</v>
      </c>
      <c r="B9722" s="450" t="s">
        <v>10544</v>
      </c>
      <c r="C9722" s="449" t="s">
        <v>679</v>
      </c>
      <c r="D9722" s="451">
        <v>2730.9</v>
      </c>
      <c r="E9722" s="210"/>
    </row>
    <row r="9723" spans="1:5" ht="38.25">
      <c r="A9723" s="449">
        <v>20269</v>
      </c>
      <c r="B9723" s="450" t="s">
        <v>10545</v>
      </c>
      <c r="C9723" s="449" t="s">
        <v>679</v>
      </c>
      <c r="D9723" s="451">
        <v>77.83</v>
      </c>
      <c r="E9723" s="210"/>
    </row>
    <row r="9724" spans="1:5" ht="38.25">
      <c r="A9724" s="449">
        <v>20270</v>
      </c>
      <c r="B9724" s="450" t="s">
        <v>10546</v>
      </c>
      <c r="C9724" s="449" t="s">
        <v>679</v>
      </c>
      <c r="D9724" s="451">
        <v>86.01</v>
      </c>
      <c r="E9724" s="210"/>
    </row>
    <row r="9725" spans="1:5" ht="38.25">
      <c r="A9725" s="449">
        <v>11696</v>
      </c>
      <c r="B9725" s="450" t="s">
        <v>10547</v>
      </c>
      <c r="C9725" s="449" t="s">
        <v>679</v>
      </c>
      <c r="D9725" s="451">
        <v>137.68</v>
      </c>
      <c r="E9725" s="210"/>
    </row>
    <row r="9726" spans="1:5" ht="38.25">
      <c r="A9726" s="449">
        <v>10427</v>
      </c>
      <c r="B9726" s="450" t="s">
        <v>10548</v>
      </c>
      <c r="C9726" s="449" t="s">
        <v>679</v>
      </c>
      <c r="D9726" s="451">
        <v>385.28</v>
      </c>
      <c r="E9726" s="210"/>
    </row>
    <row r="9727" spans="1:5" ht="38.25">
      <c r="A9727" s="449">
        <v>10428</v>
      </c>
      <c r="B9727" s="450" t="s">
        <v>10549</v>
      </c>
      <c r="C9727" s="449" t="s">
        <v>679</v>
      </c>
      <c r="D9727" s="451">
        <v>396.96</v>
      </c>
      <c r="E9727" s="210"/>
    </row>
    <row r="9728" spans="1:5" ht="38.25">
      <c r="A9728" s="449">
        <v>36521</v>
      </c>
      <c r="B9728" s="450" t="s">
        <v>10550</v>
      </c>
      <c r="C9728" s="449" t="s">
        <v>679</v>
      </c>
      <c r="D9728" s="451">
        <v>123.86</v>
      </c>
      <c r="E9728" s="210"/>
    </row>
    <row r="9729" spans="1:5" ht="25.5">
      <c r="A9729" s="449">
        <v>36794</v>
      </c>
      <c r="B9729" s="450" t="s">
        <v>10551</v>
      </c>
      <c r="C9729" s="449" t="s">
        <v>679</v>
      </c>
      <c r="D9729" s="451">
        <v>131.85</v>
      </c>
      <c r="E9729" s="210"/>
    </row>
    <row r="9730" spans="1:5" ht="25.5">
      <c r="A9730" s="449">
        <v>10426</v>
      </c>
      <c r="B9730" s="450" t="s">
        <v>10552</v>
      </c>
      <c r="C9730" s="449" t="s">
        <v>679</v>
      </c>
      <c r="D9730" s="451">
        <v>147.65</v>
      </c>
      <c r="E9730" s="210"/>
    </row>
    <row r="9731" spans="1:5" ht="25.5">
      <c r="A9731" s="449">
        <v>10425</v>
      </c>
      <c r="B9731" s="450" t="s">
        <v>10553</v>
      </c>
      <c r="C9731" s="449" t="s">
        <v>679</v>
      </c>
      <c r="D9731" s="451">
        <v>74.900000000000006</v>
      </c>
      <c r="E9731" s="210"/>
    </row>
    <row r="9732" spans="1:5" ht="25.5">
      <c r="A9732" s="449">
        <v>10431</v>
      </c>
      <c r="B9732" s="450" t="s">
        <v>10554</v>
      </c>
      <c r="C9732" s="449" t="s">
        <v>679</v>
      </c>
      <c r="D9732" s="451">
        <v>256.45</v>
      </c>
      <c r="E9732" s="210"/>
    </row>
    <row r="9733" spans="1:5" ht="25.5">
      <c r="A9733" s="449">
        <v>10429</v>
      </c>
      <c r="B9733" s="450" t="s">
        <v>10555</v>
      </c>
      <c r="C9733" s="449" t="s">
        <v>679</v>
      </c>
      <c r="D9733" s="451">
        <v>126.51</v>
      </c>
      <c r="E9733" s="210"/>
    </row>
    <row r="9734" spans="1:5" ht="25.5">
      <c r="A9734" s="449">
        <v>2354</v>
      </c>
      <c r="B9734" s="450" t="s">
        <v>10556</v>
      </c>
      <c r="C9734" s="449" t="s">
        <v>682</v>
      </c>
      <c r="D9734" s="451">
        <v>9.0399999999999991</v>
      </c>
      <c r="E9734" s="210"/>
    </row>
    <row r="9735" spans="1:5" ht="25.5">
      <c r="A9735" s="449">
        <v>40932</v>
      </c>
      <c r="B9735" s="450" t="s">
        <v>10557</v>
      </c>
      <c r="C9735" s="449" t="s">
        <v>797</v>
      </c>
      <c r="D9735" s="451">
        <v>1603.89</v>
      </c>
      <c r="E9735" s="210"/>
    </row>
    <row r="9736" spans="1:5" ht="25.5">
      <c r="A9736" s="449">
        <v>10853</v>
      </c>
      <c r="B9736" s="450" t="s">
        <v>10558</v>
      </c>
      <c r="C9736" s="449" t="s">
        <v>679</v>
      </c>
      <c r="D9736" s="451">
        <v>96.65</v>
      </c>
      <c r="E9736" s="210"/>
    </row>
    <row r="9737" spans="1:5" ht="25.5">
      <c r="A9737" s="449">
        <v>5093</v>
      </c>
      <c r="B9737" s="450" t="s">
        <v>10559</v>
      </c>
      <c r="C9737" s="449" t="s">
        <v>690</v>
      </c>
      <c r="D9737" s="451">
        <v>18.649999999999999</v>
      </c>
      <c r="E9737" s="210"/>
    </row>
    <row r="9738" spans="1:5" ht="51">
      <c r="A9738" s="449">
        <v>37768</v>
      </c>
      <c r="B9738" s="450" t="s">
        <v>10560</v>
      </c>
      <c r="C9738" s="449" t="s">
        <v>679</v>
      </c>
      <c r="D9738" s="451">
        <v>130000</v>
      </c>
      <c r="E9738" s="210"/>
    </row>
    <row r="9739" spans="1:5" ht="38.25">
      <c r="A9739" s="449">
        <v>37773</v>
      </c>
      <c r="B9739" s="450" t="s">
        <v>10561</v>
      </c>
      <c r="C9739" s="449" t="s">
        <v>679</v>
      </c>
      <c r="D9739" s="451">
        <v>110391.91</v>
      </c>
      <c r="E9739" s="210"/>
    </row>
    <row r="9740" spans="1:5" ht="38.25">
      <c r="A9740" s="449">
        <v>37769</v>
      </c>
      <c r="B9740" s="450" t="s">
        <v>10562</v>
      </c>
      <c r="C9740" s="449" t="s">
        <v>679</v>
      </c>
      <c r="D9740" s="451">
        <v>184809.97</v>
      </c>
      <c r="E9740" s="210"/>
    </row>
    <row r="9741" spans="1:5" ht="38.25">
      <c r="A9741" s="449">
        <v>37770</v>
      </c>
      <c r="B9741" s="450" t="s">
        <v>10563</v>
      </c>
      <c r="C9741" s="449" t="s">
        <v>679</v>
      </c>
      <c r="D9741" s="451">
        <v>313652.01</v>
      </c>
      <c r="E9741" s="210"/>
    </row>
    <row r="9742" spans="1:5">
      <c r="A9742" s="449">
        <v>38382</v>
      </c>
      <c r="B9742" s="450" t="s">
        <v>10564</v>
      </c>
      <c r="C9742" s="449" t="s">
        <v>679</v>
      </c>
      <c r="D9742" s="451">
        <v>11.77</v>
      </c>
      <c r="E9742" s="210"/>
    </row>
    <row r="9743" spans="1:5">
      <c r="A9743" s="449">
        <v>38383</v>
      </c>
      <c r="B9743" s="450" t="s">
        <v>10565</v>
      </c>
      <c r="C9743" s="449" t="s">
        <v>679</v>
      </c>
      <c r="D9743" s="451">
        <v>2.2000000000000002</v>
      </c>
      <c r="E9743" s="210"/>
    </row>
    <row r="9744" spans="1:5">
      <c r="A9744" s="449">
        <v>3768</v>
      </c>
      <c r="B9744" s="450" t="s">
        <v>10566</v>
      </c>
      <c r="C9744" s="449" t="s">
        <v>679</v>
      </c>
      <c r="D9744" s="451">
        <v>2.93</v>
      </c>
      <c r="E9744" s="210"/>
    </row>
    <row r="9745" spans="1:5" ht="25.5">
      <c r="A9745" s="449">
        <v>3767</v>
      </c>
      <c r="B9745" s="450" t="s">
        <v>10567</v>
      </c>
      <c r="C9745" s="449" t="s">
        <v>679</v>
      </c>
      <c r="D9745" s="451">
        <v>0.7</v>
      </c>
      <c r="E9745" s="210"/>
    </row>
    <row r="9746" spans="1:5" ht="25.5">
      <c r="A9746" s="449">
        <v>13192</v>
      </c>
      <c r="B9746" s="450" t="s">
        <v>10568</v>
      </c>
      <c r="C9746" s="449" t="s">
        <v>679</v>
      </c>
      <c r="D9746" s="451">
        <v>6364.16</v>
      </c>
      <c r="E9746" s="210"/>
    </row>
    <row r="9747" spans="1:5" ht="38.25">
      <c r="A9747" s="449">
        <v>38413</v>
      </c>
      <c r="B9747" s="450" t="s">
        <v>10569</v>
      </c>
      <c r="C9747" s="449" t="s">
        <v>679</v>
      </c>
      <c r="D9747" s="451">
        <v>1052.54</v>
      </c>
      <c r="E9747" s="210"/>
    </row>
    <row r="9748" spans="1:5" ht="76.5">
      <c r="A9748" s="449">
        <v>42440</v>
      </c>
      <c r="B9748" s="450" t="s">
        <v>10570</v>
      </c>
      <c r="C9748" s="449" t="s">
        <v>679</v>
      </c>
      <c r="D9748" s="451">
        <v>946.93</v>
      </c>
      <c r="E9748" s="210"/>
    </row>
    <row r="9749" spans="1:5" ht="51">
      <c r="A9749" s="449">
        <v>20193</v>
      </c>
      <c r="B9749" s="450" t="s">
        <v>10571</v>
      </c>
      <c r="C9749" s="449" t="s">
        <v>3512</v>
      </c>
      <c r="D9749" s="451">
        <v>5.24</v>
      </c>
      <c r="E9749" s="210"/>
    </row>
    <row r="9750" spans="1:5" ht="51">
      <c r="A9750" s="449">
        <v>10527</v>
      </c>
      <c r="B9750" s="450" t="s">
        <v>10572</v>
      </c>
      <c r="C9750" s="449" t="s">
        <v>3513</v>
      </c>
      <c r="D9750" s="451">
        <v>15.75</v>
      </c>
      <c r="E9750" s="210"/>
    </row>
    <row r="9751" spans="1:5" ht="51">
      <c r="A9751" s="449">
        <v>41805</v>
      </c>
      <c r="B9751" s="450" t="s">
        <v>10573</v>
      </c>
      <c r="C9751" s="449" t="s">
        <v>797</v>
      </c>
      <c r="D9751" s="451">
        <v>450</v>
      </c>
      <c r="E9751" s="210"/>
    </row>
    <row r="9752" spans="1:5" ht="38.25">
      <c r="A9752" s="449">
        <v>40271</v>
      </c>
      <c r="B9752" s="450" t="s">
        <v>10574</v>
      </c>
      <c r="C9752" s="449" t="s">
        <v>797</v>
      </c>
      <c r="D9752" s="451">
        <v>10.23</v>
      </c>
      <c r="E9752" s="210"/>
    </row>
    <row r="9753" spans="1:5" ht="38.25">
      <c r="A9753" s="449">
        <v>40287</v>
      </c>
      <c r="B9753" s="450" t="s">
        <v>10575</v>
      </c>
      <c r="C9753" s="449" t="s">
        <v>797</v>
      </c>
      <c r="D9753" s="451">
        <v>3.93</v>
      </c>
      <c r="E9753" s="210"/>
    </row>
    <row r="9754" spans="1:5" ht="25.5">
      <c r="A9754" s="449">
        <v>40295</v>
      </c>
      <c r="B9754" s="450" t="s">
        <v>10576</v>
      </c>
      <c r="C9754" s="449" t="s">
        <v>682</v>
      </c>
      <c r="D9754" s="451">
        <v>3.47</v>
      </c>
      <c r="E9754" s="210"/>
    </row>
    <row r="9755" spans="1:5" ht="25.5">
      <c r="A9755" s="449">
        <v>745</v>
      </c>
      <c r="B9755" s="450" t="s">
        <v>10577</v>
      </c>
      <c r="C9755" s="449" t="s">
        <v>682</v>
      </c>
      <c r="D9755" s="451">
        <v>3.67</v>
      </c>
      <c r="E9755" s="210"/>
    </row>
    <row r="9756" spans="1:5" ht="76.5">
      <c r="A9756" s="449">
        <v>4084</v>
      </c>
      <c r="B9756" s="450" t="s">
        <v>10578</v>
      </c>
      <c r="C9756" s="449" t="s">
        <v>682</v>
      </c>
      <c r="D9756" s="451">
        <v>2.2400000000000002</v>
      </c>
      <c r="E9756" s="210"/>
    </row>
    <row r="9757" spans="1:5" ht="76.5">
      <c r="A9757" s="449">
        <v>743</v>
      </c>
      <c r="B9757" s="450" t="s">
        <v>10579</v>
      </c>
      <c r="C9757" s="449" t="s">
        <v>682</v>
      </c>
      <c r="D9757" s="451">
        <v>2.2400000000000002</v>
      </c>
      <c r="E9757" s="210"/>
    </row>
    <row r="9758" spans="1:5" ht="76.5">
      <c r="A9758" s="449">
        <v>40293</v>
      </c>
      <c r="B9758" s="450" t="s">
        <v>10580</v>
      </c>
      <c r="C9758" s="449" t="s">
        <v>682</v>
      </c>
      <c r="D9758" s="451">
        <v>2.68</v>
      </c>
      <c r="E9758" s="210"/>
    </row>
    <row r="9759" spans="1:5" ht="76.5">
      <c r="A9759" s="449">
        <v>40294</v>
      </c>
      <c r="B9759" s="450" t="s">
        <v>10581</v>
      </c>
      <c r="C9759" s="449" t="s">
        <v>682</v>
      </c>
      <c r="D9759" s="451">
        <v>2.2400000000000002</v>
      </c>
      <c r="E9759" s="210"/>
    </row>
    <row r="9760" spans="1:5" ht="76.5">
      <c r="A9760" s="449">
        <v>4085</v>
      </c>
      <c r="B9760" s="450" t="s">
        <v>10582</v>
      </c>
      <c r="C9760" s="449" t="s">
        <v>682</v>
      </c>
      <c r="D9760" s="451">
        <v>3.13</v>
      </c>
      <c r="E9760" s="210"/>
    </row>
    <row r="9761" spans="1:5" ht="38.25">
      <c r="A9761" s="449">
        <v>10775</v>
      </c>
      <c r="B9761" s="450" t="s">
        <v>10583</v>
      </c>
      <c r="C9761" s="449" t="s">
        <v>797</v>
      </c>
      <c r="D9761" s="451">
        <v>585</v>
      </c>
      <c r="E9761" s="210"/>
    </row>
    <row r="9762" spans="1:5" ht="38.25">
      <c r="A9762" s="449">
        <v>10776</v>
      </c>
      <c r="B9762" s="450" t="s">
        <v>10584</v>
      </c>
      <c r="C9762" s="449" t="s">
        <v>797</v>
      </c>
      <c r="D9762" s="451">
        <v>457.03</v>
      </c>
      <c r="E9762" s="210"/>
    </row>
    <row r="9763" spans="1:5" ht="38.25">
      <c r="A9763" s="449">
        <v>10779</v>
      </c>
      <c r="B9763" s="450" t="s">
        <v>10585</v>
      </c>
      <c r="C9763" s="449" t="s">
        <v>797</v>
      </c>
      <c r="D9763" s="451">
        <v>731.25</v>
      </c>
      <c r="E9763" s="210"/>
    </row>
    <row r="9764" spans="1:5" ht="38.25">
      <c r="A9764" s="449">
        <v>10777</v>
      </c>
      <c r="B9764" s="450" t="s">
        <v>10586</v>
      </c>
      <c r="C9764" s="449" t="s">
        <v>797</v>
      </c>
      <c r="D9764" s="451">
        <v>664.21</v>
      </c>
      <c r="E9764" s="210"/>
    </row>
    <row r="9765" spans="1:5" ht="38.25">
      <c r="A9765" s="449">
        <v>10778</v>
      </c>
      <c r="B9765" s="450" t="s">
        <v>10587</v>
      </c>
      <c r="C9765" s="449" t="s">
        <v>797</v>
      </c>
      <c r="D9765" s="451">
        <v>731.25</v>
      </c>
      <c r="E9765" s="210"/>
    </row>
    <row r="9766" spans="1:5">
      <c r="A9766" s="449">
        <v>40339</v>
      </c>
      <c r="B9766" s="450" t="s">
        <v>10588</v>
      </c>
      <c r="C9766" s="449" t="s">
        <v>797</v>
      </c>
      <c r="D9766" s="451">
        <v>3.93</v>
      </c>
      <c r="E9766" s="210"/>
    </row>
    <row r="9767" spans="1:5" ht="51">
      <c r="A9767" s="449">
        <v>10749</v>
      </c>
      <c r="B9767" s="450" t="s">
        <v>10589</v>
      </c>
      <c r="C9767" s="449" t="s">
        <v>797</v>
      </c>
      <c r="D9767" s="451">
        <v>7.21</v>
      </c>
      <c r="E9767" s="210"/>
    </row>
    <row r="9768" spans="1:5" ht="25.5">
      <c r="A9768" s="449">
        <v>40290</v>
      </c>
      <c r="B9768" s="450" t="s">
        <v>10590</v>
      </c>
      <c r="C9768" s="449" t="s">
        <v>797</v>
      </c>
      <c r="D9768" s="451">
        <v>10.39</v>
      </c>
      <c r="E9768" s="210"/>
    </row>
    <row r="9769" spans="1:5" ht="38.25">
      <c r="A9769" s="449">
        <v>3346</v>
      </c>
      <c r="B9769" s="450" t="s">
        <v>10591</v>
      </c>
      <c r="C9769" s="449" t="s">
        <v>682</v>
      </c>
      <c r="D9769" s="451">
        <v>14.17</v>
      </c>
      <c r="E9769" s="210"/>
    </row>
    <row r="9770" spans="1:5" ht="38.25">
      <c r="A9770" s="449">
        <v>3348</v>
      </c>
      <c r="B9770" s="450" t="s">
        <v>10592</v>
      </c>
      <c r="C9770" s="449" t="s">
        <v>682</v>
      </c>
      <c r="D9770" s="451">
        <v>16.95</v>
      </c>
      <c r="E9770" s="210"/>
    </row>
    <row r="9771" spans="1:5" ht="25.5">
      <c r="A9771" s="449">
        <v>39833</v>
      </c>
      <c r="B9771" s="450" t="s">
        <v>10593</v>
      </c>
      <c r="C9771" s="449" t="s">
        <v>682</v>
      </c>
      <c r="D9771" s="451">
        <v>23.22</v>
      </c>
      <c r="E9771" s="210"/>
    </row>
    <row r="9772" spans="1:5" ht="25.5">
      <c r="A9772" s="449">
        <v>7252</v>
      </c>
      <c r="B9772" s="450" t="s">
        <v>10594</v>
      </c>
      <c r="C9772" s="449" t="s">
        <v>682</v>
      </c>
      <c r="D9772" s="451">
        <v>2.25</v>
      </c>
      <c r="E9772" s="210"/>
    </row>
    <row r="9773" spans="1:5" ht="25.5">
      <c r="A9773" s="449">
        <v>4778</v>
      </c>
      <c r="B9773" s="450" t="s">
        <v>10595</v>
      </c>
      <c r="C9773" s="449" t="s">
        <v>682</v>
      </c>
      <c r="D9773" s="451">
        <v>2.93</v>
      </c>
      <c r="E9773" s="210"/>
    </row>
    <row r="9774" spans="1:5" ht="25.5">
      <c r="A9774" s="449">
        <v>4780</v>
      </c>
      <c r="B9774" s="450" t="s">
        <v>10596</v>
      </c>
      <c r="C9774" s="449" t="s">
        <v>682</v>
      </c>
      <c r="D9774" s="451">
        <v>3.17</v>
      </c>
      <c r="E9774" s="210"/>
    </row>
    <row r="9775" spans="1:5" ht="25.5">
      <c r="A9775" s="449">
        <v>10809</v>
      </c>
      <c r="B9775" s="450" t="s">
        <v>10597</v>
      </c>
      <c r="C9775" s="449" t="s">
        <v>682</v>
      </c>
      <c r="D9775" s="451">
        <v>1.24</v>
      </c>
      <c r="E9775" s="210"/>
    </row>
    <row r="9776" spans="1:5" ht="25.5">
      <c r="A9776" s="449">
        <v>10811</v>
      </c>
      <c r="B9776" s="450" t="s">
        <v>10598</v>
      </c>
      <c r="C9776" s="449" t="s">
        <v>682</v>
      </c>
      <c r="D9776" s="451">
        <v>1.06</v>
      </c>
      <c r="E9776" s="210"/>
    </row>
    <row r="9777" spans="1:5" ht="38.25">
      <c r="A9777" s="449">
        <v>7247</v>
      </c>
      <c r="B9777" s="450" t="s">
        <v>10599</v>
      </c>
      <c r="C9777" s="449" t="s">
        <v>682</v>
      </c>
      <c r="D9777" s="451">
        <v>2.25</v>
      </c>
      <c r="E9777" s="210"/>
    </row>
    <row r="9778" spans="1:5" ht="51">
      <c r="A9778" s="449">
        <v>40291</v>
      </c>
      <c r="B9778" s="450" t="s">
        <v>10600</v>
      </c>
      <c r="C9778" s="449" t="s">
        <v>797</v>
      </c>
      <c r="D9778" s="451">
        <v>549.42999999999995</v>
      </c>
      <c r="E9778" s="210"/>
    </row>
    <row r="9779" spans="1:5" ht="51">
      <c r="A9779" s="449">
        <v>40275</v>
      </c>
      <c r="B9779" s="450" t="s">
        <v>10601</v>
      </c>
      <c r="C9779" s="449" t="s">
        <v>797</v>
      </c>
      <c r="D9779" s="451">
        <v>15.75</v>
      </c>
      <c r="E9779" s="210"/>
    </row>
    <row r="9780" spans="1:5" ht="25.5">
      <c r="A9780" s="449">
        <v>42408</v>
      </c>
      <c r="B9780" s="450" t="s">
        <v>10602</v>
      </c>
      <c r="C9780" s="449" t="s">
        <v>684</v>
      </c>
      <c r="D9780" s="451">
        <v>2.08</v>
      </c>
      <c r="E9780" s="210"/>
    </row>
    <row r="9781" spans="1:5">
      <c r="A9781" s="449">
        <v>3777</v>
      </c>
      <c r="B9781" s="450" t="s">
        <v>10603</v>
      </c>
      <c r="C9781" s="449" t="s">
        <v>684</v>
      </c>
      <c r="D9781" s="451">
        <v>1.5</v>
      </c>
      <c r="E9781" s="210"/>
    </row>
    <row r="9782" spans="1:5" ht="25.5">
      <c r="A9782" s="449">
        <v>3798</v>
      </c>
      <c r="B9782" s="450" t="s">
        <v>10604</v>
      </c>
      <c r="C9782" s="449" t="s">
        <v>679</v>
      </c>
      <c r="D9782" s="451">
        <v>79.680000000000007</v>
      </c>
      <c r="E9782" s="210"/>
    </row>
    <row r="9783" spans="1:5" ht="51">
      <c r="A9783" s="449">
        <v>38769</v>
      </c>
      <c r="B9783" s="450" t="s">
        <v>10605</v>
      </c>
      <c r="C9783" s="449" t="s">
        <v>679</v>
      </c>
      <c r="D9783" s="451">
        <v>62.22</v>
      </c>
      <c r="E9783" s="210"/>
    </row>
    <row r="9784" spans="1:5" ht="51">
      <c r="A9784" s="449">
        <v>39510</v>
      </c>
      <c r="B9784" s="450" t="s">
        <v>10606</v>
      </c>
      <c r="C9784" s="449" t="s">
        <v>679</v>
      </c>
      <c r="D9784" s="451">
        <v>251.82</v>
      </c>
      <c r="E9784" s="210"/>
    </row>
    <row r="9785" spans="1:5" ht="38.25">
      <c r="A9785" s="449">
        <v>38776</v>
      </c>
      <c r="B9785" s="450" t="s">
        <v>10607</v>
      </c>
      <c r="C9785" s="449" t="s">
        <v>679</v>
      </c>
      <c r="D9785" s="451">
        <v>267.26</v>
      </c>
      <c r="E9785" s="210"/>
    </row>
    <row r="9786" spans="1:5" ht="25.5">
      <c r="A9786" s="449">
        <v>38774</v>
      </c>
      <c r="B9786" s="450" t="s">
        <v>10608</v>
      </c>
      <c r="C9786" s="449" t="s">
        <v>679</v>
      </c>
      <c r="D9786" s="451">
        <v>17.559999999999999</v>
      </c>
      <c r="E9786" s="210"/>
    </row>
    <row r="9787" spans="1:5" ht="38.25">
      <c r="A9787" s="449">
        <v>42247</v>
      </c>
      <c r="B9787" s="450" t="s">
        <v>10609</v>
      </c>
      <c r="C9787" s="449" t="s">
        <v>679</v>
      </c>
      <c r="D9787" s="451">
        <v>599.38</v>
      </c>
      <c r="E9787" s="210"/>
    </row>
    <row r="9788" spans="1:5" ht="38.25">
      <c r="A9788" s="449">
        <v>42248</v>
      </c>
      <c r="B9788" s="450" t="s">
        <v>10610</v>
      </c>
      <c r="C9788" s="449" t="s">
        <v>679</v>
      </c>
      <c r="D9788" s="451">
        <v>696.23</v>
      </c>
      <c r="E9788" s="210"/>
    </row>
    <row r="9789" spans="1:5" ht="38.25">
      <c r="A9789" s="449">
        <v>42249</v>
      </c>
      <c r="B9789" s="450" t="s">
        <v>10611</v>
      </c>
      <c r="C9789" s="449" t="s">
        <v>679</v>
      </c>
      <c r="D9789" s="451">
        <v>1153.4000000000001</v>
      </c>
      <c r="E9789" s="210"/>
    </row>
    <row r="9790" spans="1:5" ht="38.25">
      <c r="A9790" s="449">
        <v>42244</v>
      </c>
      <c r="B9790" s="450" t="s">
        <v>10612</v>
      </c>
      <c r="C9790" s="449" t="s">
        <v>679</v>
      </c>
      <c r="D9790" s="451">
        <v>180.13</v>
      </c>
      <c r="E9790" s="210"/>
    </row>
    <row r="9791" spans="1:5" ht="38.25">
      <c r="A9791" s="449">
        <v>42245</v>
      </c>
      <c r="B9791" s="450" t="s">
        <v>10613</v>
      </c>
      <c r="C9791" s="449" t="s">
        <v>679</v>
      </c>
      <c r="D9791" s="451">
        <v>332.39</v>
      </c>
      <c r="E9791" s="210"/>
    </row>
    <row r="9792" spans="1:5" ht="38.25">
      <c r="A9792" s="449">
        <v>42246</v>
      </c>
      <c r="B9792" s="450" t="s">
        <v>10614</v>
      </c>
      <c r="C9792" s="449" t="s">
        <v>679</v>
      </c>
      <c r="D9792" s="451">
        <v>367.94</v>
      </c>
      <c r="E9792" s="210"/>
    </row>
    <row r="9793" spans="1:5" ht="38.25">
      <c r="A9793" s="449">
        <v>42243</v>
      </c>
      <c r="B9793" s="450" t="s">
        <v>10615</v>
      </c>
      <c r="C9793" s="449" t="s">
        <v>679</v>
      </c>
      <c r="D9793" s="451">
        <v>443.67</v>
      </c>
      <c r="E9793" s="210"/>
    </row>
    <row r="9794" spans="1:5" ht="51">
      <c r="A9794" s="449">
        <v>38889</v>
      </c>
      <c r="B9794" s="450" t="s">
        <v>10616</v>
      </c>
      <c r="C9794" s="449" t="s">
        <v>679</v>
      </c>
      <c r="D9794" s="451">
        <v>47.69</v>
      </c>
      <c r="E9794" s="210"/>
    </row>
    <row r="9795" spans="1:5" ht="51">
      <c r="A9795" s="449">
        <v>38784</v>
      </c>
      <c r="B9795" s="450" t="s">
        <v>10617</v>
      </c>
      <c r="C9795" s="449" t="s">
        <v>679</v>
      </c>
      <c r="D9795" s="451">
        <v>63.8</v>
      </c>
      <c r="E9795" s="210"/>
    </row>
    <row r="9796" spans="1:5" ht="51">
      <c r="A9796" s="449">
        <v>3788</v>
      </c>
      <c r="B9796" s="450" t="s">
        <v>10618</v>
      </c>
      <c r="C9796" s="449" t="s">
        <v>679</v>
      </c>
      <c r="D9796" s="451">
        <v>66.489999999999995</v>
      </c>
      <c r="E9796" s="210"/>
    </row>
    <row r="9797" spans="1:5" ht="51">
      <c r="A9797" s="449">
        <v>12230</v>
      </c>
      <c r="B9797" s="450" t="s">
        <v>10619</v>
      </c>
      <c r="C9797" s="449" t="s">
        <v>679</v>
      </c>
      <c r="D9797" s="451">
        <v>17.100000000000001</v>
      </c>
      <c r="E9797" s="210"/>
    </row>
    <row r="9798" spans="1:5" ht="51">
      <c r="A9798" s="449">
        <v>3780</v>
      </c>
      <c r="B9798" s="450" t="s">
        <v>10620</v>
      </c>
      <c r="C9798" s="449" t="s">
        <v>679</v>
      </c>
      <c r="D9798" s="451">
        <v>98.1</v>
      </c>
      <c r="E9798" s="210"/>
    </row>
    <row r="9799" spans="1:5" ht="51">
      <c r="A9799" s="449">
        <v>12231</v>
      </c>
      <c r="B9799" s="450" t="s">
        <v>10621</v>
      </c>
      <c r="C9799" s="449" t="s">
        <v>679</v>
      </c>
      <c r="D9799" s="451">
        <v>28.44</v>
      </c>
      <c r="E9799" s="210"/>
    </row>
    <row r="9800" spans="1:5" ht="51">
      <c r="A9800" s="449">
        <v>3811</v>
      </c>
      <c r="B9800" s="450" t="s">
        <v>10622</v>
      </c>
      <c r="C9800" s="449" t="s">
        <v>679</v>
      </c>
      <c r="D9800" s="451">
        <v>92.14</v>
      </c>
      <c r="E9800" s="210"/>
    </row>
    <row r="9801" spans="1:5" ht="51">
      <c r="A9801" s="449">
        <v>12232</v>
      </c>
      <c r="B9801" s="450" t="s">
        <v>10623</v>
      </c>
      <c r="C9801" s="449" t="s">
        <v>679</v>
      </c>
      <c r="D9801" s="451">
        <v>29.79</v>
      </c>
      <c r="E9801" s="210"/>
    </row>
    <row r="9802" spans="1:5" ht="51">
      <c r="A9802" s="449">
        <v>3799</v>
      </c>
      <c r="B9802" s="450" t="s">
        <v>10624</v>
      </c>
      <c r="C9802" s="449" t="s">
        <v>679</v>
      </c>
      <c r="D9802" s="451">
        <v>130.32</v>
      </c>
      <c r="E9802" s="210"/>
    </row>
    <row r="9803" spans="1:5" ht="51">
      <c r="A9803" s="449">
        <v>12239</v>
      </c>
      <c r="B9803" s="450" t="s">
        <v>10625</v>
      </c>
      <c r="C9803" s="449" t="s">
        <v>679</v>
      </c>
      <c r="D9803" s="451">
        <v>39.01</v>
      </c>
      <c r="E9803" s="210"/>
    </row>
    <row r="9804" spans="1:5" ht="38.25">
      <c r="A9804" s="449">
        <v>38773</v>
      </c>
      <c r="B9804" s="450" t="s">
        <v>10626</v>
      </c>
      <c r="C9804" s="449" t="s">
        <v>679</v>
      </c>
      <c r="D9804" s="451">
        <v>6.25</v>
      </c>
      <c r="E9804" s="210"/>
    </row>
    <row r="9805" spans="1:5" ht="25.5">
      <c r="A9805" s="449">
        <v>12271</v>
      </c>
      <c r="B9805" s="450" t="s">
        <v>10627</v>
      </c>
      <c r="C9805" s="449" t="s">
        <v>679</v>
      </c>
      <c r="D9805" s="451">
        <v>348.92</v>
      </c>
      <c r="E9805" s="210"/>
    </row>
    <row r="9806" spans="1:5" ht="38.25">
      <c r="A9806" s="449">
        <v>38785</v>
      </c>
      <c r="B9806" s="450" t="s">
        <v>10628</v>
      </c>
      <c r="C9806" s="449" t="s">
        <v>679</v>
      </c>
      <c r="D9806" s="451">
        <v>165.19</v>
      </c>
      <c r="E9806" s="210"/>
    </row>
    <row r="9807" spans="1:5" ht="38.25">
      <c r="A9807" s="449">
        <v>38786</v>
      </c>
      <c r="B9807" s="450" t="s">
        <v>10629</v>
      </c>
      <c r="C9807" s="449" t="s">
        <v>679</v>
      </c>
      <c r="D9807" s="451">
        <v>203.48</v>
      </c>
      <c r="E9807" s="210"/>
    </row>
    <row r="9808" spans="1:5" ht="25.5">
      <c r="A9808" s="449">
        <v>39385</v>
      </c>
      <c r="B9808" s="450" t="s">
        <v>10630</v>
      </c>
      <c r="C9808" s="449" t="s">
        <v>679</v>
      </c>
      <c r="D9808" s="451">
        <v>16.059999999999999</v>
      </c>
      <c r="E9808" s="210"/>
    </row>
    <row r="9809" spans="1:5" ht="25.5">
      <c r="A9809" s="449">
        <v>39389</v>
      </c>
      <c r="B9809" s="450" t="s">
        <v>10631</v>
      </c>
      <c r="C9809" s="449" t="s">
        <v>679</v>
      </c>
      <c r="D9809" s="451">
        <v>17.420000000000002</v>
      </c>
      <c r="E9809" s="210"/>
    </row>
    <row r="9810" spans="1:5" ht="25.5">
      <c r="A9810" s="449">
        <v>39390</v>
      </c>
      <c r="B9810" s="450" t="s">
        <v>10632</v>
      </c>
      <c r="C9810" s="449" t="s">
        <v>679</v>
      </c>
      <c r="D9810" s="451">
        <v>36.53</v>
      </c>
      <c r="E9810" s="210"/>
    </row>
    <row r="9811" spans="1:5" ht="25.5">
      <c r="A9811" s="449">
        <v>39391</v>
      </c>
      <c r="B9811" s="450" t="s">
        <v>10633</v>
      </c>
      <c r="C9811" s="449" t="s">
        <v>679</v>
      </c>
      <c r="D9811" s="451">
        <v>41.01</v>
      </c>
      <c r="E9811" s="210"/>
    </row>
    <row r="9812" spans="1:5" ht="51">
      <c r="A9812" s="449">
        <v>3803</v>
      </c>
      <c r="B9812" s="450" t="s">
        <v>10634</v>
      </c>
      <c r="C9812" s="449" t="s">
        <v>679</v>
      </c>
      <c r="D9812" s="451">
        <v>59</v>
      </c>
      <c r="E9812" s="210"/>
    </row>
    <row r="9813" spans="1:5" ht="51">
      <c r="A9813" s="449">
        <v>38770</v>
      </c>
      <c r="B9813" s="450" t="s">
        <v>10635</v>
      </c>
      <c r="C9813" s="449" t="s">
        <v>679</v>
      </c>
      <c r="D9813" s="451">
        <v>68.319999999999993</v>
      </c>
      <c r="E9813" s="210"/>
    </row>
    <row r="9814" spans="1:5">
      <c r="A9814" s="449">
        <v>12267</v>
      </c>
      <c r="B9814" s="450" t="s">
        <v>10636</v>
      </c>
      <c r="C9814" s="449" t="s">
        <v>679</v>
      </c>
      <c r="D9814" s="451">
        <v>200.2</v>
      </c>
      <c r="E9814" s="210"/>
    </row>
    <row r="9815" spans="1:5" ht="102">
      <c r="A9815" s="449">
        <v>43265</v>
      </c>
      <c r="B9815" s="450" t="s">
        <v>10637</v>
      </c>
      <c r="C9815" s="449" t="s">
        <v>679</v>
      </c>
      <c r="D9815" s="451">
        <v>50.22</v>
      </c>
      <c r="E9815" s="210"/>
    </row>
    <row r="9816" spans="1:5" ht="51">
      <c r="A9816" s="449">
        <v>12266</v>
      </c>
      <c r="B9816" s="450" t="s">
        <v>10638</v>
      </c>
      <c r="C9816" s="449" t="s">
        <v>679</v>
      </c>
      <c r="D9816" s="451">
        <v>102.47</v>
      </c>
      <c r="E9816" s="210"/>
    </row>
    <row r="9817" spans="1:5" ht="51">
      <c r="A9817" s="449">
        <v>39378</v>
      </c>
      <c r="B9817" s="450" t="s">
        <v>10639</v>
      </c>
      <c r="C9817" s="449" t="s">
        <v>679</v>
      </c>
      <c r="D9817" s="451">
        <v>72.650000000000006</v>
      </c>
      <c r="E9817" s="210"/>
    </row>
    <row r="9818" spans="1:5" ht="51">
      <c r="A9818" s="449">
        <v>43543</v>
      </c>
      <c r="B9818" s="450" t="s">
        <v>10640</v>
      </c>
      <c r="C9818" s="449" t="s">
        <v>679</v>
      </c>
      <c r="D9818" s="451">
        <v>151.35</v>
      </c>
      <c r="E9818" s="210"/>
    </row>
    <row r="9819" spans="1:5" ht="51">
      <c r="A9819" s="449">
        <v>38775</v>
      </c>
      <c r="B9819" s="450" t="s">
        <v>10641</v>
      </c>
      <c r="C9819" s="449" t="s">
        <v>679</v>
      </c>
      <c r="D9819" s="451">
        <v>77.02</v>
      </c>
      <c r="E9819" s="210"/>
    </row>
    <row r="9820" spans="1:5" ht="25.5">
      <c r="A9820" s="449">
        <v>21119</v>
      </c>
      <c r="B9820" s="450" t="s">
        <v>10642</v>
      </c>
      <c r="C9820" s="449" t="s">
        <v>679</v>
      </c>
      <c r="D9820" s="451">
        <v>2.31</v>
      </c>
      <c r="E9820" s="210"/>
    </row>
    <row r="9821" spans="1:5" ht="25.5">
      <c r="A9821" s="449">
        <v>37974</v>
      </c>
      <c r="B9821" s="450" t="s">
        <v>10643</v>
      </c>
      <c r="C9821" s="449" t="s">
        <v>679</v>
      </c>
      <c r="D9821" s="451">
        <v>3.44</v>
      </c>
      <c r="E9821" s="210"/>
    </row>
    <row r="9822" spans="1:5" ht="25.5">
      <c r="A9822" s="449">
        <v>37975</v>
      </c>
      <c r="B9822" s="450" t="s">
        <v>10644</v>
      </c>
      <c r="C9822" s="449" t="s">
        <v>679</v>
      </c>
      <c r="D9822" s="451">
        <v>6.99</v>
      </c>
      <c r="E9822" s="210"/>
    </row>
    <row r="9823" spans="1:5" ht="25.5">
      <c r="A9823" s="449">
        <v>37976</v>
      </c>
      <c r="B9823" s="450" t="s">
        <v>10645</v>
      </c>
      <c r="C9823" s="449" t="s">
        <v>679</v>
      </c>
      <c r="D9823" s="451">
        <v>14.33</v>
      </c>
      <c r="E9823" s="210"/>
    </row>
    <row r="9824" spans="1:5" ht="25.5">
      <c r="A9824" s="449">
        <v>37977</v>
      </c>
      <c r="B9824" s="450" t="s">
        <v>10646</v>
      </c>
      <c r="C9824" s="449" t="s">
        <v>679</v>
      </c>
      <c r="D9824" s="451">
        <v>19.71</v>
      </c>
      <c r="E9824" s="210"/>
    </row>
    <row r="9825" spans="1:5" ht="25.5">
      <c r="A9825" s="449">
        <v>37978</v>
      </c>
      <c r="B9825" s="450" t="s">
        <v>10647</v>
      </c>
      <c r="C9825" s="449" t="s">
        <v>679</v>
      </c>
      <c r="D9825" s="451">
        <v>39.94</v>
      </c>
      <c r="E9825" s="210"/>
    </row>
    <row r="9826" spans="1:5" ht="25.5">
      <c r="A9826" s="449">
        <v>37979</v>
      </c>
      <c r="B9826" s="450" t="s">
        <v>10648</v>
      </c>
      <c r="C9826" s="449" t="s">
        <v>679</v>
      </c>
      <c r="D9826" s="451">
        <v>171.6</v>
      </c>
      <c r="E9826" s="210"/>
    </row>
    <row r="9827" spans="1:5" ht="25.5">
      <c r="A9827" s="449">
        <v>37980</v>
      </c>
      <c r="B9827" s="450" t="s">
        <v>10649</v>
      </c>
      <c r="C9827" s="449" t="s">
        <v>679</v>
      </c>
      <c r="D9827" s="451">
        <v>192.85</v>
      </c>
      <c r="E9827" s="210"/>
    </row>
    <row r="9828" spans="1:5" ht="38.25">
      <c r="A9828" s="449">
        <v>36147</v>
      </c>
      <c r="B9828" s="450" t="s">
        <v>10650</v>
      </c>
      <c r="C9828" s="449" t="s">
        <v>690</v>
      </c>
      <c r="D9828" s="451">
        <v>367.44</v>
      </c>
      <c r="E9828" s="210"/>
    </row>
    <row r="9829" spans="1:5" ht="25.5">
      <c r="A9829" s="449">
        <v>12731</v>
      </c>
      <c r="B9829" s="450" t="s">
        <v>10651</v>
      </c>
      <c r="C9829" s="449" t="s">
        <v>679</v>
      </c>
      <c r="D9829" s="451">
        <v>385.2</v>
      </c>
      <c r="E9829" s="210"/>
    </row>
    <row r="9830" spans="1:5" ht="25.5">
      <c r="A9830" s="449">
        <v>12723</v>
      </c>
      <c r="B9830" s="450" t="s">
        <v>10652</v>
      </c>
      <c r="C9830" s="449" t="s">
        <v>679</v>
      </c>
      <c r="D9830" s="451">
        <v>2.98</v>
      </c>
      <c r="E9830" s="210"/>
    </row>
    <row r="9831" spans="1:5" ht="25.5">
      <c r="A9831" s="449">
        <v>12724</v>
      </c>
      <c r="B9831" s="450" t="s">
        <v>10653</v>
      </c>
      <c r="C9831" s="449" t="s">
        <v>679</v>
      </c>
      <c r="D9831" s="451">
        <v>5.74</v>
      </c>
      <c r="E9831" s="210"/>
    </row>
    <row r="9832" spans="1:5" ht="25.5">
      <c r="A9832" s="449">
        <v>12725</v>
      </c>
      <c r="B9832" s="450" t="s">
        <v>10654</v>
      </c>
      <c r="C9832" s="449" t="s">
        <v>679</v>
      </c>
      <c r="D9832" s="451">
        <v>11.51</v>
      </c>
      <c r="E9832" s="210"/>
    </row>
    <row r="9833" spans="1:5" ht="25.5">
      <c r="A9833" s="449">
        <v>12726</v>
      </c>
      <c r="B9833" s="450" t="s">
        <v>10655</v>
      </c>
      <c r="C9833" s="449" t="s">
        <v>679</v>
      </c>
      <c r="D9833" s="451">
        <v>25.41</v>
      </c>
      <c r="E9833" s="210"/>
    </row>
    <row r="9834" spans="1:5" ht="25.5">
      <c r="A9834" s="449">
        <v>12727</v>
      </c>
      <c r="B9834" s="450" t="s">
        <v>10656</v>
      </c>
      <c r="C9834" s="449" t="s">
        <v>679</v>
      </c>
      <c r="D9834" s="451">
        <v>32.229999999999997</v>
      </c>
      <c r="E9834" s="210"/>
    </row>
    <row r="9835" spans="1:5" ht="25.5">
      <c r="A9835" s="449">
        <v>12728</v>
      </c>
      <c r="B9835" s="450" t="s">
        <v>10657</v>
      </c>
      <c r="C9835" s="449" t="s">
        <v>679</v>
      </c>
      <c r="D9835" s="451">
        <v>52.64</v>
      </c>
      <c r="E9835" s="210"/>
    </row>
    <row r="9836" spans="1:5" ht="25.5">
      <c r="A9836" s="449">
        <v>12729</v>
      </c>
      <c r="B9836" s="450" t="s">
        <v>10658</v>
      </c>
      <c r="C9836" s="449" t="s">
        <v>679</v>
      </c>
      <c r="D9836" s="451">
        <v>172.54</v>
      </c>
      <c r="E9836" s="210"/>
    </row>
    <row r="9837" spans="1:5" ht="25.5">
      <c r="A9837" s="449">
        <v>12730</v>
      </c>
      <c r="B9837" s="450" t="s">
        <v>10659</v>
      </c>
      <c r="C9837" s="449" t="s">
        <v>679</v>
      </c>
      <c r="D9837" s="451">
        <v>264.16000000000003</v>
      </c>
      <c r="E9837" s="210"/>
    </row>
    <row r="9838" spans="1:5">
      <c r="A9838" s="449">
        <v>3840</v>
      </c>
      <c r="B9838" s="450" t="s">
        <v>10660</v>
      </c>
      <c r="C9838" s="449" t="s">
        <v>679</v>
      </c>
      <c r="D9838" s="451">
        <v>59.04</v>
      </c>
      <c r="E9838" s="210"/>
    </row>
    <row r="9839" spans="1:5">
      <c r="A9839" s="449">
        <v>3838</v>
      </c>
      <c r="B9839" s="450" t="s">
        <v>10661</v>
      </c>
      <c r="C9839" s="449" t="s">
        <v>679</v>
      </c>
      <c r="D9839" s="451">
        <v>130.29</v>
      </c>
      <c r="E9839" s="210"/>
    </row>
    <row r="9840" spans="1:5">
      <c r="A9840" s="449">
        <v>3844</v>
      </c>
      <c r="B9840" s="450" t="s">
        <v>10662</v>
      </c>
      <c r="C9840" s="449" t="s">
        <v>679</v>
      </c>
      <c r="D9840" s="451">
        <v>232.41</v>
      </c>
      <c r="E9840" s="210"/>
    </row>
    <row r="9841" spans="1:5">
      <c r="A9841" s="449">
        <v>3839</v>
      </c>
      <c r="B9841" s="450" t="s">
        <v>10663</v>
      </c>
      <c r="C9841" s="449" t="s">
        <v>679</v>
      </c>
      <c r="D9841" s="451">
        <v>423.32</v>
      </c>
      <c r="E9841" s="210"/>
    </row>
    <row r="9842" spans="1:5">
      <c r="A9842" s="449">
        <v>3843</v>
      </c>
      <c r="B9842" s="450" t="s">
        <v>10664</v>
      </c>
      <c r="C9842" s="449" t="s">
        <v>679</v>
      </c>
      <c r="D9842" s="451">
        <v>581.01</v>
      </c>
      <c r="E9842" s="210"/>
    </row>
    <row r="9843" spans="1:5" ht="25.5">
      <c r="A9843" s="449">
        <v>3900</v>
      </c>
      <c r="B9843" s="450" t="s">
        <v>10665</v>
      </c>
      <c r="C9843" s="449" t="s">
        <v>679</v>
      </c>
      <c r="D9843" s="451">
        <v>41.11</v>
      </c>
      <c r="E9843" s="210"/>
    </row>
    <row r="9844" spans="1:5" ht="25.5">
      <c r="A9844" s="449">
        <v>3846</v>
      </c>
      <c r="B9844" s="450" t="s">
        <v>10666</v>
      </c>
      <c r="C9844" s="449" t="s">
        <v>679</v>
      </c>
      <c r="D9844" s="451">
        <v>12.96</v>
      </c>
      <c r="E9844" s="210"/>
    </row>
    <row r="9845" spans="1:5" ht="25.5">
      <c r="A9845" s="449">
        <v>3886</v>
      </c>
      <c r="B9845" s="450" t="s">
        <v>10667</v>
      </c>
      <c r="C9845" s="449" t="s">
        <v>679</v>
      </c>
      <c r="D9845" s="451">
        <v>13.64</v>
      </c>
      <c r="E9845" s="210"/>
    </row>
    <row r="9846" spans="1:5" ht="25.5">
      <c r="A9846" s="449">
        <v>3854</v>
      </c>
      <c r="B9846" s="450" t="s">
        <v>10668</v>
      </c>
      <c r="C9846" s="449" t="s">
        <v>679</v>
      </c>
      <c r="D9846" s="451">
        <v>7.58</v>
      </c>
      <c r="E9846" s="210"/>
    </row>
    <row r="9847" spans="1:5" ht="25.5">
      <c r="A9847" s="449">
        <v>3873</v>
      </c>
      <c r="B9847" s="450" t="s">
        <v>10669</v>
      </c>
      <c r="C9847" s="449" t="s">
        <v>679</v>
      </c>
      <c r="D9847" s="451">
        <v>10.039999999999999</v>
      </c>
      <c r="E9847" s="210"/>
    </row>
    <row r="9848" spans="1:5" ht="25.5">
      <c r="A9848" s="449">
        <v>38021</v>
      </c>
      <c r="B9848" s="450" t="s">
        <v>10670</v>
      </c>
      <c r="C9848" s="449" t="s">
        <v>679</v>
      </c>
      <c r="D9848" s="451">
        <v>24</v>
      </c>
      <c r="E9848" s="210"/>
    </row>
    <row r="9849" spans="1:5" ht="25.5">
      <c r="A9849" s="449">
        <v>3847</v>
      </c>
      <c r="B9849" s="450" t="s">
        <v>10671</v>
      </c>
      <c r="C9849" s="449" t="s">
        <v>679</v>
      </c>
      <c r="D9849" s="451">
        <v>27.25</v>
      </c>
      <c r="E9849" s="210"/>
    </row>
    <row r="9850" spans="1:5" ht="25.5">
      <c r="A9850" s="449">
        <v>38022</v>
      </c>
      <c r="B9850" s="450" t="s">
        <v>10672</v>
      </c>
      <c r="C9850" s="449" t="s">
        <v>679</v>
      </c>
      <c r="D9850" s="451">
        <v>42.56</v>
      </c>
      <c r="E9850" s="210"/>
    </row>
    <row r="9851" spans="1:5" ht="25.5">
      <c r="A9851" s="449">
        <v>3833</v>
      </c>
      <c r="B9851" s="450" t="s">
        <v>10673</v>
      </c>
      <c r="C9851" s="449" t="s">
        <v>679</v>
      </c>
      <c r="D9851" s="451">
        <v>27.24</v>
      </c>
      <c r="E9851" s="210"/>
    </row>
    <row r="9852" spans="1:5" ht="25.5">
      <c r="A9852" s="449">
        <v>3835</v>
      </c>
      <c r="B9852" s="450" t="s">
        <v>10674</v>
      </c>
      <c r="C9852" s="449" t="s">
        <v>679</v>
      </c>
      <c r="D9852" s="451">
        <v>88.69</v>
      </c>
      <c r="E9852" s="210"/>
    </row>
    <row r="9853" spans="1:5" ht="25.5">
      <c r="A9853" s="449">
        <v>3836</v>
      </c>
      <c r="B9853" s="450" t="s">
        <v>10675</v>
      </c>
      <c r="C9853" s="449" t="s">
        <v>679</v>
      </c>
      <c r="D9853" s="451">
        <v>190.89</v>
      </c>
      <c r="E9853" s="210"/>
    </row>
    <row r="9854" spans="1:5" ht="25.5">
      <c r="A9854" s="449">
        <v>3830</v>
      </c>
      <c r="B9854" s="450" t="s">
        <v>10676</v>
      </c>
      <c r="C9854" s="449" t="s">
        <v>679</v>
      </c>
      <c r="D9854" s="451">
        <v>312.11</v>
      </c>
      <c r="E9854" s="210"/>
    </row>
    <row r="9855" spans="1:5" ht="25.5">
      <c r="A9855" s="449">
        <v>3831</v>
      </c>
      <c r="B9855" s="450" t="s">
        <v>10677</v>
      </c>
      <c r="C9855" s="449" t="s">
        <v>679</v>
      </c>
      <c r="D9855" s="451">
        <v>521.74</v>
      </c>
      <c r="E9855" s="210"/>
    </row>
    <row r="9856" spans="1:5" ht="25.5">
      <c r="A9856" s="449">
        <v>37981</v>
      </c>
      <c r="B9856" s="450" t="s">
        <v>10678</v>
      </c>
      <c r="C9856" s="449" t="s">
        <v>679</v>
      </c>
      <c r="D9856" s="451">
        <v>7.87</v>
      </c>
      <c r="E9856" s="210"/>
    </row>
    <row r="9857" spans="1:5" ht="25.5">
      <c r="A9857" s="449">
        <v>37982</v>
      </c>
      <c r="B9857" s="450" t="s">
        <v>10679</v>
      </c>
      <c r="C9857" s="449" t="s">
        <v>679</v>
      </c>
      <c r="D9857" s="451">
        <v>11.94</v>
      </c>
      <c r="E9857" s="210"/>
    </row>
    <row r="9858" spans="1:5" ht="25.5">
      <c r="A9858" s="449">
        <v>37983</v>
      </c>
      <c r="B9858" s="450" t="s">
        <v>10680</v>
      </c>
      <c r="C9858" s="449" t="s">
        <v>679</v>
      </c>
      <c r="D9858" s="451">
        <v>16.72</v>
      </c>
      <c r="E9858" s="210"/>
    </row>
    <row r="9859" spans="1:5" ht="25.5">
      <c r="A9859" s="449">
        <v>37984</v>
      </c>
      <c r="B9859" s="450" t="s">
        <v>10681</v>
      </c>
      <c r="C9859" s="449" t="s">
        <v>679</v>
      </c>
      <c r="D9859" s="451">
        <v>28.88</v>
      </c>
      <c r="E9859" s="210"/>
    </row>
    <row r="9860" spans="1:5" ht="25.5">
      <c r="A9860" s="449">
        <v>37985</v>
      </c>
      <c r="B9860" s="450" t="s">
        <v>10682</v>
      </c>
      <c r="C9860" s="449" t="s">
        <v>679</v>
      </c>
      <c r="D9860" s="451">
        <v>40.44</v>
      </c>
      <c r="E9860" s="210"/>
    </row>
    <row r="9861" spans="1:5" ht="25.5">
      <c r="A9861" s="449">
        <v>3826</v>
      </c>
      <c r="B9861" s="450" t="s">
        <v>10683</v>
      </c>
      <c r="C9861" s="449" t="s">
        <v>679</v>
      </c>
      <c r="D9861" s="451">
        <v>58.58</v>
      </c>
      <c r="E9861" s="210"/>
    </row>
    <row r="9862" spans="1:5" ht="25.5">
      <c r="A9862" s="449">
        <v>3825</v>
      </c>
      <c r="B9862" s="450" t="s">
        <v>10684</v>
      </c>
      <c r="C9862" s="449" t="s">
        <v>679</v>
      </c>
      <c r="D9862" s="451">
        <v>16.850000000000001</v>
      </c>
      <c r="E9862" s="210"/>
    </row>
    <row r="9863" spans="1:5" ht="25.5">
      <c r="A9863" s="449">
        <v>3827</v>
      </c>
      <c r="B9863" s="450" t="s">
        <v>10685</v>
      </c>
      <c r="C9863" s="449" t="s">
        <v>679</v>
      </c>
      <c r="D9863" s="451">
        <v>36.81</v>
      </c>
      <c r="E9863" s="210"/>
    </row>
    <row r="9864" spans="1:5" ht="25.5">
      <c r="A9864" s="449">
        <v>20165</v>
      </c>
      <c r="B9864" s="450" t="s">
        <v>10686</v>
      </c>
      <c r="C9864" s="449" t="s">
        <v>679</v>
      </c>
      <c r="D9864" s="451">
        <v>23.49</v>
      </c>
      <c r="E9864" s="210"/>
    </row>
    <row r="9865" spans="1:5" ht="25.5">
      <c r="A9865" s="449">
        <v>20166</v>
      </c>
      <c r="B9865" s="450" t="s">
        <v>10687</v>
      </c>
      <c r="C9865" s="449" t="s">
        <v>679</v>
      </c>
      <c r="D9865" s="451">
        <v>75.900000000000006</v>
      </c>
      <c r="E9865" s="210"/>
    </row>
    <row r="9866" spans="1:5" ht="25.5">
      <c r="A9866" s="449">
        <v>20164</v>
      </c>
      <c r="B9866" s="450" t="s">
        <v>10688</v>
      </c>
      <c r="C9866" s="449" t="s">
        <v>679</v>
      </c>
      <c r="D9866" s="451">
        <v>12.4</v>
      </c>
      <c r="E9866" s="210"/>
    </row>
    <row r="9867" spans="1:5" ht="25.5">
      <c r="A9867" s="449">
        <v>3893</v>
      </c>
      <c r="B9867" s="450" t="s">
        <v>10689</v>
      </c>
      <c r="C9867" s="449" t="s">
        <v>679</v>
      </c>
      <c r="D9867" s="451">
        <v>15.39</v>
      </c>
      <c r="E9867" s="210"/>
    </row>
    <row r="9868" spans="1:5" ht="25.5">
      <c r="A9868" s="449">
        <v>3848</v>
      </c>
      <c r="B9868" s="450" t="s">
        <v>10690</v>
      </c>
      <c r="C9868" s="449" t="s">
        <v>679</v>
      </c>
      <c r="D9868" s="451">
        <v>9.35</v>
      </c>
      <c r="E9868" s="210"/>
    </row>
    <row r="9869" spans="1:5" ht="25.5">
      <c r="A9869" s="449">
        <v>3895</v>
      </c>
      <c r="B9869" s="450" t="s">
        <v>10691</v>
      </c>
      <c r="C9869" s="449" t="s">
        <v>679</v>
      </c>
      <c r="D9869" s="451">
        <v>10.17</v>
      </c>
      <c r="E9869" s="210"/>
    </row>
    <row r="9870" spans="1:5" ht="25.5">
      <c r="A9870" s="449">
        <v>12404</v>
      </c>
      <c r="B9870" s="450" t="s">
        <v>10692</v>
      </c>
      <c r="C9870" s="449" t="s">
        <v>679</v>
      </c>
      <c r="D9870" s="451">
        <v>8.33</v>
      </c>
      <c r="E9870" s="210"/>
    </row>
    <row r="9871" spans="1:5" ht="25.5">
      <c r="A9871" s="449">
        <v>3939</v>
      </c>
      <c r="B9871" s="450" t="s">
        <v>10693</v>
      </c>
      <c r="C9871" s="449" t="s">
        <v>679</v>
      </c>
      <c r="D9871" s="451">
        <v>17.170000000000002</v>
      </c>
      <c r="E9871" s="210"/>
    </row>
    <row r="9872" spans="1:5" ht="25.5">
      <c r="A9872" s="449">
        <v>3911</v>
      </c>
      <c r="B9872" s="450" t="s">
        <v>10694</v>
      </c>
      <c r="C9872" s="449" t="s">
        <v>679</v>
      </c>
      <c r="D9872" s="451">
        <v>14.02</v>
      </c>
      <c r="E9872" s="210"/>
    </row>
    <row r="9873" spans="1:5" ht="25.5">
      <c r="A9873" s="449">
        <v>3908</v>
      </c>
      <c r="B9873" s="450" t="s">
        <v>10695</v>
      </c>
      <c r="C9873" s="449" t="s">
        <v>679</v>
      </c>
      <c r="D9873" s="451">
        <v>4.53</v>
      </c>
      <c r="E9873" s="210"/>
    </row>
    <row r="9874" spans="1:5" ht="25.5">
      <c r="A9874" s="449">
        <v>3910</v>
      </c>
      <c r="B9874" s="450" t="s">
        <v>10696</v>
      </c>
      <c r="C9874" s="449" t="s">
        <v>679</v>
      </c>
      <c r="D9874" s="451">
        <v>10.029999999999999</v>
      </c>
      <c r="E9874" s="210"/>
    </row>
    <row r="9875" spans="1:5" ht="25.5">
      <c r="A9875" s="449">
        <v>3913</v>
      </c>
      <c r="B9875" s="450" t="s">
        <v>10697</v>
      </c>
      <c r="C9875" s="449" t="s">
        <v>679</v>
      </c>
      <c r="D9875" s="451">
        <v>47.96</v>
      </c>
      <c r="E9875" s="210"/>
    </row>
    <row r="9876" spans="1:5" ht="25.5">
      <c r="A9876" s="449">
        <v>3912</v>
      </c>
      <c r="B9876" s="450" t="s">
        <v>10698</v>
      </c>
      <c r="C9876" s="449" t="s">
        <v>679</v>
      </c>
      <c r="D9876" s="451">
        <v>26.29</v>
      </c>
      <c r="E9876" s="210"/>
    </row>
    <row r="9877" spans="1:5" ht="25.5">
      <c r="A9877" s="449">
        <v>3909</v>
      </c>
      <c r="B9877" s="450" t="s">
        <v>10699</v>
      </c>
      <c r="C9877" s="449" t="s">
        <v>679</v>
      </c>
      <c r="D9877" s="451">
        <v>6.17</v>
      </c>
      <c r="E9877" s="210"/>
    </row>
    <row r="9878" spans="1:5" ht="25.5">
      <c r="A9878" s="449">
        <v>3914</v>
      </c>
      <c r="B9878" s="450" t="s">
        <v>10700</v>
      </c>
      <c r="C9878" s="449" t="s">
        <v>679</v>
      </c>
      <c r="D9878" s="451">
        <v>72.36</v>
      </c>
      <c r="E9878" s="210"/>
    </row>
    <row r="9879" spans="1:5" ht="25.5">
      <c r="A9879" s="449">
        <v>3915</v>
      </c>
      <c r="B9879" s="450" t="s">
        <v>10701</v>
      </c>
      <c r="C9879" s="449" t="s">
        <v>679</v>
      </c>
      <c r="D9879" s="451">
        <v>114.1</v>
      </c>
      <c r="E9879" s="210"/>
    </row>
    <row r="9880" spans="1:5" ht="25.5">
      <c r="A9880" s="449">
        <v>3916</v>
      </c>
      <c r="B9880" s="450" t="s">
        <v>10702</v>
      </c>
      <c r="C9880" s="449" t="s">
        <v>679</v>
      </c>
      <c r="D9880" s="451">
        <v>207.88</v>
      </c>
      <c r="E9880" s="210"/>
    </row>
    <row r="9881" spans="1:5" ht="25.5">
      <c r="A9881" s="449">
        <v>3917</v>
      </c>
      <c r="B9881" s="450" t="s">
        <v>10703</v>
      </c>
      <c r="C9881" s="449" t="s">
        <v>679</v>
      </c>
      <c r="D9881" s="451">
        <v>342.87</v>
      </c>
      <c r="E9881" s="210"/>
    </row>
    <row r="9882" spans="1:5" ht="25.5">
      <c r="A9882" s="449">
        <v>1904</v>
      </c>
      <c r="B9882" s="450" t="s">
        <v>10704</v>
      </c>
      <c r="C9882" s="449" t="s">
        <v>679</v>
      </c>
      <c r="D9882" s="451">
        <v>0.69</v>
      </c>
      <c r="E9882" s="210"/>
    </row>
    <row r="9883" spans="1:5" ht="25.5">
      <c r="A9883" s="449">
        <v>1899</v>
      </c>
      <c r="B9883" s="450" t="s">
        <v>10705</v>
      </c>
      <c r="C9883" s="449" t="s">
        <v>679</v>
      </c>
      <c r="D9883" s="451">
        <v>0.78</v>
      </c>
      <c r="E9883" s="210"/>
    </row>
    <row r="9884" spans="1:5" ht="25.5">
      <c r="A9884" s="449">
        <v>1900</v>
      </c>
      <c r="B9884" s="450" t="s">
        <v>10706</v>
      </c>
      <c r="C9884" s="449" t="s">
        <v>679</v>
      </c>
      <c r="D9884" s="451">
        <v>1.26</v>
      </c>
      <c r="E9884" s="210"/>
    </row>
    <row r="9885" spans="1:5" ht="25.5">
      <c r="A9885" s="449">
        <v>12407</v>
      </c>
      <c r="B9885" s="450" t="s">
        <v>10707</v>
      </c>
      <c r="C9885" s="449" t="s">
        <v>679</v>
      </c>
      <c r="D9885" s="451">
        <v>25.96</v>
      </c>
      <c r="E9885" s="210"/>
    </row>
    <row r="9886" spans="1:5" ht="25.5">
      <c r="A9886" s="449">
        <v>12408</v>
      </c>
      <c r="B9886" s="450" t="s">
        <v>10708</v>
      </c>
      <c r="C9886" s="449" t="s">
        <v>679</v>
      </c>
      <c r="D9886" s="451">
        <v>14.65</v>
      </c>
      <c r="E9886" s="210"/>
    </row>
    <row r="9887" spans="1:5" ht="25.5">
      <c r="A9887" s="449">
        <v>12409</v>
      </c>
      <c r="B9887" s="450" t="s">
        <v>10709</v>
      </c>
      <c r="C9887" s="449" t="s">
        <v>679</v>
      </c>
      <c r="D9887" s="451">
        <v>14.65</v>
      </c>
      <c r="E9887" s="210"/>
    </row>
    <row r="9888" spans="1:5" ht="25.5">
      <c r="A9888" s="449">
        <v>12410</v>
      </c>
      <c r="B9888" s="450" t="s">
        <v>10710</v>
      </c>
      <c r="C9888" s="449" t="s">
        <v>679</v>
      </c>
      <c r="D9888" s="451">
        <v>10.09</v>
      </c>
      <c r="E9888" s="210"/>
    </row>
    <row r="9889" spans="1:5" ht="25.5">
      <c r="A9889" s="449">
        <v>3936</v>
      </c>
      <c r="B9889" s="450" t="s">
        <v>10711</v>
      </c>
      <c r="C9889" s="449" t="s">
        <v>679</v>
      </c>
      <c r="D9889" s="451">
        <v>18.23</v>
      </c>
      <c r="E9889" s="210"/>
    </row>
    <row r="9890" spans="1:5" ht="25.5">
      <c r="A9890" s="449">
        <v>3922</v>
      </c>
      <c r="B9890" s="450" t="s">
        <v>10712</v>
      </c>
      <c r="C9890" s="449" t="s">
        <v>679</v>
      </c>
      <c r="D9890" s="451">
        <v>16.77</v>
      </c>
      <c r="E9890" s="210"/>
    </row>
    <row r="9891" spans="1:5" ht="25.5">
      <c r="A9891" s="449">
        <v>3924</v>
      </c>
      <c r="B9891" s="450" t="s">
        <v>10713</v>
      </c>
      <c r="C9891" s="449" t="s">
        <v>679</v>
      </c>
      <c r="D9891" s="451">
        <v>18.23</v>
      </c>
      <c r="E9891" s="210"/>
    </row>
    <row r="9892" spans="1:5" ht="25.5">
      <c r="A9892" s="449">
        <v>3923</v>
      </c>
      <c r="B9892" s="450" t="s">
        <v>10714</v>
      </c>
      <c r="C9892" s="449" t="s">
        <v>679</v>
      </c>
      <c r="D9892" s="451">
        <v>18.23</v>
      </c>
      <c r="E9892" s="210"/>
    </row>
    <row r="9893" spans="1:5" ht="25.5">
      <c r="A9893" s="449">
        <v>3937</v>
      </c>
      <c r="B9893" s="450" t="s">
        <v>10715</v>
      </c>
      <c r="C9893" s="449" t="s">
        <v>679</v>
      </c>
      <c r="D9893" s="451">
        <v>15.04</v>
      </c>
      <c r="E9893" s="210"/>
    </row>
    <row r="9894" spans="1:5" ht="25.5">
      <c r="A9894" s="449">
        <v>3921</v>
      </c>
      <c r="B9894" s="450" t="s">
        <v>10716</v>
      </c>
      <c r="C9894" s="449" t="s">
        <v>679</v>
      </c>
      <c r="D9894" s="451">
        <v>15.05</v>
      </c>
      <c r="E9894" s="210"/>
    </row>
    <row r="9895" spans="1:5" ht="25.5">
      <c r="A9895" s="449">
        <v>3920</v>
      </c>
      <c r="B9895" s="450" t="s">
        <v>10717</v>
      </c>
      <c r="C9895" s="449" t="s">
        <v>679</v>
      </c>
      <c r="D9895" s="451">
        <v>15.04</v>
      </c>
      <c r="E9895" s="210"/>
    </row>
    <row r="9896" spans="1:5" ht="25.5">
      <c r="A9896" s="449">
        <v>3938</v>
      </c>
      <c r="B9896" s="450" t="s">
        <v>10718</v>
      </c>
      <c r="C9896" s="449" t="s">
        <v>679</v>
      </c>
      <c r="D9896" s="451">
        <v>9.92</v>
      </c>
      <c r="E9896" s="210"/>
    </row>
    <row r="9897" spans="1:5" ht="25.5">
      <c r="A9897" s="449">
        <v>3919</v>
      </c>
      <c r="B9897" s="450" t="s">
        <v>10719</v>
      </c>
      <c r="C9897" s="449" t="s">
        <v>679</v>
      </c>
      <c r="D9897" s="451">
        <v>10.11</v>
      </c>
      <c r="E9897" s="210"/>
    </row>
    <row r="9898" spans="1:5" ht="25.5">
      <c r="A9898" s="449">
        <v>3927</v>
      </c>
      <c r="B9898" s="450" t="s">
        <v>10720</v>
      </c>
      <c r="C9898" s="449" t="s">
        <v>679</v>
      </c>
      <c r="D9898" s="451">
        <v>51.21</v>
      </c>
      <c r="E9898" s="210"/>
    </row>
    <row r="9899" spans="1:5" ht="25.5">
      <c r="A9899" s="449">
        <v>3928</v>
      </c>
      <c r="B9899" s="450" t="s">
        <v>10721</v>
      </c>
      <c r="C9899" s="449" t="s">
        <v>679</v>
      </c>
      <c r="D9899" s="451">
        <v>51.21</v>
      </c>
      <c r="E9899" s="210"/>
    </row>
    <row r="9900" spans="1:5" ht="25.5">
      <c r="A9900" s="449">
        <v>3926</v>
      </c>
      <c r="B9900" s="450" t="s">
        <v>10722</v>
      </c>
      <c r="C9900" s="449" t="s">
        <v>679</v>
      </c>
      <c r="D9900" s="451">
        <v>29.2</v>
      </c>
      <c r="E9900" s="210"/>
    </row>
    <row r="9901" spans="1:5" ht="25.5">
      <c r="A9901" s="449">
        <v>3935</v>
      </c>
      <c r="B9901" s="450" t="s">
        <v>10723</v>
      </c>
      <c r="C9901" s="449" t="s">
        <v>679</v>
      </c>
      <c r="D9901" s="451">
        <v>29.2</v>
      </c>
      <c r="E9901" s="210"/>
    </row>
    <row r="9902" spans="1:5" ht="25.5">
      <c r="A9902" s="449">
        <v>3925</v>
      </c>
      <c r="B9902" s="450" t="s">
        <v>10724</v>
      </c>
      <c r="C9902" s="449" t="s">
        <v>679</v>
      </c>
      <c r="D9902" s="451">
        <v>29.2</v>
      </c>
      <c r="E9902" s="210"/>
    </row>
    <row r="9903" spans="1:5" ht="25.5">
      <c r="A9903" s="449">
        <v>12406</v>
      </c>
      <c r="B9903" s="450" t="s">
        <v>10725</v>
      </c>
      <c r="C9903" s="449" t="s">
        <v>679</v>
      </c>
      <c r="D9903" s="451">
        <v>7.17</v>
      </c>
      <c r="E9903" s="210"/>
    </row>
    <row r="9904" spans="1:5" ht="25.5">
      <c r="A9904" s="449">
        <v>3929</v>
      </c>
      <c r="B9904" s="450" t="s">
        <v>10726</v>
      </c>
      <c r="C9904" s="449" t="s">
        <v>679</v>
      </c>
      <c r="D9904" s="451">
        <v>78.03</v>
      </c>
      <c r="E9904" s="210"/>
    </row>
    <row r="9905" spans="1:5" ht="25.5">
      <c r="A9905" s="449">
        <v>3931</v>
      </c>
      <c r="B9905" s="450" t="s">
        <v>10727</v>
      </c>
      <c r="C9905" s="449" t="s">
        <v>679</v>
      </c>
      <c r="D9905" s="451">
        <v>78.03</v>
      </c>
      <c r="E9905" s="210"/>
    </row>
    <row r="9906" spans="1:5" ht="25.5">
      <c r="A9906" s="449">
        <v>3930</v>
      </c>
      <c r="B9906" s="450" t="s">
        <v>10728</v>
      </c>
      <c r="C9906" s="449" t="s">
        <v>679</v>
      </c>
      <c r="D9906" s="451">
        <v>78.03</v>
      </c>
      <c r="E9906" s="210"/>
    </row>
    <row r="9907" spans="1:5" ht="25.5">
      <c r="A9907" s="449">
        <v>3932</v>
      </c>
      <c r="B9907" s="450" t="s">
        <v>10729</v>
      </c>
      <c r="C9907" s="449" t="s">
        <v>679</v>
      </c>
      <c r="D9907" s="451">
        <v>134.74</v>
      </c>
      <c r="E9907" s="210"/>
    </row>
    <row r="9908" spans="1:5" ht="25.5">
      <c r="A9908" s="449">
        <v>3933</v>
      </c>
      <c r="B9908" s="450" t="s">
        <v>10730</v>
      </c>
      <c r="C9908" s="449" t="s">
        <v>679</v>
      </c>
      <c r="D9908" s="451">
        <v>134.74</v>
      </c>
      <c r="E9908" s="210"/>
    </row>
    <row r="9909" spans="1:5" ht="25.5">
      <c r="A9909" s="449">
        <v>3934</v>
      </c>
      <c r="B9909" s="450" t="s">
        <v>10731</v>
      </c>
      <c r="C9909" s="449" t="s">
        <v>679</v>
      </c>
      <c r="D9909" s="451">
        <v>134.74</v>
      </c>
      <c r="E9909" s="210"/>
    </row>
    <row r="9910" spans="1:5" ht="38.25">
      <c r="A9910" s="449">
        <v>40355</v>
      </c>
      <c r="B9910" s="450" t="s">
        <v>10732</v>
      </c>
      <c r="C9910" s="449" t="s">
        <v>679</v>
      </c>
      <c r="D9910" s="451">
        <v>11.07</v>
      </c>
      <c r="E9910" s="210"/>
    </row>
    <row r="9911" spans="1:5" ht="38.25">
      <c r="A9911" s="449">
        <v>40364</v>
      </c>
      <c r="B9911" s="450" t="s">
        <v>10733</v>
      </c>
      <c r="C9911" s="449" t="s">
        <v>679</v>
      </c>
      <c r="D9911" s="451">
        <v>51.84</v>
      </c>
      <c r="E9911" s="210"/>
    </row>
    <row r="9912" spans="1:5" ht="38.25">
      <c r="A9912" s="449">
        <v>40361</v>
      </c>
      <c r="B9912" s="450" t="s">
        <v>10734</v>
      </c>
      <c r="C9912" s="449" t="s">
        <v>679</v>
      </c>
      <c r="D9912" s="451">
        <v>40.54</v>
      </c>
      <c r="E9912" s="210"/>
    </row>
    <row r="9913" spans="1:5" ht="38.25">
      <c r="A9913" s="449">
        <v>40358</v>
      </c>
      <c r="B9913" s="450" t="s">
        <v>10735</v>
      </c>
      <c r="C9913" s="449" t="s">
        <v>679</v>
      </c>
      <c r="D9913" s="451">
        <v>15.45</v>
      </c>
      <c r="E9913" s="210"/>
    </row>
    <row r="9914" spans="1:5" ht="38.25">
      <c r="A9914" s="449">
        <v>40370</v>
      </c>
      <c r="B9914" s="450" t="s">
        <v>10736</v>
      </c>
      <c r="C9914" s="449" t="s">
        <v>679</v>
      </c>
      <c r="D9914" s="451">
        <v>164.49</v>
      </c>
      <c r="E9914" s="210"/>
    </row>
    <row r="9915" spans="1:5" ht="38.25">
      <c r="A9915" s="449">
        <v>40367</v>
      </c>
      <c r="B9915" s="450" t="s">
        <v>10737</v>
      </c>
      <c r="C9915" s="449" t="s">
        <v>679</v>
      </c>
      <c r="D9915" s="451">
        <v>81.760000000000005</v>
      </c>
      <c r="E9915" s="210"/>
    </row>
    <row r="9916" spans="1:5" ht="38.25">
      <c r="A9916" s="449">
        <v>40373</v>
      </c>
      <c r="B9916" s="450" t="s">
        <v>10738</v>
      </c>
      <c r="C9916" s="449" t="s">
        <v>679</v>
      </c>
      <c r="D9916" s="451">
        <v>222.44</v>
      </c>
      <c r="E9916" s="210"/>
    </row>
    <row r="9917" spans="1:5" ht="38.25">
      <c r="A9917" s="449">
        <v>38947</v>
      </c>
      <c r="B9917" s="450" t="s">
        <v>10739</v>
      </c>
      <c r="C9917" s="449" t="s">
        <v>679</v>
      </c>
      <c r="D9917" s="451">
        <v>9.39</v>
      </c>
      <c r="E9917" s="210"/>
    </row>
    <row r="9918" spans="1:5" ht="38.25">
      <c r="A9918" s="449">
        <v>38948</v>
      </c>
      <c r="B9918" s="450" t="s">
        <v>10740</v>
      </c>
      <c r="C9918" s="449" t="s">
        <v>679</v>
      </c>
      <c r="D9918" s="451">
        <v>14.99</v>
      </c>
      <c r="E9918" s="210"/>
    </row>
    <row r="9919" spans="1:5" ht="38.25">
      <c r="A9919" s="449">
        <v>38949</v>
      </c>
      <c r="B9919" s="450" t="s">
        <v>10741</v>
      </c>
      <c r="C9919" s="449" t="s">
        <v>679</v>
      </c>
      <c r="D9919" s="451">
        <v>16.63</v>
      </c>
      <c r="E9919" s="210"/>
    </row>
    <row r="9920" spans="1:5" ht="38.25">
      <c r="A9920" s="449">
        <v>38951</v>
      </c>
      <c r="B9920" s="450" t="s">
        <v>10742</v>
      </c>
      <c r="C9920" s="449" t="s">
        <v>679</v>
      </c>
      <c r="D9920" s="451">
        <v>26.3</v>
      </c>
      <c r="E9920" s="210"/>
    </row>
    <row r="9921" spans="1:5" ht="38.25">
      <c r="A9921" s="449">
        <v>39312</v>
      </c>
      <c r="B9921" s="450" t="s">
        <v>10743</v>
      </c>
      <c r="C9921" s="449" t="s">
        <v>679</v>
      </c>
      <c r="D9921" s="451">
        <v>20.399999999999999</v>
      </c>
      <c r="E9921" s="210"/>
    </row>
    <row r="9922" spans="1:5" ht="38.25">
      <c r="A9922" s="449">
        <v>39313</v>
      </c>
      <c r="B9922" s="450" t="s">
        <v>10744</v>
      </c>
      <c r="C9922" s="449" t="s">
        <v>679</v>
      </c>
      <c r="D9922" s="451">
        <v>26.63</v>
      </c>
      <c r="E9922" s="210"/>
    </row>
    <row r="9923" spans="1:5" ht="38.25">
      <c r="A9923" s="449">
        <v>38950</v>
      </c>
      <c r="B9923" s="450" t="s">
        <v>10745</v>
      </c>
      <c r="C9923" s="449" t="s">
        <v>679</v>
      </c>
      <c r="D9923" s="451">
        <v>40.08</v>
      </c>
      <c r="E9923" s="210"/>
    </row>
    <row r="9924" spans="1:5" ht="38.25">
      <c r="A9924" s="449">
        <v>39314</v>
      </c>
      <c r="B9924" s="450" t="s">
        <v>10746</v>
      </c>
      <c r="C9924" s="449" t="s">
        <v>679</v>
      </c>
      <c r="D9924" s="451">
        <v>42.28</v>
      </c>
      <c r="E9924" s="210"/>
    </row>
    <row r="9925" spans="1:5" ht="25.5">
      <c r="A9925" s="449">
        <v>3907</v>
      </c>
      <c r="B9925" s="450" t="s">
        <v>10747</v>
      </c>
      <c r="C9925" s="449" t="s">
        <v>679</v>
      </c>
      <c r="D9925" s="451">
        <v>4.25</v>
      </c>
      <c r="E9925" s="210"/>
    </row>
    <row r="9926" spans="1:5" ht="25.5">
      <c r="A9926" s="449">
        <v>3889</v>
      </c>
      <c r="B9926" s="450" t="s">
        <v>10748</v>
      </c>
      <c r="C9926" s="449" t="s">
        <v>679</v>
      </c>
      <c r="D9926" s="451">
        <v>3.25</v>
      </c>
      <c r="E9926" s="210"/>
    </row>
    <row r="9927" spans="1:5" ht="25.5">
      <c r="A9927" s="449">
        <v>3868</v>
      </c>
      <c r="B9927" s="450" t="s">
        <v>10749</v>
      </c>
      <c r="C9927" s="449" t="s">
        <v>679</v>
      </c>
      <c r="D9927" s="451">
        <v>1.26</v>
      </c>
      <c r="E9927" s="210"/>
    </row>
    <row r="9928" spans="1:5" ht="25.5">
      <c r="A9928" s="449">
        <v>3869</v>
      </c>
      <c r="B9928" s="450" t="s">
        <v>10750</v>
      </c>
      <c r="C9928" s="449" t="s">
        <v>679</v>
      </c>
      <c r="D9928" s="451">
        <v>3.62</v>
      </c>
      <c r="E9928" s="210"/>
    </row>
    <row r="9929" spans="1:5" ht="25.5">
      <c r="A9929" s="449">
        <v>3872</v>
      </c>
      <c r="B9929" s="450" t="s">
        <v>10751</v>
      </c>
      <c r="C9929" s="449" t="s">
        <v>679</v>
      </c>
      <c r="D9929" s="451">
        <v>4.3899999999999997</v>
      </c>
      <c r="E9929" s="210"/>
    </row>
    <row r="9930" spans="1:5" ht="25.5">
      <c r="A9930" s="449">
        <v>3850</v>
      </c>
      <c r="B9930" s="450" t="s">
        <v>10752</v>
      </c>
      <c r="C9930" s="449" t="s">
        <v>679</v>
      </c>
      <c r="D9930" s="451">
        <v>11.32</v>
      </c>
      <c r="E9930" s="210"/>
    </row>
    <row r="9931" spans="1:5" ht="25.5">
      <c r="A9931" s="449">
        <v>38023</v>
      </c>
      <c r="B9931" s="450" t="s">
        <v>10753</v>
      </c>
      <c r="C9931" s="449" t="s">
        <v>679</v>
      </c>
      <c r="D9931" s="451">
        <v>4.7699999999999996</v>
      </c>
      <c r="E9931" s="210"/>
    </row>
    <row r="9932" spans="1:5" ht="25.5">
      <c r="A9932" s="449">
        <v>37986</v>
      </c>
      <c r="B9932" s="450" t="s">
        <v>10754</v>
      </c>
      <c r="C9932" s="449" t="s">
        <v>679</v>
      </c>
      <c r="D9932" s="451">
        <v>2.7</v>
      </c>
      <c r="E9932" s="210"/>
    </row>
    <row r="9933" spans="1:5" ht="25.5">
      <c r="A9933" s="449">
        <v>37987</v>
      </c>
      <c r="B9933" s="450" t="s">
        <v>10755</v>
      </c>
      <c r="C9933" s="449" t="s">
        <v>679</v>
      </c>
      <c r="D9933" s="451">
        <v>201.81</v>
      </c>
      <c r="E9933" s="210"/>
    </row>
    <row r="9934" spans="1:5" ht="25.5">
      <c r="A9934" s="449">
        <v>37988</v>
      </c>
      <c r="B9934" s="450" t="s">
        <v>10756</v>
      </c>
      <c r="C9934" s="449" t="s">
        <v>679</v>
      </c>
      <c r="D9934" s="451">
        <v>329.18</v>
      </c>
      <c r="E9934" s="210"/>
    </row>
    <row r="9935" spans="1:5" ht="25.5">
      <c r="A9935" s="449">
        <v>21120</v>
      </c>
      <c r="B9935" s="450" t="s">
        <v>10757</v>
      </c>
      <c r="C9935" s="449" t="s">
        <v>679</v>
      </c>
      <c r="D9935" s="451">
        <v>16.399999999999999</v>
      </c>
      <c r="E9935" s="210"/>
    </row>
    <row r="9936" spans="1:5" ht="25.5">
      <c r="A9936" s="449">
        <v>39318</v>
      </c>
      <c r="B9936" s="450" t="s">
        <v>10758</v>
      </c>
      <c r="C9936" s="449" t="s">
        <v>679</v>
      </c>
      <c r="D9936" s="451">
        <v>13.53</v>
      </c>
      <c r="E9936" s="210"/>
    </row>
    <row r="9937" spans="1:5">
      <c r="A9937" s="449">
        <v>20162</v>
      </c>
      <c r="B9937" s="450" t="s">
        <v>10759</v>
      </c>
      <c r="C9937" s="449" t="s">
        <v>679</v>
      </c>
      <c r="D9937" s="451">
        <v>16.309999999999999</v>
      </c>
      <c r="E9937" s="210"/>
    </row>
    <row r="9938" spans="1:5" ht="25.5">
      <c r="A9938" s="449">
        <v>40366</v>
      </c>
      <c r="B9938" s="450" t="s">
        <v>10760</v>
      </c>
      <c r="C9938" s="449" t="s">
        <v>679</v>
      </c>
      <c r="D9938" s="451">
        <v>40.44</v>
      </c>
      <c r="E9938" s="210"/>
    </row>
    <row r="9939" spans="1:5" ht="25.5">
      <c r="A9939" s="449">
        <v>40363</v>
      </c>
      <c r="B9939" s="450" t="s">
        <v>10761</v>
      </c>
      <c r="C9939" s="449" t="s">
        <v>679</v>
      </c>
      <c r="D9939" s="451">
        <v>31.63</v>
      </c>
      <c r="E9939" s="210"/>
    </row>
    <row r="9940" spans="1:5" ht="25.5">
      <c r="A9940" s="449">
        <v>40354</v>
      </c>
      <c r="B9940" s="450" t="s">
        <v>10762</v>
      </c>
      <c r="C9940" s="449" t="s">
        <v>679</v>
      </c>
      <c r="D9940" s="451">
        <v>13.77</v>
      </c>
      <c r="E9940" s="210"/>
    </row>
    <row r="9941" spans="1:5" ht="25.5">
      <c r="A9941" s="449">
        <v>40360</v>
      </c>
      <c r="B9941" s="450" t="s">
        <v>10763</v>
      </c>
      <c r="C9941" s="449" t="s">
        <v>679</v>
      </c>
      <c r="D9941" s="451">
        <v>20.73</v>
      </c>
      <c r="E9941" s="210"/>
    </row>
    <row r="9942" spans="1:5" ht="25.5">
      <c r="A9942" s="449">
        <v>40372</v>
      </c>
      <c r="B9942" s="450" t="s">
        <v>10764</v>
      </c>
      <c r="C9942" s="449" t="s">
        <v>679</v>
      </c>
      <c r="D9942" s="451">
        <v>128.05000000000001</v>
      </c>
      <c r="E9942" s="210"/>
    </row>
    <row r="9943" spans="1:5" ht="25.5">
      <c r="A9943" s="449">
        <v>40369</v>
      </c>
      <c r="B9943" s="450" t="s">
        <v>10765</v>
      </c>
      <c r="C9943" s="449" t="s">
        <v>679</v>
      </c>
      <c r="D9943" s="451">
        <v>63.73</v>
      </c>
      <c r="E9943" s="210"/>
    </row>
    <row r="9944" spans="1:5" ht="25.5">
      <c r="A9944" s="449">
        <v>40357</v>
      </c>
      <c r="B9944" s="450" t="s">
        <v>10766</v>
      </c>
      <c r="C9944" s="449" t="s">
        <v>679</v>
      </c>
      <c r="D9944" s="451">
        <v>15.45</v>
      </c>
      <c r="E9944" s="210"/>
    </row>
    <row r="9945" spans="1:5" ht="25.5">
      <c r="A9945" s="449">
        <v>40375</v>
      </c>
      <c r="B9945" s="450" t="s">
        <v>10767</v>
      </c>
      <c r="C9945" s="449" t="s">
        <v>679</v>
      </c>
      <c r="D9945" s="451">
        <v>173.34</v>
      </c>
      <c r="E9945" s="210"/>
    </row>
    <row r="9946" spans="1:5" ht="25.5">
      <c r="A9946" s="449">
        <v>1893</v>
      </c>
      <c r="B9946" s="450" t="s">
        <v>10768</v>
      </c>
      <c r="C9946" s="449" t="s">
        <v>679</v>
      </c>
      <c r="D9946" s="451">
        <v>2.6</v>
      </c>
      <c r="E9946" s="210"/>
    </row>
    <row r="9947" spans="1:5" ht="25.5">
      <c r="A9947" s="449">
        <v>1902</v>
      </c>
      <c r="B9947" s="450" t="s">
        <v>10769</v>
      </c>
      <c r="C9947" s="449" t="s">
        <v>679</v>
      </c>
      <c r="D9947" s="451">
        <v>1.89</v>
      </c>
      <c r="E9947" s="210"/>
    </row>
    <row r="9948" spans="1:5" ht="25.5">
      <c r="A9948" s="449">
        <v>1901</v>
      </c>
      <c r="B9948" s="450" t="s">
        <v>10770</v>
      </c>
      <c r="C9948" s="449" t="s">
        <v>679</v>
      </c>
      <c r="D9948" s="451">
        <v>0.59</v>
      </c>
      <c r="E9948" s="210"/>
    </row>
    <row r="9949" spans="1:5" ht="25.5">
      <c r="A9949" s="449">
        <v>1892</v>
      </c>
      <c r="B9949" s="450" t="s">
        <v>10771</v>
      </c>
      <c r="C9949" s="449" t="s">
        <v>679</v>
      </c>
      <c r="D9949" s="451">
        <v>1.22</v>
      </c>
      <c r="E9949" s="210"/>
    </row>
    <row r="9950" spans="1:5" ht="25.5">
      <c r="A9950" s="449">
        <v>1907</v>
      </c>
      <c r="B9950" s="450" t="s">
        <v>10772</v>
      </c>
      <c r="C9950" s="449" t="s">
        <v>679</v>
      </c>
      <c r="D9950" s="451">
        <v>8.3800000000000008</v>
      </c>
      <c r="E9950" s="210"/>
    </row>
    <row r="9951" spans="1:5" ht="25.5">
      <c r="A9951" s="449">
        <v>1894</v>
      </c>
      <c r="B9951" s="450" t="s">
        <v>10773</v>
      </c>
      <c r="C9951" s="449" t="s">
        <v>679</v>
      </c>
      <c r="D9951" s="451">
        <v>3.77</v>
      </c>
      <c r="E9951" s="210"/>
    </row>
    <row r="9952" spans="1:5" ht="25.5">
      <c r="A9952" s="449">
        <v>1891</v>
      </c>
      <c r="B9952" s="450" t="s">
        <v>10774</v>
      </c>
      <c r="C9952" s="449" t="s">
        <v>679</v>
      </c>
      <c r="D9952" s="451">
        <v>0.87</v>
      </c>
      <c r="E9952" s="210"/>
    </row>
    <row r="9953" spans="1:5" ht="25.5">
      <c r="A9953" s="449">
        <v>1896</v>
      </c>
      <c r="B9953" s="450" t="s">
        <v>10775</v>
      </c>
      <c r="C9953" s="449" t="s">
        <v>679</v>
      </c>
      <c r="D9953" s="451">
        <v>11.25</v>
      </c>
      <c r="E9953" s="210"/>
    </row>
    <row r="9954" spans="1:5" ht="25.5">
      <c r="A9954" s="449">
        <v>1895</v>
      </c>
      <c r="B9954" s="450" t="s">
        <v>10776</v>
      </c>
      <c r="C9954" s="449" t="s">
        <v>679</v>
      </c>
      <c r="D9954" s="451">
        <v>19.78</v>
      </c>
      <c r="E9954" s="210"/>
    </row>
    <row r="9955" spans="1:5" ht="25.5">
      <c r="A9955" s="449">
        <v>2641</v>
      </c>
      <c r="B9955" s="450" t="s">
        <v>10777</v>
      </c>
      <c r="C9955" s="449" t="s">
        <v>679</v>
      </c>
      <c r="D9955" s="451">
        <v>25.34</v>
      </c>
      <c r="E9955" s="210"/>
    </row>
    <row r="9956" spans="1:5" ht="25.5">
      <c r="A9956" s="449">
        <v>2636</v>
      </c>
      <c r="B9956" s="450" t="s">
        <v>10778</v>
      </c>
      <c r="C9956" s="449" t="s">
        <v>679</v>
      </c>
      <c r="D9956" s="451">
        <v>1.63</v>
      </c>
      <c r="E9956" s="210"/>
    </row>
    <row r="9957" spans="1:5" ht="25.5">
      <c r="A9957" s="449">
        <v>2637</v>
      </c>
      <c r="B9957" s="450" t="s">
        <v>10779</v>
      </c>
      <c r="C9957" s="449" t="s">
        <v>679</v>
      </c>
      <c r="D9957" s="451">
        <v>1.73</v>
      </c>
      <c r="E9957" s="210"/>
    </row>
    <row r="9958" spans="1:5" ht="25.5">
      <c r="A9958" s="449">
        <v>2638</v>
      </c>
      <c r="B9958" s="450" t="s">
        <v>10780</v>
      </c>
      <c r="C9958" s="449" t="s">
        <v>679</v>
      </c>
      <c r="D9958" s="451">
        <v>2.02</v>
      </c>
      <c r="E9958" s="210"/>
    </row>
    <row r="9959" spans="1:5" ht="25.5">
      <c r="A9959" s="449">
        <v>2639</v>
      </c>
      <c r="B9959" s="450" t="s">
        <v>10781</v>
      </c>
      <c r="C9959" s="449" t="s">
        <v>679</v>
      </c>
      <c r="D9959" s="451">
        <v>3.58</v>
      </c>
      <c r="E9959" s="210"/>
    </row>
    <row r="9960" spans="1:5" ht="25.5">
      <c r="A9960" s="449">
        <v>2644</v>
      </c>
      <c r="B9960" s="450" t="s">
        <v>10782</v>
      </c>
      <c r="C9960" s="449" t="s">
        <v>679</v>
      </c>
      <c r="D9960" s="451">
        <v>5.18</v>
      </c>
      <c r="E9960" s="210"/>
    </row>
    <row r="9961" spans="1:5" ht="25.5">
      <c r="A9961" s="449">
        <v>2643</v>
      </c>
      <c r="B9961" s="450" t="s">
        <v>10783</v>
      </c>
      <c r="C9961" s="449" t="s">
        <v>679</v>
      </c>
      <c r="D9961" s="451">
        <v>7.22</v>
      </c>
      <c r="E9961" s="210"/>
    </row>
    <row r="9962" spans="1:5" ht="25.5">
      <c r="A9962" s="449">
        <v>2640</v>
      </c>
      <c r="B9962" s="450" t="s">
        <v>10784</v>
      </c>
      <c r="C9962" s="449" t="s">
        <v>679</v>
      </c>
      <c r="D9962" s="451">
        <v>10.55</v>
      </c>
      <c r="E9962" s="210"/>
    </row>
    <row r="9963" spans="1:5" ht="25.5">
      <c r="A9963" s="449">
        <v>2642</v>
      </c>
      <c r="B9963" s="450" t="s">
        <v>10785</v>
      </c>
      <c r="C9963" s="449" t="s">
        <v>679</v>
      </c>
      <c r="D9963" s="451">
        <v>16.059999999999999</v>
      </c>
      <c r="E9963" s="210"/>
    </row>
    <row r="9964" spans="1:5" ht="25.5">
      <c r="A9964" s="449">
        <v>38943</v>
      </c>
      <c r="B9964" s="450" t="s">
        <v>10786</v>
      </c>
      <c r="C9964" s="449" t="s">
        <v>679</v>
      </c>
      <c r="D9964" s="451">
        <v>6.93</v>
      </c>
      <c r="E9964" s="210"/>
    </row>
    <row r="9965" spans="1:5" ht="25.5">
      <c r="A9965" s="449">
        <v>38944</v>
      </c>
      <c r="B9965" s="450" t="s">
        <v>10787</v>
      </c>
      <c r="C9965" s="449" t="s">
        <v>679</v>
      </c>
      <c r="D9965" s="451">
        <v>10.72</v>
      </c>
      <c r="E9965" s="210"/>
    </row>
    <row r="9966" spans="1:5" ht="25.5">
      <c r="A9966" s="449">
        <v>38945</v>
      </c>
      <c r="B9966" s="450" t="s">
        <v>10788</v>
      </c>
      <c r="C9966" s="449" t="s">
        <v>679</v>
      </c>
      <c r="D9966" s="451">
        <v>21.74</v>
      </c>
      <c r="E9966" s="210"/>
    </row>
    <row r="9967" spans="1:5" ht="25.5">
      <c r="A9967" s="449">
        <v>38946</v>
      </c>
      <c r="B9967" s="450" t="s">
        <v>10789</v>
      </c>
      <c r="C9967" s="449" t="s">
        <v>679</v>
      </c>
      <c r="D9967" s="451">
        <v>32.42</v>
      </c>
      <c r="E9967" s="210"/>
    </row>
    <row r="9968" spans="1:5" ht="25.5">
      <c r="A9968" s="449">
        <v>39308</v>
      </c>
      <c r="B9968" s="450" t="s">
        <v>10790</v>
      </c>
      <c r="C9968" s="449" t="s">
        <v>679</v>
      </c>
      <c r="D9968" s="451">
        <v>14.14</v>
      </c>
      <c r="E9968" s="210"/>
    </row>
    <row r="9969" spans="1:5" ht="25.5">
      <c r="A9969" s="449">
        <v>39309</v>
      </c>
      <c r="B9969" s="450" t="s">
        <v>10791</v>
      </c>
      <c r="C9969" s="449" t="s">
        <v>679</v>
      </c>
      <c r="D9969" s="451">
        <v>20.45</v>
      </c>
      <c r="E9969" s="210"/>
    </row>
    <row r="9970" spans="1:5" ht="25.5">
      <c r="A9970" s="449">
        <v>39310</v>
      </c>
      <c r="B9970" s="450" t="s">
        <v>10792</v>
      </c>
      <c r="C9970" s="449" t="s">
        <v>679</v>
      </c>
      <c r="D9970" s="451">
        <v>30.98</v>
      </c>
      <c r="E9970" s="210"/>
    </row>
    <row r="9971" spans="1:5" ht="25.5">
      <c r="A9971" s="449">
        <v>39311</v>
      </c>
      <c r="B9971" s="450" t="s">
        <v>10793</v>
      </c>
      <c r="C9971" s="449" t="s">
        <v>679</v>
      </c>
      <c r="D9971" s="451">
        <v>46.56</v>
      </c>
      <c r="E9971" s="210"/>
    </row>
    <row r="9972" spans="1:5" ht="25.5">
      <c r="A9972" s="449">
        <v>39855</v>
      </c>
      <c r="B9972" s="450" t="s">
        <v>10794</v>
      </c>
      <c r="C9972" s="449" t="s">
        <v>679</v>
      </c>
      <c r="D9972" s="451">
        <v>3.02</v>
      </c>
      <c r="E9972" s="210"/>
    </row>
    <row r="9973" spans="1:5" ht="25.5">
      <c r="A9973" s="449">
        <v>39856</v>
      </c>
      <c r="B9973" s="450" t="s">
        <v>10795</v>
      </c>
      <c r="C9973" s="449" t="s">
        <v>679</v>
      </c>
      <c r="D9973" s="451">
        <v>7.11</v>
      </c>
      <c r="E9973" s="210"/>
    </row>
    <row r="9974" spans="1:5" ht="25.5">
      <c r="A9974" s="449">
        <v>39857</v>
      </c>
      <c r="B9974" s="450" t="s">
        <v>10796</v>
      </c>
      <c r="C9974" s="449" t="s">
        <v>679</v>
      </c>
      <c r="D9974" s="451">
        <v>11.51</v>
      </c>
      <c r="E9974" s="210"/>
    </row>
    <row r="9975" spans="1:5" ht="25.5">
      <c r="A9975" s="449">
        <v>39858</v>
      </c>
      <c r="B9975" s="450" t="s">
        <v>10797</v>
      </c>
      <c r="C9975" s="449" t="s">
        <v>679</v>
      </c>
      <c r="D9975" s="451">
        <v>25.55</v>
      </c>
      <c r="E9975" s="210"/>
    </row>
    <row r="9976" spans="1:5" ht="25.5">
      <c r="A9976" s="449">
        <v>39859</v>
      </c>
      <c r="B9976" s="450" t="s">
        <v>10798</v>
      </c>
      <c r="C9976" s="449" t="s">
        <v>679</v>
      </c>
      <c r="D9976" s="451">
        <v>39.380000000000003</v>
      </c>
      <c r="E9976" s="210"/>
    </row>
    <row r="9977" spans="1:5" ht="25.5">
      <c r="A9977" s="449">
        <v>39860</v>
      </c>
      <c r="B9977" s="450" t="s">
        <v>10799</v>
      </c>
      <c r="C9977" s="449" t="s">
        <v>679</v>
      </c>
      <c r="D9977" s="451">
        <v>60.43</v>
      </c>
      <c r="E9977" s="210"/>
    </row>
    <row r="9978" spans="1:5" ht="25.5">
      <c r="A9978" s="449">
        <v>39861</v>
      </c>
      <c r="B9978" s="450" t="s">
        <v>10800</v>
      </c>
      <c r="C9978" s="449" t="s">
        <v>679</v>
      </c>
      <c r="D9978" s="451">
        <v>172.54</v>
      </c>
      <c r="E9978" s="210"/>
    </row>
    <row r="9979" spans="1:5" ht="25.5">
      <c r="A9979" s="449">
        <v>38447</v>
      </c>
      <c r="B9979" s="450" t="s">
        <v>10801</v>
      </c>
      <c r="C9979" s="449" t="s">
        <v>679</v>
      </c>
      <c r="D9979" s="451">
        <v>129.41999999999999</v>
      </c>
      <c r="E9979" s="210"/>
    </row>
    <row r="9980" spans="1:5" ht="25.5">
      <c r="A9980" s="449">
        <v>36320</v>
      </c>
      <c r="B9980" s="450" t="s">
        <v>10802</v>
      </c>
      <c r="C9980" s="449" t="s">
        <v>679</v>
      </c>
      <c r="D9980" s="451">
        <v>1.87</v>
      </c>
      <c r="E9980" s="210"/>
    </row>
    <row r="9981" spans="1:5" ht="25.5">
      <c r="A9981" s="449">
        <v>36324</v>
      </c>
      <c r="B9981" s="450" t="s">
        <v>10803</v>
      </c>
      <c r="C9981" s="449" t="s">
        <v>679</v>
      </c>
      <c r="D9981" s="451">
        <v>2.84</v>
      </c>
      <c r="E9981" s="210"/>
    </row>
    <row r="9982" spans="1:5" ht="25.5">
      <c r="A9982" s="449">
        <v>38441</v>
      </c>
      <c r="B9982" s="450" t="s">
        <v>10804</v>
      </c>
      <c r="C9982" s="449" t="s">
        <v>679</v>
      </c>
      <c r="D9982" s="451">
        <v>3.73</v>
      </c>
      <c r="E9982" s="210"/>
    </row>
    <row r="9983" spans="1:5" ht="25.5">
      <c r="A9983" s="449">
        <v>38442</v>
      </c>
      <c r="B9983" s="450" t="s">
        <v>10805</v>
      </c>
      <c r="C9983" s="449" t="s">
        <v>679</v>
      </c>
      <c r="D9983" s="451">
        <v>9.49</v>
      </c>
      <c r="E9983" s="210"/>
    </row>
    <row r="9984" spans="1:5" ht="25.5">
      <c r="A9984" s="449">
        <v>38443</v>
      </c>
      <c r="B9984" s="450" t="s">
        <v>10806</v>
      </c>
      <c r="C9984" s="449" t="s">
        <v>679</v>
      </c>
      <c r="D9984" s="451">
        <v>14.33</v>
      </c>
      <c r="E9984" s="210"/>
    </row>
    <row r="9985" spans="1:5" ht="25.5">
      <c r="A9985" s="449">
        <v>38444</v>
      </c>
      <c r="B9985" s="450" t="s">
        <v>10807</v>
      </c>
      <c r="C9985" s="449" t="s">
        <v>679</v>
      </c>
      <c r="D9985" s="451">
        <v>21.34</v>
      </c>
      <c r="E9985" s="210"/>
    </row>
    <row r="9986" spans="1:5" ht="25.5">
      <c r="A9986" s="449">
        <v>38445</v>
      </c>
      <c r="B9986" s="450" t="s">
        <v>10808</v>
      </c>
      <c r="C9986" s="449" t="s">
        <v>679</v>
      </c>
      <c r="D9986" s="451">
        <v>50.12</v>
      </c>
      <c r="E9986" s="210"/>
    </row>
    <row r="9987" spans="1:5" ht="25.5">
      <c r="A9987" s="449">
        <v>38446</v>
      </c>
      <c r="B9987" s="450" t="s">
        <v>10809</v>
      </c>
      <c r="C9987" s="449" t="s">
        <v>679</v>
      </c>
      <c r="D9987" s="451">
        <v>80.88</v>
      </c>
      <c r="E9987" s="210"/>
    </row>
    <row r="9988" spans="1:5" ht="25.5">
      <c r="A9988" s="449">
        <v>3867</v>
      </c>
      <c r="B9988" s="450" t="s">
        <v>10810</v>
      </c>
      <c r="C9988" s="449" t="s">
        <v>679</v>
      </c>
      <c r="D9988" s="451">
        <v>76.03</v>
      </c>
      <c r="E9988" s="210"/>
    </row>
    <row r="9989" spans="1:5" ht="25.5">
      <c r="A9989" s="449">
        <v>3861</v>
      </c>
      <c r="B9989" s="450" t="s">
        <v>10811</v>
      </c>
      <c r="C9989" s="449" t="s">
        <v>679</v>
      </c>
      <c r="D9989" s="451">
        <v>0.63</v>
      </c>
      <c r="E9989" s="210"/>
    </row>
    <row r="9990" spans="1:5" ht="25.5">
      <c r="A9990" s="449">
        <v>3904</v>
      </c>
      <c r="B9990" s="450" t="s">
        <v>10812</v>
      </c>
      <c r="C9990" s="449" t="s">
        <v>679</v>
      </c>
      <c r="D9990" s="451">
        <v>0.77</v>
      </c>
      <c r="E9990" s="210"/>
    </row>
    <row r="9991" spans="1:5" ht="25.5">
      <c r="A9991" s="449">
        <v>3903</v>
      </c>
      <c r="B9991" s="450" t="s">
        <v>10813</v>
      </c>
      <c r="C9991" s="449" t="s">
        <v>679</v>
      </c>
      <c r="D9991" s="451">
        <v>1.89</v>
      </c>
      <c r="E9991" s="210"/>
    </row>
    <row r="9992" spans="1:5" ht="25.5">
      <c r="A9992" s="449">
        <v>3862</v>
      </c>
      <c r="B9992" s="450" t="s">
        <v>10814</v>
      </c>
      <c r="C9992" s="449" t="s">
        <v>679</v>
      </c>
      <c r="D9992" s="451">
        <v>3.85</v>
      </c>
      <c r="E9992" s="210"/>
    </row>
    <row r="9993" spans="1:5" ht="25.5">
      <c r="A9993" s="449">
        <v>3863</v>
      </c>
      <c r="B9993" s="450" t="s">
        <v>10815</v>
      </c>
      <c r="C9993" s="449" t="s">
        <v>679</v>
      </c>
      <c r="D9993" s="451">
        <v>4.5199999999999996</v>
      </c>
      <c r="E9993" s="210"/>
    </row>
    <row r="9994" spans="1:5" ht="25.5">
      <c r="A9994" s="449">
        <v>3864</v>
      </c>
      <c r="B9994" s="450" t="s">
        <v>10816</v>
      </c>
      <c r="C9994" s="449" t="s">
        <v>679</v>
      </c>
      <c r="D9994" s="451">
        <v>11.77</v>
      </c>
      <c r="E9994" s="210"/>
    </row>
    <row r="9995" spans="1:5" ht="25.5">
      <c r="A9995" s="449">
        <v>3865</v>
      </c>
      <c r="B9995" s="450" t="s">
        <v>10817</v>
      </c>
      <c r="C9995" s="449" t="s">
        <v>679</v>
      </c>
      <c r="D9995" s="451">
        <v>20.48</v>
      </c>
      <c r="E9995" s="210"/>
    </row>
    <row r="9996" spans="1:5" ht="25.5">
      <c r="A9996" s="449">
        <v>3866</v>
      </c>
      <c r="B9996" s="450" t="s">
        <v>10818</v>
      </c>
      <c r="C9996" s="449" t="s">
        <v>679</v>
      </c>
      <c r="D9996" s="451">
        <v>46.87</v>
      </c>
      <c r="E9996" s="210"/>
    </row>
    <row r="9997" spans="1:5" ht="25.5">
      <c r="A9997" s="449">
        <v>3902</v>
      </c>
      <c r="B9997" s="450" t="s">
        <v>10819</v>
      </c>
      <c r="C9997" s="449" t="s">
        <v>679</v>
      </c>
      <c r="D9997" s="451">
        <v>22.79</v>
      </c>
      <c r="E9997" s="210"/>
    </row>
    <row r="9998" spans="1:5" ht="25.5">
      <c r="A9998" s="449">
        <v>3878</v>
      </c>
      <c r="B9998" s="450" t="s">
        <v>10820</v>
      </c>
      <c r="C9998" s="449" t="s">
        <v>679</v>
      </c>
      <c r="D9998" s="451">
        <v>7.2</v>
      </c>
      <c r="E9998" s="210"/>
    </row>
    <row r="9999" spans="1:5" ht="25.5">
      <c r="A9999" s="449">
        <v>3877</v>
      </c>
      <c r="B9999" s="450" t="s">
        <v>10821</v>
      </c>
      <c r="C9999" s="449" t="s">
        <v>679</v>
      </c>
      <c r="D9999" s="451">
        <v>6.58</v>
      </c>
      <c r="E9999" s="210"/>
    </row>
    <row r="10000" spans="1:5">
      <c r="A10000" s="449">
        <v>3879</v>
      </c>
      <c r="B10000" s="450" t="s">
        <v>10822</v>
      </c>
      <c r="C10000" s="449" t="s">
        <v>679</v>
      </c>
      <c r="D10000" s="451">
        <v>14.53</v>
      </c>
      <c r="E10000" s="210"/>
    </row>
    <row r="10001" spans="1:5">
      <c r="A10001" s="449">
        <v>3880</v>
      </c>
      <c r="B10001" s="450" t="s">
        <v>10823</v>
      </c>
      <c r="C10001" s="449" t="s">
        <v>679</v>
      </c>
      <c r="D10001" s="451">
        <v>32.78</v>
      </c>
      <c r="E10001" s="210"/>
    </row>
    <row r="10002" spans="1:5" ht="25.5">
      <c r="A10002" s="449">
        <v>12892</v>
      </c>
      <c r="B10002" s="450" t="s">
        <v>10824</v>
      </c>
      <c r="C10002" s="449" t="s">
        <v>690</v>
      </c>
      <c r="D10002" s="451">
        <v>12.78</v>
      </c>
      <c r="E10002" s="210"/>
    </row>
    <row r="10003" spans="1:5">
      <c r="A10003" s="449">
        <v>3883</v>
      </c>
      <c r="B10003" s="450" t="s">
        <v>10825</v>
      </c>
      <c r="C10003" s="449" t="s">
        <v>679</v>
      </c>
      <c r="D10003" s="451">
        <v>1.51</v>
      </c>
      <c r="E10003" s="210"/>
    </row>
    <row r="10004" spans="1:5">
      <c r="A10004" s="449">
        <v>3876</v>
      </c>
      <c r="B10004" s="450" t="s">
        <v>10826</v>
      </c>
      <c r="C10004" s="449" t="s">
        <v>679</v>
      </c>
      <c r="D10004" s="451">
        <v>3.79</v>
      </c>
      <c r="E10004" s="210"/>
    </row>
    <row r="10005" spans="1:5">
      <c r="A10005" s="449">
        <v>3884</v>
      </c>
      <c r="B10005" s="450" t="s">
        <v>10827</v>
      </c>
      <c r="C10005" s="449" t="s">
        <v>679</v>
      </c>
      <c r="D10005" s="451">
        <v>2.27</v>
      </c>
      <c r="E10005" s="210"/>
    </row>
    <row r="10006" spans="1:5" ht="25.5">
      <c r="A10006" s="449">
        <v>3837</v>
      </c>
      <c r="B10006" s="450" t="s">
        <v>10828</v>
      </c>
      <c r="C10006" s="449" t="s">
        <v>679</v>
      </c>
      <c r="D10006" s="451">
        <v>50.85</v>
      </c>
      <c r="E10006" s="210"/>
    </row>
    <row r="10007" spans="1:5" ht="25.5">
      <c r="A10007" s="449">
        <v>3845</v>
      </c>
      <c r="B10007" s="450" t="s">
        <v>10829</v>
      </c>
      <c r="C10007" s="449" t="s">
        <v>679</v>
      </c>
      <c r="D10007" s="451">
        <v>18.579999999999998</v>
      </c>
      <c r="E10007" s="210"/>
    </row>
    <row r="10008" spans="1:5" ht="25.5">
      <c r="A10008" s="449">
        <v>11045</v>
      </c>
      <c r="B10008" s="450" t="s">
        <v>10830</v>
      </c>
      <c r="C10008" s="449" t="s">
        <v>679</v>
      </c>
      <c r="D10008" s="451">
        <v>35.83</v>
      </c>
      <c r="E10008" s="210"/>
    </row>
    <row r="10009" spans="1:5" ht="25.5">
      <c r="A10009" s="449">
        <v>20170</v>
      </c>
      <c r="B10009" s="450" t="s">
        <v>10831</v>
      </c>
      <c r="C10009" s="449" t="s">
        <v>679</v>
      </c>
      <c r="D10009" s="451">
        <v>13.22</v>
      </c>
      <c r="E10009" s="210"/>
    </row>
    <row r="10010" spans="1:5" ht="25.5">
      <c r="A10010" s="449">
        <v>20171</v>
      </c>
      <c r="B10010" s="450" t="s">
        <v>10832</v>
      </c>
      <c r="C10010" s="449" t="s">
        <v>679</v>
      </c>
      <c r="D10010" s="451">
        <v>39.270000000000003</v>
      </c>
      <c r="E10010" s="210"/>
    </row>
    <row r="10011" spans="1:5" ht="25.5">
      <c r="A10011" s="449">
        <v>20167</v>
      </c>
      <c r="B10011" s="450" t="s">
        <v>10833</v>
      </c>
      <c r="C10011" s="449" t="s">
        <v>679</v>
      </c>
      <c r="D10011" s="451">
        <v>4.91</v>
      </c>
      <c r="E10011" s="210"/>
    </row>
    <row r="10012" spans="1:5" ht="25.5">
      <c r="A10012" s="449">
        <v>20168</v>
      </c>
      <c r="B10012" s="450" t="s">
        <v>10834</v>
      </c>
      <c r="C10012" s="449" t="s">
        <v>679</v>
      </c>
      <c r="D10012" s="451">
        <v>7.7</v>
      </c>
      <c r="E10012" s="210"/>
    </row>
    <row r="10013" spans="1:5" ht="25.5">
      <c r="A10013" s="449">
        <v>20169</v>
      </c>
      <c r="B10013" s="450" t="s">
        <v>10835</v>
      </c>
      <c r="C10013" s="449" t="s">
        <v>679</v>
      </c>
      <c r="D10013" s="451">
        <v>10.9</v>
      </c>
      <c r="E10013" s="210"/>
    </row>
    <row r="10014" spans="1:5" ht="25.5">
      <c r="A10014" s="449">
        <v>3899</v>
      </c>
      <c r="B10014" s="450" t="s">
        <v>10836</v>
      </c>
      <c r="C10014" s="449" t="s">
        <v>679</v>
      </c>
      <c r="D10014" s="451">
        <v>5.77</v>
      </c>
      <c r="E10014" s="210"/>
    </row>
    <row r="10015" spans="1:5" ht="25.5">
      <c r="A10015" s="449">
        <v>38676</v>
      </c>
      <c r="B10015" s="450" t="s">
        <v>10837</v>
      </c>
      <c r="C10015" s="449" t="s">
        <v>679</v>
      </c>
      <c r="D10015" s="451">
        <v>27.94</v>
      </c>
      <c r="E10015" s="210"/>
    </row>
    <row r="10016" spans="1:5" ht="25.5">
      <c r="A10016" s="449">
        <v>3897</v>
      </c>
      <c r="B10016" s="450" t="s">
        <v>10838</v>
      </c>
      <c r="C10016" s="449" t="s">
        <v>679</v>
      </c>
      <c r="D10016" s="451">
        <v>1.21</v>
      </c>
      <c r="E10016" s="210"/>
    </row>
    <row r="10017" spans="1:5" ht="25.5">
      <c r="A10017" s="449">
        <v>3875</v>
      </c>
      <c r="B10017" s="450" t="s">
        <v>10839</v>
      </c>
      <c r="C10017" s="449" t="s">
        <v>679</v>
      </c>
      <c r="D10017" s="451">
        <v>2.63</v>
      </c>
      <c r="E10017" s="210"/>
    </row>
    <row r="10018" spans="1:5" ht="25.5">
      <c r="A10018" s="449">
        <v>3898</v>
      </c>
      <c r="B10018" s="450" t="s">
        <v>10840</v>
      </c>
      <c r="C10018" s="449" t="s">
        <v>679</v>
      </c>
      <c r="D10018" s="451">
        <v>4.9800000000000004</v>
      </c>
      <c r="E10018" s="210"/>
    </row>
    <row r="10019" spans="1:5" ht="25.5">
      <c r="A10019" s="449">
        <v>3855</v>
      </c>
      <c r="B10019" s="450" t="s">
        <v>10841</v>
      </c>
      <c r="C10019" s="449" t="s">
        <v>679</v>
      </c>
      <c r="D10019" s="451">
        <v>5.03</v>
      </c>
      <c r="E10019" s="210"/>
    </row>
    <row r="10020" spans="1:5" ht="25.5">
      <c r="A10020" s="449">
        <v>3874</v>
      </c>
      <c r="B10020" s="450" t="s">
        <v>10842</v>
      </c>
      <c r="C10020" s="449" t="s">
        <v>679</v>
      </c>
      <c r="D10020" s="451">
        <v>5.34</v>
      </c>
      <c r="E10020" s="210"/>
    </row>
    <row r="10021" spans="1:5" ht="25.5">
      <c r="A10021" s="449">
        <v>3870</v>
      </c>
      <c r="B10021" s="450" t="s">
        <v>10843</v>
      </c>
      <c r="C10021" s="449" t="s">
        <v>679</v>
      </c>
      <c r="D10021" s="451">
        <v>6.63</v>
      </c>
      <c r="E10021" s="210"/>
    </row>
    <row r="10022" spans="1:5" ht="25.5">
      <c r="A10022" s="449">
        <v>38678</v>
      </c>
      <c r="B10022" s="450" t="s">
        <v>10844</v>
      </c>
      <c r="C10022" s="449" t="s">
        <v>679</v>
      </c>
      <c r="D10022" s="451">
        <v>18.05</v>
      </c>
      <c r="E10022" s="210"/>
    </row>
    <row r="10023" spans="1:5" ht="25.5">
      <c r="A10023" s="449">
        <v>3859</v>
      </c>
      <c r="B10023" s="450" t="s">
        <v>10845</v>
      </c>
      <c r="C10023" s="449" t="s">
        <v>679</v>
      </c>
      <c r="D10023" s="451">
        <v>1.33</v>
      </c>
      <c r="E10023" s="210"/>
    </row>
    <row r="10024" spans="1:5" ht="25.5">
      <c r="A10024" s="449">
        <v>3856</v>
      </c>
      <c r="B10024" s="450" t="s">
        <v>10846</v>
      </c>
      <c r="C10024" s="449" t="s">
        <v>679</v>
      </c>
      <c r="D10024" s="451">
        <v>1.69</v>
      </c>
      <c r="E10024" s="210"/>
    </row>
    <row r="10025" spans="1:5" ht="25.5">
      <c r="A10025" s="449">
        <v>3906</v>
      </c>
      <c r="B10025" s="450" t="s">
        <v>10847</v>
      </c>
      <c r="C10025" s="449" t="s">
        <v>679</v>
      </c>
      <c r="D10025" s="451">
        <v>1.6</v>
      </c>
      <c r="E10025" s="210"/>
    </row>
    <row r="10026" spans="1:5" ht="25.5">
      <c r="A10026" s="449">
        <v>3860</v>
      </c>
      <c r="B10026" s="450" t="s">
        <v>10848</v>
      </c>
      <c r="C10026" s="449" t="s">
        <v>679</v>
      </c>
      <c r="D10026" s="451">
        <v>5.25</v>
      </c>
      <c r="E10026" s="210"/>
    </row>
    <row r="10027" spans="1:5" ht="25.5">
      <c r="A10027" s="449">
        <v>3905</v>
      </c>
      <c r="B10027" s="450" t="s">
        <v>10849</v>
      </c>
      <c r="C10027" s="449" t="s">
        <v>679</v>
      </c>
      <c r="D10027" s="451">
        <v>11.61</v>
      </c>
      <c r="E10027" s="210"/>
    </row>
    <row r="10028" spans="1:5" ht="25.5">
      <c r="A10028" s="449">
        <v>3871</v>
      </c>
      <c r="B10028" s="450" t="s">
        <v>10850</v>
      </c>
      <c r="C10028" s="449" t="s">
        <v>679</v>
      </c>
      <c r="D10028" s="451">
        <v>24.11</v>
      </c>
      <c r="E10028" s="210"/>
    </row>
    <row r="10029" spans="1:5" ht="25.5">
      <c r="A10029" s="449">
        <v>37429</v>
      </c>
      <c r="B10029" s="450" t="s">
        <v>10851</v>
      </c>
      <c r="C10029" s="449" t="s">
        <v>679</v>
      </c>
      <c r="D10029" s="451">
        <v>3178.65</v>
      </c>
      <c r="E10029" s="210"/>
    </row>
    <row r="10030" spans="1:5" ht="25.5">
      <c r="A10030" s="449">
        <v>37426</v>
      </c>
      <c r="B10030" s="450" t="s">
        <v>10852</v>
      </c>
      <c r="C10030" s="449" t="s">
        <v>679</v>
      </c>
      <c r="D10030" s="451">
        <v>30.57</v>
      </c>
      <c r="E10030" s="210"/>
    </row>
    <row r="10031" spans="1:5" ht="25.5">
      <c r="A10031" s="449">
        <v>37427</v>
      </c>
      <c r="B10031" s="450" t="s">
        <v>10853</v>
      </c>
      <c r="C10031" s="449" t="s">
        <v>679</v>
      </c>
      <c r="D10031" s="451">
        <v>72.94</v>
      </c>
      <c r="E10031" s="210"/>
    </row>
    <row r="10032" spans="1:5" ht="25.5">
      <c r="A10032" s="449">
        <v>37424</v>
      </c>
      <c r="B10032" s="450" t="s">
        <v>10854</v>
      </c>
      <c r="C10032" s="449" t="s">
        <v>679</v>
      </c>
      <c r="D10032" s="451">
        <v>14.05</v>
      </c>
      <c r="E10032" s="210"/>
    </row>
    <row r="10033" spans="1:5" ht="25.5">
      <c r="A10033" s="449">
        <v>37428</v>
      </c>
      <c r="B10033" s="450" t="s">
        <v>10855</v>
      </c>
      <c r="C10033" s="449" t="s">
        <v>679</v>
      </c>
      <c r="D10033" s="451">
        <v>251.36</v>
      </c>
      <c r="E10033" s="210"/>
    </row>
    <row r="10034" spans="1:5" ht="25.5">
      <c r="A10034" s="449">
        <v>37425</v>
      </c>
      <c r="B10034" s="450" t="s">
        <v>10856</v>
      </c>
      <c r="C10034" s="449" t="s">
        <v>679</v>
      </c>
      <c r="D10034" s="451">
        <v>15.14</v>
      </c>
      <c r="E10034" s="210"/>
    </row>
    <row r="10035" spans="1:5" ht="38.25">
      <c r="A10035" s="449">
        <v>11519</v>
      </c>
      <c r="B10035" s="450" t="s">
        <v>10857</v>
      </c>
      <c r="C10035" s="449" t="s">
        <v>690</v>
      </c>
      <c r="D10035" s="451">
        <v>42.62</v>
      </c>
      <c r="E10035" s="210"/>
    </row>
    <row r="10036" spans="1:5" ht="51">
      <c r="A10036" s="449">
        <v>11520</v>
      </c>
      <c r="B10036" s="450" t="s">
        <v>10858</v>
      </c>
      <c r="C10036" s="449" t="s">
        <v>690</v>
      </c>
      <c r="D10036" s="451">
        <v>19.7</v>
      </c>
      <c r="E10036" s="210"/>
    </row>
    <row r="10037" spans="1:5" ht="25.5">
      <c r="A10037" s="449">
        <v>11518</v>
      </c>
      <c r="B10037" s="450" t="s">
        <v>10859</v>
      </c>
      <c r="C10037" s="449" t="s">
        <v>690</v>
      </c>
      <c r="D10037" s="451">
        <v>71.64</v>
      </c>
      <c r="E10037" s="210"/>
    </row>
    <row r="10038" spans="1:5" ht="25.5">
      <c r="A10038" s="449">
        <v>38473</v>
      </c>
      <c r="B10038" s="450" t="s">
        <v>10860</v>
      </c>
      <c r="C10038" s="449" t="s">
        <v>679</v>
      </c>
      <c r="D10038" s="451">
        <v>107.91</v>
      </c>
      <c r="E10038" s="210"/>
    </row>
    <row r="10039" spans="1:5">
      <c r="A10039" s="449">
        <v>4244</v>
      </c>
      <c r="B10039" s="450" t="s">
        <v>10861</v>
      </c>
      <c r="C10039" s="449" t="s">
        <v>682</v>
      </c>
      <c r="D10039" s="451">
        <v>13.81</v>
      </c>
      <c r="E10039" s="210"/>
    </row>
    <row r="10040" spans="1:5">
      <c r="A10040" s="449">
        <v>40977</v>
      </c>
      <c r="B10040" s="450" t="s">
        <v>10862</v>
      </c>
      <c r="C10040" s="449" t="s">
        <v>797</v>
      </c>
      <c r="D10040" s="451">
        <v>2449.88</v>
      </c>
      <c r="E10040" s="210"/>
    </row>
    <row r="10041" spans="1:5" ht="38.25">
      <c r="A10041" s="449">
        <v>4115</v>
      </c>
      <c r="B10041" s="450" t="s">
        <v>10863</v>
      </c>
      <c r="C10041" s="449" t="s">
        <v>683</v>
      </c>
      <c r="D10041" s="451">
        <v>19.84</v>
      </c>
      <c r="E10041" s="210"/>
    </row>
    <row r="10042" spans="1:5" ht="38.25">
      <c r="A10042" s="449">
        <v>4119</v>
      </c>
      <c r="B10042" s="450" t="s">
        <v>10864</v>
      </c>
      <c r="C10042" s="449" t="s">
        <v>683</v>
      </c>
      <c r="D10042" s="451">
        <v>40.08</v>
      </c>
      <c r="E10042" s="210"/>
    </row>
    <row r="10043" spans="1:5" ht="38.25">
      <c r="A10043" s="449">
        <v>2794</v>
      </c>
      <c r="B10043" s="450" t="s">
        <v>10865</v>
      </c>
      <c r="C10043" s="449" t="s">
        <v>683</v>
      </c>
      <c r="D10043" s="451">
        <v>106.32</v>
      </c>
      <c r="E10043" s="210"/>
    </row>
    <row r="10044" spans="1:5" ht="38.25">
      <c r="A10044" s="449">
        <v>2788</v>
      </c>
      <c r="B10044" s="450" t="s">
        <v>10866</v>
      </c>
      <c r="C10044" s="449" t="s">
        <v>683</v>
      </c>
      <c r="D10044" s="451">
        <v>154.88999999999999</v>
      </c>
      <c r="E10044" s="210"/>
    </row>
    <row r="10045" spans="1:5" ht="25.5">
      <c r="A10045" s="449">
        <v>4006</v>
      </c>
      <c r="B10045" s="450" t="s">
        <v>10867</v>
      </c>
      <c r="C10045" s="449" t="s">
        <v>677</v>
      </c>
      <c r="D10045" s="451">
        <v>1832.51</v>
      </c>
      <c r="E10045" s="210"/>
    </row>
    <row r="10046" spans="1:5">
      <c r="A10046" s="449">
        <v>36151</v>
      </c>
      <c r="B10046" s="450" t="s">
        <v>10868</v>
      </c>
      <c r="C10046" s="449" t="s">
        <v>679</v>
      </c>
      <c r="D10046" s="451">
        <v>28.4</v>
      </c>
      <c r="E10046" s="210"/>
    </row>
    <row r="10047" spans="1:5" ht="25.5">
      <c r="A10047" s="449">
        <v>37457</v>
      </c>
      <c r="B10047" s="450" t="s">
        <v>10869</v>
      </c>
      <c r="C10047" s="449" t="s">
        <v>683</v>
      </c>
      <c r="D10047" s="451">
        <v>3.29</v>
      </c>
      <c r="E10047" s="210"/>
    </row>
    <row r="10048" spans="1:5" ht="25.5">
      <c r="A10048" s="449">
        <v>37456</v>
      </c>
      <c r="B10048" s="450" t="s">
        <v>10870</v>
      </c>
      <c r="C10048" s="449" t="s">
        <v>683</v>
      </c>
      <c r="D10048" s="451">
        <v>1.73</v>
      </c>
      <c r="E10048" s="210"/>
    </row>
    <row r="10049" spans="1:5" ht="38.25">
      <c r="A10049" s="449">
        <v>37461</v>
      </c>
      <c r="B10049" s="450" t="s">
        <v>10871</v>
      </c>
      <c r="C10049" s="449" t="s">
        <v>683</v>
      </c>
      <c r="D10049" s="451">
        <v>12.21</v>
      </c>
      <c r="E10049" s="210"/>
    </row>
    <row r="10050" spans="1:5" ht="38.25">
      <c r="A10050" s="449">
        <v>37460</v>
      </c>
      <c r="B10050" s="450" t="s">
        <v>10872</v>
      </c>
      <c r="C10050" s="449" t="s">
        <v>683</v>
      </c>
      <c r="D10050" s="451">
        <v>16.68</v>
      </c>
      <c r="E10050" s="210"/>
    </row>
    <row r="10051" spans="1:5" ht="25.5">
      <c r="A10051" s="449">
        <v>37458</v>
      </c>
      <c r="B10051" s="450" t="s">
        <v>10873</v>
      </c>
      <c r="C10051" s="449" t="s">
        <v>683</v>
      </c>
      <c r="D10051" s="451">
        <v>4.8899999999999997</v>
      </c>
      <c r="E10051" s="210"/>
    </row>
    <row r="10052" spans="1:5" ht="25.5">
      <c r="A10052" s="449">
        <v>37454</v>
      </c>
      <c r="B10052" s="450" t="s">
        <v>10874</v>
      </c>
      <c r="C10052" s="449" t="s">
        <v>683</v>
      </c>
      <c r="D10052" s="451">
        <v>1.28</v>
      </c>
      <c r="E10052" s="210"/>
    </row>
    <row r="10053" spans="1:5" ht="25.5">
      <c r="A10053" s="449">
        <v>37455</v>
      </c>
      <c r="B10053" s="450" t="s">
        <v>10875</v>
      </c>
      <c r="C10053" s="449" t="s">
        <v>683</v>
      </c>
      <c r="D10053" s="451">
        <v>2.16</v>
      </c>
      <c r="E10053" s="210"/>
    </row>
    <row r="10054" spans="1:5" ht="25.5">
      <c r="A10054" s="449">
        <v>37459</v>
      </c>
      <c r="B10054" s="450" t="s">
        <v>10876</v>
      </c>
      <c r="C10054" s="449" t="s">
        <v>683</v>
      </c>
      <c r="D10054" s="451">
        <v>6.86</v>
      </c>
      <c r="E10054" s="210"/>
    </row>
    <row r="10055" spans="1:5" ht="51">
      <c r="A10055" s="449">
        <v>21029</v>
      </c>
      <c r="B10055" s="450" t="s">
        <v>10877</v>
      </c>
      <c r="C10055" s="449" t="s">
        <v>679</v>
      </c>
      <c r="D10055" s="451">
        <v>328.5</v>
      </c>
      <c r="E10055" s="210"/>
    </row>
    <row r="10056" spans="1:5" ht="51">
      <c r="A10056" s="449">
        <v>21030</v>
      </c>
      <c r="B10056" s="450" t="s">
        <v>10878</v>
      </c>
      <c r="C10056" s="449" t="s">
        <v>679</v>
      </c>
      <c r="D10056" s="451">
        <v>404.93</v>
      </c>
      <c r="E10056" s="210"/>
    </row>
    <row r="10057" spans="1:5" ht="51">
      <c r="A10057" s="449">
        <v>21031</v>
      </c>
      <c r="B10057" s="450" t="s">
        <v>10879</v>
      </c>
      <c r="C10057" s="449" t="s">
        <v>679</v>
      </c>
      <c r="D10057" s="451">
        <v>504.13</v>
      </c>
      <c r="E10057" s="210"/>
    </row>
    <row r="10058" spans="1:5" ht="51">
      <c r="A10058" s="449">
        <v>21032</v>
      </c>
      <c r="B10058" s="450" t="s">
        <v>10880</v>
      </c>
      <c r="C10058" s="449" t="s">
        <v>679</v>
      </c>
      <c r="D10058" s="451">
        <v>538.28</v>
      </c>
      <c r="E10058" s="210"/>
    </row>
    <row r="10059" spans="1:5" ht="51">
      <c r="A10059" s="449">
        <v>37527</v>
      </c>
      <c r="B10059" s="450" t="s">
        <v>10881</v>
      </c>
      <c r="C10059" s="449" t="s">
        <v>679</v>
      </c>
      <c r="D10059" s="451">
        <v>486.24</v>
      </c>
      <c r="E10059" s="210"/>
    </row>
    <row r="10060" spans="1:5" ht="51">
      <c r="A10060" s="449">
        <v>37528</v>
      </c>
      <c r="B10060" s="450" t="s">
        <v>10882</v>
      </c>
      <c r="C10060" s="449" t="s">
        <v>679</v>
      </c>
      <c r="D10060" s="451">
        <v>579.75</v>
      </c>
      <c r="E10060" s="210"/>
    </row>
    <row r="10061" spans="1:5" ht="51">
      <c r="A10061" s="449">
        <v>37529</v>
      </c>
      <c r="B10061" s="450" t="s">
        <v>10883</v>
      </c>
      <c r="C10061" s="449" t="s">
        <v>679</v>
      </c>
      <c r="D10061" s="451">
        <v>585.44000000000005</v>
      </c>
      <c r="E10061" s="210"/>
    </row>
    <row r="10062" spans="1:5" ht="51">
      <c r="A10062" s="449">
        <v>37530</v>
      </c>
      <c r="B10062" s="450" t="s">
        <v>10884</v>
      </c>
      <c r="C10062" s="449" t="s">
        <v>679</v>
      </c>
      <c r="D10062" s="451">
        <v>764.33</v>
      </c>
      <c r="E10062" s="210"/>
    </row>
    <row r="10063" spans="1:5" ht="51">
      <c r="A10063" s="449">
        <v>21034</v>
      </c>
      <c r="B10063" s="450" t="s">
        <v>10885</v>
      </c>
      <c r="C10063" s="449" t="s">
        <v>679</v>
      </c>
      <c r="D10063" s="451">
        <v>652.12</v>
      </c>
      <c r="E10063" s="210"/>
    </row>
    <row r="10064" spans="1:5" ht="51">
      <c r="A10064" s="449">
        <v>37531</v>
      </c>
      <c r="B10064" s="450" t="s">
        <v>10886</v>
      </c>
      <c r="C10064" s="449" t="s">
        <v>679</v>
      </c>
      <c r="D10064" s="451">
        <v>821.25</v>
      </c>
      <c r="E10064" s="210"/>
    </row>
    <row r="10065" spans="1:5" ht="51">
      <c r="A10065" s="449">
        <v>21036</v>
      </c>
      <c r="B10065" s="450" t="s">
        <v>10887</v>
      </c>
      <c r="C10065" s="449" t="s">
        <v>679</v>
      </c>
      <c r="D10065" s="451">
        <v>998.5</v>
      </c>
      <c r="E10065" s="210"/>
    </row>
    <row r="10066" spans="1:5" ht="51">
      <c r="A10066" s="449">
        <v>21037</v>
      </c>
      <c r="B10066" s="450" t="s">
        <v>10888</v>
      </c>
      <c r="C10066" s="449" t="s">
        <v>679</v>
      </c>
      <c r="D10066" s="451">
        <v>1138.3599999999999</v>
      </c>
      <c r="E10066" s="210"/>
    </row>
    <row r="10067" spans="1:5" ht="51">
      <c r="A10067" s="449">
        <v>20185</v>
      </c>
      <c r="B10067" s="450" t="s">
        <v>10889</v>
      </c>
      <c r="C10067" s="449" t="s">
        <v>683</v>
      </c>
      <c r="D10067" s="451">
        <v>19.86</v>
      </c>
      <c r="E10067" s="210"/>
    </row>
    <row r="10068" spans="1:5" ht="38.25">
      <c r="A10068" s="449">
        <v>20260</v>
      </c>
      <c r="B10068" s="450" t="s">
        <v>10890</v>
      </c>
      <c r="C10068" s="449" t="s">
        <v>679</v>
      </c>
      <c r="D10068" s="451">
        <v>15.97</v>
      </c>
      <c r="E10068" s="210"/>
    </row>
    <row r="10069" spans="1:5" ht="38.25">
      <c r="A10069" s="449">
        <v>37523</v>
      </c>
      <c r="B10069" s="450" t="s">
        <v>10891</v>
      </c>
      <c r="C10069" s="449" t="s">
        <v>679</v>
      </c>
      <c r="D10069" s="451">
        <v>451380.11</v>
      </c>
      <c r="E10069" s="210"/>
    </row>
    <row r="10070" spans="1:5" ht="38.25">
      <c r="A10070" s="449">
        <v>37515</v>
      </c>
      <c r="B10070" s="450" t="s">
        <v>10892</v>
      </c>
      <c r="C10070" s="449" t="s">
        <v>679</v>
      </c>
      <c r="D10070" s="451">
        <v>401300</v>
      </c>
      <c r="E10070" s="210"/>
    </row>
    <row r="10071" spans="1:5" ht="38.25">
      <c r="A10071" s="449">
        <v>12899</v>
      </c>
      <c r="B10071" s="450" t="s">
        <v>10893</v>
      </c>
      <c r="C10071" s="449" t="s">
        <v>679</v>
      </c>
      <c r="D10071" s="451">
        <v>90.15</v>
      </c>
      <c r="E10071" s="210"/>
    </row>
    <row r="10072" spans="1:5" ht="38.25">
      <c r="A10072" s="449">
        <v>12898</v>
      </c>
      <c r="B10072" s="450" t="s">
        <v>10894</v>
      </c>
      <c r="C10072" s="449" t="s">
        <v>679</v>
      </c>
      <c r="D10072" s="451">
        <v>143</v>
      </c>
      <c r="E10072" s="210"/>
    </row>
    <row r="10073" spans="1:5" ht="25.5">
      <c r="A10073" s="449">
        <v>42528</v>
      </c>
      <c r="B10073" s="450" t="s">
        <v>10895</v>
      </c>
      <c r="C10073" s="449" t="s">
        <v>684</v>
      </c>
      <c r="D10073" s="451">
        <v>8.94</v>
      </c>
      <c r="E10073" s="210"/>
    </row>
    <row r="10074" spans="1:5" ht="25.5">
      <c r="A10074" s="449">
        <v>39696</v>
      </c>
      <c r="B10074" s="450" t="s">
        <v>10896</v>
      </c>
      <c r="C10074" s="449" t="s">
        <v>684</v>
      </c>
      <c r="D10074" s="451">
        <v>6.29</v>
      </c>
      <c r="E10074" s="210"/>
    </row>
    <row r="10075" spans="1:5" ht="25.5">
      <c r="A10075" s="449">
        <v>39700</v>
      </c>
      <c r="B10075" s="450" t="s">
        <v>10897</v>
      </c>
      <c r="C10075" s="449" t="s">
        <v>684</v>
      </c>
      <c r="D10075" s="451">
        <v>24.78</v>
      </c>
      <c r="E10075" s="210"/>
    </row>
    <row r="10076" spans="1:5" ht="38.25">
      <c r="A10076" s="449">
        <v>11621</v>
      </c>
      <c r="B10076" s="450" t="s">
        <v>10898</v>
      </c>
      <c r="C10076" s="449" t="s">
        <v>684</v>
      </c>
      <c r="D10076" s="451">
        <v>49.3</v>
      </c>
      <c r="E10076" s="210"/>
    </row>
    <row r="10077" spans="1:5" ht="38.25">
      <c r="A10077" s="449">
        <v>4014</v>
      </c>
      <c r="B10077" s="450" t="s">
        <v>10899</v>
      </c>
      <c r="C10077" s="449" t="s">
        <v>684</v>
      </c>
      <c r="D10077" s="451">
        <v>51.01</v>
      </c>
      <c r="E10077" s="210"/>
    </row>
    <row r="10078" spans="1:5" ht="38.25">
      <c r="A10078" s="449">
        <v>4015</v>
      </c>
      <c r="B10078" s="450" t="s">
        <v>10900</v>
      </c>
      <c r="C10078" s="449" t="s">
        <v>684</v>
      </c>
      <c r="D10078" s="451">
        <v>62.64</v>
      </c>
      <c r="E10078" s="210"/>
    </row>
    <row r="10079" spans="1:5" ht="38.25">
      <c r="A10079" s="449">
        <v>4017</v>
      </c>
      <c r="B10079" s="450" t="s">
        <v>10901</v>
      </c>
      <c r="C10079" s="449" t="s">
        <v>684</v>
      </c>
      <c r="D10079" s="451">
        <v>91.14</v>
      </c>
      <c r="E10079" s="210"/>
    </row>
    <row r="10080" spans="1:5" ht="38.25">
      <c r="A10080" s="449">
        <v>4016</v>
      </c>
      <c r="B10080" s="450" t="s">
        <v>10902</v>
      </c>
      <c r="C10080" s="449" t="s">
        <v>684</v>
      </c>
      <c r="D10080" s="451">
        <v>36</v>
      </c>
      <c r="E10080" s="210"/>
    </row>
    <row r="10081" spans="1:5">
      <c r="A10081" s="449">
        <v>39699</v>
      </c>
      <c r="B10081" s="450" t="s">
        <v>10903</v>
      </c>
      <c r="C10081" s="449" t="s">
        <v>684</v>
      </c>
      <c r="D10081" s="451">
        <v>14.08</v>
      </c>
      <c r="E10081" s="210"/>
    </row>
    <row r="10082" spans="1:5" ht="25.5">
      <c r="A10082" s="449">
        <v>38544</v>
      </c>
      <c r="B10082" s="450" t="s">
        <v>10904</v>
      </c>
      <c r="C10082" s="449" t="s">
        <v>684</v>
      </c>
      <c r="D10082" s="451">
        <v>9.23</v>
      </c>
      <c r="E10082" s="210"/>
    </row>
    <row r="10083" spans="1:5" ht="25.5">
      <c r="A10083" s="449">
        <v>38545</v>
      </c>
      <c r="B10083" s="450" t="s">
        <v>10905</v>
      </c>
      <c r="C10083" s="449" t="s">
        <v>684</v>
      </c>
      <c r="D10083" s="451">
        <v>5.93</v>
      </c>
      <c r="E10083" s="210"/>
    </row>
    <row r="10084" spans="1:5" ht="38.25">
      <c r="A10084" s="449">
        <v>42527</v>
      </c>
      <c r="B10084" s="450" t="s">
        <v>10906</v>
      </c>
      <c r="C10084" s="449" t="s">
        <v>684</v>
      </c>
      <c r="D10084" s="451">
        <v>23.63</v>
      </c>
      <c r="E10084" s="210"/>
    </row>
    <row r="10085" spans="1:5" ht="38.25">
      <c r="A10085" s="449">
        <v>39323</v>
      </c>
      <c r="B10085" s="450" t="s">
        <v>10907</v>
      </c>
      <c r="C10085" s="449" t="s">
        <v>684</v>
      </c>
      <c r="D10085" s="451">
        <v>22.64</v>
      </c>
      <c r="E10085" s="210"/>
    </row>
    <row r="10086" spans="1:5" ht="51">
      <c r="A10086" s="449">
        <v>626</v>
      </c>
      <c r="B10086" s="450" t="s">
        <v>10908</v>
      </c>
      <c r="C10086" s="449" t="s">
        <v>676</v>
      </c>
      <c r="D10086" s="451">
        <v>31.09</v>
      </c>
      <c r="E10086" s="210"/>
    </row>
    <row r="10087" spans="1:5" ht="25.5">
      <c r="A10087" s="449">
        <v>25860</v>
      </c>
      <c r="B10087" s="450" t="s">
        <v>10909</v>
      </c>
      <c r="C10087" s="449" t="s">
        <v>684</v>
      </c>
      <c r="D10087" s="451">
        <v>16.04</v>
      </c>
      <c r="E10087" s="210"/>
    </row>
    <row r="10088" spans="1:5" ht="25.5">
      <c r="A10088" s="449">
        <v>25861</v>
      </c>
      <c r="B10088" s="450" t="s">
        <v>10910</v>
      </c>
      <c r="C10088" s="449" t="s">
        <v>684</v>
      </c>
      <c r="D10088" s="451">
        <v>24.21</v>
      </c>
      <c r="E10088" s="210"/>
    </row>
    <row r="10089" spans="1:5" ht="25.5">
      <c r="A10089" s="449">
        <v>25862</v>
      </c>
      <c r="B10089" s="450" t="s">
        <v>10911</v>
      </c>
      <c r="C10089" s="449" t="s">
        <v>684</v>
      </c>
      <c r="D10089" s="451">
        <v>25.69</v>
      </c>
      <c r="E10089" s="210"/>
    </row>
    <row r="10090" spans="1:5" ht="25.5">
      <c r="A10090" s="449">
        <v>25863</v>
      </c>
      <c r="B10090" s="450" t="s">
        <v>10912</v>
      </c>
      <c r="C10090" s="449" t="s">
        <v>684</v>
      </c>
      <c r="D10090" s="451">
        <v>32.119999999999997</v>
      </c>
      <c r="E10090" s="210"/>
    </row>
    <row r="10091" spans="1:5" ht="25.5">
      <c r="A10091" s="449">
        <v>25864</v>
      </c>
      <c r="B10091" s="450" t="s">
        <v>10913</v>
      </c>
      <c r="C10091" s="449" t="s">
        <v>684</v>
      </c>
      <c r="D10091" s="451">
        <v>48.16</v>
      </c>
      <c r="E10091" s="210"/>
    </row>
    <row r="10092" spans="1:5" ht="25.5">
      <c r="A10092" s="449">
        <v>25865</v>
      </c>
      <c r="B10092" s="450" t="s">
        <v>10914</v>
      </c>
      <c r="C10092" s="449" t="s">
        <v>684</v>
      </c>
      <c r="D10092" s="451">
        <v>64.52</v>
      </c>
      <c r="E10092" s="210"/>
    </row>
    <row r="10093" spans="1:5" ht="25.5">
      <c r="A10093" s="449">
        <v>25866</v>
      </c>
      <c r="B10093" s="450" t="s">
        <v>10915</v>
      </c>
      <c r="C10093" s="449" t="s">
        <v>684</v>
      </c>
      <c r="D10093" s="451">
        <v>80.12</v>
      </c>
      <c r="E10093" s="210"/>
    </row>
    <row r="10094" spans="1:5" ht="38.25">
      <c r="A10094" s="449">
        <v>25868</v>
      </c>
      <c r="B10094" s="450" t="s">
        <v>10916</v>
      </c>
      <c r="C10094" s="449" t="s">
        <v>684</v>
      </c>
      <c r="D10094" s="451">
        <v>17.88</v>
      </c>
      <c r="E10094" s="210"/>
    </row>
    <row r="10095" spans="1:5" ht="38.25">
      <c r="A10095" s="449">
        <v>25869</v>
      </c>
      <c r="B10095" s="450" t="s">
        <v>10917</v>
      </c>
      <c r="C10095" s="449" t="s">
        <v>684</v>
      </c>
      <c r="D10095" s="451">
        <v>25.24</v>
      </c>
      <c r="E10095" s="210"/>
    </row>
    <row r="10096" spans="1:5" ht="38.25">
      <c r="A10096" s="449">
        <v>25870</v>
      </c>
      <c r="B10096" s="450" t="s">
        <v>10918</v>
      </c>
      <c r="C10096" s="449" t="s">
        <v>684</v>
      </c>
      <c r="D10096" s="451">
        <v>28.61</v>
      </c>
      <c r="E10096" s="210"/>
    </row>
    <row r="10097" spans="1:5" ht="38.25">
      <c r="A10097" s="449">
        <v>25871</v>
      </c>
      <c r="B10097" s="450" t="s">
        <v>10919</v>
      </c>
      <c r="C10097" s="449" t="s">
        <v>684</v>
      </c>
      <c r="D10097" s="451">
        <v>35.130000000000003</v>
      </c>
      <c r="E10097" s="210"/>
    </row>
    <row r="10098" spans="1:5" ht="38.25">
      <c r="A10098" s="449">
        <v>25867</v>
      </c>
      <c r="B10098" s="450" t="s">
        <v>10920</v>
      </c>
      <c r="C10098" s="449" t="s">
        <v>684</v>
      </c>
      <c r="D10098" s="451">
        <v>52.01</v>
      </c>
      <c r="E10098" s="210"/>
    </row>
    <row r="10099" spans="1:5" ht="38.25">
      <c r="A10099" s="449">
        <v>25872</v>
      </c>
      <c r="B10099" s="450" t="s">
        <v>10921</v>
      </c>
      <c r="C10099" s="449" t="s">
        <v>684</v>
      </c>
      <c r="D10099" s="451">
        <v>70.290000000000006</v>
      </c>
      <c r="E10099" s="210"/>
    </row>
    <row r="10100" spans="1:5" ht="38.25">
      <c r="A10100" s="449">
        <v>25873</v>
      </c>
      <c r="B10100" s="450" t="s">
        <v>10922</v>
      </c>
      <c r="C10100" s="449" t="s">
        <v>684</v>
      </c>
      <c r="D10100" s="451">
        <v>87.66</v>
      </c>
      <c r="E10100" s="210"/>
    </row>
    <row r="10101" spans="1:5" ht="25.5">
      <c r="A10101" s="449">
        <v>11479</v>
      </c>
      <c r="B10101" s="450" t="s">
        <v>10923</v>
      </c>
      <c r="C10101" s="449" t="s">
        <v>679</v>
      </c>
      <c r="D10101" s="451">
        <v>29.92</v>
      </c>
      <c r="E10101" s="210"/>
    </row>
    <row r="10102" spans="1:5" ht="25.5">
      <c r="A10102" s="449">
        <v>11481</v>
      </c>
      <c r="B10102" s="450" t="s">
        <v>10924</v>
      </c>
      <c r="C10102" s="449" t="s">
        <v>679</v>
      </c>
      <c r="D10102" s="451">
        <v>27.07</v>
      </c>
      <c r="E10102" s="210"/>
    </row>
    <row r="10103" spans="1:5" ht="25.5">
      <c r="A10103" s="449">
        <v>43609</v>
      </c>
      <c r="B10103" s="450" t="s">
        <v>10925</v>
      </c>
      <c r="C10103" s="449" t="s">
        <v>679</v>
      </c>
      <c r="D10103" s="451">
        <v>27.07</v>
      </c>
      <c r="E10103" s="210"/>
    </row>
    <row r="10104" spans="1:5" ht="25.5">
      <c r="A10104" s="449">
        <v>11478</v>
      </c>
      <c r="B10104" s="450" t="s">
        <v>10926</v>
      </c>
      <c r="C10104" s="449" t="s">
        <v>679</v>
      </c>
      <c r="D10104" s="451">
        <v>51.35</v>
      </c>
      <c r="E10104" s="210"/>
    </row>
    <row r="10105" spans="1:5" ht="25.5">
      <c r="A10105" s="449">
        <v>43608</v>
      </c>
      <c r="B10105" s="450" t="s">
        <v>10927</v>
      </c>
      <c r="C10105" s="449" t="s">
        <v>679</v>
      </c>
      <c r="D10105" s="451">
        <v>39.18</v>
      </c>
      <c r="E10105" s="210"/>
    </row>
    <row r="10106" spans="1:5" ht="25.5">
      <c r="A10106" s="449">
        <v>11476</v>
      </c>
      <c r="B10106" s="450" t="s">
        <v>10928</v>
      </c>
      <c r="C10106" s="449" t="s">
        <v>679</v>
      </c>
      <c r="D10106" s="451">
        <v>39.18</v>
      </c>
      <c r="E10106" s="210"/>
    </row>
    <row r="10107" spans="1:5" ht="25.5">
      <c r="A10107" s="449">
        <v>40637</v>
      </c>
      <c r="B10107" s="450" t="s">
        <v>10929</v>
      </c>
      <c r="C10107" s="449" t="s">
        <v>679</v>
      </c>
      <c r="D10107" s="451">
        <v>713081.12</v>
      </c>
      <c r="E10107" s="210"/>
    </row>
    <row r="10108" spans="1:5" ht="38.25">
      <c r="A10108" s="449">
        <v>13836</v>
      </c>
      <c r="B10108" s="450" t="s">
        <v>10930</v>
      </c>
      <c r="C10108" s="449" t="s">
        <v>679</v>
      </c>
      <c r="D10108" s="451">
        <v>55478.04</v>
      </c>
      <c r="E10108" s="210"/>
    </row>
    <row r="10109" spans="1:5" ht="63.75">
      <c r="A10109" s="449">
        <v>14534</v>
      </c>
      <c r="B10109" s="450" t="s">
        <v>10931</v>
      </c>
      <c r="C10109" s="449" t="s">
        <v>679</v>
      </c>
      <c r="D10109" s="451">
        <v>23224.58</v>
      </c>
      <c r="E10109" s="210"/>
    </row>
    <row r="10110" spans="1:5" ht="38.25">
      <c r="A10110" s="449">
        <v>14619</v>
      </c>
      <c r="B10110" s="450" t="s">
        <v>10932</v>
      </c>
      <c r="C10110" s="449" t="s">
        <v>679</v>
      </c>
      <c r="D10110" s="451">
        <v>17989.740000000002</v>
      </c>
      <c r="E10110" s="210"/>
    </row>
    <row r="10111" spans="1:5" ht="63.75">
      <c r="A10111" s="449">
        <v>14535</v>
      </c>
      <c r="B10111" s="450" t="s">
        <v>10933</v>
      </c>
      <c r="C10111" s="449" t="s">
        <v>679</v>
      </c>
      <c r="D10111" s="451">
        <v>230506.14</v>
      </c>
      <c r="E10111" s="210"/>
    </row>
    <row r="10112" spans="1:5" ht="89.25">
      <c r="A10112" s="449">
        <v>39813</v>
      </c>
      <c r="B10112" s="450" t="s">
        <v>10934</v>
      </c>
      <c r="C10112" s="449" t="s">
        <v>679</v>
      </c>
      <c r="D10112" s="451">
        <v>25604.76</v>
      </c>
      <c r="E10112" s="210"/>
    </row>
    <row r="10113" spans="1:5" ht="76.5">
      <c r="A10113" s="449">
        <v>40403</v>
      </c>
      <c r="B10113" s="450" t="s">
        <v>10935</v>
      </c>
      <c r="C10113" s="449" t="s">
        <v>679</v>
      </c>
      <c r="D10113" s="451">
        <v>897.63</v>
      </c>
      <c r="E10113" s="210"/>
    </row>
    <row r="10114" spans="1:5">
      <c r="A10114" s="449">
        <v>12868</v>
      </c>
      <c r="B10114" s="450" t="s">
        <v>10936</v>
      </c>
      <c r="C10114" s="449" t="s">
        <v>682</v>
      </c>
      <c r="D10114" s="451">
        <v>13.95</v>
      </c>
      <c r="E10114" s="210"/>
    </row>
    <row r="10115" spans="1:5">
      <c r="A10115" s="449">
        <v>40916</v>
      </c>
      <c r="B10115" s="450" t="s">
        <v>10937</v>
      </c>
      <c r="C10115" s="449" t="s">
        <v>797</v>
      </c>
      <c r="D10115" s="451">
        <v>2474.4299999999998</v>
      </c>
      <c r="E10115" s="210"/>
    </row>
    <row r="10116" spans="1:5">
      <c r="A10116" s="449">
        <v>4755</v>
      </c>
      <c r="B10116" s="450" t="s">
        <v>10938</v>
      </c>
      <c r="C10116" s="449" t="s">
        <v>682</v>
      </c>
      <c r="D10116" s="451">
        <v>13.95</v>
      </c>
      <c r="E10116" s="210"/>
    </row>
    <row r="10117" spans="1:5">
      <c r="A10117" s="449">
        <v>41067</v>
      </c>
      <c r="B10117" s="450" t="s">
        <v>10939</v>
      </c>
      <c r="C10117" s="449" t="s">
        <v>797</v>
      </c>
      <c r="D10117" s="451">
        <v>2475.16</v>
      </c>
      <c r="E10117" s="210"/>
    </row>
    <row r="10118" spans="1:5">
      <c r="A10118" s="449">
        <v>38463</v>
      </c>
      <c r="B10118" s="450" t="s">
        <v>10940</v>
      </c>
      <c r="C10118" s="449" t="s">
        <v>679</v>
      </c>
      <c r="D10118" s="451">
        <v>26.21</v>
      </c>
      <c r="E10118" s="210"/>
    </row>
    <row r="10119" spans="1:5" ht="51">
      <c r="A10119" s="449">
        <v>40703</v>
      </c>
      <c r="B10119" s="450" t="s">
        <v>10941</v>
      </c>
      <c r="C10119" s="449" t="s">
        <v>679</v>
      </c>
      <c r="D10119" s="451">
        <v>10770</v>
      </c>
      <c r="E10119" s="210"/>
    </row>
    <row r="10120" spans="1:5" ht="25.5">
      <c r="A10120" s="449">
        <v>14531</v>
      </c>
      <c r="B10120" s="450" t="s">
        <v>10942</v>
      </c>
      <c r="C10120" s="449" t="s">
        <v>679</v>
      </c>
      <c r="D10120" s="451">
        <v>20079.34</v>
      </c>
      <c r="E10120" s="210"/>
    </row>
    <row r="10121" spans="1:5" ht="25.5">
      <c r="A10121" s="449">
        <v>36533</v>
      </c>
      <c r="B10121" s="450" t="s">
        <v>10943</v>
      </c>
      <c r="C10121" s="449" t="s">
        <v>679</v>
      </c>
      <c r="D10121" s="451">
        <v>23106.18</v>
      </c>
      <c r="E10121" s="210"/>
    </row>
    <row r="10122" spans="1:5" ht="25.5">
      <c r="A10122" s="449">
        <v>11616</v>
      </c>
      <c r="B10122" s="450" t="s">
        <v>10944</v>
      </c>
      <c r="C10122" s="449" t="s">
        <v>679</v>
      </c>
      <c r="D10122" s="451">
        <v>21823.45</v>
      </c>
      <c r="E10122" s="210"/>
    </row>
    <row r="10123" spans="1:5" ht="25.5">
      <c r="A10123" s="449">
        <v>41898</v>
      </c>
      <c r="B10123" s="450" t="s">
        <v>10945</v>
      </c>
      <c r="C10123" s="449" t="s">
        <v>679</v>
      </c>
      <c r="D10123" s="451">
        <v>24554.35</v>
      </c>
      <c r="E10123" s="210"/>
    </row>
    <row r="10124" spans="1:5" ht="38.25">
      <c r="A10124" s="449">
        <v>13447</v>
      </c>
      <c r="B10124" s="450" t="s">
        <v>10946</v>
      </c>
      <c r="C10124" s="449" t="s">
        <v>679</v>
      </c>
      <c r="D10124" s="451">
        <v>45181.68</v>
      </c>
      <c r="E10124" s="210"/>
    </row>
    <row r="10125" spans="1:5" ht="25.5">
      <c r="A10125" s="449">
        <v>14529</v>
      </c>
      <c r="B10125" s="450" t="s">
        <v>10947</v>
      </c>
      <c r="C10125" s="449" t="s">
        <v>679</v>
      </c>
      <c r="D10125" s="451">
        <v>25268.97</v>
      </c>
      <c r="E10125" s="210"/>
    </row>
    <row r="10126" spans="1:5" ht="25.5">
      <c r="A10126" s="449">
        <v>10747</v>
      </c>
      <c r="B10126" s="450" t="s">
        <v>10948</v>
      </c>
      <c r="C10126" s="449" t="s">
        <v>679</v>
      </c>
      <c r="D10126" s="451">
        <v>24792.720000000001</v>
      </c>
      <c r="E10126" s="210"/>
    </row>
    <row r="10127" spans="1:5" ht="38.25">
      <c r="A10127" s="449">
        <v>36141</v>
      </c>
      <c r="B10127" s="450" t="s">
        <v>10949</v>
      </c>
      <c r="C10127" s="449" t="s">
        <v>679</v>
      </c>
      <c r="D10127" s="451">
        <v>38.340000000000003</v>
      </c>
      <c r="E10127" s="210"/>
    </row>
    <row r="10128" spans="1:5" ht="51">
      <c r="A10128" s="449">
        <v>39434</v>
      </c>
      <c r="B10128" s="450" t="s">
        <v>10950</v>
      </c>
      <c r="C10128" s="449" t="s">
        <v>676</v>
      </c>
      <c r="D10128" s="451">
        <v>3.78</v>
      </c>
      <c r="E10128" s="210"/>
    </row>
    <row r="10129" spans="1:5" ht="38.25">
      <c r="A10129" s="449">
        <v>39433</v>
      </c>
      <c r="B10129" s="450" t="s">
        <v>10951</v>
      </c>
      <c r="C10129" s="449" t="s">
        <v>676</v>
      </c>
      <c r="D10129" s="451">
        <v>2.71</v>
      </c>
      <c r="E10129" s="210"/>
    </row>
    <row r="10130" spans="1:5" ht="25.5">
      <c r="A10130" s="449">
        <v>4049</v>
      </c>
      <c r="B10130" s="450" t="s">
        <v>10952</v>
      </c>
      <c r="C10130" s="449" t="s">
        <v>678</v>
      </c>
      <c r="D10130" s="451">
        <v>50.09</v>
      </c>
      <c r="E10130" s="210"/>
    </row>
    <row r="10131" spans="1:5">
      <c r="A10131" s="449">
        <v>38120</v>
      </c>
      <c r="B10131" s="450" t="s">
        <v>10953</v>
      </c>
      <c r="C10131" s="449" t="s">
        <v>676</v>
      </c>
      <c r="D10131" s="451">
        <v>221.25</v>
      </c>
      <c r="E10131" s="210"/>
    </row>
    <row r="10132" spans="1:5" ht="25.5">
      <c r="A10132" s="449">
        <v>38877</v>
      </c>
      <c r="B10132" s="450" t="s">
        <v>10954</v>
      </c>
      <c r="C10132" s="449" t="s">
        <v>676</v>
      </c>
      <c r="D10132" s="451">
        <v>6.53</v>
      </c>
      <c r="E10132" s="210"/>
    </row>
    <row r="10133" spans="1:5" ht="38.25">
      <c r="A10133" s="449">
        <v>34546</v>
      </c>
      <c r="B10133" s="450" t="s">
        <v>10955</v>
      </c>
      <c r="C10133" s="449" t="s">
        <v>676</v>
      </c>
      <c r="D10133" s="451">
        <v>6.58</v>
      </c>
      <c r="E10133" s="210"/>
    </row>
    <row r="10134" spans="1:5">
      <c r="A10134" s="449">
        <v>10498</v>
      </c>
      <c r="B10134" s="450" t="s">
        <v>10956</v>
      </c>
      <c r="C10134" s="449" t="s">
        <v>676</v>
      </c>
      <c r="D10134" s="451">
        <v>10.6</v>
      </c>
      <c r="E10134" s="210"/>
    </row>
    <row r="10135" spans="1:5">
      <c r="A10135" s="449">
        <v>4823</v>
      </c>
      <c r="B10135" s="450" t="s">
        <v>10957</v>
      </c>
      <c r="C10135" s="449" t="s">
        <v>676</v>
      </c>
      <c r="D10135" s="451">
        <v>38.299999999999997</v>
      </c>
      <c r="E10135" s="210"/>
    </row>
    <row r="10136" spans="1:5" ht="25.5">
      <c r="A10136" s="449">
        <v>12357</v>
      </c>
      <c r="B10136" s="450" t="s">
        <v>10958</v>
      </c>
      <c r="C10136" s="449" t="s">
        <v>679</v>
      </c>
      <c r="D10136" s="451">
        <v>183.82</v>
      </c>
      <c r="E10136" s="210"/>
    </row>
    <row r="10137" spans="1:5" ht="25.5">
      <c r="A10137" s="449">
        <v>12358</v>
      </c>
      <c r="B10137" s="450" t="s">
        <v>10959</v>
      </c>
      <c r="C10137" s="449" t="s">
        <v>679</v>
      </c>
      <c r="D10137" s="451">
        <v>206.77</v>
      </c>
      <c r="E10137" s="210"/>
    </row>
    <row r="10138" spans="1:5" ht="38.25">
      <c r="A10138" s="449">
        <v>11079</v>
      </c>
      <c r="B10138" s="450" t="s">
        <v>10960</v>
      </c>
      <c r="C10138" s="449" t="s">
        <v>677</v>
      </c>
      <c r="D10138" s="451">
        <v>1654.43</v>
      </c>
      <c r="E10138" s="210"/>
    </row>
    <row r="10139" spans="1:5" ht="38.25">
      <c r="A10139" s="449">
        <v>11082</v>
      </c>
      <c r="B10139" s="450" t="s">
        <v>10961</v>
      </c>
      <c r="C10139" s="449" t="s">
        <v>677</v>
      </c>
      <c r="D10139" s="451">
        <v>1654.43</v>
      </c>
      <c r="E10139" s="210"/>
    </row>
    <row r="10140" spans="1:5">
      <c r="A10140" s="449">
        <v>4058</v>
      </c>
      <c r="B10140" s="450" t="s">
        <v>10962</v>
      </c>
      <c r="C10140" s="449" t="s">
        <v>682</v>
      </c>
      <c r="D10140" s="451">
        <v>15.48</v>
      </c>
      <c r="E10140" s="210"/>
    </row>
    <row r="10141" spans="1:5" ht="25.5">
      <c r="A10141" s="449">
        <v>40974</v>
      </c>
      <c r="B10141" s="450" t="s">
        <v>10963</v>
      </c>
      <c r="C10141" s="449" t="s">
        <v>797</v>
      </c>
      <c r="D10141" s="451">
        <v>2743.53</v>
      </c>
      <c r="E10141" s="210"/>
    </row>
    <row r="10142" spans="1:5">
      <c r="A10142" s="449">
        <v>34794</v>
      </c>
      <c r="B10142" s="450" t="s">
        <v>10964</v>
      </c>
      <c r="C10142" s="449" t="s">
        <v>682</v>
      </c>
      <c r="D10142" s="451">
        <v>15.54</v>
      </c>
      <c r="E10142" s="210"/>
    </row>
    <row r="10143" spans="1:5">
      <c r="A10143" s="449">
        <v>40925</v>
      </c>
      <c r="B10143" s="450" t="s">
        <v>10965</v>
      </c>
      <c r="C10143" s="449" t="s">
        <v>797</v>
      </c>
      <c r="D10143" s="451">
        <v>2754.74</v>
      </c>
      <c r="E10143" s="210"/>
    </row>
    <row r="10144" spans="1:5" ht="25.5">
      <c r="A10144" s="449">
        <v>13741</v>
      </c>
      <c r="B10144" s="450" t="s">
        <v>10966</v>
      </c>
      <c r="C10144" s="449" t="s">
        <v>679</v>
      </c>
      <c r="D10144" s="451">
        <v>2365.77</v>
      </c>
      <c r="E10144" s="210"/>
    </row>
    <row r="10145" spans="1:5" ht="38.25">
      <c r="A10145" s="449">
        <v>3288</v>
      </c>
      <c r="B10145" s="450" t="s">
        <v>10967</v>
      </c>
      <c r="C10145" s="449" t="s">
        <v>683</v>
      </c>
      <c r="D10145" s="451">
        <v>4.75</v>
      </c>
      <c r="E10145" s="210"/>
    </row>
    <row r="10146" spans="1:5" ht="38.25">
      <c r="A10146" s="449">
        <v>13587</v>
      </c>
      <c r="B10146" s="450" t="s">
        <v>10968</v>
      </c>
      <c r="C10146" s="449" t="s">
        <v>683</v>
      </c>
      <c r="D10146" s="451">
        <v>2.87</v>
      </c>
      <c r="E10146" s="210"/>
    </row>
    <row r="10147" spans="1:5" ht="25.5">
      <c r="A10147" s="449">
        <v>38598</v>
      </c>
      <c r="B10147" s="450" t="s">
        <v>10969</v>
      </c>
      <c r="C10147" s="449" t="s">
        <v>679</v>
      </c>
      <c r="D10147" s="451">
        <v>2.4900000000000002</v>
      </c>
      <c r="E10147" s="210"/>
    </row>
    <row r="10148" spans="1:5" ht="25.5">
      <c r="A10148" s="449">
        <v>38595</v>
      </c>
      <c r="B10148" s="450" t="s">
        <v>10970</v>
      </c>
      <c r="C10148" s="449" t="s">
        <v>679</v>
      </c>
      <c r="D10148" s="451">
        <v>2.11</v>
      </c>
      <c r="E10148" s="210"/>
    </row>
    <row r="10149" spans="1:5" ht="25.5">
      <c r="A10149" s="449">
        <v>38592</v>
      </c>
      <c r="B10149" s="450" t="s">
        <v>10971</v>
      </c>
      <c r="C10149" s="449" t="s">
        <v>679</v>
      </c>
      <c r="D10149" s="451">
        <v>2.14</v>
      </c>
      <c r="E10149" s="210"/>
    </row>
    <row r="10150" spans="1:5" ht="25.5">
      <c r="A10150" s="449">
        <v>38588</v>
      </c>
      <c r="B10150" s="450" t="s">
        <v>10972</v>
      </c>
      <c r="C10150" s="449" t="s">
        <v>679</v>
      </c>
      <c r="D10150" s="451">
        <v>1.71</v>
      </c>
      <c r="E10150" s="210"/>
    </row>
    <row r="10151" spans="1:5" ht="25.5">
      <c r="A10151" s="449">
        <v>38593</v>
      </c>
      <c r="B10151" s="450" t="s">
        <v>10973</v>
      </c>
      <c r="C10151" s="449" t="s">
        <v>679</v>
      </c>
      <c r="D10151" s="451">
        <v>2.36</v>
      </c>
      <c r="E10151" s="210"/>
    </row>
    <row r="10152" spans="1:5" ht="25.5">
      <c r="A10152" s="449">
        <v>38589</v>
      </c>
      <c r="B10152" s="450" t="s">
        <v>10974</v>
      </c>
      <c r="C10152" s="449" t="s">
        <v>679</v>
      </c>
      <c r="D10152" s="451">
        <v>1.79</v>
      </c>
      <c r="E10152" s="210"/>
    </row>
    <row r="10153" spans="1:5" ht="25.5">
      <c r="A10153" s="449">
        <v>38594</v>
      </c>
      <c r="B10153" s="450" t="s">
        <v>10975</v>
      </c>
      <c r="C10153" s="449" t="s">
        <v>679</v>
      </c>
      <c r="D10153" s="451">
        <v>3.72</v>
      </c>
      <c r="E10153" s="210"/>
    </row>
    <row r="10154" spans="1:5" ht="38.25">
      <c r="A10154" s="449">
        <v>34773</v>
      </c>
      <c r="B10154" s="450" t="s">
        <v>10976</v>
      </c>
      <c r="C10154" s="449" t="s">
        <v>679</v>
      </c>
      <c r="D10154" s="451">
        <v>1.76</v>
      </c>
      <c r="E10154" s="210"/>
    </row>
    <row r="10155" spans="1:5" ht="25.5">
      <c r="A10155" s="449">
        <v>34769</v>
      </c>
      <c r="B10155" s="450" t="s">
        <v>10977</v>
      </c>
      <c r="C10155" s="449" t="s">
        <v>679</v>
      </c>
      <c r="D10155" s="451">
        <v>2.1800000000000002</v>
      </c>
      <c r="E10155" s="210"/>
    </row>
    <row r="10156" spans="1:5" ht="25.5">
      <c r="A10156" s="449">
        <v>34763</v>
      </c>
      <c r="B10156" s="450" t="s">
        <v>10978</v>
      </c>
      <c r="C10156" s="449" t="s">
        <v>679</v>
      </c>
      <c r="D10156" s="451">
        <v>1.34</v>
      </c>
      <c r="E10156" s="210"/>
    </row>
    <row r="10157" spans="1:5" ht="25.5">
      <c r="A10157" s="449">
        <v>34774</v>
      </c>
      <c r="B10157" s="450" t="s">
        <v>10979</v>
      </c>
      <c r="C10157" s="449" t="s">
        <v>679</v>
      </c>
      <c r="D10157" s="451">
        <v>1.67</v>
      </c>
      <c r="E10157" s="210"/>
    </row>
    <row r="10158" spans="1:5" ht="25.5">
      <c r="A10158" s="449">
        <v>34771</v>
      </c>
      <c r="B10158" s="450" t="s">
        <v>10980</v>
      </c>
      <c r="C10158" s="449" t="s">
        <v>679</v>
      </c>
      <c r="D10158" s="451">
        <v>2.02</v>
      </c>
      <c r="E10158" s="210"/>
    </row>
    <row r="10159" spans="1:5" ht="25.5">
      <c r="A10159" s="449">
        <v>34764</v>
      </c>
      <c r="B10159" s="450" t="s">
        <v>10981</v>
      </c>
      <c r="C10159" s="449" t="s">
        <v>679</v>
      </c>
      <c r="D10159" s="451">
        <v>1.32</v>
      </c>
      <c r="E10159" s="210"/>
    </row>
    <row r="10160" spans="1:5" ht="25.5">
      <c r="A10160" s="449">
        <v>34788</v>
      </c>
      <c r="B10160" s="450" t="s">
        <v>10982</v>
      </c>
      <c r="C10160" s="449" t="s">
        <v>679</v>
      </c>
      <c r="D10160" s="451">
        <v>1.7</v>
      </c>
      <c r="E10160" s="210"/>
    </row>
    <row r="10161" spans="1:5" ht="25.5">
      <c r="A10161" s="449">
        <v>34781</v>
      </c>
      <c r="B10161" s="450" t="s">
        <v>10983</v>
      </c>
      <c r="C10161" s="449" t="s">
        <v>679</v>
      </c>
      <c r="D10161" s="451">
        <v>1.92</v>
      </c>
      <c r="E10161" s="210"/>
    </row>
    <row r="10162" spans="1:5" ht="25.5">
      <c r="A10162" s="449">
        <v>41682</v>
      </c>
      <c r="B10162" s="450" t="s">
        <v>10984</v>
      </c>
      <c r="C10162" s="449" t="s">
        <v>679</v>
      </c>
      <c r="D10162" s="451">
        <v>34.869999999999997</v>
      </c>
      <c r="E10162" s="210"/>
    </row>
    <row r="10163" spans="1:5" ht="25.5">
      <c r="A10163" s="449">
        <v>41683</v>
      </c>
      <c r="B10163" s="450" t="s">
        <v>10985</v>
      </c>
      <c r="C10163" s="449" t="s">
        <v>679</v>
      </c>
      <c r="D10163" s="451">
        <v>25.65</v>
      </c>
      <c r="E10163" s="210"/>
    </row>
    <row r="10164" spans="1:5" ht="25.5">
      <c r="A10164" s="449">
        <v>41680</v>
      </c>
      <c r="B10164" s="450" t="s">
        <v>10986</v>
      </c>
      <c r="C10164" s="449" t="s">
        <v>679</v>
      </c>
      <c r="D10164" s="451">
        <v>13.81</v>
      </c>
      <c r="E10164" s="210"/>
    </row>
    <row r="10165" spans="1:5" ht="25.5">
      <c r="A10165" s="449">
        <v>41679</v>
      </c>
      <c r="B10165" s="450" t="s">
        <v>10987</v>
      </c>
      <c r="C10165" s="449" t="s">
        <v>679</v>
      </c>
      <c r="D10165" s="451">
        <v>31.57</v>
      </c>
      <c r="E10165" s="210"/>
    </row>
    <row r="10166" spans="1:5" ht="25.5">
      <c r="A10166" s="449">
        <v>41681</v>
      </c>
      <c r="B10166" s="450" t="s">
        <v>10988</v>
      </c>
      <c r="C10166" s="449" t="s">
        <v>679</v>
      </c>
      <c r="D10166" s="451">
        <v>21.6</v>
      </c>
      <c r="E10166" s="210"/>
    </row>
    <row r="10167" spans="1:5" ht="38.25">
      <c r="A10167" s="449">
        <v>43386</v>
      </c>
      <c r="B10167" s="450" t="s">
        <v>10989</v>
      </c>
      <c r="C10167" s="449" t="s">
        <v>679</v>
      </c>
      <c r="D10167" s="451">
        <v>49.33</v>
      </c>
      <c r="E10167" s="210"/>
    </row>
    <row r="10168" spans="1:5" ht="25.5">
      <c r="A10168" s="449">
        <v>4059</v>
      </c>
      <c r="B10168" s="450" t="s">
        <v>10990</v>
      </c>
      <c r="C10168" s="449" t="s">
        <v>683</v>
      </c>
      <c r="D10168" s="451">
        <v>34.869999999999997</v>
      </c>
      <c r="E10168" s="210"/>
    </row>
    <row r="10169" spans="1:5" ht="25.5">
      <c r="A10169" s="449">
        <v>4062</v>
      </c>
      <c r="B10169" s="450" t="s">
        <v>10991</v>
      </c>
      <c r="C10169" s="449" t="s">
        <v>679</v>
      </c>
      <c r="D10169" s="451">
        <v>34.869999999999997</v>
      </c>
      <c r="E10169" s="210"/>
    </row>
    <row r="10170" spans="1:5" ht="38.25">
      <c r="A10170" s="449">
        <v>4061</v>
      </c>
      <c r="B10170" s="450" t="s">
        <v>10992</v>
      </c>
      <c r="C10170" s="449" t="s">
        <v>679</v>
      </c>
      <c r="D10170" s="451">
        <v>43.41</v>
      </c>
      <c r="E10170" s="210"/>
    </row>
    <row r="10171" spans="1:5" ht="25.5">
      <c r="A10171" s="449">
        <v>41315</v>
      </c>
      <c r="B10171" s="450" t="s">
        <v>10993</v>
      </c>
      <c r="C10171" s="449" t="s">
        <v>676</v>
      </c>
      <c r="D10171" s="451">
        <v>66.540000000000006</v>
      </c>
      <c r="E10171" s="210"/>
    </row>
    <row r="10172" spans="1:5" ht="25.5">
      <c r="A10172" s="449">
        <v>43148</v>
      </c>
      <c r="B10172" s="450" t="s">
        <v>10994</v>
      </c>
      <c r="C10172" s="449" t="s">
        <v>676</v>
      </c>
      <c r="D10172" s="451">
        <v>45.16</v>
      </c>
      <c r="E10172" s="210"/>
    </row>
    <row r="10173" spans="1:5" ht="25.5">
      <c r="A10173" s="449">
        <v>43147</v>
      </c>
      <c r="B10173" s="450" t="s">
        <v>10995</v>
      </c>
      <c r="C10173" s="449" t="s">
        <v>676</v>
      </c>
      <c r="D10173" s="451">
        <v>17.489999999999998</v>
      </c>
      <c r="E10173" s="210"/>
    </row>
    <row r="10174" spans="1:5" ht="38.25">
      <c r="A10174" s="449">
        <v>10608</v>
      </c>
      <c r="B10174" s="450" t="s">
        <v>10996</v>
      </c>
      <c r="C10174" s="449" t="s">
        <v>679</v>
      </c>
      <c r="D10174" s="451">
        <v>7936.37</v>
      </c>
      <c r="E10174" s="210"/>
    </row>
    <row r="10175" spans="1:5">
      <c r="A10175" s="449">
        <v>4069</v>
      </c>
      <c r="B10175" s="450" t="s">
        <v>10997</v>
      </c>
      <c r="C10175" s="449" t="s">
        <v>682</v>
      </c>
      <c r="D10175" s="451">
        <v>27.73</v>
      </c>
      <c r="E10175" s="210"/>
    </row>
    <row r="10176" spans="1:5">
      <c r="A10176" s="449">
        <v>40819</v>
      </c>
      <c r="B10176" s="450" t="s">
        <v>10998</v>
      </c>
      <c r="C10176" s="449" t="s">
        <v>797</v>
      </c>
      <c r="D10176" s="451">
        <v>4915.45</v>
      </c>
      <c r="E10176" s="210"/>
    </row>
    <row r="10177" spans="1:5" ht="25.5">
      <c r="A10177" s="449">
        <v>34361</v>
      </c>
      <c r="B10177" s="450" t="s">
        <v>10999</v>
      </c>
      <c r="C10177" s="449" t="s">
        <v>676</v>
      </c>
      <c r="D10177" s="451">
        <v>12.73</v>
      </c>
      <c r="E10177" s="210"/>
    </row>
    <row r="10178" spans="1:5" ht="38.25">
      <c r="A10178" s="449">
        <v>36512</v>
      </c>
      <c r="B10178" s="450" t="s">
        <v>11000</v>
      </c>
      <c r="C10178" s="449" t="s">
        <v>679</v>
      </c>
      <c r="D10178" s="451">
        <v>15630.48</v>
      </c>
      <c r="E10178" s="210"/>
    </row>
    <row r="10179" spans="1:5" ht="38.25">
      <c r="A10179" s="449">
        <v>25972</v>
      </c>
      <c r="B10179" s="450" t="s">
        <v>11001</v>
      </c>
      <c r="C10179" s="449" t="s">
        <v>676</v>
      </c>
      <c r="D10179" s="451">
        <v>13.89</v>
      </c>
      <c r="E10179" s="210"/>
    </row>
    <row r="10180" spans="1:5" ht="38.25">
      <c r="A10180" s="449">
        <v>25973</v>
      </c>
      <c r="B10180" s="450" t="s">
        <v>11002</v>
      </c>
      <c r="C10180" s="449" t="s">
        <v>676</v>
      </c>
      <c r="D10180" s="451">
        <v>13.89</v>
      </c>
      <c r="E10180" s="210"/>
    </row>
    <row r="10181" spans="1:5" ht="25.5">
      <c r="A10181" s="449">
        <v>11697</v>
      </c>
      <c r="B10181" s="450" t="s">
        <v>11003</v>
      </c>
      <c r="C10181" s="449" t="s">
        <v>679</v>
      </c>
      <c r="D10181" s="451">
        <v>661.33</v>
      </c>
      <c r="E10181" s="210"/>
    </row>
    <row r="10182" spans="1:5" ht="25.5">
      <c r="A10182" s="449">
        <v>11698</v>
      </c>
      <c r="B10182" s="450" t="s">
        <v>11004</v>
      </c>
      <c r="C10182" s="449" t="s">
        <v>679</v>
      </c>
      <c r="D10182" s="451">
        <v>788.93</v>
      </c>
      <c r="E10182" s="210"/>
    </row>
    <row r="10183" spans="1:5" ht="25.5">
      <c r="A10183" s="449">
        <v>10432</v>
      </c>
      <c r="B10183" s="450" t="s">
        <v>11005</v>
      </c>
      <c r="C10183" s="449" t="s">
        <v>679</v>
      </c>
      <c r="D10183" s="451">
        <v>288.06</v>
      </c>
      <c r="E10183" s="210"/>
    </row>
    <row r="10184" spans="1:5" ht="25.5">
      <c r="A10184" s="449">
        <v>11699</v>
      </c>
      <c r="B10184" s="450" t="s">
        <v>11006</v>
      </c>
      <c r="C10184" s="449" t="s">
        <v>679</v>
      </c>
      <c r="D10184" s="451">
        <v>871.95</v>
      </c>
      <c r="E10184" s="210"/>
    </row>
    <row r="10185" spans="1:5" ht="38.25">
      <c r="A10185" s="449">
        <v>44020</v>
      </c>
      <c r="B10185" s="450" t="s">
        <v>11007</v>
      </c>
      <c r="C10185" s="449" t="s">
        <v>679</v>
      </c>
      <c r="D10185" s="451">
        <v>710.68</v>
      </c>
      <c r="E10185" s="210"/>
    </row>
    <row r="10186" spans="1:5" ht="38.25">
      <c r="A10186" s="449">
        <v>37514</v>
      </c>
      <c r="B10186" s="450" t="s">
        <v>11008</v>
      </c>
      <c r="C10186" s="449" t="s">
        <v>679</v>
      </c>
      <c r="D10186" s="451">
        <v>165000</v>
      </c>
      <c r="E10186" s="210"/>
    </row>
    <row r="10187" spans="1:5" ht="38.25">
      <c r="A10187" s="449">
        <v>37519</v>
      </c>
      <c r="B10187" s="450" t="s">
        <v>11009</v>
      </c>
      <c r="C10187" s="449" t="s">
        <v>679</v>
      </c>
      <c r="D10187" s="451">
        <v>254643.41</v>
      </c>
      <c r="E10187" s="210"/>
    </row>
    <row r="10188" spans="1:5" ht="38.25">
      <c r="A10188" s="449">
        <v>37520</v>
      </c>
      <c r="B10188" s="450" t="s">
        <v>11010</v>
      </c>
      <c r="C10188" s="449" t="s">
        <v>679</v>
      </c>
      <c r="D10188" s="451">
        <v>250468.92</v>
      </c>
      <c r="E10188" s="210"/>
    </row>
    <row r="10189" spans="1:5" ht="38.25">
      <c r="A10189" s="449">
        <v>37521</v>
      </c>
      <c r="B10189" s="450" t="s">
        <v>11011</v>
      </c>
      <c r="C10189" s="449" t="s">
        <v>679</v>
      </c>
      <c r="D10189" s="451">
        <v>305572.09000000003</v>
      </c>
      <c r="E10189" s="210"/>
    </row>
    <row r="10190" spans="1:5" ht="38.25">
      <c r="A10190" s="449">
        <v>37522</v>
      </c>
      <c r="B10190" s="450" t="s">
        <v>11012</v>
      </c>
      <c r="C10190" s="449" t="s">
        <v>679</v>
      </c>
      <c r="D10190" s="451">
        <v>314765.46000000002</v>
      </c>
      <c r="E10190" s="210"/>
    </row>
    <row r="10191" spans="1:5" ht="51">
      <c r="A10191" s="449">
        <v>21109</v>
      </c>
      <c r="B10191" s="450" t="s">
        <v>11013</v>
      </c>
      <c r="C10191" s="449" t="s">
        <v>679</v>
      </c>
      <c r="D10191" s="451">
        <v>45.48</v>
      </c>
      <c r="E10191" s="210"/>
    </row>
    <row r="10192" spans="1:5" ht="25.5">
      <c r="A10192" s="449">
        <v>36800</v>
      </c>
      <c r="B10192" s="450" t="s">
        <v>11014</v>
      </c>
      <c r="C10192" s="449" t="s">
        <v>679</v>
      </c>
      <c r="D10192" s="451">
        <v>90.38</v>
      </c>
      <c r="E10192" s="210"/>
    </row>
    <row r="10193" spans="1:5" ht="25.5">
      <c r="A10193" s="449">
        <v>11769</v>
      </c>
      <c r="B10193" s="450" t="s">
        <v>11015</v>
      </c>
      <c r="C10193" s="449" t="s">
        <v>679</v>
      </c>
      <c r="D10193" s="451">
        <v>221.49</v>
      </c>
      <c r="E10193" s="210"/>
    </row>
    <row r="10194" spans="1:5" ht="25.5">
      <c r="A10194" s="449">
        <v>36793</v>
      </c>
      <c r="B10194" s="450" t="s">
        <v>11016</v>
      </c>
      <c r="C10194" s="449" t="s">
        <v>679</v>
      </c>
      <c r="D10194" s="451">
        <v>358.6</v>
      </c>
      <c r="E10194" s="210"/>
    </row>
    <row r="10195" spans="1:5" ht="51">
      <c r="A10195" s="449">
        <v>37546</v>
      </c>
      <c r="B10195" s="450" t="s">
        <v>11017</v>
      </c>
      <c r="C10195" s="449" t="s">
        <v>679</v>
      </c>
      <c r="D10195" s="451">
        <v>12273.99</v>
      </c>
      <c r="E10195" s="210"/>
    </row>
    <row r="10196" spans="1:5" ht="51">
      <c r="A10196" s="449">
        <v>37544</v>
      </c>
      <c r="B10196" s="450" t="s">
        <v>11018</v>
      </c>
      <c r="C10196" s="449" t="s">
        <v>679</v>
      </c>
      <c r="D10196" s="451">
        <v>12981.81</v>
      </c>
      <c r="E10196" s="210"/>
    </row>
    <row r="10197" spans="1:5" ht="51">
      <c r="A10197" s="449">
        <v>37545</v>
      </c>
      <c r="B10197" s="450" t="s">
        <v>11019</v>
      </c>
      <c r="C10197" s="449" t="s">
        <v>679</v>
      </c>
      <c r="D10197" s="451">
        <v>15446.61</v>
      </c>
      <c r="E10197" s="210"/>
    </row>
    <row r="10198" spans="1:5" ht="25.5">
      <c r="A10198" s="449">
        <v>11771</v>
      </c>
      <c r="B10198" s="450" t="s">
        <v>11020</v>
      </c>
      <c r="C10198" s="449" t="s">
        <v>679</v>
      </c>
      <c r="D10198" s="451">
        <v>274.73</v>
      </c>
      <c r="E10198" s="210"/>
    </row>
    <row r="10199" spans="1:5" ht="63.75">
      <c r="A10199" s="449">
        <v>39919</v>
      </c>
      <c r="B10199" s="450" t="s">
        <v>11021</v>
      </c>
      <c r="C10199" s="449" t="s">
        <v>679</v>
      </c>
      <c r="D10199" s="451">
        <v>61438.11</v>
      </c>
      <c r="E10199" s="210"/>
    </row>
    <row r="10200" spans="1:5" ht="38.25">
      <c r="A10200" s="449">
        <v>38385</v>
      </c>
      <c r="B10200" s="450" t="s">
        <v>11022</v>
      </c>
      <c r="C10200" s="449" t="s">
        <v>679</v>
      </c>
      <c r="D10200" s="451">
        <v>48.23</v>
      </c>
      <c r="E10200" s="210"/>
    </row>
    <row r="10201" spans="1:5" ht="25.5">
      <c r="A10201" s="449">
        <v>37587</v>
      </c>
      <c r="B10201" s="450" t="s">
        <v>11023</v>
      </c>
      <c r="C10201" s="449" t="s">
        <v>679</v>
      </c>
      <c r="D10201" s="451">
        <v>249.88</v>
      </c>
      <c r="E10201" s="210"/>
    </row>
    <row r="10202" spans="1:5" ht="51">
      <c r="A10202" s="449">
        <v>11561</v>
      </c>
      <c r="B10202" s="450" t="s">
        <v>11024</v>
      </c>
      <c r="C10202" s="449" t="s">
        <v>679</v>
      </c>
      <c r="D10202" s="451">
        <v>248.85</v>
      </c>
      <c r="E10202" s="210"/>
    </row>
    <row r="10203" spans="1:5" ht="51">
      <c r="A10203" s="449">
        <v>43604</v>
      </c>
      <c r="B10203" s="450" t="s">
        <v>11025</v>
      </c>
      <c r="C10203" s="449" t="s">
        <v>679</v>
      </c>
      <c r="D10203" s="451">
        <v>132.66</v>
      </c>
      <c r="E10203" s="210"/>
    </row>
    <row r="10204" spans="1:5" ht="51">
      <c r="A10204" s="449">
        <v>11560</v>
      </c>
      <c r="B10204" s="450" t="s">
        <v>11026</v>
      </c>
      <c r="C10204" s="449" t="s">
        <v>679</v>
      </c>
      <c r="D10204" s="451">
        <v>192.07</v>
      </c>
      <c r="E10204" s="210"/>
    </row>
    <row r="10205" spans="1:5" ht="38.25">
      <c r="A10205" s="449">
        <v>11499</v>
      </c>
      <c r="B10205" s="450" t="s">
        <v>11027</v>
      </c>
      <c r="C10205" s="449" t="s">
        <v>679</v>
      </c>
      <c r="D10205" s="451">
        <v>707.38</v>
      </c>
      <c r="E10205" s="210"/>
    </row>
    <row r="10206" spans="1:5">
      <c r="A10206" s="449">
        <v>34761</v>
      </c>
      <c r="B10206" s="450" t="s">
        <v>11028</v>
      </c>
      <c r="C10206" s="449" t="s">
        <v>682</v>
      </c>
      <c r="D10206" s="451">
        <v>13.79</v>
      </c>
      <c r="E10206" s="210"/>
    </row>
    <row r="10207" spans="1:5" ht="25.5">
      <c r="A10207" s="449">
        <v>40924</v>
      </c>
      <c r="B10207" s="450" t="s">
        <v>11029</v>
      </c>
      <c r="C10207" s="449" t="s">
        <v>797</v>
      </c>
      <c r="D10207" s="451">
        <v>2444.0300000000002</v>
      </c>
      <c r="E10207" s="210"/>
    </row>
    <row r="10208" spans="1:5">
      <c r="A10208" s="449">
        <v>25957</v>
      </c>
      <c r="B10208" s="450" t="s">
        <v>11030</v>
      </c>
      <c r="C10208" s="449" t="s">
        <v>682</v>
      </c>
      <c r="D10208" s="451">
        <v>9.67</v>
      </c>
      <c r="E10208" s="210"/>
    </row>
    <row r="10209" spans="1:5" ht="25.5">
      <c r="A10209" s="449">
        <v>40983</v>
      </c>
      <c r="B10209" s="450" t="s">
        <v>11031</v>
      </c>
      <c r="C10209" s="449" t="s">
        <v>797</v>
      </c>
      <c r="D10209" s="451">
        <v>1715.35</v>
      </c>
      <c r="E10209" s="210"/>
    </row>
    <row r="10210" spans="1:5">
      <c r="A10210" s="449">
        <v>2437</v>
      </c>
      <c r="B10210" s="450" t="s">
        <v>11032</v>
      </c>
      <c r="C10210" s="449" t="s">
        <v>682</v>
      </c>
      <c r="D10210" s="451">
        <v>15.37</v>
      </c>
      <c r="E10210" s="210"/>
    </row>
    <row r="10211" spans="1:5">
      <c r="A10211" s="449">
        <v>40921</v>
      </c>
      <c r="B10211" s="450" t="s">
        <v>11033</v>
      </c>
      <c r="C10211" s="449" t="s">
        <v>797</v>
      </c>
      <c r="D10211" s="451">
        <v>2724.32</v>
      </c>
      <c r="E10211" s="210"/>
    </row>
    <row r="10212" spans="1:5" ht="38.25">
      <c r="A10212" s="449">
        <v>14252</v>
      </c>
      <c r="B10212" s="450" t="s">
        <v>11034</v>
      </c>
      <c r="C10212" s="449" t="s">
        <v>679</v>
      </c>
      <c r="D10212" s="451">
        <v>2570.63</v>
      </c>
      <c r="E10212" s="210"/>
    </row>
    <row r="10213" spans="1:5" ht="51">
      <c r="A10213" s="449">
        <v>730</v>
      </c>
      <c r="B10213" s="450" t="s">
        <v>11035</v>
      </c>
      <c r="C10213" s="449" t="s">
        <v>679</v>
      </c>
      <c r="D10213" s="451">
        <v>6868.23</v>
      </c>
      <c r="E10213" s="210"/>
    </row>
    <row r="10214" spans="1:5" ht="51">
      <c r="A10214" s="449">
        <v>723</v>
      </c>
      <c r="B10214" s="450" t="s">
        <v>11036</v>
      </c>
      <c r="C10214" s="449" t="s">
        <v>679</v>
      </c>
      <c r="D10214" s="451">
        <v>3413.75</v>
      </c>
      <c r="E10214" s="210"/>
    </row>
    <row r="10215" spans="1:5" ht="51">
      <c r="A10215" s="449">
        <v>36502</v>
      </c>
      <c r="B10215" s="450" t="s">
        <v>11037</v>
      </c>
      <c r="C10215" s="449" t="s">
        <v>679</v>
      </c>
      <c r="D10215" s="451">
        <v>3208.52</v>
      </c>
      <c r="E10215" s="210"/>
    </row>
    <row r="10216" spans="1:5" ht="51">
      <c r="A10216" s="449">
        <v>36503</v>
      </c>
      <c r="B10216" s="450" t="s">
        <v>11038</v>
      </c>
      <c r="C10216" s="449" t="s">
        <v>679</v>
      </c>
      <c r="D10216" s="451">
        <v>3956.49</v>
      </c>
      <c r="E10216" s="210"/>
    </row>
    <row r="10217" spans="1:5" ht="38.25">
      <c r="A10217" s="449">
        <v>4090</v>
      </c>
      <c r="B10217" s="450" t="s">
        <v>11039</v>
      </c>
      <c r="C10217" s="449" t="s">
        <v>679</v>
      </c>
      <c r="D10217" s="451">
        <v>746000</v>
      </c>
      <c r="E10217" s="210"/>
    </row>
    <row r="10218" spans="1:5" ht="38.25">
      <c r="A10218" s="449">
        <v>13227</v>
      </c>
      <c r="B10218" s="450" t="s">
        <v>11040</v>
      </c>
      <c r="C10218" s="449" t="s">
        <v>679</v>
      </c>
      <c r="D10218" s="451">
        <v>926998.02</v>
      </c>
      <c r="E10218" s="210"/>
    </row>
    <row r="10219" spans="1:5" ht="38.25">
      <c r="A10219" s="449">
        <v>10597</v>
      </c>
      <c r="B10219" s="450" t="s">
        <v>11041</v>
      </c>
      <c r="C10219" s="449" t="s">
        <v>679</v>
      </c>
      <c r="D10219" s="451">
        <v>975785</v>
      </c>
      <c r="E10219" s="210"/>
    </row>
    <row r="10220" spans="1:5" ht="25.5">
      <c r="A10220" s="449">
        <v>39628</v>
      </c>
      <c r="B10220" s="450" t="s">
        <v>11042</v>
      </c>
      <c r="C10220" s="449" t="s">
        <v>679</v>
      </c>
      <c r="D10220" s="451">
        <v>3942.52</v>
      </c>
      <c r="E10220" s="210"/>
    </row>
    <row r="10221" spans="1:5" ht="25.5">
      <c r="A10221" s="449">
        <v>39404</v>
      </c>
      <c r="B10221" s="450" t="s">
        <v>11043</v>
      </c>
      <c r="C10221" s="449" t="s">
        <v>679</v>
      </c>
      <c r="D10221" s="451">
        <v>1954.97</v>
      </c>
      <c r="E10221" s="210"/>
    </row>
    <row r="10222" spans="1:5" ht="25.5">
      <c r="A10222" s="449">
        <v>39402</v>
      </c>
      <c r="B10222" s="450" t="s">
        <v>11044</v>
      </c>
      <c r="C10222" s="449" t="s">
        <v>679</v>
      </c>
      <c r="D10222" s="451">
        <v>1610.52</v>
      </c>
      <c r="E10222" s="210"/>
    </row>
    <row r="10223" spans="1:5" ht="25.5">
      <c r="A10223" s="449">
        <v>39403</v>
      </c>
      <c r="B10223" s="450" t="s">
        <v>11045</v>
      </c>
      <c r="C10223" s="449" t="s">
        <v>679</v>
      </c>
      <c r="D10223" s="451">
        <v>1575.49</v>
      </c>
      <c r="E10223" s="210"/>
    </row>
    <row r="10224" spans="1:5">
      <c r="A10224" s="449">
        <v>4093</v>
      </c>
      <c r="B10224" s="450" t="s">
        <v>11046</v>
      </c>
      <c r="C10224" s="449" t="s">
        <v>682</v>
      </c>
      <c r="D10224" s="451">
        <v>11.23</v>
      </c>
      <c r="E10224" s="210"/>
    </row>
    <row r="10225" spans="1:5">
      <c r="A10225" s="449">
        <v>10512</v>
      </c>
      <c r="B10225" s="450" t="s">
        <v>11047</v>
      </c>
      <c r="C10225" s="449" t="s">
        <v>797</v>
      </c>
      <c r="D10225" s="451">
        <v>1991.41</v>
      </c>
      <c r="E10225" s="210"/>
    </row>
    <row r="10226" spans="1:5">
      <c r="A10226" s="449">
        <v>20020</v>
      </c>
      <c r="B10226" s="450" t="s">
        <v>11048</v>
      </c>
      <c r="C10226" s="449" t="s">
        <v>682</v>
      </c>
      <c r="D10226" s="451">
        <v>10.59</v>
      </c>
      <c r="E10226" s="210"/>
    </row>
    <row r="10227" spans="1:5" ht="25.5">
      <c r="A10227" s="449">
        <v>41038</v>
      </c>
      <c r="B10227" s="450" t="s">
        <v>11049</v>
      </c>
      <c r="C10227" s="449" t="s">
        <v>797</v>
      </c>
      <c r="D10227" s="451">
        <v>1878.41</v>
      </c>
      <c r="E10227" s="210"/>
    </row>
    <row r="10228" spans="1:5">
      <c r="A10228" s="449">
        <v>4094</v>
      </c>
      <c r="B10228" s="450" t="s">
        <v>11050</v>
      </c>
      <c r="C10228" s="449" t="s">
        <v>682</v>
      </c>
      <c r="D10228" s="451">
        <v>15</v>
      </c>
      <c r="E10228" s="210"/>
    </row>
    <row r="10229" spans="1:5" ht="25.5">
      <c r="A10229" s="449">
        <v>40988</v>
      </c>
      <c r="B10229" s="450" t="s">
        <v>11051</v>
      </c>
      <c r="C10229" s="449" t="s">
        <v>797</v>
      </c>
      <c r="D10229" s="451">
        <v>2659.4</v>
      </c>
      <c r="E10229" s="210"/>
    </row>
    <row r="10230" spans="1:5">
      <c r="A10230" s="449">
        <v>4095</v>
      </c>
      <c r="B10230" s="450" t="s">
        <v>11052</v>
      </c>
      <c r="C10230" s="449" t="s">
        <v>682</v>
      </c>
      <c r="D10230" s="451">
        <v>10.4</v>
      </c>
      <c r="E10230" s="210"/>
    </row>
    <row r="10231" spans="1:5" ht="25.5">
      <c r="A10231" s="449">
        <v>40990</v>
      </c>
      <c r="B10231" s="450" t="s">
        <v>11053</v>
      </c>
      <c r="C10231" s="449" t="s">
        <v>797</v>
      </c>
      <c r="D10231" s="451">
        <v>1845.41</v>
      </c>
      <c r="E10231" s="210"/>
    </row>
    <row r="10232" spans="1:5">
      <c r="A10232" s="449">
        <v>4097</v>
      </c>
      <c r="B10232" s="450" t="s">
        <v>11054</v>
      </c>
      <c r="C10232" s="449" t="s">
        <v>682</v>
      </c>
      <c r="D10232" s="451">
        <v>12.24</v>
      </c>
      <c r="E10232" s="210"/>
    </row>
    <row r="10233" spans="1:5" ht="25.5">
      <c r="A10233" s="449">
        <v>40994</v>
      </c>
      <c r="B10233" s="450" t="s">
        <v>11055</v>
      </c>
      <c r="C10233" s="449" t="s">
        <v>797</v>
      </c>
      <c r="D10233" s="451">
        <v>2172.62</v>
      </c>
      <c r="E10233" s="210"/>
    </row>
    <row r="10234" spans="1:5" ht="25.5">
      <c r="A10234" s="449">
        <v>4096</v>
      </c>
      <c r="B10234" s="450" t="s">
        <v>11056</v>
      </c>
      <c r="C10234" s="449" t="s">
        <v>682</v>
      </c>
      <c r="D10234" s="451">
        <v>13.15</v>
      </c>
      <c r="E10234" s="210"/>
    </row>
    <row r="10235" spans="1:5" ht="25.5">
      <c r="A10235" s="449">
        <v>40992</v>
      </c>
      <c r="B10235" s="450" t="s">
        <v>11057</v>
      </c>
      <c r="C10235" s="449" t="s">
        <v>797</v>
      </c>
      <c r="D10235" s="451">
        <v>2331.58</v>
      </c>
      <c r="E10235" s="210"/>
    </row>
    <row r="10236" spans="1:5" ht="25.5">
      <c r="A10236" s="449">
        <v>13955</v>
      </c>
      <c r="B10236" s="450" t="s">
        <v>11058</v>
      </c>
      <c r="C10236" s="449" t="s">
        <v>679</v>
      </c>
      <c r="D10236" s="451">
        <v>2728.9</v>
      </c>
      <c r="E10236" s="210"/>
    </row>
    <row r="10237" spans="1:5" ht="25.5">
      <c r="A10237" s="449">
        <v>4114</v>
      </c>
      <c r="B10237" s="450" t="s">
        <v>11059</v>
      </c>
      <c r="C10237" s="449" t="s">
        <v>679</v>
      </c>
      <c r="D10237" s="451">
        <v>79.92</v>
      </c>
      <c r="E10237" s="210"/>
    </row>
    <row r="10238" spans="1:5" ht="25.5">
      <c r="A10238" s="449">
        <v>36797</v>
      </c>
      <c r="B10238" s="450" t="s">
        <v>11060</v>
      </c>
      <c r="C10238" s="449" t="s">
        <v>679</v>
      </c>
      <c r="D10238" s="451">
        <v>71.16</v>
      </c>
      <c r="E10238" s="210"/>
    </row>
    <row r="10239" spans="1:5" ht="25.5">
      <c r="A10239" s="449">
        <v>4107</v>
      </c>
      <c r="B10239" s="450" t="s">
        <v>11061</v>
      </c>
      <c r="C10239" s="449" t="s">
        <v>679</v>
      </c>
      <c r="D10239" s="451">
        <v>67.09</v>
      </c>
      <c r="E10239" s="210"/>
    </row>
    <row r="10240" spans="1:5" ht="25.5">
      <c r="A10240" s="449">
        <v>4102</v>
      </c>
      <c r="B10240" s="450" t="s">
        <v>11062</v>
      </c>
      <c r="C10240" s="449" t="s">
        <v>679</v>
      </c>
      <c r="D10240" s="451">
        <v>81.900000000000006</v>
      </c>
      <c r="E10240" s="210"/>
    </row>
    <row r="10241" spans="1:5" ht="25.5">
      <c r="A10241" s="449">
        <v>36799</v>
      </c>
      <c r="B10241" s="450" t="s">
        <v>11063</v>
      </c>
      <c r="C10241" s="449" t="s">
        <v>679</v>
      </c>
      <c r="D10241" s="451">
        <v>69.069999999999993</v>
      </c>
      <c r="E10241" s="210"/>
    </row>
    <row r="10242" spans="1:5" ht="38.25">
      <c r="A10242" s="449">
        <v>2747</v>
      </c>
      <c r="B10242" s="450" t="s">
        <v>11064</v>
      </c>
      <c r="C10242" s="449" t="s">
        <v>683</v>
      </c>
      <c r="D10242" s="451">
        <v>22.49</v>
      </c>
      <c r="E10242" s="210"/>
    </row>
    <row r="10243" spans="1:5" ht="38.25">
      <c r="A10243" s="449">
        <v>21138</v>
      </c>
      <c r="B10243" s="450" t="s">
        <v>11065</v>
      </c>
      <c r="C10243" s="449" t="s">
        <v>683</v>
      </c>
      <c r="D10243" s="451">
        <v>7.13</v>
      </c>
      <c r="E10243" s="210"/>
    </row>
    <row r="10244" spans="1:5" ht="38.25">
      <c r="A10244" s="449">
        <v>10826</v>
      </c>
      <c r="B10244" s="450" t="s">
        <v>11066</v>
      </c>
      <c r="C10244" s="449" t="s">
        <v>679</v>
      </c>
      <c r="D10244" s="451">
        <v>86.2</v>
      </c>
      <c r="E10244" s="210"/>
    </row>
    <row r="10245" spans="1:5" ht="38.25">
      <c r="A10245" s="449">
        <v>365</v>
      </c>
      <c r="B10245" s="450" t="s">
        <v>11067</v>
      </c>
      <c r="C10245" s="449" t="s">
        <v>679</v>
      </c>
      <c r="D10245" s="451">
        <v>53.44</v>
      </c>
      <c r="E10245" s="210"/>
    </row>
    <row r="10246" spans="1:5">
      <c r="A10246" s="449">
        <v>38639</v>
      </c>
      <c r="B10246" s="450" t="s">
        <v>11068</v>
      </c>
      <c r="C10246" s="449" t="s">
        <v>679</v>
      </c>
      <c r="D10246" s="451">
        <v>206.89</v>
      </c>
      <c r="E10246" s="210"/>
    </row>
    <row r="10247" spans="1:5" ht="25.5">
      <c r="A10247" s="449">
        <v>38640</v>
      </c>
      <c r="B10247" s="450" t="s">
        <v>11069</v>
      </c>
      <c r="C10247" s="449" t="s">
        <v>679</v>
      </c>
      <c r="D10247" s="451">
        <v>3.1</v>
      </c>
      <c r="E10247" s="210"/>
    </row>
    <row r="10248" spans="1:5" ht="38.25">
      <c r="A10248" s="449">
        <v>358</v>
      </c>
      <c r="B10248" s="450" t="s">
        <v>11070</v>
      </c>
      <c r="C10248" s="449" t="s">
        <v>679</v>
      </c>
      <c r="D10248" s="451">
        <v>63.79</v>
      </c>
      <c r="E10248" s="210"/>
    </row>
    <row r="10249" spans="1:5" ht="38.25">
      <c r="A10249" s="449">
        <v>359</v>
      </c>
      <c r="B10249" s="450" t="s">
        <v>11071</v>
      </c>
      <c r="C10249" s="449" t="s">
        <v>679</v>
      </c>
      <c r="D10249" s="451">
        <v>131.03</v>
      </c>
      <c r="E10249" s="210"/>
    </row>
    <row r="10250" spans="1:5">
      <c r="A10250" s="449">
        <v>38641</v>
      </c>
      <c r="B10250" s="450" t="s">
        <v>11072</v>
      </c>
      <c r="C10250" s="449" t="s">
        <v>679</v>
      </c>
      <c r="D10250" s="451">
        <v>129.31</v>
      </c>
      <c r="E10250" s="210"/>
    </row>
    <row r="10251" spans="1:5" ht="38.25">
      <c r="A10251" s="449">
        <v>360</v>
      </c>
      <c r="B10251" s="450" t="s">
        <v>11073</v>
      </c>
      <c r="C10251" s="449" t="s">
        <v>679</v>
      </c>
      <c r="D10251" s="451">
        <v>3</v>
      </c>
      <c r="E10251" s="210"/>
    </row>
    <row r="10252" spans="1:5" ht="63.75">
      <c r="A10252" s="449">
        <v>42430</v>
      </c>
      <c r="B10252" s="450" t="s">
        <v>11074</v>
      </c>
      <c r="C10252" s="449" t="s">
        <v>679</v>
      </c>
      <c r="D10252" s="451">
        <v>4929.78</v>
      </c>
      <c r="E10252" s="210"/>
    </row>
    <row r="10253" spans="1:5" ht="25.5">
      <c r="A10253" s="449">
        <v>4214</v>
      </c>
      <c r="B10253" s="450" t="s">
        <v>11075</v>
      </c>
      <c r="C10253" s="449" t="s">
        <v>679</v>
      </c>
      <c r="D10253" s="451">
        <v>9.01</v>
      </c>
      <c r="E10253" s="210"/>
    </row>
    <row r="10254" spans="1:5" ht="25.5">
      <c r="A10254" s="449">
        <v>4215</v>
      </c>
      <c r="B10254" s="450" t="s">
        <v>11076</v>
      </c>
      <c r="C10254" s="449" t="s">
        <v>679</v>
      </c>
      <c r="D10254" s="451">
        <v>5.93</v>
      </c>
      <c r="E10254" s="210"/>
    </row>
    <row r="10255" spans="1:5">
      <c r="A10255" s="449">
        <v>4210</v>
      </c>
      <c r="B10255" s="450" t="s">
        <v>11077</v>
      </c>
      <c r="C10255" s="449" t="s">
        <v>679</v>
      </c>
      <c r="D10255" s="451">
        <v>0.99</v>
      </c>
      <c r="E10255" s="210"/>
    </row>
    <row r="10256" spans="1:5">
      <c r="A10256" s="449">
        <v>4212</v>
      </c>
      <c r="B10256" s="450" t="s">
        <v>11078</v>
      </c>
      <c r="C10256" s="449" t="s">
        <v>679</v>
      </c>
      <c r="D10256" s="451">
        <v>2.86</v>
      </c>
      <c r="E10256" s="210"/>
    </row>
    <row r="10257" spans="1:5">
      <c r="A10257" s="449">
        <v>4213</v>
      </c>
      <c r="B10257" s="450" t="s">
        <v>11079</v>
      </c>
      <c r="C10257" s="449" t="s">
        <v>679</v>
      </c>
      <c r="D10257" s="451">
        <v>12.8</v>
      </c>
      <c r="E10257" s="210"/>
    </row>
    <row r="10258" spans="1:5">
      <c r="A10258" s="449">
        <v>4211</v>
      </c>
      <c r="B10258" s="450" t="s">
        <v>11080</v>
      </c>
      <c r="C10258" s="449" t="s">
        <v>679</v>
      </c>
      <c r="D10258" s="451">
        <v>1.43</v>
      </c>
      <c r="E10258" s="210"/>
    </row>
    <row r="10259" spans="1:5" ht="25.5">
      <c r="A10259" s="449">
        <v>4209</v>
      </c>
      <c r="B10259" s="450" t="s">
        <v>11081</v>
      </c>
      <c r="C10259" s="449" t="s">
        <v>679</v>
      </c>
      <c r="D10259" s="451">
        <v>16.920000000000002</v>
      </c>
      <c r="E10259" s="210"/>
    </row>
    <row r="10260" spans="1:5" ht="25.5">
      <c r="A10260" s="449">
        <v>4180</v>
      </c>
      <c r="B10260" s="450" t="s">
        <v>11082</v>
      </c>
      <c r="C10260" s="449" t="s">
        <v>679</v>
      </c>
      <c r="D10260" s="451">
        <v>12.73</v>
      </c>
      <c r="E10260" s="210"/>
    </row>
    <row r="10261" spans="1:5" ht="25.5">
      <c r="A10261" s="449">
        <v>4177</v>
      </c>
      <c r="B10261" s="450" t="s">
        <v>11083</v>
      </c>
      <c r="C10261" s="449" t="s">
        <v>679</v>
      </c>
      <c r="D10261" s="451">
        <v>4.2300000000000004</v>
      </c>
      <c r="E10261" s="210"/>
    </row>
    <row r="10262" spans="1:5" ht="25.5">
      <c r="A10262" s="449">
        <v>4179</v>
      </c>
      <c r="B10262" s="450" t="s">
        <v>11084</v>
      </c>
      <c r="C10262" s="449" t="s">
        <v>679</v>
      </c>
      <c r="D10262" s="451">
        <v>8.65</v>
      </c>
      <c r="E10262" s="210"/>
    </row>
    <row r="10263" spans="1:5" ht="25.5">
      <c r="A10263" s="449">
        <v>4208</v>
      </c>
      <c r="B10263" s="450" t="s">
        <v>11085</v>
      </c>
      <c r="C10263" s="449" t="s">
        <v>679</v>
      </c>
      <c r="D10263" s="451">
        <v>40.270000000000003</v>
      </c>
      <c r="E10263" s="210"/>
    </row>
    <row r="10264" spans="1:5" ht="25.5">
      <c r="A10264" s="449">
        <v>4181</v>
      </c>
      <c r="B10264" s="450" t="s">
        <v>11086</v>
      </c>
      <c r="C10264" s="449" t="s">
        <v>679</v>
      </c>
      <c r="D10264" s="451">
        <v>26.31</v>
      </c>
      <c r="E10264" s="210"/>
    </row>
    <row r="10265" spans="1:5" ht="25.5">
      <c r="A10265" s="449">
        <v>4178</v>
      </c>
      <c r="B10265" s="450" t="s">
        <v>11087</v>
      </c>
      <c r="C10265" s="449" t="s">
        <v>679</v>
      </c>
      <c r="D10265" s="451">
        <v>5.86</v>
      </c>
      <c r="E10265" s="210"/>
    </row>
    <row r="10266" spans="1:5" ht="25.5">
      <c r="A10266" s="449">
        <v>4182</v>
      </c>
      <c r="B10266" s="450" t="s">
        <v>11088</v>
      </c>
      <c r="C10266" s="449" t="s">
        <v>679</v>
      </c>
      <c r="D10266" s="451">
        <v>65.510000000000005</v>
      </c>
      <c r="E10266" s="210"/>
    </row>
    <row r="10267" spans="1:5" ht="25.5">
      <c r="A10267" s="449">
        <v>4183</v>
      </c>
      <c r="B10267" s="450" t="s">
        <v>11089</v>
      </c>
      <c r="C10267" s="449" t="s">
        <v>679</v>
      </c>
      <c r="D10267" s="451">
        <v>105.47</v>
      </c>
      <c r="E10267" s="210"/>
    </row>
    <row r="10268" spans="1:5" ht="25.5">
      <c r="A10268" s="449">
        <v>4184</v>
      </c>
      <c r="B10268" s="450" t="s">
        <v>11090</v>
      </c>
      <c r="C10268" s="449" t="s">
        <v>679</v>
      </c>
      <c r="D10268" s="451">
        <v>232.82</v>
      </c>
      <c r="E10268" s="210"/>
    </row>
    <row r="10269" spans="1:5" ht="25.5">
      <c r="A10269" s="449">
        <v>4185</v>
      </c>
      <c r="B10269" s="450" t="s">
        <v>11091</v>
      </c>
      <c r="C10269" s="449" t="s">
        <v>679</v>
      </c>
      <c r="D10269" s="451">
        <v>386.84</v>
      </c>
      <c r="E10269" s="210"/>
    </row>
    <row r="10270" spans="1:5" ht="25.5">
      <c r="A10270" s="449">
        <v>4205</v>
      </c>
      <c r="B10270" s="450" t="s">
        <v>11092</v>
      </c>
      <c r="C10270" s="449" t="s">
        <v>679</v>
      </c>
      <c r="D10270" s="451">
        <v>22.34</v>
      </c>
      <c r="E10270" s="210"/>
    </row>
    <row r="10271" spans="1:5" ht="25.5">
      <c r="A10271" s="449">
        <v>4192</v>
      </c>
      <c r="B10271" s="450" t="s">
        <v>11093</v>
      </c>
      <c r="C10271" s="449" t="s">
        <v>679</v>
      </c>
      <c r="D10271" s="451">
        <v>22.34</v>
      </c>
      <c r="E10271" s="210"/>
    </row>
    <row r="10272" spans="1:5" ht="25.5">
      <c r="A10272" s="449">
        <v>4191</v>
      </c>
      <c r="B10272" s="450" t="s">
        <v>11094</v>
      </c>
      <c r="C10272" s="449" t="s">
        <v>679</v>
      </c>
      <c r="D10272" s="451">
        <v>22.34</v>
      </c>
      <c r="E10272" s="210"/>
    </row>
    <row r="10273" spans="1:5" ht="25.5">
      <c r="A10273" s="449">
        <v>4207</v>
      </c>
      <c r="B10273" s="450" t="s">
        <v>11095</v>
      </c>
      <c r="C10273" s="449" t="s">
        <v>679</v>
      </c>
      <c r="D10273" s="451">
        <v>17.97</v>
      </c>
      <c r="E10273" s="210"/>
    </row>
    <row r="10274" spans="1:5" ht="25.5">
      <c r="A10274" s="449">
        <v>4206</v>
      </c>
      <c r="B10274" s="450" t="s">
        <v>11096</v>
      </c>
      <c r="C10274" s="449" t="s">
        <v>679</v>
      </c>
      <c r="D10274" s="451">
        <v>17.46</v>
      </c>
      <c r="E10274" s="210"/>
    </row>
    <row r="10275" spans="1:5" ht="25.5">
      <c r="A10275" s="449">
        <v>4190</v>
      </c>
      <c r="B10275" s="450" t="s">
        <v>11097</v>
      </c>
      <c r="C10275" s="449" t="s">
        <v>679</v>
      </c>
      <c r="D10275" s="451">
        <v>17.46</v>
      </c>
      <c r="E10275" s="210"/>
    </row>
    <row r="10276" spans="1:5" ht="25.5">
      <c r="A10276" s="449">
        <v>4186</v>
      </c>
      <c r="B10276" s="450" t="s">
        <v>11098</v>
      </c>
      <c r="C10276" s="449" t="s">
        <v>679</v>
      </c>
      <c r="D10276" s="451">
        <v>5.16</v>
      </c>
      <c r="E10276" s="210"/>
    </row>
    <row r="10277" spans="1:5" ht="25.5">
      <c r="A10277" s="449">
        <v>4188</v>
      </c>
      <c r="B10277" s="450" t="s">
        <v>11099</v>
      </c>
      <c r="C10277" s="449" t="s">
        <v>679</v>
      </c>
      <c r="D10277" s="451">
        <v>10.53</v>
      </c>
      <c r="E10277" s="210"/>
    </row>
    <row r="10278" spans="1:5" ht="25.5">
      <c r="A10278" s="449">
        <v>4189</v>
      </c>
      <c r="B10278" s="450" t="s">
        <v>11100</v>
      </c>
      <c r="C10278" s="449" t="s">
        <v>679</v>
      </c>
      <c r="D10278" s="451">
        <v>10.53</v>
      </c>
      <c r="E10278" s="210"/>
    </row>
    <row r="10279" spans="1:5" ht="25.5">
      <c r="A10279" s="449">
        <v>4197</v>
      </c>
      <c r="B10279" s="450" t="s">
        <v>11101</v>
      </c>
      <c r="C10279" s="449" t="s">
        <v>679</v>
      </c>
      <c r="D10279" s="451">
        <v>55.78</v>
      </c>
      <c r="E10279" s="210"/>
    </row>
    <row r="10280" spans="1:5" ht="25.5">
      <c r="A10280" s="449">
        <v>4194</v>
      </c>
      <c r="B10280" s="450" t="s">
        <v>11102</v>
      </c>
      <c r="C10280" s="449" t="s">
        <v>679</v>
      </c>
      <c r="D10280" s="451">
        <v>33.700000000000003</v>
      </c>
      <c r="E10280" s="210"/>
    </row>
    <row r="10281" spans="1:5" ht="25.5">
      <c r="A10281" s="449">
        <v>4193</v>
      </c>
      <c r="B10281" s="450" t="s">
        <v>11103</v>
      </c>
      <c r="C10281" s="449" t="s">
        <v>679</v>
      </c>
      <c r="D10281" s="451">
        <v>33.700000000000003</v>
      </c>
      <c r="E10281" s="210"/>
    </row>
    <row r="10282" spans="1:5" ht="25.5">
      <c r="A10282" s="449">
        <v>4204</v>
      </c>
      <c r="B10282" s="450" t="s">
        <v>11104</v>
      </c>
      <c r="C10282" s="449" t="s">
        <v>679</v>
      </c>
      <c r="D10282" s="451">
        <v>33.700000000000003</v>
      </c>
      <c r="E10282" s="210"/>
    </row>
    <row r="10283" spans="1:5" ht="25.5">
      <c r="A10283" s="449">
        <v>4187</v>
      </c>
      <c r="B10283" s="450" t="s">
        <v>11105</v>
      </c>
      <c r="C10283" s="449" t="s">
        <v>679</v>
      </c>
      <c r="D10283" s="451">
        <v>6.72</v>
      </c>
      <c r="E10283" s="210"/>
    </row>
    <row r="10284" spans="1:5" ht="25.5">
      <c r="A10284" s="449">
        <v>4202</v>
      </c>
      <c r="B10284" s="450" t="s">
        <v>11106</v>
      </c>
      <c r="C10284" s="449" t="s">
        <v>679</v>
      </c>
      <c r="D10284" s="451">
        <v>101.87</v>
      </c>
      <c r="E10284" s="210"/>
    </row>
    <row r="10285" spans="1:5" ht="25.5">
      <c r="A10285" s="449">
        <v>4203</v>
      </c>
      <c r="B10285" s="450" t="s">
        <v>11107</v>
      </c>
      <c r="C10285" s="449" t="s">
        <v>679</v>
      </c>
      <c r="D10285" s="451">
        <v>89.97</v>
      </c>
      <c r="E10285" s="210"/>
    </row>
    <row r="10286" spans="1:5" ht="25.5">
      <c r="A10286" s="449">
        <v>40368</v>
      </c>
      <c r="B10286" s="450" t="s">
        <v>11108</v>
      </c>
      <c r="C10286" s="449" t="s">
        <v>679</v>
      </c>
      <c r="D10286" s="451">
        <v>49.54</v>
      </c>
      <c r="E10286" s="210"/>
    </row>
    <row r="10287" spans="1:5" ht="25.5">
      <c r="A10287" s="449">
        <v>40365</v>
      </c>
      <c r="B10287" s="450" t="s">
        <v>11109</v>
      </c>
      <c r="C10287" s="449" t="s">
        <v>679</v>
      </c>
      <c r="D10287" s="451">
        <v>33.42</v>
      </c>
      <c r="E10287" s="210"/>
    </row>
    <row r="10288" spans="1:5" ht="25.5">
      <c r="A10288" s="449">
        <v>40356</v>
      </c>
      <c r="B10288" s="450" t="s">
        <v>11110</v>
      </c>
      <c r="C10288" s="449" t="s">
        <v>679</v>
      </c>
      <c r="D10288" s="451">
        <v>11.42</v>
      </c>
      <c r="E10288" s="210"/>
    </row>
    <row r="10289" spans="1:5" ht="25.5">
      <c r="A10289" s="449">
        <v>40362</v>
      </c>
      <c r="B10289" s="450" t="s">
        <v>11111</v>
      </c>
      <c r="C10289" s="449" t="s">
        <v>679</v>
      </c>
      <c r="D10289" s="451">
        <v>22.14</v>
      </c>
      <c r="E10289" s="210"/>
    </row>
    <row r="10290" spans="1:5" ht="25.5">
      <c r="A10290" s="449">
        <v>40374</v>
      </c>
      <c r="B10290" s="450" t="s">
        <v>11112</v>
      </c>
      <c r="C10290" s="449" t="s">
        <v>679</v>
      </c>
      <c r="D10290" s="451">
        <v>129.47999999999999</v>
      </c>
      <c r="E10290" s="210"/>
    </row>
    <row r="10291" spans="1:5" ht="25.5">
      <c r="A10291" s="449">
        <v>40371</v>
      </c>
      <c r="B10291" s="450" t="s">
        <v>11113</v>
      </c>
      <c r="C10291" s="449" t="s">
        <v>679</v>
      </c>
      <c r="D10291" s="451">
        <v>81.5</v>
      </c>
      <c r="E10291" s="210"/>
    </row>
    <row r="10292" spans="1:5" ht="25.5">
      <c r="A10292" s="449">
        <v>40359</v>
      </c>
      <c r="B10292" s="450" t="s">
        <v>11114</v>
      </c>
      <c r="C10292" s="449" t="s">
        <v>679</v>
      </c>
      <c r="D10292" s="451">
        <v>14.75</v>
      </c>
      <c r="E10292" s="210"/>
    </row>
    <row r="10293" spans="1:5">
      <c r="A10293" s="449">
        <v>7595</v>
      </c>
      <c r="B10293" s="450" t="s">
        <v>11115</v>
      </c>
      <c r="C10293" s="449" t="s">
        <v>682</v>
      </c>
      <c r="D10293" s="451">
        <v>7.02</v>
      </c>
      <c r="E10293" s="210"/>
    </row>
    <row r="10294" spans="1:5">
      <c r="A10294" s="449">
        <v>41094</v>
      </c>
      <c r="B10294" s="450" t="s">
        <v>11116</v>
      </c>
      <c r="C10294" s="449" t="s">
        <v>797</v>
      </c>
      <c r="D10294" s="451">
        <v>1245.72</v>
      </c>
      <c r="E10294" s="210"/>
    </row>
    <row r="10295" spans="1:5" ht="38.25">
      <c r="A10295" s="449">
        <v>39609</v>
      </c>
      <c r="B10295" s="450" t="s">
        <v>11117</v>
      </c>
      <c r="C10295" s="449" t="s">
        <v>679</v>
      </c>
      <c r="D10295" s="451">
        <v>74102.210000000006</v>
      </c>
      <c r="E10295" s="210"/>
    </row>
    <row r="10296" spans="1:5" ht="38.25">
      <c r="A10296" s="449">
        <v>39610</v>
      </c>
      <c r="B10296" s="450" t="s">
        <v>11118</v>
      </c>
      <c r="C10296" s="449" t="s">
        <v>679</v>
      </c>
      <c r="D10296" s="451">
        <v>108166.11</v>
      </c>
      <c r="E10296" s="210"/>
    </row>
    <row r="10297" spans="1:5" ht="38.25">
      <c r="A10297" s="449">
        <v>39611</v>
      </c>
      <c r="B10297" s="450" t="s">
        <v>11119</v>
      </c>
      <c r="C10297" s="449" t="s">
        <v>679</v>
      </c>
      <c r="D10297" s="451">
        <v>130898.69</v>
      </c>
      <c r="E10297" s="210"/>
    </row>
    <row r="10298" spans="1:5" ht="38.25">
      <c r="A10298" s="449">
        <v>39612</v>
      </c>
      <c r="B10298" s="450" t="s">
        <v>11120</v>
      </c>
      <c r="C10298" s="449" t="s">
        <v>679</v>
      </c>
      <c r="D10298" s="451">
        <v>205055.76</v>
      </c>
      <c r="E10298" s="210"/>
    </row>
    <row r="10299" spans="1:5" ht="38.25">
      <c r="A10299" s="449">
        <v>39608</v>
      </c>
      <c r="B10299" s="450" t="s">
        <v>11121</v>
      </c>
      <c r="C10299" s="449" t="s">
        <v>679</v>
      </c>
      <c r="D10299" s="451">
        <v>59251.35</v>
      </c>
      <c r="E10299" s="210"/>
    </row>
    <row r="10300" spans="1:5" ht="38.25">
      <c r="A10300" s="449">
        <v>38175</v>
      </c>
      <c r="B10300" s="450" t="s">
        <v>11122</v>
      </c>
      <c r="C10300" s="449" t="s">
        <v>679</v>
      </c>
      <c r="D10300" s="451">
        <v>4.99</v>
      </c>
      <c r="E10300" s="210"/>
    </row>
    <row r="10301" spans="1:5" ht="38.25">
      <c r="A10301" s="449">
        <v>38176</v>
      </c>
      <c r="B10301" s="450" t="s">
        <v>11123</v>
      </c>
      <c r="C10301" s="449" t="s">
        <v>679</v>
      </c>
      <c r="D10301" s="451">
        <v>14.68</v>
      </c>
      <c r="E10301" s="210"/>
    </row>
    <row r="10302" spans="1:5" ht="38.25">
      <c r="A10302" s="449">
        <v>36152</v>
      </c>
      <c r="B10302" s="450" t="s">
        <v>11124</v>
      </c>
      <c r="C10302" s="449" t="s">
        <v>679</v>
      </c>
      <c r="D10302" s="451">
        <v>5.53</v>
      </c>
      <c r="E10302" s="210"/>
    </row>
    <row r="10303" spans="1:5">
      <c r="A10303" s="449">
        <v>11138</v>
      </c>
      <c r="B10303" s="450" t="s">
        <v>11125</v>
      </c>
      <c r="C10303" s="449" t="s">
        <v>678</v>
      </c>
      <c r="D10303" s="451">
        <v>3.17</v>
      </c>
      <c r="E10303" s="210"/>
    </row>
    <row r="10304" spans="1:5">
      <c r="A10304" s="449">
        <v>4221</v>
      </c>
      <c r="B10304" s="450" t="s">
        <v>11126</v>
      </c>
      <c r="C10304" s="449" t="s">
        <v>678</v>
      </c>
      <c r="D10304" s="451">
        <v>4.93</v>
      </c>
      <c r="E10304" s="210"/>
    </row>
    <row r="10305" spans="1:5" ht="38.25">
      <c r="A10305" s="449">
        <v>4227</v>
      </c>
      <c r="B10305" s="450" t="s">
        <v>11127</v>
      </c>
      <c r="C10305" s="449" t="s">
        <v>678</v>
      </c>
      <c r="D10305" s="451">
        <v>19.95</v>
      </c>
      <c r="E10305" s="210"/>
    </row>
    <row r="10306" spans="1:5" ht="51">
      <c r="A10306" s="449">
        <v>38170</v>
      </c>
      <c r="B10306" s="450" t="s">
        <v>11128</v>
      </c>
      <c r="C10306" s="449" t="s">
        <v>679</v>
      </c>
      <c r="D10306" s="451">
        <v>21.81</v>
      </c>
      <c r="E10306" s="210"/>
    </row>
    <row r="10307" spans="1:5">
      <c r="A10307" s="449">
        <v>4252</v>
      </c>
      <c r="B10307" s="450" t="s">
        <v>11129</v>
      </c>
      <c r="C10307" s="449" t="s">
        <v>682</v>
      </c>
      <c r="D10307" s="451">
        <v>11.8</v>
      </c>
      <c r="E10307" s="210"/>
    </row>
    <row r="10308" spans="1:5">
      <c r="A10308" s="449">
        <v>40980</v>
      </c>
      <c r="B10308" s="450" t="s">
        <v>11130</v>
      </c>
      <c r="C10308" s="449" t="s">
        <v>797</v>
      </c>
      <c r="D10308" s="451">
        <v>2093.64</v>
      </c>
      <c r="E10308" s="210"/>
    </row>
    <row r="10309" spans="1:5">
      <c r="A10309" s="449">
        <v>4243</v>
      </c>
      <c r="B10309" s="450" t="s">
        <v>11131</v>
      </c>
      <c r="C10309" s="449" t="s">
        <v>682</v>
      </c>
      <c r="D10309" s="451">
        <v>10.130000000000001</v>
      </c>
      <c r="E10309" s="210"/>
    </row>
    <row r="10310" spans="1:5" ht="25.5">
      <c r="A10310" s="449">
        <v>41031</v>
      </c>
      <c r="B10310" s="450" t="s">
        <v>11132</v>
      </c>
      <c r="C10310" s="449" t="s">
        <v>797</v>
      </c>
      <c r="D10310" s="451">
        <v>1795.53</v>
      </c>
      <c r="E10310" s="210"/>
    </row>
    <row r="10311" spans="1:5" ht="25.5">
      <c r="A10311" s="449">
        <v>37666</v>
      </c>
      <c r="B10311" s="450" t="s">
        <v>11133</v>
      </c>
      <c r="C10311" s="449" t="s">
        <v>682</v>
      </c>
      <c r="D10311" s="451">
        <v>9.76</v>
      </c>
      <c r="E10311" s="210"/>
    </row>
    <row r="10312" spans="1:5" ht="25.5">
      <c r="A10312" s="449">
        <v>40986</v>
      </c>
      <c r="B10312" s="450" t="s">
        <v>11134</v>
      </c>
      <c r="C10312" s="449" t="s">
        <v>797</v>
      </c>
      <c r="D10312" s="451">
        <v>1732.75</v>
      </c>
      <c r="E10312" s="210"/>
    </row>
    <row r="10313" spans="1:5" ht="25.5">
      <c r="A10313" s="449">
        <v>4250</v>
      </c>
      <c r="B10313" s="450" t="s">
        <v>11135</v>
      </c>
      <c r="C10313" s="449" t="s">
        <v>682</v>
      </c>
      <c r="D10313" s="451">
        <v>10.64</v>
      </c>
      <c r="E10313" s="210"/>
    </row>
    <row r="10314" spans="1:5" ht="25.5">
      <c r="A10314" s="449">
        <v>40978</v>
      </c>
      <c r="B10314" s="450" t="s">
        <v>11136</v>
      </c>
      <c r="C10314" s="449" t="s">
        <v>797</v>
      </c>
      <c r="D10314" s="451">
        <v>1888.45</v>
      </c>
      <c r="E10314" s="210"/>
    </row>
    <row r="10315" spans="1:5" ht="25.5">
      <c r="A10315" s="449">
        <v>25960</v>
      </c>
      <c r="B10315" s="450" t="s">
        <v>11137</v>
      </c>
      <c r="C10315" s="449" t="s">
        <v>682</v>
      </c>
      <c r="D10315" s="451">
        <v>12.46</v>
      </c>
      <c r="E10315" s="210"/>
    </row>
    <row r="10316" spans="1:5" ht="25.5">
      <c r="A10316" s="449">
        <v>41043</v>
      </c>
      <c r="B10316" s="450" t="s">
        <v>11138</v>
      </c>
      <c r="C10316" s="449" t="s">
        <v>797</v>
      </c>
      <c r="D10316" s="451">
        <v>2209.88</v>
      </c>
      <c r="E10316" s="210"/>
    </row>
    <row r="10317" spans="1:5">
      <c r="A10317" s="449">
        <v>4234</v>
      </c>
      <c r="B10317" s="450" t="s">
        <v>11139</v>
      </c>
      <c r="C10317" s="449" t="s">
        <v>682</v>
      </c>
      <c r="D10317" s="451">
        <v>13.66</v>
      </c>
      <c r="E10317" s="210"/>
    </row>
    <row r="10318" spans="1:5">
      <c r="A10318" s="449">
        <v>40987</v>
      </c>
      <c r="B10318" s="450" t="s">
        <v>11140</v>
      </c>
      <c r="C10318" s="449" t="s">
        <v>797</v>
      </c>
      <c r="D10318" s="451">
        <v>2420.84</v>
      </c>
      <c r="E10318" s="210"/>
    </row>
    <row r="10319" spans="1:5">
      <c r="A10319" s="449">
        <v>4253</v>
      </c>
      <c r="B10319" s="450" t="s">
        <v>11141</v>
      </c>
      <c r="C10319" s="449" t="s">
        <v>682</v>
      </c>
      <c r="D10319" s="451">
        <v>9.82</v>
      </c>
      <c r="E10319" s="210"/>
    </row>
    <row r="10320" spans="1:5" ht="25.5">
      <c r="A10320" s="449">
        <v>40981</v>
      </c>
      <c r="B10320" s="450" t="s">
        <v>11142</v>
      </c>
      <c r="C10320" s="449" t="s">
        <v>797</v>
      </c>
      <c r="D10320" s="451">
        <v>1741.33</v>
      </c>
      <c r="E10320" s="210"/>
    </row>
    <row r="10321" spans="1:5">
      <c r="A10321" s="449">
        <v>4254</v>
      </c>
      <c r="B10321" s="450" t="s">
        <v>11143</v>
      </c>
      <c r="C10321" s="449" t="s">
        <v>682</v>
      </c>
      <c r="D10321" s="451">
        <v>9.8699999999999992</v>
      </c>
      <c r="E10321" s="210"/>
    </row>
    <row r="10322" spans="1:5">
      <c r="A10322" s="449">
        <v>41036</v>
      </c>
      <c r="B10322" s="450" t="s">
        <v>11144</v>
      </c>
      <c r="C10322" s="449" t="s">
        <v>797</v>
      </c>
      <c r="D10322" s="451">
        <v>1750.88</v>
      </c>
      <c r="E10322" s="210"/>
    </row>
    <row r="10323" spans="1:5">
      <c r="A10323" s="449">
        <v>4251</v>
      </c>
      <c r="B10323" s="450" t="s">
        <v>11145</v>
      </c>
      <c r="C10323" s="449" t="s">
        <v>682</v>
      </c>
      <c r="D10323" s="451">
        <v>12.23</v>
      </c>
      <c r="E10323" s="210"/>
    </row>
    <row r="10324" spans="1:5" ht="25.5">
      <c r="A10324" s="449">
        <v>40979</v>
      </c>
      <c r="B10324" s="450" t="s">
        <v>11146</v>
      </c>
      <c r="C10324" s="449" t="s">
        <v>797</v>
      </c>
      <c r="D10324" s="451">
        <v>2167.1999999999998</v>
      </c>
      <c r="E10324" s="210"/>
    </row>
    <row r="10325" spans="1:5" ht="25.5">
      <c r="A10325" s="449">
        <v>4230</v>
      </c>
      <c r="B10325" s="450" t="s">
        <v>11147</v>
      </c>
      <c r="C10325" s="449" t="s">
        <v>682</v>
      </c>
      <c r="D10325" s="451">
        <v>10.4</v>
      </c>
      <c r="E10325" s="210"/>
    </row>
    <row r="10326" spans="1:5" ht="25.5">
      <c r="A10326" s="449">
        <v>40998</v>
      </c>
      <c r="B10326" s="450" t="s">
        <v>11148</v>
      </c>
      <c r="C10326" s="449" t="s">
        <v>797</v>
      </c>
      <c r="D10326" s="451">
        <v>1845.41</v>
      </c>
      <c r="E10326" s="210"/>
    </row>
    <row r="10327" spans="1:5">
      <c r="A10327" s="449">
        <v>4257</v>
      </c>
      <c r="B10327" s="450" t="s">
        <v>11149</v>
      </c>
      <c r="C10327" s="449" t="s">
        <v>682</v>
      </c>
      <c r="D10327" s="451">
        <v>8.1999999999999993</v>
      </c>
      <c r="E10327" s="210"/>
    </row>
    <row r="10328" spans="1:5" ht="25.5">
      <c r="A10328" s="449">
        <v>40982</v>
      </c>
      <c r="B10328" s="450" t="s">
        <v>11150</v>
      </c>
      <c r="C10328" s="449" t="s">
        <v>797</v>
      </c>
      <c r="D10328" s="451">
        <v>1454.81</v>
      </c>
      <c r="E10328" s="210"/>
    </row>
    <row r="10329" spans="1:5">
      <c r="A10329" s="449">
        <v>4240</v>
      </c>
      <c r="B10329" s="450" t="s">
        <v>11151</v>
      </c>
      <c r="C10329" s="449" t="s">
        <v>682</v>
      </c>
      <c r="D10329" s="451">
        <v>12.67</v>
      </c>
      <c r="E10329" s="210"/>
    </row>
    <row r="10330" spans="1:5">
      <c r="A10330" s="449">
        <v>41026</v>
      </c>
      <c r="B10330" s="450" t="s">
        <v>11152</v>
      </c>
      <c r="C10330" s="449" t="s">
        <v>797</v>
      </c>
      <c r="D10330" s="451">
        <v>2247.56</v>
      </c>
      <c r="E10330" s="210"/>
    </row>
    <row r="10331" spans="1:5">
      <c r="A10331" s="449">
        <v>4239</v>
      </c>
      <c r="B10331" s="450" t="s">
        <v>11153</v>
      </c>
      <c r="C10331" s="449" t="s">
        <v>682</v>
      </c>
      <c r="D10331" s="451">
        <v>15.55</v>
      </c>
      <c r="E10331" s="210"/>
    </row>
    <row r="10332" spans="1:5">
      <c r="A10332" s="449">
        <v>41024</v>
      </c>
      <c r="B10332" s="450" t="s">
        <v>11154</v>
      </c>
      <c r="C10332" s="449" t="s">
        <v>797</v>
      </c>
      <c r="D10332" s="451">
        <v>2757.34</v>
      </c>
      <c r="E10332" s="210"/>
    </row>
    <row r="10333" spans="1:5">
      <c r="A10333" s="449">
        <v>4248</v>
      </c>
      <c r="B10333" s="450" t="s">
        <v>11155</v>
      </c>
      <c r="C10333" s="449" t="s">
        <v>682</v>
      </c>
      <c r="D10333" s="451">
        <v>11.36</v>
      </c>
      <c r="E10333" s="210"/>
    </row>
    <row r="10334" spans="1:5">
      <c r="A10334" s="449">
        <v>41033</v>
      </c>
      <c r="B10334" s="450" t="s">
        <v>11156</v>
      </c>
      <c r="C10334" s="449" t="s">
        <v>797</v>
      </c>
      <c r="D10334" s="451">
        <v>2013.58</v>
      </c>
      <c r="E10334" s="210"/>
    </row>
    <row r="10335" spans="1:5" ht="25.5">
      <c r="A10335" s="449">
        <v>25959</v>
      </c>
      <c r="B10335" s="450" t="s">
        <v>11157</v>
      </c>
      <c r="C10335" s="449" t="s">
        <v>682</v>
      </c>
      <c r="D10335" s="451">
        <v>13.09</v>
      </c>
      <c r="E10335" s="210"/>
    </row>
    <row r="10336" spans="1:5" ht="25.5">
      <c r="A10336" s="449">
        <v>41040</v>
      </c>
      <c r="B10336" s="450" t="s">
        <v>11158</v>
      </c>
      <c r="C10336" s="449" t="s">
        <v>797</v>
      </c>
      <c r="D10336" s="451">
        <v>2320.38</v>
      </c>
      <c r="E10336" s="210"/>
    </row>
    <row r="10337" spans="1:5">
      <c r="A10337" s="449">
        <v>4238</v>
      </c>
      <c r="B10337" s="450" t="s">
        <v>11159</v>
      </c>
      <c r="C10337" s="449" t="s">
        <v>682</v>
      </c>
      <c r="D10337" s="451">
        <v>10.4</v>
      </c>
      <c r="E10337" s="210"/>
    </row>
    <row r="10338" spans="1:5" ht="25.5">
      <c r="A10338" s="449">
        <v>41012</v>
      </c>
      <c r="B10338" s="450" t="s">
        <v>11160</v>
      </c>
      <c r="C10338" s="449" t="s">
        <v>797</v>
      </c>
      <c r="D10338" s="451">
        <v>1845.41</v>
      </c>
      <c r="E10338" s="210"/>
    </row>
    <row r="10339" spans="1:5" ht="25.5">
      <c r="A10339" s="449">
        <v>4237</v>
      </c>
      <c r="B10339" s="450" t="s">
        <v>11161</v>
      </c>
      <c r="C10339" s="449" t="s">
        <v>682</v>
      </c>
      <c r="D10339" s="451">
        <v>10.48</v>
      </c>
      <c r="E10339" s="210"/>
    </row>
    <row r="10340" spans="1:5" ht="25.5">
      <c r="A10340" s="449">
        <v>41002</v>
      </c>
      <c r="B10340" s="450" t="s">
        <v>11162</v>
      </c>
      <c r="C10340" s="449" t="s">
        <v>797</v>
      </c>
      <c r="D10340" s="451">
        <v>1859.92</v>
      </c>
      <c r="E10340" s="210"/>
    </row>
    <row r="10341" spans="1:5" ht="25.5">
      <c r="A10341" s="449">
        <v>4233</v>
      </c>
      <c r="B10341" s="450" t="s">
        <v>11163</v>
      </c>
      <c r="C10341" s="449" t="s">
        <v>682</v>
      </c>
      <c r="D10341" s="451">
        <v>11.23</v>
      </c>
      <c r="E10341" s="210"/>
    </row>
    <row r="10342" spans="1:5" ht="25.5">
      <c r="A10342" s="449">
        <v>41001</v>
      </c>
      <c r="B10342" s="450" t="s">
        <v>11164</v>
      </c>
      <c r="C10342" s="449" t="s">
        <v>797</v>
      </c>
      <c r="D10342" s="451">
        <v>1992.67</v>
      </c>
      <c r="E10342" s="210"/>
    </row>
    <row r="10343" spans="1:5" ht="25.5">
      <c r="A10343" s="449">
        <v>2</v>
      </c>
      <c r="B10343" s="450" t="s">
        <v>11165</v>
      </c>
      <c r="C10343" s="449" t="s">
        <v>677</v>
      </c>
      <c r="D10343" s="451">
        <v>14.33</v>
      </c>
      <c r="E10343" s="210"/>
    </row>
    <row r="10344" spans="1:5" ht="51">
      <c r="A10344" s="449">
        <v>36517</v>
      </c>
      <c r="B10344" s="450" t="s">
        <v>11166</v>
      </c>
      <c r="C10344" s="449" t="s">
        <v>679</v>
      </c>
      <c r="D10344" s="451">
        <v>414696</v>
      </c>
      <c r="E10344" s="210"/>
    </row>
    <row r="10345" spans="1:5" ht="51">
      <c r="A10345" s="449">
        <v>4262</v>
      </c>
      <c r="B10345" s="450" t="s">
        <v>11167</v>
      </c>
      <c r="C10345" s="449" t="s">
        <v>679</v>
      </c>
      <c r="D10345" s="451">
        <v>467000</v>
      </c>
      <c r="E10345" s="210"/>
    </row>
    <row r="10346" spans="1:5" ht="51">
      <c r="A10346" s="449">
        <v>4263</v>
      </c>
      <c r="B10346" s="450" t="s">
        <v>11168</v>
      </c>
      <c r="C10346" s="449" t="s">
        <v>679</v>
      </c>
      <c r="D10346" s="451">
        <v>647573.30000000005</v>
      </c>
      <c r="E10346" s="210"/>
    </row>
    <row r="10347" spans="1:5" ht="51">
      <c r="A10347" s="449">
        <v>36518</v>
      </c>
      <c r="B10347" s="450" t="s">
        <v>11169</v>
      </c>
      <c r="C10347" s="449" t="s">
        <v>679</v>
      </c>
      <c r="D10347" s="451">
        <v>737237.3</v>
      </c>
      <c r="E10347" s="210"/>
    </row>
    <row r="10348" spans="1:5" ht="38.25">
      <c r="A10348" s="449">
        <v>14221</v>
      </c>
      <c r="B10348" s="450" t="s">
        <v>11170</v>
      </c>
      <c r="C10348" s="449" t="s">
        <v>679</v>
      </c>
      <c r="D10348" s="451">
        <v>430262.65</v>
      </c>
      <c r="E10348" s="210"/>
    </row>
    <row r="10349" spans="1:5">
      <c r="A10349" s="449">
        <v>38402</v>
      </c>
      <c r="B10349" s="450" t="s">
        <v>11171</v>
      </c>
      <c r="C10349" s="449" t="s">
        <v>679</v>
      </c>
      <c r="D10349" s="451">
        <v>13.54</v>
      </c>
      <c r="E10349" s="210"/>
    </row>
    <row r="10350" spans="1:5" ht="25.5">
      <c r="A10350" s="449">
        <v>3412</v>
      </c>
      <c r="B10350" s="450" t="s">
        <v>11172</v>
      </c>
      <c r="C10350" s="449" t="s">
        <v>684</v>
      </c>
      <c r="D10350" s="451">
        <v>21.4</v>
      </c>
      <c r="E10350" s="210"/>
    </row>
    <row r="10351" spans="1:5" ht="25.5">
      <c r="A10351" s="449">
        <v>3413</v>
      </c>
      <c r="B10351" s="450" t="s">
        <v>11173</v>
      </c>
      <c r="C10351" s="449" t="s">
        <v>684</v>
      </c>
      <c r="D10351" s="451">
        <v>48.17</v>
      </c>
      <c r="E10351" s="210"/>
    </row>
    <row r="10352" spans="1:5" ht="25.5">
      <c r="A10352" s="449">
        <v>39744</v>
      </c>
      <c r="B10352" s="450" t="s">
        <v>11174</v>
      </c>
      <c r="C10352" s="449" t="s">
        <v>684</v>
      </c>
      <c r="D10352" s="451">
        <v>37.4</v>
      </c>
      <c r="E10352" s="210"/>
    </row>
    <row r="10353" spans="1:5" ht="25.5">
      <c r="A10353" s="449">
        <v>39745</v>
      </c>
      <c r="B10353" s="450" t="s">
        <v>11175</v>
      </c>
      <c r="C10353" s="449" t="s">
        <v>684</v>
      </c>
      <c r="D10353" s="451">
        <v>78.95</v>
      </c>
      <c r="E10353" s="210"/>
    </row>
    <row r="10354" spans="1:5" ht="38.25">
      <c r="A10354" s="449">
        <v>39637</v>
      </c>
      <c r="B10354" s="450" t="s">
        <v>11176</v>
      </c>
      <c r="C10354" s="449" t="s">
        <v>684</v>
      </c>
      <c r="D10354" s="451">
        <v>96.23</v>
      </c>
      <c r="E10354" s="210"/>
    </row>
    <row r="10355" spans="1:5" ht="38.25">
      <c r="A10355" s="449">
        <v>39638</v>
      </c>
      <c r="B10355" s="450" t="s">
        <v>11177</v>
      </c>
      <c r="C10355" s="449" t="s">
        <v>684</v>
      </c>
      <c r="D10355" s="451">
        <v>179.19</v>
      </c>
      <c r="E10355" s="210"/>
    </row>
    <row r="10356" spans="1:5" ht="38.25">
      <c r="A10356" s="449">
        <v>39639</v>
      </c>
      <c r="B10356" s="450" t="s">
        <v>11178</v>
      </c>
      <c r="C10356" s="449" t="s">
        <v>684</v>
      </c>
      <c r="D10356" s="451">
        <v>236.24</v>
      </c>
      <c r="E10356" s="210"/>
    </row>
    <row r="10357" spans="1:5" ht="89.25">
      <c r="A10357" s="449">
        <v>39517</v>
      </c>
      <c r="B10357" s="450" t="s">
        <v>11179</v>
      </c>
      <c r="C10357" s="449" t="s">
        <v>684</v>
      </c>
      <c r="D10357" s="451">
        <v>303.72000000000003</v>
      </c>
      <c r="E10357" s="210"/>
    </row>
    <row r="10358" spans="1:5" ht="89.25">
      <c r="A10358" s="449">
        <v>39518</v>
      </c>
      <c r="B10358" s="450" t="s">
        <v>11180</v>
      </c>
      <c r="C10358" s="449" t="s">
        <v>684</v>
      </c>
      <c r="D10358" s="451">
        <v>360.07</v>
      </c>
      <c r="E10358" s="210"/>
    </row>
    <row r="10359" spans="1:5">
      <c r="A10359" s="449">
        <v>38366</v>
      </c>
      <c r="B10359" s="450" t="s">
        <v>11181</v>
      </c>
      <c r="C10359" s="449" t="s">
        <v>684</v>
      </c>
      <c r="D10359" s="451">
        <v>5.23</v>
      </c>
      <c r="E10359" s="210"/>
    </row>
    <row r="10360" spans="1:5" ht="25.5">
      <c r="A10360" s="449">
        <v>11703</v>
      </c>
      <c r="B10360" s="450" t="s">
        <v>11182</v>
      </c>
      <c r="C10360" s="449" t="s">
        <v>679</v>
      </c>
      <c r="D10360" s="451">
        <v>30.21</v>
      </c>
      <c r="E10360" s="210"/>
    </row>
    <row r="10361" spans="1:5" ht="25.5">
      <c r="A10361" s="449">
        <v>37400</v>
      </c>
      <c r="B10361" s="450" t="s">
        <v>11183</v>
      </c>
      <c r="C10361" s="449" t="s">
        <v>679</v>
      </c>
      <c r="D10361" s="451">
        <v>79.02</v>
      </c>
      <c r="E10361" s="210"/>
    </row>
    <row r="10362" spans="1:5" ht="51">
      <c r="A10362" s="449">
        <v>25400</v>
      </c>
      <c r="B10362" s="450" t="s">
        <v>11184</v>
      </c>
      <c r="C10362" s="449" t="s">
        <v>679</v>
      </c>
      <c r="D10362" s="451">
        <v>2007.82</v>
      </c>
      <c r="E10362" s="210"/>
    </row>
    <row r="10363" spans="1:5" ht="25.5">
      <c r="A10363" s="449">
        <v>4276</v>
      </c>
      <c r="B10363" s="450" t="s">
        <v>11185</v>
      </c>
      <c r="C10363" s="449" t="s">
        <v>679</v>
      </c>
      <c r="D10363" s="451">
        <v>311.5</v>
      </c>
      <c r="E10363" s="210"/>
    </row>
    <row r="10364" spans="1:5" ht="25.5">
      <c r="A10364" s="449">
        <v>4273</v>
      </c>
      <c r="B10364" s="450" t="s">
        <v>11186</v>
      </c>
      <c r="C10364" s="449" t="s">
        <v>679</v>
      </c>
      <c r="D10364" s="451">
        <v>517.46</v>
      </c>
      <c r="E10364" s="210"/>
    </row>
    <row r="10365" spans="1:5" ht="51">
      <c r="A10365" s="449">
        <v>4274</v>
      </c>
      <c r="B10365" s="450" t="s">
        <v>11187</v>
      </c>
      <c r="C10365" s="449" t="s">
        <v>679</v>
      </c>
      <c r="D10365" s="451">
        <v>119.99</v>
      </c>
      <c r="E10365" s="210"/>
    </row>
    <row r="10366" spans="1:5" ht="51">
      <c r="A10366" s="449">
        <v>39438</v>
      </c>
      <c r="B10366" s="450" t="s">
        <v>11188</v>
      </c>
      <c r="C10366" s="449" t="s">
        <v>679</v>
      </c>
      <c r="D10366" s="451">
        <v>0.17</v>
      </c>
      <c r="E10366" s="210"/>
    </row>
    <row r="10367" spans="1:5" ht="38.25">
      <c r="A10367" s="449">
        <v>11963</v>
      </c>
      <c r="B10367" s="450" t="s">
        <v>11189</v>
      </c>
      <c r="C10367" s="449" t="s">
        <v>679</v>
      </c>
      <c r="D10367" s="451">
        <v>6.25</v>
      </c>
      <c r="E10367" s="210"/>
    </row>
    <row r="10368" spans="1:5" ht="38.25">
      <c r="A10368" s="449">
        <v>11964</v>
      </c>
      <c r="B10368" s="450" t="s">
        <v>11190</v>
      </c>
      <c r="C10368" s="449" t="s">
        <v>679</v>
      </c>
      <c r="D10368" s="451">
        <v>1.57</v>
      </c>
      <c r="E10368" s="210"/>
    </row>
    <row r="10369" spans="1:5" ht="38.25">
      <c r="A10369" s="449">
        <v>4379</v>
      </c>
      <c r="B10369" s="450" t="s">
        <v>11191</v>
      </c>
      <c r="C10369" s="449" t="s">
        <v>679</v>
      </c>
      <c r="D10369" s="451">
        <v>0.03</v>
      </c>
      <c r="E10369" s="210"/>
    </row>
    <row r="10370" spans="1:5" ht="38.25">
      <c r="A10370" s="449">
        <v>4377</v>
      </c>
      <c r="B10370" s="450" t="s">
        <v>11192</v>
      </c>
      <c r="C10370" s="449" t="s">
        <v>679</v>
      </c>
      <c r="D10370" s="451">
        <v>0.12</v>
      </c>
      <c r="E10370" s="210"/>
    </row>
    <row r="10371" spans="1:5" ht="38.25">
      <c r="A10371" s="449">
        <v>4356</v>
      </c>
      <c r="B10371" s="450" t="s">
        <v>11193</v>
      </c>
      <c r="C10371" s="449" t="s">
        <v>679</v>
      </c>
      <c r="D10371" s="451">
        <v>0.17</v>
      </c>
      <c r="E10371" s="210"/>
    </row>
    <row r="10372" spans="1:5" ht="38.25">
      <c r="A10372" s="449">
        <v>13246</v>
      </c>
      <c r="B10372" s="450" t="s">
        <v>11194</v>
      </c>
      <c r="C10372" s="449" t="s">
        <v>679</v>
      </c>
      <c r="D10372" s="451">
        <v>0.28999999999999998</v>
      </c>
      <c r="E10372" s="210"/>
    </row>
    <row r="10373" spans="1:5" ht="38.25">
      <c r="A10373" s="449">
        <v>4346</v>
      </c>
      <c r="B10373" s="450" t="s">
        <v>11195</v>
      </c>
      <c r="C10373" s="449" t="s">
        <v>679</v>
      </c>
      <c r="D10373" s="451">
        <v>6.7</v>
      </c>
      <c r="E10373" s="210"/>
    </row>
    <row r="10374" spans="1:5" ht="51">
      <c r="A10374" s="449">
        <v>11955</v>
      </c>
      <c r="B10374" s="450" t="s">
        <v>11196</v>
      </c>
      <c r="C10374" s="449" t="s">
        <v>679</v>
      </c>
      <c r="D10374" s="451">
        <v>2.93</v>
      </c>
      <c r="E10374" s="210"/>
    </row>
    <row r="10375" spans="1:5" ht="38.25">
      <c r="A10375" s="449">
        <v>11960</v>
      </c>
      <c r="B10375" s="450" t="s">
        <v>11197</v>
      </c>
      <c r="C10375" s="449" t="s">
        <v>679</v>
      </c>
      <c r="D10375" s="451">
        <v>0.09</v>
      </c>
      <c r="E10375" s="210"/>
    </row>
    <row r="10376" spans="1:5" ht="38.25">
      <c r="A10376" s="449">
        <v>4333</v>
      </c>
      <c r="B10376" s="450" t="s">
        <v>11198</v>
      </c>
      <c r="C10376" s="449" t="s">
        <v>679</v>
      </c>
      <c r="D10376" s="451">
        <v>0.17</v>
      </c>
      <c r="E10376" s="210"/>
    </row>
    <row r="10377" spans="1:5" ht="38.25">
      <c r="A10377" s="449">
        <v>4358</v>
      </c>
      <c r="B10377" s="450" t="s">
        <v>11199</v>
      </c>
      <c r="C10377" s="449" t="s">
        <v>679</v>
      </c>
      <c r="D10377" s="451">
        <v>1.34</v>
      </c>
      <c r="E10377" s="210"/>
    </row>
    <row r="10378" spans="1:5" ht="38.25">
      <c r="A10378" s="449">
        <v>39435</v>
      </c>
      <c r="B10378" s="450" t="s">
        <v>11200</v>
      </c>
      <c r="C10378" s="449" t="s">
        <v>679</v>
      </c>
      <c r="D10378" s="451">
        <v>0.06</v>
      </c>
      <c r="E10378" s="210"/>
    </row>
    <row r="10379" spans="1:5" ht="38.25">
      <c r="A10379" s="449">
        <v>39436</v>
      </c>
      <c r="B10379" s="450" t="s">
        <v>11201</v>
      </c>
      <c r="C10379" s="449" t="s">
        <v>679</v>
      </c>
      <c r="D10379" s="451">
        <v>0.11</v>
      </c>
      <c r="E10379" s="210"/>
    </row>
    <row r="10380" spans="1:5" ht="38.25">
      <c r="A10380" s="449">
        <v>39437</v>
      </c>
      <c r="B10380" s="450" t="s">
        <v>11202</v>
      </c>
      <c r="C10380" s="449" t="s">
        <v>679</v>
      </c>
      <c r="D10380" s="451">
        <v>0.15</v>
      </c>
      <c r="E10380" s="210"/>
    </row>
    <row r="10381" spans="1:5" ht="38.25">
      <c r="A10381" s="449">
        <v>39439</v>
      </c>
      <c r="B10381" s="450" t="s">
        <v>11203</v>
      </c>
      <c r="C10381" s="449" t="s">
        <v>679</v>
      </c>
      <c r="D10381" s="451">
        <v>0.1</v>
      </c>
      <c r="E10381" s="210"/>
    </row>
    <row r="10382" spans="1:5" ht="38.25">
      <c r="A10382" s="449">
        <v>39440</v>
      </c>
      <c r="B10382" s="450" t="s">
        <v>11204</v>
      </c>
      <c r="C10382" s="449" t="s">
        <v>679</v>
      </c>
      <c r="D10382" s="451">
        <v>0.13</v>
      </c>
      <c r="E10382" s="210"/>
    </row>
    <row r="10383" spans="1:5" ht="38.25">
      <c r="A10383" s="449">
        <v>39441</v>
      </c>
      <c r="B10383" s="450" t="s">
        <v>11205</v>
      </c>
      <c r="C10383" s="449" t="s">
        <v>679</v>
      </c>
      <c r="D10383" s="451">
        <v>0.17</v>
      </c>
      <c r="E10383" s="210"/>
    </row>
    <row r="10384" spans="1:5" ht="38.25">
      <c r="A10384" s="449">
        <v>39442</v>
      </c>
      <c r="B10384" s="450" t="s">
        <v>11206</v>
      </c>
      <c r="C10384" s="449" t="s">
        <v>679</v>
      </c>
      <c r="D10384" s="451">
        <v>0.12</v>
      </c>
      <c r="E10384" s="210"/>
    </row>
    <row r="10385" spans="1:5" ht="38.25">
      <c r="A10385" s="449">
        <v>39443</v>
      </c>
      <c r="B10385" s="450" t="s">
        <v>11207</v>
      </c>
      <c r="C10385" s="449" t="s">
        <v>679</v>
      </c>
      <c r="D10385" s="451">
        <v>0.16</v>
      </c>
      <c r="E10385" s="210"/>
    </row>
    <row r="10386" spans="1:5" ht="38.25">
      <c r="A10386" s="449">
        <v>4329</v>
      </c>
      <c r="B10386" s="450" t="s">
        <v>11208</v>
      </c>
      <c r="C10386" s="449" t="s">
        <v>679</v>
      </c>
      <c r="D10386" s="451">
        <v>1.43</v>
      </c>
      <c r="E10386" s="210"/>
    </row>
    <row r="10387" spans="1:5" ht="51">
      <c r="A10387" s="449">
        <v>4383</v>
      </c>
      <c r="B10387" s="450" t="s">
        <v>11209</v>
      </c>
      <c r="C10387" s="449" t="s">
        <v>679</v>
      </c>
      <c r="D10387" s="451">
        <v>12.93</v>
      </c>
      <c r="E10387" s="210"/>
    </row>
    <row r="10388" spans="1:5" ht="51">
      <c r="A10388" s="449">
        <v>4344</v>
      </c>
      <c r="B10388" s="450" t="s">
        <v>11210</v>
      </c>
      <c r="C10388" s="449" t="s">
        <v>679</v>
      </c>
      <c r="D10388" s="451">
        <v>13.55</v>
      </c>
      <c r="E10388" s="210"/>
    </row>
    <row r="10389" spans="1:5" ht="38.25">
      <c r="A10389" s="449">
        <v>436</v>
      </c>
      <c r="B10389" s="450" t="s">
        <v>11211</v>
      </c>
      <c r="C10389" s="449" t="s">
        <v>679</v>
      </c>
      <c r="D10389" s="451">
        <v>7.65</v>
      </c>
      <c r="E10389" s="210"/>
    </row>
    <row r="10390" spans="1:5" ht="38.25">
      <c r="A10390" s="449">
        <v>442</v>
      </c>
      <c r="B10390" s="450" t="s">
        <v>11212</v>
      </c>
      <c r="C10390" s="449" t="s">
        <v>679</v>
      </c>
      <c r="D10390" s="451">
        <v>4.5199999999999996</v>
      </c>
      <c r="E10390" s="210"/>
    </row>
    <row r="10391" spans="1:5" ht="25.5">
      <c r="A10391" s="449">
        <v>11953</v>
      </c>
      <c r="B10391" s="450" t="s">
        <v>11213</v>
      </c>
      <c r="C10391" s="449" t="s">
        <v>679</v>
      </c>
      <c r="D10391" s="451">
        <v>2.15</v>
      </c>
      <c r="E10391" s="210"/>
    </row>
    <row r="10392" spans="1:5" ht="38.25">
      <c r="A10392" s="449">
        <v>4335</v>
      </c>
      <c r="B10392" s="450" t="s">
        <v>11214</v>
      </c>
      <c r="C10392" s="449" t="s">
        <v>679</v>
      </c>
      <c r="D10392" s="451">
        <v>9.1</v>
      </c>
      <c r="E10392" s="210"/>
    </row>
    <row r="10393" spans="1:5" ht="38.25">
      <c r="A10393" s="449">
        <v>4334</v>
      </c>
      <c r="B10393" s="450" t="s">
        <v>11215</v>
      </c>
      <c r="C10393" s="449" t="s">
        <v>679</v>
      </c>
      <c r="D10393" s="451">
        <v>12.48</v>
      </c>
      <c r="E10393" s="210"/>
    </row>
    <row r="10394" spans="1:5" ht="25.5">
      <c r="A10394" s="449">
        <v>4343</v>
      </c>
      <c r="B10394" s="450" t="s">
        <v>11216</v>
      </c>
      <c r="C10394" s="449" t="s">
        <v>679</v>
      </c>
      <c r="D10394" s="451">
        <v>3.07</v>
      </c>
      <c r="E10394" s="210"/>
    </row>
    <row r="10395" spans="1:5" ht="38.25">
      <c r="A10395" s="449">
        <v>430</v>
      </c>
      <c r="B10395" s="450" t="s">
        <v>11217</v>
      </c>
      <c r="C10395" s="449" t="s">
        <v>679</v>
      </c>
      <c r="D10395" s="451">
        <v>6.85</v>
      </c>
      <c r="E10395" s="210"/>
    </row>
    <row r="10396" spans="1:5" ht="38.25">
      <c r="A10396" s="449">
        <v>441</v>
      </c>
      <c r="B10396" s="450" t="s">
        <v>11218</v>
      </c>
      <c r="C10396" s="449" t="s">
        <v>679</v>
      </c>
      <c r="D10396" s="451">
        <v>7.54</v>
      </c>
      <c r="E10396" s="210"/>
    </row>
    <row r="10397" spans="1:5" ht="38.25">
      <c r="A10397" s="449">
        <v>431</v>
      </c>
      <c r="B10397" s="450" t="s">
        <v>11219</v>
      </c>
      <c r="C10397" s="449" t="s">
        <v>679</v>
      </c>
      <c r="D10397" s="451">
        <v>9.1</v>
      </c>
      <c r="E10397" s="210"/>
    </row>
    <row r="10398" spans="1:5" ht="38.25">
      <c r="A10398" s="449">
        <v>432</v>
      </c>
      <c r="B10398" s="450" t="s">
        <v>11220</v>
      </c>
      <c r="C10398" s="449" t="s">
        <v>679</v>
      </c>
      <c r="D10398" s="451">
        <v>10.039999999999999</v>
      </c>
      <c r="E10398" s="210"/>
    </row>
    <row r="10399" spans="1:5" ht="38.25">
      <c r="A10399" s="449">
        <v>429</v>
      </c>
      <c r="B10399" s="450" t="s">
        <v>11221</v>
      </c>
      <c r="C10399" s="449" t="s">
        <v>679</v>
      </c>
      <c r="D10399" s="451">
        <v>13.54</v>
      </c>
      <c r="E10399" s="210"/>
    </row>
    <row r="10400" spans="1:5" ht="38.25">
      <c r="A10400" s="449">
        <v>439</v>
      </c>
      <c r="B10400" s="450" t="s">
        <v>11222</v>
      </c>
      <c r="C10400" s="449" t="s">
        <v>679</v>
      </c>
      <c r="D10400" s="451">
        <v>11.54</v>
      </c>
      <c r="E10400" s="210"/>
    </row>
    <row r="10401" spans="1:5" ht="38.25">
      <c r="A10401" s="449">
        <v>433</v>
      </c>
      <c r="B10401" s="450" t="s">
        <v>11223</v>
      </c>
      <c r="C10401" s="449" t="s">
        <v>679</v>
      </c>
      <c r="D10401" s="451">
        <v>13.47</v>
      </c>
      <c r="E10401" s="210"/>
    </row>
    <row r="10402" spans="1:5" ht="38.25">
      <c r="A10402" s="449">
        <v>437</v>
      </c>
      <c r="B10402" s="450" t="s">
        <v>11224</v>
      </c>
      <c r="C10402" s="449" t="s">
        <v>679</v>
      </c>
      <c r="D10402" s="451">
        <v>17.89</v>
      </c>
      <c r="E10402" s="210"/>
    </row>
    <row r="10403" spans="1:5" ht="38.25">
      <c r="A10403" s="449">
        <v>11790</v>
      </c>
      <c r="B10403" s="450" t="s">
        <v>11225</v>
      </c>
      <c r="C10403" s="449" t="s">
        <v>679</v>
      </c>
      <c r="D10403" s="451">
        <v>20.29</v>
      </c>
      <c r="E10403" s="210"/>
    </row>
    <row r="10404" spans="1:5" ht="51">
      <c r="A10404" s="449">
        <v>428</v>
      </c>
      <c r="B10404" s="450" t="s">
        <v>11226</v>
      </c>
      <c r="C10404" s="449" t="s">
        <v>679</v>
      </c>
      <c r="D10404" s="451">
        <v>22.07</v>
      </c>
      <c r="E10404" s="210"/>
    </row>
    <row r="10405" spans="1:5" ht="51">
      <c r="A10405" s="449">
        <v>4384</v>
      </c>
      <c r="B10405" s="450" t="s">
        <v>11227</v>
      </c>
      <c r="C10405" s="449" t="s">
        <v>679</v>
      </c>
      <c r="D10405" s="451">
        <v>14.85</v>
      </c>
      <c r="E10405" s="210"/>
    </row>
    <row r="10406" spans="1:5" ht="51">
      <c r="A10406" s="449">
        <v>4351</v>
      </c>
      <c r="B10406" s="450" t="s">
        <v>11228</v>
      </c>
      <c r="C10406" s="449" t="s">
        <v>679</v>
      </c>
      <c r="D10406" s="451">
        <v>11.01</v>
      </c>
      <c r="E10406" s="210"/>
    </row>
    <row r="10407" spans="1:5" ht="25.5">
      <c r="A10407" s="449">
        <v>11054</v>
      </c>
      <c r="B10407" s="450" t="s">
        <v>11229</v>
      </c>
      <c r="C10407" s="449" t="s">
        <v>679</v>
      </c>
      <c r="D10407" s="451">
        <v>0.04</v>
      </c>
      <c r="E10407" s="210"/>
    </row>
    <row r="10408" spans="1:5" ht="25.5">
      <c r="A10408" s="449">
        <v>11055</v>
      </c>
      <c r="B10408" s="450" t="s">
        <v>11230</v>
      </c>
      <c r="C10408" s="449" t="s">
        <v>679</v>
      </c>
      <c r="D10408" s="451">
        <v>7.0000000000000007E-2</v>
      </c>
      <c r="E10408" s="210"/>
    </row>
    <row r="10409" spans="1:5" ht="25.5">
      <c r="A10409" s="449">
        <v>11056</v>
      </c>
      <c r="B10409" s="450" t="s">
        <v>11231</v>
      </c>
      <c r="C10409" s="449" t="s">
        <v>679</v>
      </c>
      <c r="D10409" s="451">
        <v>7.0000000000000007E-2</v>
      </c>
      <c r="E10409" s="210"/>
    </row>
    <row r="10410" spans="1:5" ht="25.5">
      <c r="A10410" s="449">
        <v>11057</v>
      </c>
      <c r="B10410" s="450" t="s">
        <v>11232</v>
      </c>
      <c r="C10410" s="449" t="s">
        <v>679</v>
      </c>
      <c r="D10410" s="451">
        <v>0.15</v>
      </c>
      <c r="E10410" s="210"/>
    </row>
    <row r="10411" spans="1:5" ht="25.5">
      <c r="A10411" s="449">
        <v>11059</v>
      </c>
      <c r="B10411" s="450" t="s">
        <v>11233</v>
      </c>
      <c r="C10411" s="449" t="s">
        <v>679</v>
      </c>
      <c r="D10411" s="451">
        <v>0.3</v>
      </c>
      <c r="E10411" s="210"/>
    </row>
    <row r="10412" spans="1:5" ht="25.5">
      <c r="A10412" s="449">
        <v>11058</v>
      </c>
      <c r="B10412" s="450" t="s">
        <v>11234</v>
      </c>
      <c r="C10412" s="449" t="s">
        <v>679</v>
      </c>
      <c r="D10412" s="451">
        <v>0.39</v>
      </c>
      <c r="E10412" s="210"/>
    </row>
    <row r="10413" spans="1:5" ht="25.5">
      <c r="A10413" s="449">
        <v>4380</v>
      </c>
      <c r="B10413" s="450" t="s">
        <v>11235</v>
      </c>
      <c r="C10413" s="449" t="s">
        <v>679</v>
      </c>
      <c r="D10413" s="451">
        <v>1.32</v>
      </c>
      <c r="E10413" s="210"/>
    </row>
    <row r="10414" spans="1:5" ht="38.25">
      <c r="A10414" s="449">
        <v>4299</v>
      </c>
      <c r="B10414" s="450" t="s">
        <v>11236</v>
      </c>
      <c r="C10414" s="449" t="s">
        <v>679</v>
      </c>
      <c r="D10414" s="451">
        <v>1.25</v>
      </c>
      <c r="E10414" s="210"/>
    </row>
    <row r="10415" spans="1:5" ht="38.25">
      <c r="A10415" s="449">
        <v>4304</v>
      </c>
      <c r="B10415" s="450" t="s">
        <v>11237</v>
      </c>
      <c r="C10415" s="449" t="s">
        <v>679</v>
      </c>
      <c r="D10415" s="451">
        <v>1.7</v>
      </c>
      <c r="E10415" s="210"/>
    </row>
    <row r="10416" spans="1:5" ht="38.25">
      <c r="A10416" s="449">
        <v>4305</v>
      </c>
      <c r="B10416" s="450" t="s">
        <v>11238</v>
      </c>
      <c r="C10416" s="449" t="s">
        <v>679</v>
      </c>
      <c r="D10416" s="451">
        <v>1.98</v>
      </c>
      <c r="E10416" s="210"/>
    </row>
    <row r="10417" spans="1:5" ht="38.25">
      <c r="A10417" s="449">
        <v>4306</v>
      </c>
      <c r="B10417" s="450" t="s">
        <v>11239</v>
      </c>
      <c r="C10417" s="449" t="s">
        <v>679</v>
      </c>
      <c r="D10417" s="451">
        <v>2.2999999999999998</v>
      </c>
      <c r="E10417" s="210"/>
    </row>
    <row r="10418" spans="1:5" ht="38.25">
      <c r="A10418" s="449">
        <v>4308</v>
      </c>
      <c r="B10418" s="450" t="s">
        <v>11240</v>
      </c>
      <c r="C10418" s="449" t="s">
        <v>679</v>
      </c>
      <c r="D10418" s="451">
        <v>4.76</v>
      </c>
      <c r="E10418" s="210"/>
    </row>
    <row r="10419" spans="1:5" ht="38.25">
      <c r="A10419" s="449">
        <v>4302</v>
      </c>
      <c r="B10419" s="450" t="s">
        <v>11241</v>
      </c>
      <c r="C10419" s="449" t="s">
        <v>679</v>
      </c>
      <c r="D10419" s="451">
        <v>3.57</v>
      </c>
      <c r="E10419" s="210"/>
    </row>
    <row r="10420" spans="1:5" ht="38.25">
      <c r="A10420" s="449">
        <v>4300</v>
      </c>
      <c r="B10420" s="450" t="s">
        <v>11242</v>
      </c>
      <c r="C10420" s="449" t="s">
        <v>679</v>
      </c>
      <c r="D10420" s="451">
        <v>0.85</v>
      </c>
      <c r="E10420" s="210"/>
    </row>
    <row r="10421" spans="1:5" ht="38.25">
      <c r="A10421" s="449">
        <v>4301</v>
      </c>
      <c r="B10421" s="450" t="s">
        <v>11243</v>
      </c>
      <c r="C10421" s="449" t="s">
        <v>679</v>
      </c>
      <c r="D10421" s="451">
        <v>1.04</v>
      </c>
      <c r="E10421" s="210"/>
    </row>
    <row r="10422" spans="1:5" ht="38.25">
      <c r="A10422" s="449">
        <v>4320</v>
      </c>
      <c r="B10422" s="450" t="s">
        <v>11244</v>
      </c>
      <c r="C10422" s="449" t="s">
        <v>679</v>
      </c>
      <c r="D10422" s="451">
        <v>3.15</v>
      </c>
      <c r="E10422" s="210"/>
    </row>
    <row r="10423" spans="1:5" ht="38.25">
      <c r="A10423" s="449">
        <v>4318</v>
      </c>
      <c r="B10423" s="450" t="s">
        <v>11245</v>
      </c>
      <c r="C10423" s="449" t="s">
        <v>679</v>
      </c>
      <c r="D10423" s="451">
        <v>1.53</v>
      </c>
      <c r="E10423" s="210"/>
    </row>
    <row r="10424" spans="1:5" ht="25.5">
      <c r="A10424" s="449">
        <v>40547</v>
      </c>
      <c r="B10424" s="450" t="s">
        <v>11246</v>
      </c>
      <c r="C10424" s="449" t="s">
        <v>799</v>
      </c>
      <c r="D10424" s="451">
        <v>18.05</v>
      </c>
      <c r="E10424" s="210"/>
    </row>
    <row r="10425" spans="1:5" ht="25.5">
      <c r="A10425" s="449">
        <v>11962</v>
      </c>
      <c r="B10425" s="450" t="s">
        <v>11247</v>
      </c>
      <c r="C10425" s="449" t="s">
        <v>679</v>
      </c>
      <c r="D10425" s="451">
        <v>0.14000000000000001</v>
      </c>
      <c r="E10425" s="210"/>
    </row>
    <row r="10426" spans="1:5" ht="25.5">
      <c r="A10426" s="449">
        <v>4332</v>
      </c>
      <c r="B10426" s="450" t="s">
        <v>11248</v>
      </c>
      <c r="C10426" s="449" t="s">
        <v>679</v>
      </c>
      <c r="D10426" s="451">
        <v>0.72</v>
      </c>
      <c r="E10426" s="210"/>
    </row>
    <row r="10427" spans="1:5" ht="25.5">
      <c r="A10427" s="449">
        <v>4331</v>
      </c>
      <c r="B10427" s="450" t="s">
        <v>11249</v>
      </c>
      <c r="C10427" s="449" t="s">
        <v>679</v>
      </c>
      <c r="D10427" s="451">
        <v>2.71</v>
      </c>
      <c r="E10427" s="210"/>
    </row>
    <row r="10428" spans="1:5" ht="38.25">
      <c r="A10428" s="449">
        <v>4336</v>
      </c>
      <c r="B10428" s="450" t="s">
        <v>11250</v>
      </c>
      <c r="C10428" s="449" t="s">
        <v>679</v>
      </c>
      <c r="D10428" s="451">
        <v>3.46</v>
      </c>
      <c r="E10428" s="210"/>
    </row>
    <row r="10429" spans="1:5" ht="25.5">
      <c r="A10429" s="449">
        <v>13294</v>
      </c>
      <c r="B10429" s="450" t="s">
        <v>11251</v>
      </c>
      <c r="C10429" s="449" t="s">
        <v>679</v>
      </c>
      <c r="D10429" s="451">
        <v>0.99</v>
      </c>
      <c r="E10429" s="210"/>
    </row>
    <row r="10430" spans="1:5" ht="38.25">
      <c r="A10430" s="449">
        <v>11948</v>
      </c>
      <c r="B10430" s="450" t="s">
        <v>11252</v>
      </c>
      <c r="C10430" s="449" t="s">
        <v>679</v>
      </c>
      <c r="D10430" s="451">
        <v>0.44</v>
      </c>
      <c r="E10430" s="210"/>
    </row>
    <row r="10431" spans="1:5" ht="38.25">
      <c r="A10431" s="449">
        <v>4382</v>
      </c>
      <c r="B10431" s="450" t="s">
        <v>11253</v>
      </c>
      <c r="C10431" s="449" t="s">
        <v>679</v>
      </c>
      <c r="D10431" s="451">
        <v>0.74</v>
      </c>
      <c r="E10431" s="210"/>
    </row>
    <row r="10432" spans="1:5" ht="38.25">
      <c r="A10432" s="449">
        <v>4354</v>
      </c>
      <c r="B10432" s="450" t="s">
        <v>11254</v>
      </c>
      <c r="C10432" s="449" t="s">
        <v>679</v>
      </c>
      <c r="D10432" s="451">
        <v>31.08</v>
      </c>
      <c r="E10432" s="210"/>
    </row>
    <row r="10433" spans="1:5" ht="38.25">
      <c r="A10433" s="449">
        <v>40839</v>
      </c>
      <c r="B10433" s="450" t="s">
        <v>11255</v>
      </c>
      <c r="C10433" s="449" t="s">
        <v>799</v>
      </c>
      <c r="D10433" s="451">
        <v>74.8</v>
      </c>
      <c r="E10433" s="210"/>
    </row>
    <row r="10434" spans="1:5" ht="25.5">
      <c r="A10434" s="449">
        <v>40552</v>
      </c>
      <c r="B10434" s="450" t="s">
        <v>11256</v>
      </c>
      <c r="C10434" s="449" t="s">
        <v>799</v>
      </c>
      <c r="D10434" s="451">
        <v>30.95</v>
      </c>
      <c r="E10434" s="210"/>
    </row>
    <row r="10435" spans="1:5" ht="38.25">
      <c r="A10435" s="449">
        <v>40549</v>
      </c>
      <c r="B10435" s="450" t="s">
        <v>11257</v>
      </c>
      <c r="C10435" s="449" t="s">
        <v>799</v>
      </c>
      <c r="D10435" s="451">
        <v>122.51</v>
      </c>
      <c r="E10435" s="210"/>
    </row>
    <row r="10436" spans="1:5" ht="38.25">
      <c r="A10436" s="449">
        <v>4385</v>
      </c>
      <c r="B10436" s="450" t="s">
        <v>11258</v>
      </c>
      <c r="C10436" s="449" t="s">
        <v>689</v>
      </c>
      <c r="D10436" s="451">
        <v>3892.68</v>
      </c>
      <c r="E10436" s="210"/>
    </row>
    <row r="10437" spans="1:5" ht="38.25">
      <c r="A10437" s="449">
        <v>20078</v>
      </c>
      <c r="B10437" s="450" t="s">
        <v>11259</v>
      </c>
      <c r="C10437" s="449" t="s">
        <v>679</v>
      </c>
      <c r="D10437" s="451">
        <v>30.43</v>
      </c>
      <c r="E10437" s="210"/>
    </row>
    <row r="10438" spans="1:5" ht="25.5">
      <c r="A10438" s="449">
        <v>39897</v>
      </c>
      <c r="B10438" s="450" t="s">
        <v>11260</v>
      </c>
      <c r="C10438" s="449" t="s">
        <v>679</v>
      </c>
      <c r="D10438" s="451">
        <v>55.39</v>
      </c>
      <c r="E10438" s="210"/>
    </row>
    <row r="10439" spans="1:5" ht="25.5">
      <c r="A10439" s="449">
        <v>118</v>
      </c>
      <c r="B10439" s="450" t="s">
        <v>11261</v>
      </c>
      <c r="C10439" s="449" t="s">
        <v>679</v>
      </c>
      <c r="D10439" s="451">
        <v>115.03</v>
      </c>
      <c r="E10439" s="210"/>
    </row>
    <row r="10440" spans="1:5" ht="51">
      <c r="A10440" s="449">
        <v>4396</v>
      </c>
      <c r="B10440" s="450" t="s">
        <v>11262</v>
      </c>
      <c r="C10440" s="449" t="s">
        <v>684</v>
      </c>
      <c r="D10440" s="451">
        <v>177.87</v>
      </c>
      <c r="E10440" s="210"/>
    </row>
    <row r="10441" spans="1:5" ht="51">
      <c r="A10441" s="449">
        <v>36881</v>
      </c>
      <c r="B10441" s="450" t="s">
        <v>11263</v>
      </c>
      <c r="C10441" s="449" t="s">
        <v>684</v>
      </c>
      <c r="D10441" s="451">
        <v>114.56</v>
      </c>
      <c r="E10441" s="210"/>
    </row>
    <row r="10442" spans="1:5" ht="51">
      <c r="A10442" s="449">
        <v>4397</v>
      </c>
      <c r="B10442" s="450" t="s">
        <v>11264</v>
      </c>
      <c r="C10442" s="449" t="s">
        <v>684</v>
      </c>
      <c r="D10442" s="451">
        <v>193.49</v>
      </c>
      <c r="E10442" s="210"/>
    </row>
    <row r="10443" spans="1:5" ht="38.25">
      <c r="A10443" s="449">
        <v>36882</v>
      </c>
      <c r="B10443" s="450" t="s">
        <v>11265</v>
      </c>
      <c r="C10443" s="449" t="s">
        <v>684</v>
      </c>
      <c r="D10443" s="451">
        <v>136.97999999999999</v>
      </c>
      <c r="E10443" s="210"/>
    </row>
    <row r="10444" spans="1:5">
      <c r="A10444" s="449">
        <v>4751</v>
      </c>
      <c r="B10444" s="450" t="s">
        <v>11266</v>
      </c>
      <c r="C10444" s="449" t="s">
        <v>682</v>
      </c>
      <c r="D10444" s="451">
        <v>15.92</v>
      </c>
      <c r="E10444" s="210"/>
    </row>
    <row r="10445" spans="1:5">
      <c r="A10445" s="449">
        <v>41066</v>
      </c>
      <c r="B10445" s="450" t="s">
        <v>11267</v>
      </c>
      <c r="C10445" s="449" t="s">
        <v>797</v>
      </c>
      <c r="D10445" s="451">
        <v>2823.39</v>
      </c>
      <c r="E10445" s="210"/>
    </row>
    <row r="10446" spans="1:5" ht="25.5">
      <c r="A10446" s="449">
        <v>39604</v>
      </c>
      <c r="B10446" s="450" t="s">
        <v>11268</v>
      </c>
      <c r="C10446" s="449" t="s">
        <v>679</v>
      </c>
      <c r="D10446" s="451">
        <v>10.43</v>
      </c>
      <c r="E10446" s="210"/>
    </row>
    <row r="10447" spans="1:5" ht="25.5">
      <c r="A10447" s="449">
        <v>39605</v>
      </c>
      <c r="B10447" s="450" t="s">
        <v>11269</v>
      </c>
      <c r="C10447" s="449" t="s">
        <v>679</v>
      </c>
      <c r="D10447" s="451">
        <v>14.48</v>
      </c>
      <c r="E10447" s="210"/>
    </row>
    <row r="10448" spans="1:5" ht="25.5">
      <c r="A10448" s="449">
        <v>39606</v>
      </c>
      <c r="B10448" s="450" t="s">
        <v>11270</v>
      </c>
      <c r="C10448" s="449" t="s">
        <v>679</v>
      </c>
      <c r="D10448" s="451">
        <v>18.39</v>
      </c>
      <c r="E10448" s="210"/>
    </row>
    <row r="10449" spans="1:5" ht="25.5">
      <c r="A10449" s="449">
        <v>39607</v>
      </c>
      <c r="B10449" s="450" t="s">
        <v>11271</v>
      </c>
      <c r="C10449" s="449" t="s">
        <v>679</v>
      </c>
      <c r="D10449" s="451">
        <v>21.1</v>
      </c>
      <c r="E10449" s="210"/>
    </row>
    <row r="10450" spans="1:5" ht="25.5">
      <c r="A10450" s="449">
        <v>39594</v>
      </c>
      <c r="B10450" s="450" t="s">
        <v>11272</v>
      </c>
      <c r="C10450" s="449" t="s">
        <v>679</v>
      </c>
      <c r="D10450" s="451">
        <v>199.75</v>
      </c>
      <c r="E10450" s="210"/>
    </row>
    <row r="10451" spans="1:5" ht="25.5">
      <c r="A10451" s="449">
        <v>39596</v>
      </c>
      <c r="B10451" s="450" t="s">
        <v>11273</v>
      </c>
      <c r="C10451" s="449" t="s">
        <v>679</v>
      </c>
      <c r="D10451" s="451">
        <v>348.15</v>
      </c>
      <c r="E10451" s="210"/>
    </row>
    <row r="10452" spans="1:5" ht="25.5">
      <c r="A10452" s="449">
        <v>39595</v>
      </c>
      <c r="B10452" s="450" t="s">
        <v>11274</v>
      </c>
      <c r="C10452" s="449" t="s">
        <v>679</v>
      </c>
      <c r="D10452" s="451">
        <v>292.25</v>
      </c>
      <c r="E10452" s="210"/>
    </row>
    <row r="10453" spans="1:5" ht="25.5">
      <c r="A10453" s="449">
        <v>39597</v>
      </c>
      <c r="B10453" s="450" t="s">
        <v>11275</v>
      </c>
      <c r="C10453" s="449" t="s">
        <v>679</v>
      </c>
      <c r="D10453" s="451">
        <v>469.5</v>
      </c>
      <c r="E10453" s="210"/>
    </row>
    <row r="10454" spans="1:5">
      <c r="A10454" s="449">
        <v>10731</v>
      </c>
      <c r="B10454" s="450" t="s">
        <v>11276</v>
      </c>
      <c r="C10454" s="449" t="s">
        <v>684</v>
      </c>
      <c r="D10454" s="451">
        <v>30.87</v>
      </c>
      <c r="E10454" s="210"/>
    </row>
    <row r="10455" spans="1:5">
      <c r="A10455" s="449">
        <v>4704</v>
      </c>
      <c r="B10455" s="450" t="s">
        <v>11277</v>
      </c>
      <c r="C10455" s="449" t="s">
        <v>684</v>
      </c>
      <c r="D10455" s="451">
        <v>27.86</v>
      </c>
      <c r="E10455" s="210"/>
    </row>
    <row r="10456" spans="1:5">
      <c r="A10456" s="449">
        <v>10730</v>
      </c>
      <c r="B10456" s="450" t="s">
        <v>11278</v>
      </c>
      <c r="C10456" s="449" t="s">
        <v>684</v>
      </c>
      <c r="D10456" s="451">
        <v>29.85</v>
      </c>
      <c r="E10456" s="210"/>
    </row>
    <row r="10457" spans="1:5" ht="25.5">
      <c r="A10457" s="449">
        <v>4729</v>
      </c>
      <c r="B10457" s="450" t="s">
        <v>11279</v>
      </c>
      <c r="C10457" s="449" t="s">
        <v>677</v>
      </c>
      <c r="D10457" s="451">
        <v>80.03</v>
      </c>
      <c r="E10457" s="210"/>
    </row>
    <row r="10458" spans="1:5" ht="38.25">
      <c r="A10458" s="449">
        <v>4720</v>
      </c>
      <c r="B10458" s="450" t="s">
        <v>11280</v>
      </c>
      <c r="C10458" s="449" t="s">
        <v>677</v>
      </c>
      <c r="D10458" s="451">
        <v>91.7</v>
      </c>
      <c r="E10458" s="210"/>
    </row>
    <row r="10459" spans="1:5" ht="25.5">
      <c r="A10459" s="449">
        <v>4721</v>
      </c>
      <c r="B10459" s="450" t="s">
        <v>11281</v>
      </c>
      <c r="C10459" s="449" t="s">
        <v>677</v>
      </c>
      <c r="D10459" s="451">
        <v>79.430000000000007</v>
      </c>
      <c r="E10459" s="210"/>
    </row>
    <row r="10460" spans="1:5" ht="25.5">
      <c r="A10460" s="449">
        <v>4718</v>
      </c>
      <c r="B10460" s="450" t="s">
        <v>11282</v>
      </c>
      <c r="C10460" s="449" t="s">
        <v>677</v>
      </c>
      <c r="D10460" s="451">
        <v>79.849999999999994</v>
      </c>
      <c r="E10460" s="210"/>
    </row>
    <row r="10461" spans="1:5" ht="25.5">
      <c r="A10461" s="449">
        <v>4722</v>
      </c>
      <c r="B10461" s="450" t="s">
        <v>11283</v>
      </c>
      <c r="C10461" s="449" t="s">
        <v>677</v>
      </c>
      <c r="D10461" s="451">
        <v>75.03</v>
      </c>
      <c r="E10461" s="210"/>
    </row>
    <row r="10462" spans="1:5" ht="25.5">
      <c r="A10462" s="449">
        <v>4723</v>
      </c>
      <c r="B10462" s="450" t="s">
        <v>11284</v>
      </c>
      <c r="C10462" s="449" t="s">
        <v>677</v>
      </c>
      <c r="D10462" s="451">
        <v>74.38</v>
      </c>
      <c r="E10462" s="210"/>
    </row>
    <row r="10463" spans="1:5" ht="25.5">
      <c r="A10463" s="449">
        <v>4727</v>
      </c>
      <c r="B10463" s="450" t="s">
        <v>11285</v>
      </c>
      <c r="C10463" s="449" t="s">
        <v>677</v>
      </c>
      <c r="D10463" s="451">
        <v>68.08</v>
      </c>
      <c r="E10463" s="210"/>
    </row>
    <row r="10464" spans="1:5" ht="38.25">
      <c r="A10464" s="449">
        <v>4748</v>
      </c>
      <c r="B10464" s="450" t="s">
        <v>11286</v>
      </c>
      <c r="C10464" s="449" t="s">
        <v>677</v>
      </c>
      <c r="D10464" s="451">
        <v>73.36</v>
      </c>
      <c r="E10464" s="210"/>
    </row>
    <row r="10465" spans="1:5" ht="38.25">
      <c r="A10465" s="449">
        <v>4730</v>
      </c>
      <c r="B10465" s="450" t="s">
        <v>11287</v>
      </c>
      <c r="C10465" s="449" t="s">
        <v>677</v>
      </c>
      <c r="D10465" s="451">
        <v>74.66</v>
      </c>
      <c r="E10465" s="210"/>
    </row>
    <row r="10466" spans="1:5" ht="51">
      <c r="A10466" s="449">
        <v>13186</v>
      </c>
      <c r="B10466" s="450" t="s">
        <v>11288</v>
      </c>
      <c r="C10466" s="449" t="s">
        <v>677</v>
      </c>
      <c r="D10466" s="451">
        <v>58.82</v>
      </c>
      <c r="E10466" s="210"/>
    </row>
    <row r="10467" spans="1:5" ht="51">
      <c r="A10467" s="449">
        <v>10737</v>
      </c>
      <c r="B10467" s="450" t="s">
        <v>11289</v>
      </c>
      <c r="C10467" s="449" t="s">
        <v>684</v>
      </c>
      <c r="D10467" s="451">
        <v>97.01</v>
      </c>
      <c r="E10467" s="210"/>
    </row>
    <row r="10468" spans="1:5" ht="51">
      <c r="A10468" s="449">
        <v>10734</v>
      </c>
      <c r="B10468" s="450" t="s">
        <v>11290</v>
      </c>
      <c r="C10468" s="449" t="s">
        <v>684</v>
      </c>
      <c r="D10468" s="451">
        <v>57.71</v>
      </c>
      <c r="E10468" s="210"/>
    </row>
    <row r="10469" spans="1:5" ht="25.5">
      <c r="A10469" s="449">
        <v>4708</v>
      </c>
      <c r="B10469" s="450" t="s">
        <v>11291</v>
      </c>
      <c r="C10469" s="449" t="s">
        <v>684</v>
      </c>
      <c r="D10469" s="451">
        <v>111.93</v>
      </c>
      <c r="E10469" s="210"/>
    </row>
    <row r="10470" spans="1:5" ht="63.75">
      <c r="A10470" s="449">
        <v>4712</v>
      </c>
      <c r="B10470" s="450" t="s">
        <v>11292</v>
      </c>
      <c r="C10470" s="449" t="s">
        <v>684</v>
      </c>
      <c r="D10470" s="451">
        <v>54.72</v>
      </c>
      <c r="E10470" s="210"/>
    </row>
    <row r="10471" spans="1:5" ht="63.75">
      <c r="A10471" s="449">
        <v>4710</v>
      </c>
      <c r="B10471" s="450" t="s">
        <v>11293</v>
      </c>
      <c r="C10471" s="449" t="s">
        <v>684</v>
      </c>
      <c r="D10471" s="451">
        <v>175.49</v>
      </c>
      <c r="E10471" s="210"/>
    </row>
    <row r="10472" spans="1:5" ht="38.25">
      <c r="A10472" s="449">
        <v>4746</v>
      </c>
      <c r="B10472" s="450" t="s">
        <v>11294</v>
      </c>
      <c r="C10472" s="449" t="s">
        <v>677</v>
      </c>
      <c r="D10472" s="451">
        <v>55.76</v>
      </c>
      <c r="E10472" s="210"/>
    </row>
    <row r="10473" spans="1:5">
      <c r="A10473" s="449">
        <v>4750</v>
      </c>
      <c r="B10473" s="450" t="s">
        <v>11295</v>
      </c>
      <c r="C10473" s="449" t="s">
        <v>682</v>
      </c>
      <c r="D10473" s="451">
        <v>13.66</v>
      </c>
      <c r="E10473" s="210"/>
    </row>
    <row r="10474" spans="1:5">
      <c r="A10474" s="449">
        <v>41065</v>
      </c>
      <c r="B10474" s="450" t="s">
        <v>11296</v>
      </c>
      <c r="C10474" s="449" t="s">
        <v>797</v>
      </c>
      <c r="D10474" s="451">
        <v>2420.84</v>
      </c>
      <c r="E10474" s="210"/>
    </row>
    <row r="10475" spans="1:5" ht="38.25">
      <c r="A10475" s="449">
        <v>34747</v>
      </c>
      <c r="B10475" s="450" t="s">
        <v>11297</v>
      </c>
      <c r="C10475" s="449" t="s">
        <v>683</v>
      </c>
      <c r="D10475" s="451">
        <v>89.38</v>
      </c>
      <c r="E10475" s="210"/>
    </row>
    <row r="10476" spans="1:5" ht="25.5">
      <c r="A10476" s="449">
        <v>4826</v>
      </c>
      <c r="B10476" s="450" t="s">
        <v>11298</v>
      </c>
      <c r="C10476" s="449" t="s">
        <v>683</v>
      </c>
      <c r="D10476" s="451">
        <v>96.11</v>
      </c>
      <c r="E10476" s="210"/>
    </row>
    <row r="10477" spans="1:5" ht="25.5">
      <c r="A10477" s="449">
        <v>41975</v>
      </c>
      <c r="B10477" s="450" t="s">
        <v>11299</v>
      </c>
      <c r="C10477" s="449" t="s">
        <v>684</v>
      </c>
      <c r="D10477" s="451">
        <v>76.52</v>
      </c>
      <c r="E10477" s="210"/>
    </row>
    <row r="10478" spans="1:5" ht="38.25">
      <c r="A10478" s="449">
        <v>4825</v>
      </c>
      <c r="B10478" s="450" t="s">
        <v>11300</v>
      </c>
      <c r="C10478" s="449" t="s">
        <v>683</v>
      </c>
      <c r="D10478" s="451">
        <v>133.03</v>
      </c>
      <c r="E10478" s="210"/>
    </row>
    <row r="10479" spans="1:5" ht="25.5">
      <c r="A10479" s="449">
        <v>34744</v>
      </c>
      <c r="B10479" s="450" t="s">
        <v>11301</v>
      </c>
      <c r="C10479" s="449" t="s">
        <v>684</v>
      </c>
      <c r="D10479" s="451">
        <v>20.92</v>
      </c>
      <c r="E10479" s="210"/>
    </row>
    <row r="10480" spans="1:5" ht="51">
      <c r="A10480" s="449">
        <v>39430</v>
      </c>
      <c r="B10480" s="450" t="s">
        <v>11302</v>
      </c>
      <c r="C10480" s="449" t="s">
        <v>679</v>
      </c>
      <c r="D10480" s="451">
        <v>2.19</v>
      </c>
      <c r="E10480" s="210"/>
    </row>
    <row r="10481" spans="1:5" ht="38.25">
      <c r="A10481" s="449">
        <v>39573</v>
      </c>
      <c r="B10481" s="450" t="s">
        <v>11303</v>
      </c>
      <c r="C10481" s="449" t="s">
        <v>679</v>
      </c>
      <c r="D10481" s="451">
        <v>2.15</v>
      </c>
      <c r="E10481" s="210"/>
    </row>
    <row r="10482" spans="1:5" ht="38.25">
      <c r="A10482" s="449">
        <v>38410</v>
      </c>
      <c r="B10482" s="450" t="s">
        <v>11304</v>
      </c>
      <c r="C10482" s="449" t="s">
        <v>679</v>
      </c>
      <c r="D10482" s="451">
        <v>14372.67</v>
      </c>
      <c r="E10482" s="210"/>
    </row>
    <row r="10483" spans="1:5">
      <c r="A10483" s="449">
        <v>41596</v>
      </c>
      <c r="B10483" s="450" t="s">
        <v>11305</v>
      </c>
      <c r="C10483" s="449" t="s">
        <v>676</v>
      </c>
      <c r="D10483" s="451">
        <v>13.06</v>
      </c>
      <c r="E10483" s="210"/>
    </row>
    <row r="10484" spans="1:5">
      <c r="A10484" s="449">
        <v>41598</v>
      </c>
      <c r="B10484" s="450" t="s">
        <v>11306</v>
      </c>
      <c r="C10484" s="449" t="s">
        <v>676</v>
      </c>
      <c r="D10484" s="451">
        <v>13.06</v>
      </c>
      <c r="E10484" s="210"/>
    </row>
    <row r="10485" spans="1:5">
      <c r="A10485" s="449">
        <v>41594</v>
      </c>
      <c r="B10485" s="450" t="s">
        <v>11307</v>
      </c>
      <c r="C10485" s="449" t="s">
        <v>676</v>
      </c>
      <c r="D10485" s="451">
        <v>13.27</v>
      </c>
      <c r="E10485" s="210"/>
    </row>
    <row r="10486" spans="1:5" ht="25.5">
      <c r="A10486" s="449">
        <v>43663</v>
      </c>
      <c r="B10486" s="450" t="s">
        <v>11308</v>
      </c>
      <c r="C10486" s="449" t="s">
        <v>676</v>
      </c>
      <c r="D10486" s="451">
        <v>10.93</v>
      </c>
      <c r="E10486" s="210"/>
    </row>
    <row r="10487" spans="1:5" ht="25.5">
      <c r="A10487" s="449">
        <v>4766</v>
      </c>
      <c r="B10487" s="450" t="s">
        <v>11309</v>
      </c>
      <c r="C10487" s="449" t="s">
        <v>676</v>
      </c>
      <c r="D10487" s="451">
        <v>10.3</v>
      </c>
      <c r="E10487" s="210"/>
    </row>
    <row r="10488" spans="1:5" ht="25.5">
      <c r="A10488" s="449">
        <v>43664</v>
      </c>
      <c r="B10488" s="450" t="s">
        <v>11310</v>
      </c>
      <c r="C10488" s="449" t="s">
        <v>676</v>
      </c>
      <c r="D10488" s="451">
        <v>10.99</v>
      </c>
      <c r="E10488" s="210"/>
    </row>
    <row r="10489" spans="1:5" ht="25.5">
      <c r="A10489" s="449">
        <v>43082</v>
      </c>
      <c r="B10489" s="450" t="s">
        <v>11311</v>
      </c>
      <c r="C10489" s="449" t="s">
        <v>676</v>
      </c>
      <c r="D10489" s="451">
        <v>11.98</v>
      </c>
      <c r="E10489" s="210"/>
    </row>
    <row r="10490" spans="1:5">
      <c r="A10490" s="449">
        <v>43665</v>
      </c>
      <c r="B10490" s="450" t="s">
        <v>11312</v>
      </c>
      <c r="C10490" s="449" t="s">
        <v>676</v>
      </c>
      <c r="D10490" s="451">
        <v>10.3</v>
      </c>
      <c r="E10490" s="210"/>
    </row>
    <row r="10491" spans="1:5">
      <c r="A10491" s="449">
        <v>10966</v>
      </c>
      <c r="B10491" s="450" t="s">
        <v>11313</v>
      </c>
      <c r="C10491" s="449" t="s">
        <v>676</v>
      </c>
      <c r="D10491" s="451">
        <v>10.93</v>
      </c>
      <c r="E10491" s="210"/>
    </row>
    <row r="10492" spans="1:5" ht="25.5">
      <c r="A10492" s="449">
        <v>43692</v>
      </c>
      <c r="B10492" s="450" t="s">
        <v>11314</v>
      </c>
      <c r="C10492" s="449" t="s">
        <v>676</v>
      </c>
      <c r="D10492" s="451">
        <v>10.93</v>
      </c>
      <c r="E10492" s="210"/>
    </row>
    <row r="10493" spans="1:5" ht="38.25">
      <c r="A10493" s="449">
        <v>43083</v>
      </c>
      <c r="B10493" s="450" t="s">
        <v>11315</v>
      </c>
      <c r="C10493" s="449" t="s">
        <v>676</v>
      </c>
      <c r="D10493" s="451">
        <v>10.38</v>
      </c>
      <c r="E10493" s="210"/>
    </row>
    <row r="10494" spans="1:5" ht="25.5">
      <c r="A10494" s="449">
        <v>40535</v>
      </c>
      <c r="B10494" s="450" t="s">
        <v>11316</v>
      </c>
      <c r="C10494" s="449" t="s">
        <v>676</v>
      </c>
      <c r="D10494" s="451">
        <v>10.38</v>
      </c>
      <c r="E10494" s="210"/>
    </row>
    <row r="10495" spans="1:5" ht="38.25">
      <c r="A10495" s="449">
        <v>39427</v>
      </c>
      <c r="B10495" s="450" t="s">
        <v>11317</v>
      </c>
      <c r="C10495" s="449" t="s">
        <v>683</v>
      </c>
      <c r="D10495" s="451">
        <v>5.81</v>
      </c>
      <c r="E10495" s="210"/>
    </row>
    <row r="10496" spans="1:5" ht="25.5">
      <c r="A10496" s="449">
        <v>39424</v>
      </c>
      <c r="B10496" s="450" t="s">
        <v>11318</v>
      </c>
      <c r="C10496" s="449" t="s">
        <v>683</v>
      </c>
      <c r="D10496" s="451">
        <v>3.45</v>
      </c>
      <c r="E10496" s="210"/>
    </row>
    <row r="10497" spans="1:5" ht="38.25">
      <c r="A10497" s="449">
        <v>39425</v>
      </c>
      <c r="B10497" s="450" t="s">
        <v>11319</v>
      </c>
      <c r="C10497" s="449" t="s">
        <v>683</v>
      </c>
      <c r="D10497" s="451">
        <v>3.41</v>
      </c>
      <c r="E10497" s="210"/>
    </row>
    <row r="10498" spans="1:5" ht="25.5">
      <c r="A10498" s="449">
        <v>40664</v>
      </c>
      <c r="B10498" s="450" t="s">
        <v>11320</v>
      </c>
      <c r="C10498" s="449" t="s">
        <v>676</v>
      </c>
      <c r="D10498" s="451">
        <v>21.29</v>
      </c>
      <c r="E10498" s="210"/>
    </row>
    <row r="10499" spans="1:5">
      <c r="A10499" s="449">
        <v>34360</v>
      </c>
      <c r="B10499" s="450" t="s">
        <v>11321</v>
      </c>
      <c r="C10499" s="449" t="s">
        <v>676</v>
      </c>
      <c r="D10499" s="451">
        <v>40.36</v>
      </c>
      <c r="E10499" s="210"/>
    </row>
    <row r="10500" spans="1:5" ht="25.5">
      <c r="A10500" s="449">
        <v>20259</v>
      </c>
      <c r="B10500" s="450" t="s">
        <v>11322</v>
      </c>
      <c r="C10500" s="449" t="s">
        <v>683</v>
      </c>
      <c r="D10500" s="451">
        <v>9.3000000000000007</v>
      </c>
      <c r="E10500" s="210"/>
    </row>
    <row r="10501" spans="1:5" ht="51">
      <c r="A10501" s="449">
        <v>14077</v>
      </c>
      <c r="B10501" s="450" t="s">
        <v>11323</v>
      </c>
      <c r="C10501" s="449" t="s">
        <v>683</v>
      </c>
      <c r="D10501" s="451">
        <v>142.34</v>
      </c>
      <c r="E10501" s="210"/>
    </row>
    <row r="10502" spans="1:5" ht="51">
      <c r="A10502" s="449">
        <v>3678</v>
      </c>
      <c r="B10502" s="450" t="s">
        <v>11324</v>
      </c>
      <c r="C10502" s="449" t="s">
        <v>683</v>
      </c>
      <c r="D10502" s="451">
        <v>64.34</v>
      </c>
      <c r="E10502" s="210"/>
    </row>
    <row r="10503" spans="1:5" ht="38.25">
      <c r="A10503" s="449">
        <v>39418</v>
      </c>
      <c r="B10503" s="450" t="s">
        <v>11325</v>
      </c>
      <c r="C10503" s="449" t="s">
        <v>683</v>
      </c>
      <c r="D10503" s="451">
        <v>6.48</v>
      </c>
      <c r="E10503" s="210"/>
    </row>
    <row r="10504" spans="1:5" ht="38.25">
      <c r="A10504" s="449">
        <v>39419</v>
      </c>
      <c r="B10504" s="450" t="s">
        <v>11326</v>
      </c>
      <c r="C10504" s="449" t="s">
        <v>683</v>
      </c>
      <c r="D10504" s="451">
        <v>7.9</v>
      </c>
      <c r="E10504" s="210"/>
    </row>
    <row r="10505" spans="1:5" ht="38.25">
      <c r="A10505" s="449">
        <v>39420</v>
      </c>
      <c r="B10505" s="450" t="s">
        <v>11327</v>
      </c>
      <c r="C10505" s="449" t="s">
        <v>683</v>
      </c>
      <c r="D10505" s="451">
        <v>8.7200000000000006</v>
      </c>
      <c r="E10505" s="210"/>
    </row>
    <row r="10506" spans="1:5" ht="38.25">
      <c r="A10506" s="449">
        <v>39571</v>
      </c>
      <c r="B10506" s="450" t="s">
        <v>11328</v>
      </c>
      <c r="C10506" s="449" t="s">
        <v>683</v>
      </c>
      <c r="D10506" s="451">
        <v>5.27</v>
      </c>
      <c r="E10506" s="210"/>
    </row>
    <row r="10507" spans="1:5" ht="38.25">
      <c r="A10507" s="449">
        <v>39421</v>
      </c>
      <c r="B10507" s="450" t="s">
        <v>11329</v>
      </c>
      <c r="C10507" s="449" t="s">
        <v>683</v>
      </c>
      <c r="D10507" s="451">
        <v>7.67</v>
      </c>
      <c r="E10507" s="210"/>
    </row>
    <row r="10508" spans="1:5" ht="38.25">
      <c r="A10508" s="449">
        <v>39422</v>
      </c>
      <c r="B10508" s="450" t="s">
        <v>11330</v>
      </c>
      <c r="C10508" s="449" t="s">
        <v>683</v>
      </c>
      <c r="D10508" s="451">
        <v>8.9600000000000009</v>
      </c>
      <c r="E10508" s="210"/>
    </row>
    <row r="10509" spans="1:5" ht="38.25">
      <c r="A10509" s="449">
        <v>39423</v>
      </c>
      <c r="B10509" s="450" t="s">
        <v>11331</v>
      </c>
      <c r="C10509" s="449" t="s">
        <v>683</v>
      </c>
      <c r="D10509" s="451">
        <v>10.4</v>
      </c>
      <c r="E10509" s="210"/>
    </row>
    <row r="10510" spans="1:5" ht="51">
      <c r="A10510" s="449">
        <v>39426</v>
      </c>
      <c r="B10510" s="450" t="s">
        <v>11332</v>
      </c>
      <c r="C10510" s="449" t="s">
        <v>683</v>
      </c>
      <c r="D10510" s="451">
        <v>23.39</v>
      </c>
      <c r="E10510" s="210"/>
    </row>
    <row r="10511" spans="1:5" ht="51">
      <c r="A10511" s="449">
        <v>39429</v>
      </c>
      <c r="B10511" s="450" t="s">
        <v>11333</v>
      </c>
      <c r="C10511" s="449" t="s">
        <v>683</v>
      </c>
      <c r="D10511" s="451">
        <v>7.37</v>
      </c>
      <c r="E10511" s="210"/>
    </row>
    <row r="10512" spans="1:5" ht="51">
      <c r="A10512" s="449">
        <v>39428</v>
      </c>
      <c r="B10512" s="450" t="s">
        <v>11334</v>
      </c>
      <c r="C10512" s="449" t="s">
        <v>683</v>
      </c>
      <c r="D10512" s="451">
        <v>5.63</v>
      </c>
      <c r="E10512" s="210"/>
    </row>
    <row r="10513" spans="1:5" ht="38.25">
      <c r="A10513" s="449">
        <v>39572</v>
      </c>
      <c r="B10513" s="450" t="s">
        <v>11335</v>
      </c>
      <c r="C10513" s="449" t="s">
        <v>683</v>
      </c>
      <c r="D10513" s="451">
        <v>4.88</v>
      </c>
      <c r="E10513" s="210"/>
    </row>
    <row r="10514" spans="1:5" ht="38.25">
      <c r="A10514" s="449">
        <v>39570</v>
      </c>
      <c r="B10514" s="450" t="s">
        <v>11336</v>
      </c>
      <c r="C10514" s="449" t="s">
        <v>683</v>
      </c>
      <c r="D10514" s="451">
        <v>5.17</v>
      </c>
      <c r="E10514" s="210"/>
    </row>
    <row r="10515" spans="1:5" ht="38.25">
      <c r="A10515" s="449">
        <v>39569</v>
      </c>
      <c r="B10515" s="450" t="s">
        <v>11337</v>
      </c>
      <c r="C10515" s="449" t="s">
        <v>683</v>
      </c>
      <c r="D10515" s="451">
        <v>5.1100000000000003</v>
      </c>
      <c r="E10515" s="210"/>
    </row>
    <row r="10516" spans="1:5" ht="38.25">
      <c r="A10516" s="449">
        <v>11552</v>
      </c>
      <c r="B10516" s="450" t="s">
        <v>11338</v>
      </c>
      <c r="C10516" s="449" t="s">
        <v>683</v>
      </c>
      <c r="D10516" s="451">
        <v>7.7</v>
      </c>
      <c r="E10516" s="210"/>
    </row>
    <row r="10517" spans="1:5" ht="38.25">
      <c r="A10517" s="449">
        <v>40598</v>
      </c>
      <c r="B10517" s="450" t="s">
        <v>11339</v>
      </c>
      <c r="C10517" s="449" t="s">
        <v>676</v>
      </c>
      <c r="D10517" s="451">
        <v>10.119999999999999</v>
      </c>
      <c r="E10517" s="210"/>
    </row>
    <row r="10518" spans="1:5" ht="25.5">
      <c r="A10518" s="449">
        <v>39029</v>
      </c>
      <c r="B10518" s="450" t="s">
        <v>11340</v>
      </c>
      <c r="C10518" s="449" t="s">
        <v>683</v>
      </c>
      <c r="D10518" s="451">
        <v>16.510000000000002</v>
      </c>
      <c r="E10518" s="210"/>
    </row>
    <row r="10519" spans="1:5" ht="25.5">
      <c r="A10519" s="449">
        <v>39028</v>
      </c>
      <c r="B10519" s="450" t="s">
        <v>11341</v>
      </c>
      <c r="C10519" s="449" t="s">
        <v>683</v>
      </c>
      <c r="D10519" s="451">
        <v>9.61</v>
      </c>
      <c r="E10519" s="210"/>
    </row>
    <row r="10520" spans="1:5">
      <c r="A10520" s="449">
        <v>39328</v>
      </c>
      <c r="B10520" s="450" t="s">
        <v>11342</v>
      </c>
      <c r="C10520" s="449" t="s">
        <v>683</v>
      </c>
      <c r="D10520" s="451">
        <v>5.28</v>
      </c>
      <c r="E10520" s="210"/>
    </row>
    <row r="10521" spans="1:5" ht="76.5">
      <c r="A10521" s="449">
        <v>38541</v>
      </c>
      <c r="B10521" s="450" t="s">
        <v>11343</v>
      </c>
      <c r="C10521" s="449" t="s">
        <v>679</v>
      </c>
      <c r="D10521" s="451">
        <v>2822039.45</v>
      </c>
      <c r="E10521" s="210"/>
    </row>
    <row r="10522" spans="1:5" ht="76.5">
      <c r="A10522" s="449">
        <v>38542</v>
      </c>
      <c r="B10522" s="450" t="s">
        <v>11344</v>
      </c>
      <c r="C10522" s="449" t="s">
        <v>679</v>
      </c>
      <c r="D10522" s="451">
        <v>4388157.8600000003</v>
      </c>
      <c r="E10522" s="210"/>
    </row>
    <row r="10523" spans="1:5" ht="76.5">
      <c r="A10523" s="449">
        <v>38543</v>
      </c>
      <c r="B10523" s="450" t="s">
        <v>11345</v>
      </c>
      <c r="C10523" s="449" t="s">
        <v>679</v>
      </c>
      <c r="D10523" s="451">
        <v>1074342.1299999999</v>
      </c>
      <c r="E10523" s="210"/>
    </row>
    <row r="10524" spans="1:5" ht="38.25">
      <c r="A10524" s="449">
        <v>40406</v>
      </c>
      <c r="B10524" s="450" t="s">
        <v>11346</v>
      </c>
      <c r="C10524" s="449" t="s">
        <v>679</v>
      </c>
      <c r="D10524" s="451">
        <v>72527.7</v>
      </c>
      <c r="E10524" s="210"/>
    </row>
    <row r="10525" spans="1:5" ht="38.25">
      <c r="A10525" s="449">
        <v>40789</v>
      </c>
      <c r="B10525" s="450" t="s">
        <v>11347</v>
      </c>
      <c r="C10525" s="449" t="s">
        <v>679</v>
      </c>
      <c r="D10525" s="451">
        <v>10451.98</v>
      </c>
      <c r="E10525" s="210"/>
    </row>
    <row r="10526" spans="1:5" ht="51">
      <c r="A10526" s="449">
        <v>40791</v>
      </c>
      <c r="B10526" s="450" t="s">
        <v>11348</v>
      </c>
      <c r="C10526" s="449" t="s">
        <v>679</v>
      </c>
      <c r="D10526" s="451">
        <v>32719.26</v>
      </c>
      <c r="E10526" s="210"/>
    </row>
    <row r="10527" spans="1:5" ht="38.25">
      <c r="A10527" s="449">
        <v>11651</v>
      </c>
      <c r="B10527" s="450" t="s">
        <v>11349</v>
      </c>
      <c r="C10527" s="449" t="s">
        <v>679</v>
      </c>
      <c r="D10527" s="451">
        <v>17894.63</v>
      </c>
      <c r="E10527" s="210"/>
    </row>
    <row r="10528" spans="1:5" ht="38.25">
      <c r="A10528" s="449">
        <v>40435</v>
      </c>
      <c r="B10528" s="450" t="s">
        <v>11350</v>
      </c>
      <c r="C10528" s="449" t="s">
        <v>679</v>
      </c>
      <c r="D10528" s="451">
        <v>589375</v>
      </c>
      <c r="E10528" s="210"/>
    </row>
    <row r="10529" spans="1:5" ht="38.25">
      <c r="A10529" s="449">
        <v>39012</v>
      </c>
      <c r="B10529" s="450" t="s">
        <v>11351</v>
      </c>
      <c r="C10529" s="449" t="s">
        <v>679</v>
      </c>
      <c r="D10529" s="451">
        <v>614931.32999999996</v>
      </c>
      <c r="E10529" s="210"/>
    </row>
    <row r="10530" spans="1:5" ht="38.25">
      <c r="A10530" s="449">
        <v>13617</v>
      </c>
      <c r="B10530" s="450" t="s">
        <v>11352</v>
      </c>
      <c r="C10530" s="449" t="s">
        <v>679</v>
      </c>
      <c r="D10530" s="451">
        <v>60814.67</v>
      </c>
      <c r="E10530" s="210"/>
    </row>
    <row r="10531" spans="1:5" ht="38.25">
      <c r="A10531" s="449">
        <v>35274</v>
      </c>
      <c r="B10531" s="450" t="s">
        <v>11353</v>
      </c>
      <c r="C10531" s="449" t="s">
        <v>683</v>
      </c>
      <c r="D10531" s="451">
        <v>28.73</v>
      </c>
      <c r="E10531" s="210"/>
    </row>
    <row r="10532" spans="1:5" ht="38.25">
      <c r="A10532" s="449">
        <v>35275</v>
      </c>
      <c r="B10532" s="450" t="s">
        <v>11354</v>
      </c>
      <c r="C10532" s="449" t="s">
        <v>683</v>
      </c>
      <c r="D10532" s="451">
        <v>60.99</v>
      </c>
      <c r="E10532" s="210"/>
    </row>
    <row r="10533" spans="1:5" ht="38.25">
      <c r="A10533" s="449">
        <v>35276</v>
      </c>
      <c r="B10533" s="450" t="s">
        <v>11355</v>
      </c>
      <c r="C10533" s="449" t="s">
        <v>683</v>
      </c>
      <c r="D10533" s="451">
        <v>106.12</v>
      </c>
      <c r="E10533" s="210"/>
    </row>
    <row r="10534" spans="1:5" ht="25.5">
      <c r="A10534" s="449">
        <v>38386</v>
      </c>
      <c r="B10534" s="450" t="s">
        <v>11356</v>
      </c>
      <c r="C10534" s="449" t="s">
        <v>679</v>
      </c>
      <c r="D10534" s="451">
        <v>5.17</v>
      </c>
      <c r="E10534" s="210"/>
    </row>
    <row r="10535" spans="1:5" ht="38.25">
      <c r="A10535" s="449">
        <v>11091</v>
      </c>
      <c r="B10535" s="450" t="s">
        <v>11357</v>
      </c>
      <c r="C10535" s="449" t="s">
        <v>679</v>
      </c>
      <c r="D10535" s="451">
        <v>1.52</v>
      </c>
      <c r="E10535" s="210"/>
    </row>
    <row r="10536" spans="1:5" ht="38.25">
      <c r="A10536" s="449">
        <v>37586</v>
      </c>
      <c r="B10536" s="450" t="s">
        <v>11358</v>
      </c>
      <c r="C10536" s="449" t="s">
        <v>799</v>
      </c>
      <c r="D10536" s="451">
        <v>44.85</v>
      </c>
      <c r="E10536" s="210"/>
    </row>
    <row r="10537" spans="1:5" ht="25.5">
      <c r="A10537" s="449">
        <v>37395</v>
      </c>
      <c r="B10537" s="450" t="s">
        <v>11359</v>
      </c>
      <c r="C10537" s="449" t="s">
        <v>799</v>
      </c>
      <c r="D10537" s="451">
        <v>38.56</v>
      </c>
      <c r="E10537" s="210"/>
    </row>
    <row r="10538" spans="1:5" ht="38.25">
      <c r="A10538" s="449">
        <v>14147</v>
      </c>
      <c r="B10538" s="450" t="s">
        <v>11360</v>
      </c>
      <c r="C10538" s="449" t="s">
        <v>799</v>
      </c>
      <c r="D10538" s="451">
        <v>51.15</v>
      </c>
      <c r="E10538" s="210"/>
    </row>
    <row r="10539" spans="1:5" ht="25.5">
      <c r="A10539" s="449">
        <v>37396</v>
      </c>
      <c r="B10539" s="450" t="s">
        <v>11361</v>
      </c>
      <c r="C10539" s="449" t="s">
        <v>799</v>
      </c>
      <c r="D10539" s="451">
        <v>31.55</v>
      </c>
      <c r="E10539" s="210"/>
    </row>
    <row r="10540" spans="1:5" ht="25.5">
      <c r="A10540" s="449">
        <v>37397</v>
      </c>
      <c r="B10540" s="450" t="s">
        <v>11362</v>
      </c>
      <c r="C10540" s="449" t="s">
        <v>799</v>
      </c>
      <c r="D10540" s="451">
        <v>33.049999999999997</v>
      </c>
      <c r="E10540" s="210"/>
    </row>
    <row r="10541" spans="1:5" ht="25.5">
      <c r="A10541" s="449">
        <v>43606</v>
      </c>
      <c r="B10541" s="450" t="s">
        <v>11363</v>
      </c>
      <c r="C10541" s="449" t="s">
        <v>679</v>
      </c>
      <c r="D10541" s="451">
        <v>9.2200000000000006</v>
      </c>
      <c r="E10541" s="210"/>
    </row>
    <row r="10542" spans="1:5" ht="38.25">
      <c r="A10542" s="449">
        <v>444</v>
      </c>
      <c r="B10542" s="450" t="s">
        <v>11364</v>
      </c>
      <c r="C10542" s="449" t="s">
        <v>679</v>
      </c>
      <c r="D10542" s="451">
        <v>27.72</v>
      </c>
      <c r="E10542" s="210"/>
    </row>
    <row r="10543" spans="1:5" ht="38.25">
      <c r="A10543" s="449">
        <v>445</v>
      </c>
      <c r="B10543" s="450" t="s">
        <v>11365</v>
      </c>
      <c r="C10543" s="449" t="s">
        <v>679</v>
      </c>
      <c r="D10543" s="451">
        <v>37.94</v>
      </c>
      <c r="E10543" s="210"/>
    </row>
    <row r="10544" spans="1:5">
      <c r="A10544" s="449">
        <v>4783</v>
      </c>
      <c r="B10544" s="450" t="s">
        <v>11366</v>
      </c>
      <c r="C10544" s="449" t="s">
        <v>682</v>
      </c>
      <c r="D10544" s="451">
        <v>13.66</v>
      </c>
      <c r="E10544" s="210"/>
    </row>
    <row r="10545" spans="1:5">
      <c r="A10545" s="449">
        <v>41079</v>
      </c>
      <c r="B10545" s="450" t="s">
        <v>11367</v>
      </c>
      <c r="C10545" s="449" t="s">
        <v>797</v>
      </c>
      <c r="D10545" s="451">
        <v>2420.84</v>
      </c>
      <c r="E10545" s="210"/>
    </row>
    <row r="10546" spans="1:5">
      <c r="A10546" s="449">
        <v>12874</v>
      </c>
      <c r="B10546" s="450" t="s">
        <v>11368</v>
      </c>
      <c r="C10546" s="449" t="s">
        <v>682</v>
      </c>
      <c r="D10546" s="451">
        <v>15.74</v>
      </c>
      <c r="E10546" s="210"/>
    </row>
    <row r="10547" spans="1:5">
      <c r="A10547" s="449">
        <v>41082</v>
      </c>
      <c r="B10547" s="450" t="s">
        <v>11369</v>
      </c>
      <c r="C10547" s="449" t="s">
        <v>797</v>
      </c>
      <c r="D10547" s="451">
        <v>2790.69</v>
      </c>
      <c r="E10547" s="210"/>
    </row>
    <row r="10548" spans="1:5">
      <c r="A10548" s="449">
        <v>4785</v>
      </c>
      <c r="B10548" s="450" t="s">
        <v>11370</v>
      </c>
      <c r="C10548" s="449" t="s">
        <v>682</v>
      </c>
      <c r="D10548" s="451">
        <v>14.69</v>
      </c>
      <c r="E10548" s="210"/>
    </row>
    <row r="10549" spans="1:5">
      <c r="A10549" s="449">
        <v>41081</v>
      </c>
      <c r="B10549" s="450" t="s">
        <v>11371</v>
      </c>
      <c r="C10549" s="449" t="s">
        <v>797</v>
      </c>
      <c r="D10549" s="451">
        <v>2603.86</v>
      </c>
      <c r="E10549" s="210"/>
    </row>
    <row r="10550" spans="1:5" ht="25.5">
      <c r="A10550" s="449">
        <v>4801</v>
      </c>
      <c r="B10550" s="450" t="s">
        <v>11372</v>
      </c>
      <c r="C10550" s="449" t="s">
        <v>684</v>
      </c>
      <c r="D10550" s="451">
        <v>67.09</v>
      </c>
      <c r="E10550" s="210"/>
    </row>
    <row r="10551" spans="1:5" ht="25.5">
      <c r="A10551" s="449">
        <v>4794</v>
      </c>
      <c r="B10551" s="450" t="s">
        <v>11373</v>
      </c>
      <c r="C10551" s="449" t="s">
        <v>684</v>
      </c>
      <c r="D10551" s="451">
        <v>305.58</v>
      </c>
      <c r="E10551" s="210"/>
    </row>
    <row r="10552" spans="1:5" ht="38.25">
      <c r="A10552" s="449">
        <v>4796</v>
      </c>
      <c r="B10552" s="450" t="s">
        <v>11374</v>
      </c>
      <c r="C10552" s="449" t="s">
        <v>684</v>
      </c>
      <c r="D10552" s="451">
        <v>185.61</v>
      </c>
      <c r="E10552" s="210"/>
    </row>
    <row r="10553" spans="1:5" ht="25.5">
      <c r="A10553" s="449">
        <v>4800</v>
      </c>
      <c r="B10553" s="450" t="s">
        <v>11375</v>
      </c>
      <c r="C10553" s="449" t="s">
        <v>684</v>
      </c>
      <c r="D10553" s="451">
        <v>51.04</v>
      </c>
      <c r="E10553" s="210"/>
    </row>
    <row r="10554" spans="1:5" ht="25.5">
      <c r="A10554" s="449">
        <v>4795</v>
      </c>
      <c r="B10554" s="450" t="s">
        <v>11376</v>
      </c>
      <c r="C10554" s="449" t="s">
        <v>684</v>
      </c>
      <c r="D10554" s="451">
        <v>297.47000000000003</v>
      </c>
      <c r="E10554" s="210"/>
    </row>
    <row r="10555" spans="1:5" ht="63.75">
      <c r="A10555" s="449">
        <v>39694</v>
      </c>
      <c r="B10555" s="450" t="s">
        <v>11377</v>
      </c>
      <c r="C10555" s="449" t="s">
        <v>684</v>
      </c>
      <c r="D10555" s="451">
        <v>403.66</v>
      </c>
      <c r="E10555" s="210"/>
    </row>
    <row r="10556" spans="1:5" ht="38.25">
      <c r="A10556" s="449">
        <v>1292</v>
      </c>
      <c r="B10556" s="450" t="s">
        <v>11378</v>
      </c>
      <c r="C10556" s="449" t="s">
        <v>684</v>
      </c>
      <c r="D10556" s="451">
        <v>49.84</v>
      </c>
      <c r="E10556" s="210"/>
    </row>
    <row r="10557" spans="1:5" ht="38.25">
      <c r="A10557" s="449">
        <v>1287</v>
      </c>
      <c r="B10557" s="450" t="s">
        <v>11379</v>
      </c>
      <c r="C10557" s="449" t="s">
        <v>684</v>
      </c>
      <c r="D10557" s="451">
        <v>24.45</v>
      </c>
      <c r="E10557" s="210"/>
    </row>
    <row r="10558" spans="1:5" ht="38.25">
      <c r="A10558" s="449">
        <v>1297</v>
      </c>
      <c r="B10558" s="450" t="s">
        <v>11380</v>
      </c>
      <c r="C10558" s="449" t="s">
        <v>684</v>
      </c>
      <c r="D10558" s="451">
        <v>20.28</v>
      </c>
      <c r="E10558" s="210"/>
    </row>
    <row r="10559" spans="1:5" ht="38.25">
      <c r="A10559" s="449">
        <v>4786</v>
      </c>
      <c r="B10559" s="450" t="s">
        <v>11381</v>
      </c>
      <c r="C10559" s="449" t="s">
        <v>684</v>
      </c>
      <c r="D10559" s="451">
        <v>88</v>
      </c>
      <c r="E10559" s="210"/>
    </row>
    <row r="10560" spans="1:5" ht="63.75">
      <c r="A10560" s="449">
        <v>10840</v>
      </c>
      <c r="B10560" s="450" t="s">
        <v>11382</v>
      </c>
      <c r="C10560" s="449" t="s">
        <v>684</v>
      </c>
      <c r="D10560" s="451">
        <v>280</v>
      </c>
      <c r="E10560" s="210"/>
    </row>
    <row r="10561" spans="1:5" ht="51">
      <c r="A10561" s="449">
        <v>10841</v>
      </c>
      <c r="B10561" s="450" t="s">
        <v>11383</v>
      </c>
      <c r="C10561" s="449" t="s">
        <v>684</v>
      </c>
      <c r="D10561" s="451">
        <v>211.32</v>
      </c>
      <c r="E10561" s="210"/>
    </row>
    <row r="10562" spans="1:5" ht="51">
      <c r="A10562" s="449">
        <v>25980</v>
      </c>
      <c r="B10562" s="450" t="s">
        <v>11384</v>
      </c>
      <c r="C10562" s="449" t="s">
        <v>684</v>
      </c>
      <c r="D10562" s="451">
        <v>270.02</v>
      </c>
      <c r="E10562" s="210"/>
    </row>
    <row r="10563" spans="1:5" ht="51">
      <c r="A10563" s="449">
        <v>10842</v>
      </c>
      <c r="B10563" s="450" t="s">
        <v>11385</v>
      </c>
      <c r="C10563" s="449" t="s">
        <v>684</v>
      </c>
      <c r="D10563" s="451">
        <v>305.24</v>
      </c>
      <c r="E10563" s="210"/>
    </row>
    <row r="10564" spans="1:5" ht="25.5">
      <c r="A10564" s="449">
        <v>21108</v>
      </c>
      <c r="B10564" s="450" t="s">
        <v>11386</v>
      </c>
      <c r="C10564" s="449" t="s">
        <v>684</v>
      </c>
      <c r="D10564" s="451">
        <v>66.430000000000007</v>
      </c>
      <c r="E10564" s="210"/>
    </row>
    <row r="10565" spans="1:5" ht="25.5">
      <c r="A10565" s="449">
        <v>38180</v>
      </c>
      <c r="B10565" s="450" t="s">
        <v>11387</v>
      </c>
      <c r="C10565" s="449" t="s">
        <v>684</v>
      </c>
      <c r="D10565" s="451">
        <v>149.44</v>
      </c>
      <c r="E10565" s="210"/>
    </row>
    <row r="10566" spans="1:5" ht="25.5">
      <c r="A10566" s="449">
        <v>40648</v>
      </c>
      <c r="B10566" s="450" t="s">
        <v>11388</v>
      </c>
      <c r="C10566" s="449" t="s">
        <v>684</v>
      </c>
      <c r="D10566" s="451">
        <v>168.96</v>
      </c>
      <c r="E10566" s="210"/>
    </row>
    <row r="10567" spans="1:5" ht="25.5">
      <c r="A10567" s="449">
        <v>40649</v>
      </c>
      <c r="B10567" s="450" t="s">
        <v>11389</v>
      </c>
      <c r="C10567" s="449" t="s">
        <v>684</v>
      </c>
      <c r="D10567" s="451">
        <v>98.41</v>
      </c>
      <c r="E10567" s="210"/>
    </row>
    <row r="10568" spans="1:5" ht="25.5">
      <c r="A10568" s="449">
        <v>40650</v>
      </c>
      <c r="B10568" s="450" t="s">
        <v>11390</v>
      </c>
      <c r="C10568" s="449" t="s">
        <v>684</v>
      </c>
      <c r="D10568" s="451">
        <v>126.72</v>
      </c>
      <c r="E10568" s="210"/>
    </row>
    <row r="10569" spans="1:5" ht="25.5">
      <c r="A10569" s="449">
        <v>40651</v>
      </c>
      <c r="B10569" s="450" t="s">
        <v>11391</v>
      </c>
      <c r="C10569" s="449" t="s">
        <v>684</v>
      </c>
      <c r="D10569" s="451">
        <v>233.72</v>
      </c>
      <c r="E10569" s="210"/>
    </row>
    <row r="10570" spans="1:5" ht="25.5">
      <c r="A10570" s="449">
        <v>40652</v>
      </c>
      <c r="B10570" s="450" t="s">
        <v>11392</v>
      </c>
      <c r="C10570" s="449" t="s">
        <v>684</v>
      </c>
      <c r="D10570" s="451">
        <v>125.31</v>
      </c>
      <c r="E10570" s="210"/>
    </row>
    <row r="10571" spans="1:5" ht="38.25">
      <c r="A10571" s="449">
        <v>40647</v>
      </c>
      <c r="B10571" s="450" t="s">
        <v>11393</v>
      </c>
      <c r="C10571" s="449" t="s">
        <v>684</v>
      </c>
      <c r="D10571" s="451">
        <v>137.97999999999999</v>
      </c>
      <c r="E10571" s="210"/>
    </row>
    <row r="10572" spans="1:5">
      <c r="A10572" s="449">
        <v>40653</v>
      </c>
      <c r="B10572" s="450" t="s">
        <v>11394</v>
      </c>
      <c r="C10572" s="449" t="s">
        <v>684</v>
      </c>
      <c r="D10572" s="451">
        <v>105.6</v>
      </c>
      <c r="E10572" s="210"/>
    </row>
    <row r="10573" spans="1:5" ht="25.5">
      <c r="A10573" s="449">
        <v>36178</v>
      </c>
      <c r="B10573" s="450" t="s">
        <v>11395</v>
      </c>
      <c r="C10573" s="449" t="s">
        <v>679</v>
      </c>
      <c r="D10573" s="451">
        <v>12.99</v>
      </c>
      <c r="E10573" s="210"/>
    </row>
    <row r="10574" spans="1:5" ht="25.5">
      <c r="A10574" s="449">
        <v>38195</v>
      </c>
      <c r="B10574" s="450" t="s">
        <v>11396</v>
      </c>
      <c r="C10574" s="449" t="s">
        <v>684</v>
      </c>
      <c r="D10574" s="451">
        <v>78.459999999999994</v>
      </c>
      <c r="E10574" s="210"/>
    </row>
    <row r="10575" spans="1:5" ht="38.25">
      <c r="A10575" s="449">
        <v>38181</v>
      </c>
      <c r="B10575" s="450" t="s">
        <v>11397</v>
      </c>
      <c r="C10575" s="449" t="s">
        <v>684</v>
      </c>
      <c r="D10575" s="451">
        <v>204</v>
      </c>
      <c r="E10575" s="210"/>
    </row>
    <row r="10576" spans="1:5" ht="38.25">
      <c r="A10576" s="449">
        <v>38182</v>
      </c>
      <c r="B10576" s="450" t="s">
        <v>11398</v>
      </c>
      <c r="C10576" s="449" t="s">
        <v>684</v>
      </c>
      <c r="D10576" s="451">
        <v>194.32</v>
      </c>
      <c r="E10576" s="210"/>
    </row>
    <row r="10577" spans="1:5" ht="38.25">
      <c r="A10577" s="449">
        <v>38186</v>
      </c>
      <c r="B10577" s="450" t="s">
        <v>11399</v>
      </c>
      <c r="C10577" s="449" t="s">
        <v>684</v>
      </c>
      <c r="D10577" s="451">
        <v>505.11</v>
      </c>
      <c r="E10577" s="210"/>
    </row>
    <row r="10578" spans="1:5" ht="38.25">
      <c r="A10578" s="449">
        <v>38185</v>
      </c>
      <c r="B10578" s="450" t="s">
        <v>11400</v>
      </c>
      <c r="C10578" s="449" t="s">
        <v>684</v>
      </c>
      <c r="D10578" s="451">
        <v>449.73</v>
      </c>
      <c r="E10578" s="210"/>
    </row>
    <row r="10579" spans="1:5" ht="38.25">
      <c r="A10579" s="449">
        <v>40654</v>
      </c>
      <c r="B10579" s="450" t="s">
        <v>11401</v>
      </c>
      <c r="C10579" s="449" t="s">
        <v>684</v>
      </c>
      <c r="D10579" s="451">
        <v>164.03</v>
      </c>
      <c r="E10579" s="210"/>
    </row>
    <row r="10580" spans="1:5" ht="51">
      <c r="A10580" s="449">
        <v>25981</v>
      </c>
      <c r="B10580" s="450" t="s">
        <v>11402</v>
      </c>
      <c r="C10580" s="449" t="s">
        <v>684</v>
      </c>
      <c r="D10580" s="451">
        <v>223.06</v>
      </c>
      <c r="E10580" s="210"/>
    </row>
    <row r="10581" spans="1:5" ht="38.25">
      <c r="A10581" s="449">
        <v>4822</v>
      </c>
      <c r="B10581" s="450" t="s">
        <v>11403</v>
      </c>
      <c r="C10581" s="449" t="s">
        <v>684</v>
      </c>
      <c r="D10581" s="451">
        <v>368.24</v>
      </c>
      <c r="E10581" s="210"/>
    </row>
    <row r="10582" spans="1:5" ht="38.25">
      <c r="A10582" s="449">
        <v>4818</v>
      </c>
      <c r="B10582" s="450" t="s">
        <v>11404</v>
      </c>
      <c r="C10582" s="449" t="s">
        <v>684</v>
      </c>
      <c r="D10582" s="451">
        <v>378.5</v>
      </c>
      <c r="E10582" s="210"/>
    </row>
    <row r="10583" spans="1:5" ht="63.75">
      <c r="A10583" s="449">
        <v>39567</v>
      </c>
      <c r="B10583" s="450" t="s">
        <v>11405</v>
      </c>
      <c r="C10583" s="449" t="s">
        <v>684</v>
      </c>
      <c r="D10583" s="451">
        <v>45.02</v>
      </c>
      <c r="E10583" s="210"/>
    </row>
    <row r="10584" spans="1:5" ht="63.75">
      <c r="A10584" s="449">
        <v>39566</v>
      </c>
      <c r="B10584" s="450" t="s">
        <v>11406</v>
      </c>
      <c r="C10584" s="449" t="s">
        <v>684</v>
      </c>
      <c r="D10584" s="451">
        <v>52</v>
      </c>
      <c r="E10584" s="210"/>
    </row>
    <row r="10585" spans="1:5" ht="38.25">
      <c r="A10585" s="449">
        <v>39416</v>
      </c>
      <c r="B10585" s="450" t="s">
        <v>11407</v>
      </c>
      <c r="C10585" s="449" t="s">
        <v>684</v>
      </c>
      <c r="D10585" s="451">
        <v>27.16</v>
      </c>
      <c r="E10585" s="210"/>
    </row>
    <row r="10586" spans="1:5" ht="38.25">
      <c r="A10586" s="449">
        <v>39417</v>
      </c>
      <c r="B10586" s="450" t="s">
        <v>11408</v>
      </c>
      <c r="C10586" s="449" t="s">
        <v>684</v>
      </c>
      <c r="D10586" s="451">
        <v>28.48</v>
      </c>
      <c r="E10586" s="210"/>
    </row>
    <row r="10587" spans="1:5" ht="38.25">
      <c r="A10587" s="449">
        <v>39414</v>
      </c>
      <c r="B10587" s="450" t="s">
        <v>11409</v>
      </c>
      <c r="C10587" s="449" t="s">
        <v>684</v>
      </c>
      <c r="D10587" s="451">
        <v>25.51</v>
      </c>
      <c r="E10587" s="210"/>
    </row>
    <row r="10588" spans="1:5" ht="38.25">
      <c r="A10588" s="449">
        <v>39415</v>
      </c>
      <c r="B10588" s="450" t="s">
        <v>11410</v>
      </c>
      <c r="C10588" s="449" t="s">
        <v>684</v>
      </c>
      <c r="D10588" s="451">
        <v>27.03</v>
      </c>
      <c r="E10588" s="210"/>
    </row>
    <row r="10589" spans="1:5" ht="38.25">
      <c r="A10589" s="449">
        <v>39412</v>
      </c>
      <c r="B10589" s="450" t="s">
        <v>11411</v>
      </c>
      <c r="C10589" s="449" t="s">
        <v>684</v>
      </c>
      <c r="D10589" s="451">
        <v>19.21</v>
      </c>
      <c r="E10589" s="210"/>
    </row>
    <row r="10590" spans="1:5" ht="38.25">
      <c r="A10590" s="449">
        <v>39413</v>
      </c>
      <c r="B10590" s="450" t="s">
        <v>11412</v>
      </c>
      <c r="C10590" s="449" t="s">
        <v>684</v>
      </c>
      <c r="D10590" s="451">
        <v>19.02</v>
      </c>
      <c r="E10590" s="210"/>
    </row>
    <row r="10591" spans="1:5" ht="25.5">
      <c r="A10591" s="449">
        <v>11062</v>
      </c>
      <c r="B10591" s="450" t="s">
        <v>11413</v>
      </c>
      <c r="C10591" s="449" t="s">
        <v>684</v>
      </c>
      <c r="D10591" s="451">
        <v>68.81</v>
      </c>
      <c r="E10591" s="210"/>
    </row>
    <row r="10592" spans="1:5" ht="25.5">
      <c r="A10592" s="449">
        <v>11063</v>
      </c>
      <c r="B10592" s="450" t="s">
        <v>11414</v>
      </c>
      <c r="C10592" s="449" t="s">
        <v>684</v>
      </c>
      <c r="D10592" s="451">
        <v>66.62</v>
      </c>
      <c r="E10592" s="210"/>
    </row>
    <row r="10593" spans="1:5" ht="25.5">
      <c r="A10593" s="449">
        <v>13521</v>
      </c>
      <c r="B10593" s="450" t="s">
        <v>11415</v>
      </c>
      <c r="C10593" s="449" t="s">
        <v>679</v>
      </c>
      <c r="D10593" s="451">
        <v>74.25</v>
      </c>
      <c r="E10593" s="210"/>
    </row>
    <row r="10594" spans="1:5" ht="51">
      <c r="A10594" s="449">
        <v>10851</v>
      </c>
      <c r="B10594" s="450" t="s">
        <v>11416</v>
      </c>
      <c r="C10594" s="449" t="s">
        <v>679</v>
      </c>
      <c r="D10594" s="451">
        <v>54.51</v>
      </c>
      <c r="E10594" s="210"/>
    </row>
    <row r="10595" spans="1:5" ht="38.25">
      <c r="A10595" s="449">
        <v>39515</v>
      </c>
      <c r="B10595" s="450" t="s">
        <v>11417</v>
      </c>
      <c r="C10595" s="449" t="s">
        <v>679</v>
      </c>
      <c r="D10595" s="451">
        <v>53.69</v>
      </c>
      <c r="E10595" s="210"/>
    </row>
    <row r="10596" spans="1:5" ht="51">
      <c r="A10596" s="449">
        <v>39516</v>
      </c>
      <c r="B10596" s="450" t="s">
        <v>11418</v>
      </c>
      <c r="C10596" s="449" t="s">
        <v>679</v>
      </c>
      <c r="D10596" s="451">
        <v>45.26</v>
      </c>
      <c r="E10596" s="210"/>
    </row>
    <row r="10597" spans="1:5" ht="38.25">
      <c r="A10597" s="449">
        <v>39514</v>
      </c>
      <c r="B10597" s="450" t="s">
        <v>11419</v>
      </c>
      <c r="C10597" s="449" t="s">
        <v>679</v>
      </c>
      <c r="D10597" s="451">
        <v>28.16</v>
      </c>
      <c r="E10597" s="210"/>
    </row>
    <row r="10598" spans="1:5" ht="25.5">
      <c r="A10598" s="449">
        <v>4812</v>
      </c>
      <c r="B10598" s="450" t="s">
        <v>11420</v>
      </c>
      <c r="C10598" s="449" t="s">
        <v>684</v>
      </c>
      <c r="D10598" s="451">
        <v>12.44</v>
      </c>
      <c r="E10598" s="210"/>
    </row>
    <row r="10599" spans="1:5">
      <c r="A10599" s="449">
        <v>10849</v>
      </c>
      <c r="B10599" s="450" t="s">
        <v>11421</v>
      </c>
      <c r="C10599" s="449" t="s">
        <v>679</v>
      </c>
      <c r="D10599" s="451">
        <v>1080.01</v>
      </c>
      <c r="E10599" s="210"/>
    </row>
    <row r="10600" spans="1:5" ht="25.5">
      <c r="A10600" s="449">
        <v>10848</v>
      </c>
      <c r="B10600" s="450" t="s">
        <v>11422</v>
      </c>
      <c r="C10600" s="449" t="s">
        <v>679</v>
      </c>
      <c r="D10600" s="451">
        <v>678.38</v>
      </c>
      <c r="E10600" s="210"/>
    </row>
    <row r="10601" spans="1:5" ht="38.25">
      <c r="A10601" s="449">
        <v>4813</v>
      </c>
      <c r="B10601" s="450" t="s">
        <v>11423</v>
      </c>
      <c r="C10601" s="449" t="s">
        <v>684</v>
      </c>
      <c r="D10601" s="451">
        <v>225</v>
      </c>
      <c r="E10601" s="210"/>
    </row>
    <row r="10602" spans="1:5" ht="51">
      <c r="A10602" s="449">
        <v>37560</v>
      </c>
      <c r="B10602" s="450" t="s">
        <v>11424</v>
      </c>
      <c r="C10602" s="449" t="s">
        <v>679</v>
      </c>
      <c r="D10602" s="451">
        <v>44.09</v>
      </c>
      <c r="E10602" s="210"/>
    </row>
    <row r="10603" spans="1:5" ht="63.75">
      <c r="A10603" s="449">
        <v>37557</v>
      </c>
      <c r="B10603" s="450" t="s">
        <v>11425</v>
      </c>
      <c r="C10603" s="449" t="s">
        <v>679</v>
      </c>
      <c r="D10603" s="451">
        <v>13.39</v>
      </c>
      <c r="E10603" s="210"/>
    </row>
    <row r="10604" spans="1:5" ht="63.75">
      <c r="A10604" s="449">
        <v>37556</v>
      </c>
      <c r="B10604" s="450" t="s">
        <v>11426</v>
      </c>
      <c r="C10604" s="449" t="s">
        <v>679</v>
      </c>
      <c r="D10604" s="451">
        <v>25.91</v>
      </c>
      <c r="E10604" s="210"/>
    </row>
    <row r="10605" spans="1:5" ht="63.75">
      <c r="A10605" s="449">
        <v>37559</v>
      </c>
      <c r="B10605" s="450" t="s">
        <v>11427</v>
      </c>
      <c r="C10605" s="449" t="s">
        <v>679</v>
      </c>
      <c r="D10605" s="451">
        <v>31.78</v>
      </c>
      <c r="E10605" s="210"/>
    </row>
    <row r="10606" spans="1:5" ht="63.75">
      <c r="A10606" s="449">
        <v>37539</v>
      </c>
      <c r="B10606" s="450" t="s">
        <v>11428</v>
      </c>
      <c r="C10606" s="449" t="s">
        <v>679</v>
      </c>
      <c r="D10606" s="451">
        <v>22.4</v>
      </c>
      <c r="E10606" s="210"/>
    </row>
    <row r="10607" spans="1:5" ht="63.75">
      <c r="A10607" s="449">
        <v>37558</v>
      </c>
      <c r="B10607" s="450" t="s">
        <v>11429</v>
      </c>
      <c r="C10607" s="449" t="s">
        <v>679</v>
      </c>
      <c r="D10607" s="451">
        <v>41.76</v>
      </c>
      <c r="E10607" s="210"/>
    </row>
    <row r="10608" spans="1:5" ht="25.5">
      <c r="A10608" s="449">
        <v>34723</v>
      </c>
      <c r="B10608" s="450" t="s">
        <v>11430</v>
      </c>
      <c r="C10608" s="449" t="s">
        <v>684</v>
      </c>
      <c r="D10608" s="451">
        <v>519.75</v>
      </c>
      <c r="E10608" s="210"/>
    </row>
    <row r="10609" spans="1:5" ht="25.5">
      <c r="A10609" s="449">
        <v>34721</v>
      </c>
      <c r="B10609" s="450" t="s">
        <v>11431</v>
      </c>
      <c r="C10609" s="449" t="s">
        <v>684</v>
      </c>
      <c r="D10609" s="451">
        <v>648</v>
      </c>
      <c r="E10609" s="210"/>
    </row>
    <row r="10610" spans="1:5" ht="25.5">
      <c r="A10610" s="449">
        <v>4309</v>
      </c>
      <c r="B10610" s="450" t="s">
        <v>11432</v>
      </c>
      <c r="C10610" s="449" t="s">
        <v>679</v>
      </c>
      <c r="D10610" s="451">
        <v>6.84</v>
      </c>
      <c r="E10610" s="210"/>
    </row>
    <row r="10611" spans="1:5" ht="25.5">
      <c r="A10611" s="449">
        <v>4307</v>
      </c>
      <c r="B10611" s="450" t="s">
        <v>11433</v>
      </c>
      <c r="C10611" s="449" t="s">
        <v>679</v>
      </c>
      <c r="D10611" s="451">
        <v>11.7</v>
      </c>
      <c r="E10611" s="210"/>
    </row>
    <row r="10612" spans="1:5" ht="25.5">
      <c r="A10612" s="449">
        <v>10850</v>
      </c>
      <c r="B10612" s="450" t="s">
        <v>11434</v>
      </c>
      <c r="C10612" s="449" t="s">
        <v>679</v>
      </c>
      <c r="D10612" s="451">
        <v>33.75</v>
      </c>
      <c r="E10612" s="210"/>
    </row>
    <row r="10613" spans="1:5" ht="63.75">
      <c r="A10613" s="449">
        <v>42438</v>
      </c>
      <c r="B10613" s="450" t="s">
        <v>11435</v>
      </c>
      <c r="C10613" s="449" t="s">
        <v>679</v>
      </c>
      <c r="D10613" s="451">
        <v>1601.9</v>
      </c>
      <c r="E10613" s="210"/>
    </row>
    <row r="10614" spans="1:5" ht="25.5">
      <c r="A10614" s="449">
        <v>4792</v>
      </c>
      <c r="B10614" s="450" t="s">
        <v>11436</v>
      </c>
      <c r="C10614" s="449" t="s">
        <v>684</v>
      </c>
      <c r="D10614" s="451">
        <v>143.44999999999999</v>
      </c>
      <c r="E10614" s="210"/>
    </row>
    <row r="10615" spans="1:5" ht="38.25">
      <c r="A10615" s="449">
        <v>4790</v>
      </c>
      <c r="B10615" s="450" t="s">
        <v>11437</v>
      </c>
      <c r="C10615" s="449" t="s">
        <v>684</v>
      </c>
      <c r="D10615" s="451">
        <v>86.25</v>
      </c>
      <c r="E10615" s="210"/>
    </row>
    <row r="10616" spans="1:5" ht="51">
      <c r="A10616" s="449">
        <v>40671</v>
      </c>
      <c r="B10616" s="450" t="s">
        <v>11438</v>
      </c>
      <c r="C10616" s="449" t="s">
        <v>684</v>
      </c>
      <c r="D10616" s="451">
        <v>85.27</v>
      </c>
      <c r="E10616" s="210"/>
    </row>
    <row r="10617" spans="1:5" ht="25.5">
      <c r="A10617" s="449">
        <v>7552</v>
      </c>
      <c r="B10617" s="450" t="s">
        <v>11439</v>
      </c>
      <c r="C10617" s="449" t="s">
        <v>679</v>
      </c>
      <c r="D10617" s="451">
        <v>23.57</v>
      </c>
      <c r="E10617" s="210"/>
    </row>
    <row r="10618" spans="1:5" ht="25.5">
      <c r="A10618" s="449">
        <v>4893</v>
      </c>
      <c r="B10618" s="450" t="s">
        <v>11440</v>
      </c>
      <c r="C10618" s="449" t="s">
        <v>679</v>
      </c>
      <c r="D10618" s="451">
        <v>10.55</v>
      </c>
      <c r="E10618" s="210"/>
    </row>
    <row r="10619" spans="1:5" ht="25.5">
      <c r="A10619" s="449">
        <v>4894</v>
      </c>
      <c r="B10619" s="450" t="s">
        <v>11441</v>
      </c>
      <c r="C10619" s="449" t="s">
        <v>679</v>
      </c>
      <c r="D10619" s="451">
        <v>9.0500000000000007</v>
      </c>
      <c r="E10619" s="210"/>
    </row>
    <row r="10620" spans="1:5" ht="25.5">
      <c r="A10620" s="449">
        <v>4888</v>
      </c>
      <c r="B10620" s="450" t="s">
        <v>11442</v>
      </c>
      <c r="C10620" s="449" t="s">
        <v>679</v>
      </c>
      <c r="D10620" s="451">
        <v>3.08</v>
      </c>
      <c r="E10620" s="210"/>
    </row>
    <row r="10621" spans="1:5">
      <c r="A10621" s="449">
        <v>4890</v>
      </c>
      <c r="B10621" s="450" t="s">
        <v>11443</v>
      </c>
      <c r="C10621" s="449" t="s">
        <v>679</v>
      </c>
      <c r="D10621" s="451">
        <v>5.79</v>
      </c>
      <c r="E10621" s="210"/>
    </row>
    <row r="10622" spans="1:5" ht="25.5">
      <c r="A10622" s="449">
        <v>12411</v>
      </c>
      <c r="B10622" s="450" t="s">
        <v>11444</v>
      </c>
      <c r="C10622" s="449" t="s">
        <v>679</v>
      </c>
      <c r="D10622" s="451">
        <v>31.2</v>
      </c>
      <c r="E10622" s="210"/>
    </row>
    <row r="10623" spans="1:5">
      <c r="A10623" s="449">
        <v>4891</v>
      </c>
      <c r="B10623" s="450" t="s">
        <v>11445</v>
      </c>
      <c r="C10623" s="449" t="s">
        <v>679</v>
      </c>
      <c r="D10623" s="451">
        <v>15.6</v>
      </c>
      <c r="E10623" s="210"/>
    </row>
    <row r="10624" spans="1:5" ht="25.5">
      <c r="A10624" s="449">
        <v>4889</v>
      </c>
      <c r="B10624" s="450" t="s">
        <v>11446</v>
      </c>
      <c r="C10624" s="449" t="s">
        <v>679</v>
      </c>
      <c r="D10624" s="451">
        <v>4.17</v>
      </c>
      <c r="E10624" s="210"/>
    </row>
    <row r="10625" spans="1:5">
      <c r="A10625" s="449">
        <v>4892</v>
      </c>
      <c r="B10625" s="450" t="s">
        <v>11447</v>
      </c>
      <c r="C10625" s="449" t="s">
        <v>679</v>
      </c>
      <c r="D10625" s="451">
        <v>43.69</v>
      </c>
      <c r="E10625" s="210"/>
    </row>
    <row r="10626" spans="1:5">
      <c r="A10626" s="449">
        <v>12412</v>
      </c>
      <c r="B10626" s="450" t="s">
        <v>11448</v>
      </c>
      <c r="C10626" s="449" t="s">
        <v>679</v>
      </c>
      <c r="D10626" s="451">
        <v>81.209999999999994</v>
      </c>
      <c r="E10626" s="210"/>
    </row>
    <row r="10627" spans="1:5">
      <c r="A10627" s="449">
        <v>11073</v>
      </c>
      <c r="B10627" s="450" t="s">
        <v>11449</v>
      </c>
      <c r="C10627" s="449" t="s">
        <v>679</v>
      </c>
      <c r="D10627" s="451">
        <v>4.97</v>
      </c>
      <c r="E10627" s="210"/>
    </row>
    <row r="10628" spans="1:5">
      <c r="A10628" s="449">
        <v>11071</v>
      </c>
      <c r="B10628" s="450" t="s">
        <v>11450</v>
      </c>
      <c r="C10628" s="449" t="s">
        <v>679</v>
      </c>
      <c r="D10628" s="451">
        <v>8.0500000000000007</v>
      </c>
      <c r="E10628" s="210"/>
    </row>
    <row r="10629" spans="1:5">
      <c r="A10629" s="449">
        <v>11072</v>
      </c>
      <c r="B10629" s="450" t="s">
        <v>11451</v>
      </c>
      <c r="C10629" s="449" t="s">
        <v>679</v>
      </c>
      <c r="D10629" s="451">
        <v>2.81</v>
      </c>
      <c r="E10629" s="210"/>
    </row>
    <row r="10630" spans="1:5" ht="25.5">
      <c r="A10630" s="449">
        <v>4895</v>
      </c>
      <c r="B10630" s="450" t="s">
        <v>11452</v>
      </c>
      <c r="C10630" s="449" t="s">
        <v>679</v>
      </c>
      <c r="D10630" s="451">
        <v>0.54</v>
      </c>
      <c r="E10630" s="210"/>
    </row>
    <row r="10631" spans="1:5" ht="25.5">
      <c r="A10631" s="449">
        <v>4907</v>
      </c>
      <c r="B10631" s="450" t="s">
        <v>11453</v>
      </c>
      <c r="C10631" s="449" t="s">
        <v>679</v>
      </c>
      <c r="D10631" s="451">
        <v>37.97</v>
      </c>
      <c r="E10631" s="210"/>
    </row>
    <row r="10632" spans="1:5" ht="25.5">
      <c r="A10632" s="449">
        <v>4902</v>
      </c>
      <c r="B10632" s="450" t="s">
        <v>11454</v>
      </c>
      <c r="C10632" s="449" t="s">
        <v>679</v>
      </c>
      <c r="D10632" s="451">
        <v>85.95</v>
      </c>
      <c r="E10632" s="210"/>
    </row>
    <row r="10633" spans="1:5" ht="25.5">
      <c r="A10633" s="449">
        <v>4908</v>
      </c>
      <c r="B10633" s="450" t="s">
        <v>11455</v>
      </c>
      <c r="C10633" s="449" t="s">
        <v>679</v>
      </c>
      <c r="D10633" s="451">
        <v>174.52</v>
      </c>
      <c r="E10633" s="210"/>
    </row>
    <row r="10634" spans="1:5" ht="25.5">
      <c r="A10634" s="449">
        <v>4909</v>
      </c>
      <c r="B10634" s="450" t="s">
        <v>11456</v>
      </c>
      <c r="C10634" s="449" t="s">
        <v>679</v>
      </c>
      <c r="D10634" s="451">
        <v>337.05</v>
      </c>
      <c r="E10634" s="210"/>
    </row>
    <row r="10635" spans="1:5" ht="25.5">
      <c r="A10635" s="449">
        <v>4903</v>
      </c>
      <c r="B10635" s="450" t="s">
        <v>11457</v>
      </c>
      <c r="C10635" s="449" t="s">
        <v>679</v>
      </c>
      <c r="D10635" s="451">
        <v>991.05</v>
      </c>
      <c r="E10635" s="210"/>
    </row>
    <row r="10636" spans="1:5" ht="25.5">
      <c r="A10636" s="449">
        <v>4897</v>
      </c>
      <c r="B10636" s="450" t="s">
        <v>11458</v>
      </c>
      <c r="C10636" s="449" t="s">
        <v>679</v>
      </c>
      <c r="D10636" s="451">
        <v>2.27</v>
      </c>
      <c r="E10636" s="210"/>
    </row>
    <row r="10637" spans="1:5" ht="25.5">
      <c r="A10637" s="449">
        <v>4896</v>
      </c>
      <c r="B10637" s="450" t="s">
        <v>11459</v>
      </c>
      <c r="C10637" s="449" t="s">
        <v>679</v>
      </c>
      <c r="D10637" s="451">
        <v>0.81</v>
      </c>
      <c r="E10637" s="210"/>
    </row>
    <row r="10638" spans="1:5" ht="25.5">
      <c r="A10638" s="449">
        <v>4900</v>
      </c>
      <c r="B10638" s="450" t="s">
        <v>11460</v>
      </c>
      <c r="C10638" s="449" t="s">
        <v>679</v>
      </c>
      <c r="D10638" s="451">
        <v>6.77</v>
      </c>
      <c r="E10638" s="210"/>
    </row>
    <row r="10639" spans="1:5" ht="25.5">
      <c r="A10639" s="449">
        <v>4898</v>
      </c>
      <c r="B10639" s="450" t="s">
        <v>11461</v>
      </c>
      <c r="C10639" s="449" t="s">
        <v>679</v>
      </c>
      <c r="D10639" s="451">
        <v>2.5299999999999998</v>
      </c>
      <c r="E10639" s="210"/>
    </row>
    <row r="10640" spans="1:5">
      <c r="A10640" s="449">
        <v>4899</v>
      </c>
      <c r="B10640" s="450" t="s">
        <v>11462</v>
      </c>
      <c r="C10640" s="449" t="s">
        <v>679</v>
      </c>
      <c r="D10640" s="451">
        <v>9.2899999999999991</v>
      </c>
      <c r="E10640" s="210"/>
    </row>
    <row r="10641" spans="1:5" ht="25.5">
      <c r="A10641" s="449">
        <v>11096</v>
      </c>
      <c r="B10641" s="450" t="s">
        <v>11463</v>
      </c>
      <c r="C10641" s="449" t="s">
        <v>676</v>
      </c>
      <c r="D10641" s="451">
        <v>0.41</v>
      </c>
      <c r="E10641" s="210"/>
    </row>
    <row r="10642" spans="1:5" ht="25.5">
      <c r="A10642" s="449">
        <v>4741</v>
      </c>
      <c r="B10642" s="450" t="s">
        <v>11464</v>
      </c>
      <c r="C10642" s="449" t="s">
        <v>677</v>
      </c>
      <c r="D10642" s="451">
        <v>75.03</v>
      </c>
      <c r="E10642" s="210"/>
    </row>
    <row r="10643" spans="1:5">
      <c r="A10643" s="449">
        <v>4752</v>
      </c>
      <c r="B10643" s="450" t="s">
        <v>11465</v>
      </c>
      <c r="C10643" s="449" t="s">
        <v>682</v>
      </c>
      <c r="D10643" s="451">
        <v>9.82</v>
      </c>
      <c r="E10643" s="210"/>
    </row>
    <row r="10644" spans="1:5" ht="25.5">
      <c r="A10644" s="449">
        <v>41091</v>
      </c>
      <c r="B10644" s="450" t="s">
        <v>11466</v>
      </c>
      <c r="C10644" s="449" t="s">
        <v>797</v>
      </c>
      <c r="D10644" s="451">
        <v>1741.33</v>
      </c>
      <c r="E10644" s="210"/>
    </row>
    <row r="10645" spans="1:5" ht="38.25">
      <c r="A10645" s="449">
        <v>13954</v>
      </c>
      <c r="B10645" s="450" t="s">
        <v>11467</v>
      </c>
      <c r="C10645" s="449" t="s">
        <v>679</v>
      </c>
      <c r="D10645" s="451">
        <v>6438.55</v>
      </c>
      <c r="E10645" s="210"/>
    </row>
    <row r="10646" spans="1:5" ht="25.5">
      <c r="A10646" s="449">
        <v>3411</v>
      </c>
      <c r="B10646" s="450" t="s">
        <v>11468</v>
      </c>
      <c r="C10646" s="449" t="s">
        <v>676</v>
      </c>
      <c r="D10646" s="451">
        <v>60.07</v>
      </c>
      <c r="E10646" s="210"/>
    </row>
    <row r="10647" spans="1:5" ht="25.5">
      <c r="A10647" s="449">
        <v>39995</v>
      </c>
      <c r="B10647" s="450" t="s">
        <v>11469</v>
      </c>
      <c r="C10647" s="449" t="s">
        <v>677</v>
      </c>
      <c r="D10647" s="451">
        <v>462.12</v>
      </c>
      <c r="E10647" s="210"/>
    </row>
    <row r="10648" spans="1:5" ht="38.25">
      <c r="A10648" s="449">
        <v>11615</v>
      </c>
      <c r="B10648" s="450" t="s">
        <v>11470</v>
      </c>
      <c r="C10648" s="449" t="s">
        <v>684</v>
      </c>
      <c r="D10648" s="451">
        <v>3.92</v>
      </c>
      <c r="E10648" s="210"/>
    </row>
    <row r="10649" spans="1:5" ht="38.25">
      <c r="A10649" s="449">
        <v>3408</v>
      </c>
      <c r="B10649" s="450" t="s">
        <v>11471</v>
      </c>
      <c r="C10649" s="449" t="s">
        <v>684</v>
      </c>
      <c r="D10649" s="451">
        <v>10.41</v>
      </c>
      <c r="E10649" s="210"/>
    </row>
    <row r="10650" spans="1:5" ht="38.25">
      <c r="A10650" s="449">
        <v>3409</v>
      </c>
      <c r="B10650" s="450" t="s">
        <v>11472</v>
      </c>
      <c r="C10650" s="449" t="s">
        <v>684</v>
      </c>
      <c r="D10650" s="451">
        <v>26.02</v>
      </c>
      <c r="E10650" s="210"/>
    </row>
    <row r="10651" spans="1:5">
      <c r="A10651" s="449">
        <v>11427</v>
      </c>
      <c r="B10651" s="450" t="s">
        <v>11473</v>
      </c>
      <c r="C10651" s="449" t="s">
        <v>676</v>
      </c>
      <c r="D10651" s="451">
        <v>101.73</v>
      </c>
      <c r="E10651" s="210"/>
    </row>
    <row r="10652" spans="1:5" ht="25.5">
      <c r="A10652" s="449">
        <v>4491</v>
      </c>
      <c r="B10652" s="450" t="s">
        <v>11474</v>
      </c>
      <c r="C10652" s="449" t="s">
        <v>683</v>
      </c>
      <c r="D10652" s="451">
        <v>8.14</v>
      </c>
      <c r="E10652" s="210"/>
    </row>
    <row r="10653" spans="1:5" ht="38.25">
      <c r="A10653" s="449">
        <v>2745</v>
      </c>
      <c r="B10653" s="450" t="s">
        <v>11475</v>
      </c>
      <c r="C10653" s="449" t="s">
        <v>683</v>
      </c>
      <c r="D10653" s="451">
        <v>2.62</v>
      </c>
      <c r="E10653" s="210"/>
    </row>
    <row r="10654" spans="1:5" ht="38.25">
      <c r="A10654" s="449">
        <v>14439</v>
      </c>
      <c r="B10654" s="450" t="s">
        <v>11476</v>
      </c>
      <c r="C10654" s="449" t="s">
        <v>683</v>
      </c>
      <c r="D10654" s="451">
        <v>3.25</v>
      </c>
      <c r="E10654" s="210"/>
    </row>
    <row r="10655" spans="1:5" ht="38.25">
      <c r="A10655" s="449">
        <v>26022</v>
      </c>
      <c r="B10655" s="450" t="s">
        <v>11477</v>
      </c>
      <c r="C10655" s="449" t="s">
        <v>679</v>
      </c>
      <c r="D10655" s="451">
        <v>190.62</v>
      </c>
      <c r="E10655" s="210"/>
    </row>
    <row r="10656" spans="1:5" ht="25.5">
      <c r="A10656" s="449">
        <v>12362</v>
      </c>
      <c r="B10656" s="450" t="s">
        <v>11478</v>
      </c>
      <c r="C10656" s="449" t="s">
        <v>679</v>
      </c>
      <c r="D10656" s="451">
        <v>15.06</v>
      </c>
      <c r="E10656" s="210"/>
    </row>
    <row r="10657" spans="1:5" ht="25.5">
      <c r="A10657" s="449">
        <v>421</v>
      </c>
      <c r="B10657" s="450" t="s">
        <v>11479</v>
      </c>
      <c r="C10657" s="449" t="s">
        <v>679</v>
      </c>
      <c r="D10657" s="451">
        <v>13.33</v>
      </c>
      <c r="E10657" s="210"/>
    </row>
    <row r="10658" spans="1:5" ht="25.5">
      <c r="A10658" s="449">
        <v>14148</v>
      </c>
      <c r="B10658" s="450" t="s">
        <v>11480</v>
      </c>
      <c r="C10658" s="449" t="s">
        <v>679</v>
      </c>
      <c r="D10658" s="451">
        <v>0.87</v>
      </c>
      <c r="E10658" s="210"/>
    </row>
    <row r="10659" spans="1:5">
      <c r="A10659" s="449">
        <v>4341</v>
      </c>
      <c r="B10659" s="450" t="s">
        <v>11481</v>
      </c>
      <c r="C10659" s="449" t="s">
        <v>679</v>
      </c>
      <c r="D10659" s="451">
        <v>0.67</v>
      </c>
      <c r="E10659" s="210"/>
    </row>
    <row r="10660" spans="1:5">
      <c r="A10660" s="449">
        <v>4337</v>
      </c>
      <c r="B10660" s="450" t="s">
        <v>11482</v>
      </c>
      <c r="C10660" s="449" t="s">
        <v>679</v>
      </c>
      <c r="D10660" s="451">
        <v>1.69</v>
      </c>
      <c r="E10660" s="210"/>
    </row>
    <row r="10661" spans="1:5">
      <c r="A10661" s="449">
        <v>4339</v>
      </c>
      <c r="B10661" s="450" t="s">
        <v>11483</v>
      </c>
      <c r="C10661" s="449" t="s">
        <v>679</v>
      </c>
      <c r="D10661" s="451">
        <v>0.36</v>
      </c>
      <c r="E10661" s="210"/>
    </row>
    <row r="10662" spans="1:5">
      <c r="A10662" s="449">
        <v>39997</v>
      </c>
      <c r="B10662" s="450" t="s">
        <v>11484</v>
      </c>
      <c r="C10662" s="449" t="s">
        <v>679</v>
      </c>
      <c r="D10662" s="451">
        <v>0.2</v>
      </c>
      <c r="E10662" s="210"/>
    </row>
    <row r="10663" spans="1:5">
      <c r="A10663" s="449">
        <v>11971</v>
      </c>
      <c r="B10663" s="450" t="s">
        <v>11485</v>
      </c>
      <c r="C10663" s="449" t="s">
        <v>679</v>
      </c>
      <c r="D10663" s="451">
        <v>2.79</v>
      </c>
      <c r="E10663" s="210"/>
    </row>
    <row r="10664" spans="1:5">
      <c r="A10664" s="449">
        <v>4342</v>
      </c>
      <c r="B10664" s="450" t="s">
        <v>11486</v>
      </c>
      <c r="C10664" s="449" t="s">
        <v>679</v>
      </c>
      <c r="D10664" s="451">
        <v>0.14000000000000001</v>
      </c>
      <c r="E10664" s="210"/>
    </row>
    <row r="10665" spans="1:5">
      <c r="A10665" s="449">
        <v>4330</v>
      </c>
      <c r="B10665" s="450" t="s">
        <v>11487</v>
      </c>
      <c r="C10665" s="449" t="s">
        <v>679</v>
      </c>
      <c r="D10665" s="451">
        <v>0.09</v>
      </c>
      <c r="E10665" s="210"/>
    </row>
    <row r="10666" spans="1:5">
      <c r="A10666" s="449">
        <v>4340</v>
      </c>
      <c r="B10666" s="450" t="s">
        <v>11488</v>
      </c>
      <c r="C10666" s="449" t="s">
        <v>679</v>
      </c>
      <c r="D10666" s="451">
        <v>0.78</v>
      </c>
      <c r="E10666" s="210"/>
    </row>
    <row r="10667" spans="1:5" ht="25.5">
      <c r="A10667" s="449">
        <v>5088</v>
      </c>
      <c r="B10667" s="450" t="s">
        <v>11489</v>
      </c>
      <c r="C10667" s="449" t="s">
        <v>679</v>
      </c>
      <c r="D10667" s="451">
        <v>7.2</v>
      </c>
      <c r="E10667" s="210"/>
    </row>
    <row r="10668" spans="1:5" ht="38.25">
      <c r="A10668" s="449">
        <v>11154</v>
      </c>
      <c r="B10668" s="450" t="s">
        <v>11490</v>
      </c>
      <c r="C10668" s="449" t="s">
        <v>679</v>
      </c>
      <c r="D10668" s="451">
        <v>1117.72</v>
      </c>
      <c r="E10668" s="210"/>
    </row>
    <row r="10669" spans="1:5" ht="76.5">
      <c r="A10669" s="449">
        <v>4989</v>
      </c>
      <c r="B10669" s="450" t="s">
        <v>11491</v>
      </c>
      <c r="C10669" s="449" t="s">
        <v>679</v>
      </c>
      <c r="D10669" s="451">
        <v>287.01</v>
      </c>
      <c r="E10669" s="210"/>
    </row>
    <row r="10670" spans="1:5" ht="63.75">
      <c r="A10670" s="449">
        <v>4982</v>
      </c>
      <c r="B10670" s="450" t="s">
        <v>11492</v>
      </c>
      <c r="C10670" s="449" t="s">
        <v>679</v>
      </c>
      <c r="D10670" s="451">
        <v>269.2</v>
      </c>
      <c r="E10670" s="210"/>
    </row>
    <row r="10671" spans="1:5" ht="76.5">
      <c r="A10671" s="449">
        <v>4962</v>
      </c>
      <c r="B10671" s="450" t="s">
        <v>11493</v>
      </c>
      <c r="C10671" s="449" t="s">
        <v>679</v>
      </c>
      <c r="D10671" s="451">
        <v>212.3</v>
      </c>
      <c r="E10671" s="210"/>
    </row>
    <row r="10672" spans="1:5" ht="76.5">
      <c r="A10672" s="449">
        <v>4981</v>
      </c>
      <c r="B10672" s="450" t="s">
        <v>11494</v>
      </c>
      <c r="C10672" s="449" t="s">
        <v>679</v>
      </c>
      <c r="D10672" s="451">
        <v>189</v>
      </c>
      <c r="E10672" s="210"/>
    </row>
    <row r="10673" spans="1:5" ht="76.5">
      <c r="A10673" s="449">
        <v>4964</v>
      </c>
      <c r="B10673" s="450" t="s">
        <v>11495</v>
      </c>
      <c r="C10673" s="449" t="s">
        <v>679</v>
      </c>
      <c r="D10673" s="451">
        <v>239.77</v>
      </c>
      <c r="E10673" s="210"/>
    </row>
    <row r="10674" spans="1:5" ht="76.5">
      <c r="A10674" s="449">
        <v>4992</v>
      </c>
      <c r="B10674" s="450" t="s">
        <v>11496</v>
      </c>
      <c r="C10674" s="449" t="s">
        <v>679</v>
      </c>
      <c r="D10674" s="451">
        <v>234.21</v>
      </c>
      <c r="E10674" s="210"/>
    </row>
    <row r="10675" spans="1:5" ht="76.5">
      <c r="A10675" s="449">
        <v>4987</v>
      </c>
      <c r="B10675" s="450" t="s">
        <v>11497</v>
      </c>
      <c r="C10675" s="449" t="s">
        <v>679</v>
      </c>
      <c r="D10675" s="451">
        <v>267.95</v>
      </c>
      <c r="E10675" s="210"/>
    </row>
    <row r="10676" spans="1:5" ht="63.75">
      <c r="A10676" s="449">
        <v>39021</v>
      </c>
      <c r="B10676" s="450" t="s">
        <v>11498</v>
      </c>
      <c r="C10676" s="449" t="s">
        <v>679</v>
      </c>
      <c r="D10676" s="451">
        <v>502.75</v>
      </c>
      <c r="E10676" s="210"/>
    </row>
    <row r="10677" spans="1:5" ht="38.25">
      <c r="A10677" s="449">
        <v>39022</v>
      </c>
      <c r="B10677" s="450" t="s">
        <v>11499</v>
      </c>
      <c r="C10677" s="449" t="s">
        <v>679</v>
      </c>
      <c r="D10677" s="451">
        <v>621.75</v>
      </c>
      <c r="E10677" s="210"/>
    </row>
    <row r="10678" spans="1:5" ht="51">
      <c r="A10678" s="449">
        <v>39024</v>
      </c>
      <c r="B10678" s="450" t="s">
        <v>11500</v>
      </c>
      <c r="C10678" s="449" t="s">
        <v>679</v>
      </c>
      <c r="D10678" s="451">
        <v>678.54</v>
      </c>
      <c r="E10678" s="210"/>
    </row>
    <row r="10679" spans="1:5" ht="51">
      <c r="A10679" s="449">
        <v>4914</v>
      </c>
      <c r="B10679" s="450" t="s">
        <v>11501</v>
      </c>
      <c r="C10679" s="449" t="s">
        <v>684</v>
      </c>
      <c r="D10679" s="451">
        <v>550.17999999999995</v>
      </c>
      <c r="E10679" s="210"/>
    </row>
    <row r="10680" spans="1:5" ht="38.25">
      <c r="A10680" s="449">
        <v>4917</v>
      </c>
      <c r="B10680" s="450" t="s">
        <v>11502</v>
      </c>
      <c r="C10680" s="449" t="s">
        <v>684</v>
      </c>
      <c r="D10680" s="451">
        <v>379.96</v>
      </c>
      <c r="E10680" s="210"/>
    </row>
    <row r="10681" spans="1:5" ht="38.25">
      <c r="A10681" s="449">
        <v>39025</v>
      </c>
      <c r="B10681" s="450" t="s">
        <v>11503</v>
      </c>
      <c r="C10681" s="449" t="s">
        <v>679</v>
      </c>
      <c r="D10681" s="451">
        <v>695.78</v>
      </c>
      <c r="E10681" s="210"/>
    </row>
    <row r="10682" spans="1:5" ht="38.25">
      <c r="A10682" s="449">
        <v>4930</v>
      </c>
      <c r="B10682" s="450" t="s">
        <v>11504</v>
      </c>
      <c r="C10682" s="449" t="s">
        <v>684</v>
      </c>
      <c r="D10682" s="451">
        <v>540.30999999999995</v>
      </c>
      <c r="E10682" s="210"/>
    </row>
    <row r="10683" spans="1:5" ht="51">
      <c r="A10683" s="449">
        <v>4922</v>
      </c>
      <c r="B10683" s="450" t="s">
        <v>11505</v>
      </c>
      <c r="C10683" s="449" t="s">
        <v>684</v>
      </c>
      <c r="D10683" s="451">
        <v>352.44</v>
      </c>
      <c r="E10683" s="210"/>
    </row>
    <row r="10684" spans="1:5" ht="51">
      <c r="A10684" s="449">
        <v>4911</v>
      </c>
      <c r="B10684" s="450" t="s">
        <v>11506</v>
      </c>
      <c r="C10684" s="449" t="s">
        <v>684</v>
      </c>
      <c r="D10684" s="451">
        <v>369.04</v>
      </c>
      <c r="E10684" s="210"/>
    </row>
    <row r="10685" spans="1:5" ht="51">
      <c r="A10685" s="449">
        <v>37518</v>
      </c>
      <c r="B10685" s="450" t="s">
        <v>11507</v>
      </c>
      <c r="C10685" s="449" t="s">
        <v>684</v>
      </c>
      <c r="D10685" s="451">
        <v>599.69000000000005</v>
      </c>
      <c r="E10685" s="210"/>
    </row>
    <row r="10686" spans="1:5" ht="38.25">
      <c r="A10686" s="449">
        <v>4910</v>
      </c>
      <c r="B10686" s="450" t="s">
        <v>11508</v>
      </c>
      <c r="C10686" s="449" t="s">
        <v>684</v>
      </c>
      <c r="D10686" s="451">
        <v>505.54</v>
      </c>
      <c r="E10686" s="210"/>
    </row>
    <row r="10687" spans="1:5" ht="51">
      <c r="A10687" s="449">
        <v>4943</v>
      </c>
      <c r="B10687" s="450" t="s">
        <v>11509</v>
      </c>
      <c r="C10687" s="449" t="s">
        <v>684</v>
      </c>
      <c r="D10687" s="451">
        <v>753.14</v>
      </c>
      <c r="E10687" s="210"/>
    </row>
    <row r="10688" spans="1:5" ht="38.25">
      <c r="A10688" s="449">
        <v>5002</v>
      </c>
      <c r="B10688" s="450" t="s">
        <v>11510</v>
      </c>
      <c r="C10688" s="449" t="s">
        <v>684</v>
      </c>
      <c r="D10688" s="451">
        <v>342.03</v>
      </c>
      <c r="E10688" s="210"/>
    </row>
    <row r="10689" spans="1:5" ht="25.5">
      <c r="A10689" s="449">
        <v>4977</v>
      </c>
      <c r="B10689" s="450" t="s">
        <v>11511</v>
      </c>
      <c r="C10689" s="449" t="s">
        <v>684</v>
      </c>
      <c r="D10689" s="451">
        <v>230.88</v>
      </c>
      <c r="E10689" s="210"/>
    </row>
    <row r="10690" spans="1:5" ht="38.25">
      <c r="A10690" s="449">
        <v>5028</v>
      </c>
      <c r="B10690" s="450" t="s">
        <v>11512</v>
      </c>
      <c r="C10690" s="449" t="s">
        <v>684</v>
      </c>
      <c r="D10690" s="451">
        <v>564.92999999999995</v>
      </c>
      <c r="E10690" s="210"/>
    </row>
    <row r="10691" spans="1:5" ht="38.25">
      <c r="A10691" s="449">
        <v>4998</v>
      </c>
      <c r="B10691" s="450" t="s">
        <v>11513</v>
      </c>
      <c r="C10691" s="449" t="s">
        <v>684</v>
      </c>
      <c r="D10691" s="451">
        <v>469.19</v>
      </c>
      <c r="E10691" s="210"/>
    </row>
    <row r="10692" spans="1:5" ht="38.25">
      <c r="A10692" s="449">
        <v>4969</v>
      </c>
      <c r="B10692" s="450" t="s">
        <v>11514</v>
      </c>
      <c r="C10692" s="449" t="s">
        <v>684</v>
      </c>
      <c r="D10692" s="451">
        <v>326.54000000000002</v>
      </c>
      <c r="E10692" s="210"/>
    </row>
    <row r="10693" spans="1:5" ht="51">
      <c r="A10693" s="449">
        <v>11364</v>
      </c>
      <c r="B10693" s="450" t="s">
        <v>11515</v>
      </c>
      <c r="C10693" s="449" t="s">
        <v>679</v>
      </c>
      <c r="D10693" s="451">
        <v>162.37</v>
      </c>
      <c r="E10693" s="210"/>
    </row>
    <row r="10694" spans="1:5" ht="51">
      <c r="A10694" s="449">
        <v>11365</v>
      </c>
      <c r="B10694" s="450" t="s">
        <v>11516</v>
      </c>
      <c r="C10694" s="449" t="s">
        <v>679</v>
      </c>
      <c r="D10694" s="451">
        <v>168.5</v>
      </c>
      <c r="E10694" s="210"/>
    </row>
    <row r="10695" spans="1:5" ht="51">
      <c r="A10695" s="449">
        <v>11366</v>
      </c>
      <c r="B10695" s="450" t="s">
        <v>11517</v>
      </c>
      <c r="C10695" s="449" t="s">
        <v>679</v>
      </c>
      <c r="D10695" s="451">
        <v>179.11</v>
      </c>
      <c r="E10695" s="210"/>
    </row>
    <row r="10696" spans="1:5" ht="51">
      <c r="A10696" s="449">
        <v>43777</v>
      </c>
      <c r="B10696" s="450" t="s">
        <v>11518</v>
      </c>
      <c r="C10696" s="449" t="s">
        <v>679</v>
      </c>
      <c r="D10696" s="451">
        <v>210.39</v>
      </c>
      <c r="E10696" s="210"/>
    </row>
    <row r="10697" spans="1:5" ht="76.5">
      <c r="A10697" s="449">
        <v>20322</v>
      </c>
      <c r="B10697" s="450" t="s">
        <v>11519</v>
      </c>
      <c r="C10697" s="449" t="s">
        <v>679</v>
      </c>
      <c r="D10697" s="451">
        <v>195.31</v>
      </c>
      <c r="E10697" s="210"/>
    </row>
    <row r="10698" spans="1:5" ht="63.75">
      <c r="A10698" s="449">
        <v>10553</v>
      </c>
      <c r="B10698" s="450" t="s">
        <v>11520</v>
      </c>
      <c r="C10698" s="449" t="s">
        <v>679</v>
      </c>
      <c r="D10698" s="451">
        <v>177.34</v>
      </c>
      <c r="E10698" s="210"/>
    </row>
    <row r="10699" spans="1:5" ht="63.75">
      <c r="A10699" s="449">
        <v>5020</v>
      </c>
      <c r="B10699" s="450" t="s">
        <v>11521</v>
      </c>
      <c r="C10699" s="449" t="s">
        <v>679</v>
      </c>
      <c r="D10699" s="451">
        <v>186.97</v>
      </c>
      <c r="E10699" s="210"/>
    </row>
    <row r="10700" spans="1:5" ht="63.75">
      <c r="A10700" s="449">
        <v>10554</v>
      </c>
      <c r="B10700" s="450" t="s">
        <v>11522</v>
      </c>
      <c r="C10700" s="449" t="s">
        <v>679</v>
      </c>
      <c r="D10700" s="451">
        <v>178.91</v>
      </c>
      <c r="E10700" s="210"/>
    </row>
    <row r="10701" spans="1:5" ht="63.75">
      <c r="A10701" s="449">
        <v>10555</v>
      </c>
      <c r="B10701" s="450" t="s">
        <v>11523</v>
      </c>
      <c r="C10701" s="449" t="s">
        <v>679</v>
      </c>
      <c r="D10701" s="451">
        <v>195.11</v>
      </c>
      <c r="E10701" s="210"/>
    </row>
    <row r="10702" spans="1:5" ht="63.75">
      <c r="A10702" s="449">
        <v>10556</v>
      </c>
      <c r="B10702" s="450" t="s">
        <v>11524</v>
      </c>
      <c r="C10702" s="449" t="s">
        <v>679</v>
      </c>
      <c r="D10702" s="451">
        <v>259.42</v>
      </c>
      <c r="E10702" s="210"/>
    </row>
    <row r="10703" spans="1:5" ht="63.75">
      <c r="A10703" s="449">
        <v>39502</v>
      </c>
      <c r="B10703" s="450" t="s">
        <v>11525</v>
      </c>
      <c r="C10703" s="449" t="s">
        <v>679</v>
      </c>
      <c r="D10703" s="451">
        <v>364.28</v>
      </c>
      <c r="E10703" s="210"/>
    </row>
    <row r="10704" spans="1:5" ht="51">
      <c r="A10704" s="449">
        <v>39504</v>
      </c>
      <c r="B10704" s="450" t="s">
        <v>11526</v>
      </c>
      <c r="C10704" s="449" t="s">
        <v>679</v>
      </c>
      <c r="D10704" s="451">
        <v>402.83</v>
      </c>
      <c r="E10704" s="210"/>
    </row>
    <row r="10705" spans="1:5" ht="63.75">
      <c r="A10705" s="449">
        <v>39503</v>
      </c>
      <c r="B10705" s="450" t="s">
        <v>11527</v>
      </c>
      <c r="C10705" s="449" t="s">
        <v>679</v>
      </c>
      <c r="D10705" s="451">
        <v>423.96</v>
      </c>
      <c r="E10705" s="210"/>
    </row>
    <row r="10706" spans="1:5" ht="51">
      <c r="A10706" s="449">
        <v>39505</v>
      </c>
      <c r="B10706" s="450" t="s">
        <v>11528</v>
      </c>
      <c r="C10706" s="449" t="s">
        <v>679</v>
      </c>
      <c r="D10706" s="451">
        <v>456.88</v>
      </c>
      <c r="E10706" s="210"/>
    </row>
    <row r="10707" spans="1:5">
      <c r="A10707" s="449">
        <v>25969</v>
      </c>
      <c r="B10707" s="450" t="s">
        <v>11529</v>
      </c>
      <c r="C10707" s="449" t="s">
        <v>679</v>
      </c>
      <c r="D10707" s="451">
        <v>504.21</v>
      </c>
      <c r="E10707" s="210"/>
    </row>
    <row r="10708" spans="1:5" ht="38.25">
      <c r="A10708" s="449">
        <v>4944</v>
      </c>
      <c r="B10708" s="450" t="s">
        <v>11530</v>
      </c>
      <c r="C10708" s="449" t="s">
        <v>684</v>
      </c>
      <c r="D10708" s="451">
        <v>1125.94</v>
      </c>
      <c r="E10708" s="210"/>
    </row>
    <row r="10709" spans="1:5" ht="25.5">
      <c r="A10709" s="449">
        <v>21102</v>
      </c>
      <c r="B10709" s="450" t="s">
        <v>11531</v>
      </c>
      <c r="C10709" s="449" t="s">
        <v>679</v>
      </c>
      <c r="D10709" s="451">
        <v>35.94</v>
      </c>
      <c r="E10709" s="210"/>
    </row>
    <row r="10710" spans="1:5" ht="25.5">
      <c r="A10710" s="449">
        <v>21101</v>
      </c>
      <c r="B10710" s="450" t="s">
        <v>11532</v>
      </c>
      <c r="C10710" s="449" t="s">
        <v>679</v>
      </c>
      <c r="D10710" s="451">
        <v>23.08</v>
      </c>
      <c r="E10710" s="210"/>
    </row>
    <row r="10711" spans="1:5" ht="38.25">
      <c r="A10711" s="449">
        <v>34713</v>
      </c>
      <c r="B10711" s="450" t="s">
        <v>11533</v>
      </c>
      <c r="C10711" s="449" t="s">
        <v>684</v>
      </c>
      <c r="D10711" s="451">
        <v>369.71</v>
      </c>
      <c r="E10711" s="210"/>
    </row>
    <row r="10712" spans="1:5" ht="51">
      <c r="A10712" s="449">
        <v>4947</v>
      </c>
      <c r="B10712" s="450" t="s">
        <v>11534</v>
      </c>
      <c r="C10712" s="449" t="s">
        <v>684</v>
      </c>
      <c r="D10712" s="451">
        <v>694.34</v>
      </c>
      <c r="E10712" s="210"/>
    </row>
    <row r="10713" spans="1:5" ht="38.25">
      <c r="A10713" s="449">
        <v>37563</v>
      </c>
      <c r="B10713" s="450" t="s">
        <v>11535</v>
      </c>
      <c r="C10713" s="449" t="s">
        <v>684</v>
      </c>
      <c r="D10713" s="451">
        <v>533.14</v>
      </c>
      <c r="E10713" s="210"/>
    </row>
    <row r="10714" spans="1:5" ht="38.25">
      <c r="A10714" s="449">
        <v>4948</v>
      </c>
      <c r="B10714" s="450" t="s">
        <v>11536</v>
      </c>
      <c r="C10714" s="449" t="s">
        <v>684</v>
      </c>
      <c r="D10714" s="451">
        <v>483.85</v>
      </c>
      <c r="E10714" s="210"/>
    </row>
    <row r="10715" spans="1:5" ht="63.75">
      <c r="A10715" s="449">
        <v>37561</v>
      </c>
      <c r="B10715" s="450" t="s">
        <v>11537</v>
      </c>
      <c r="C10715" s="449" t="s">
        <v>684</v>
      </c>
      <c r="D10715" s="451">
        <v>995.24</v>
      </c>
      <c r="E10715" s="210"/>
    </row>
    <row r="10716" spans="1:5" ht="51">
      <c r="A10716" s="449">
        <v>37562</v>
      </c>
      <c r="B10716" s="450" t="s">
        <v>11538</v>
      </c>
      <c r="C10716" s="449" t="s">
        <v>684</v>
      </c>
      <c r="D10716" s="451">
        <v>638.34</v>
      </c>
      <c r="E10716" s="210"/>
    </row>
    <row r="10717" spans="1:5" ht="51">
      <c r="A10717" s="449">
        <v>14164</v>
      </c>
      <c r="B10717" s="450" t="s">
        <v>11539</v>
      </c>
      <c r="C10717" s="449" t="s">
        <v>679</v>
      </c>
      <c r="D10717" s="451">
        <v>2265.0700000000002</v>
      </c>
      <c r="E10717" s="210"/>
    </row>
    <row r="10718" spans="1:5" ht="51">
      <c r="A10718" s="449">
        <v>14163</v>
      </c>
      <c r="B10718" s="450" t="s">
        <v>11540</v>
      </c>
      <c r="C10718" s="449" t="s">
        <v>679</v>
      </c>
      <c r="D10718" s="451">
        <v>2574.4</v>
      </c>
      <c r="E10718" s="210"/>
    </row>
    <row r="10719" spans="1:5" ht="51">
      <c r="A10719" s="449">
        <v>5051</v>
      </c>
      <c r="B10719" s="450" t="s">
        <v>11541</v>
      </c>
      <c r="C10719" s="449" t="s">
        <v>679</v>
      </c>
      <c r="D10719" s="451">
        <v>2189.5</v>
      </c>
      <c r="E10719" s="210"/>
    </row>
    <row r="10720" spans="1:5" ht="51">
      <c r="A10720" s="449">
        <v>14162</v>
      </c>
      <c r="B10720" s="450" t="s">
        <v>11542</v>
      </c>
      <c r="C10720" s="449" t="s">
        <v>679</v>
      </c>
      <c r="D10720" s="451">
        <v>2186.3200000000002</v>
      </c>
      <c r="E10720" s="210"/>
    </row>
    <row r="10721" spans="1:5" ht="51">
      <c r="A10721" s="449">
        <v>5052</v>
      </c>
      <c r="B10721" s="450" t="s">
        <v>11543</v>
      </c>
      <c r="C10721" s="449" t="s">
        <v>679</v>
      </c>
      <c r="D10721" s="451">
        <v>1631.3</v>
      </c>
      <c r="E10721" s="210"/>
    </row>
    <row r="10722" spans="1:5" ht="38.25">
      <c r="A10722" s="449">
        <v>14166</v>
      </c>
      <c r="B10722" s="450" t="s">
        <v>11544</v>
      </c>
      <c r="C10722" s="449" t="s">
        <v>679</v>
      </c>
      <c r="D10722" s="451">
        <v>1652.01</v>
      </c>
      <c r="E10722" s="210"/>
    </row>
    <row r="10723" spans="1:5" ht="38.25">
      <c r="A10723" s="449">
        <v>14165</v>
      </c>
      <c r="B10723" s="450" t="s">
        <v>11545</v>
      </c>
      <c r="C10723" s="449" t="s">
        <v>679</v>
      </c>
      <c r="D10723" s="451">
        <v>2288.63</v>
      </c>
      <c r="E10723" s="210"/>
    </row>
    <row r="10724" spans="1:5" ht="38.25">
      <c r="A10724" s="449">
        <v>5050</v>
      </c>
      <c r="B10724" s="450" t="s">
        <v>11546</v>
      </c>
      <c r="C10724" s="449" t="s">
        <v>679</v>
      </c>
      <c r="D10724" s="451">
        <v>563.29</v>
      </c>
      <c r="E10724" s="210"/>
    </row>
    <row r="10725" spans="1:5" ht="25.5">
      <c r="A10725" s="449">
        <v>12366</v>
      </c>
      <c r="B10725" s="450" t="s">
        <v>11547</v>
      </c>
      <c r="C10725" s="449" t="s">
        <v>679</v>
      </c>
      <c r="D10725" s="451">
        <v>785.99</v>
      </c>
      <c r="E10725" s="210"/>
    </row>
    <row r="10726" spans="1:5" ht="25.5">
      <c r="A10726" s="449">
        <v>5045</v>
      </c>
      <c r="B10726" s="450" t="s">
        <v>11548</v>
      </c>
      <c r="C10726" s="449" t="s">
        <v>679</v>
      </c>
      <c r="D10726" s="451">
        <v>1094.52</v>
      </c>
      <c r="E10726" s="210"/>
    </row>
    <row r="10727" spans="1:5" ht="25.5">
      <c r="A10727" s="449">
        <v>5044</v>
      </c>
      <c r="B10727" s="450" t="s">
        <v>11549</v>
      </c>
      <c r="C10727" s="449" t="s">
        <v>679</v>
      </c>
      <c r="D10727" s="451">
        <v>772.2</v>
      </c>
      <c r="E10727" s="210"/>
    </row>
    <row r="10728" spans="1:5" ht="25.5">
      <c r="A10728" s="449">
        <v>5055</v>
      </c>
      <c r="B10728" s="450" t="s">
        <v>11550</v>
      </c>
      <c r="C10728" s="449" t="s">
        <v>679</v>
      </c>
      <c r="D10728" s="451">
        <v>1097.8599999999999</v>
      </c>
      <c r="E10728" s="210"/>
    </row>
    <row r="10729" spans="1:5" ht="25.5">
      <c r="A10729" s="449">
        <v>5053</v>
      </c>
      <c r="B10729" s="450" t="s">
        <v>11551</v>
      </c>
      <c r="C10729" s="449" t="s">
        <v>679</v>
      </c>
      <c r="D10729" s="451">
        <v>854.5</v>
      </c>
      <c r="E10729" s="210"/>
    </row>
    <row r="10730" spans="1:5" ht="25.5">
      <c r="A10730" s="449">
        <v>5035</v>
      </c>
      <c r="B10730" s="450" t="s">
        <v>11552</v>
      </c>
      <c r="C10730" s="449" t="s">
        <v>679</v>
      </c>
      <c r="D10730" s="451">
        <v>1397.08</v>
      </c>
      <c r="E10730" s="210"/>
    </row>
    <row r="10731" spans="1:5" ht="25.5">
      <c r="A10731" s="449">
        <v>5036</v>
      </c>
      <c r="B10731" s="450" t="s">
        <v>11553</v>
      </c>
      <c r="C10731" s="449" t="s">
        <v>679</v>
      </c>
      <c r="D10731" s="451">
        <v>2332.1999999999998</v>
      </c>
      <c r="E10731" s="210"/>
    </row>
    <row r="10732" spans="1:5" ht="25.5">
      <c r="A10732" s="449">
        <v>5059</v>
      </c>
      <c r="B10732" s="450" t="s">
        <v>11554</v>
      </c>
      <c r="C10732" s="449" t="s">
        <v>679</v>
      </c>
      <c r="D10732" s="451">
        <v>1092.6500000000001</v>
      </c>
      <c r="E10732" s="210"/>
    </row>
    <row r="10733" spans="1:5" ht="25.5">
      <c r="A10733" s="449">
        <v>5057</v>
      </c>
      <c r="B10733" s="450" t="s">
        <v>11555</v>
      </c>
      <c r="C10733" s="449" t="s">
        <v>679</v>
      </c>
      <c r="D10733" s="451">
        <v>939.58</v>
      </c>
      <c r="E10733" s="210"/>
    </row>
    <row r="10734" spans="1:5" ht="25.5">
      <c r="A10734" s="449">
        <v>5033</v>
      </c>
      <c r="B10734" s="450" t="s">
        <v>11556</v>
      </c>
      <c r="C10734" s="449" t="s">
        <v>679</v>
      </c>
      <c r="D10734" s="451">
        <v>780</v>
      </c>
      <c r="E10734" s="210"/>
    </row>
    <row r="10735" spans="1:5" ht="25.5">
      <c r="A10735" s="449">
        <v>5038</v>
      </c>
      <c r="B10735" s="450" t="s">
        <v>11557</v>
      </c>
      <c r="C10735" s="449" t="s">
        <v>679</v>
      </c>
      <c r="D10735" s="451">
        <v>635.70000000000005</v>
      </c>
      <c r="E10735" s="210"/>
    </row>
    <row r="10736" spans="1:5" ht="25.5">
      <c r="A10736" s="449">
        <v>12372</v>
      </c>
      <c r="B10736" s="450" t="s">
        <v>11558</v>
      </c>
      <c r="C10736" s="449" t="s">
        <v>679</v>
      </c>
      <c r="D10736" s="451">
        <v>837.72</v>
      </c>
      <c r="E10736" s="210"/>
    </row>
    <row r="10737" spans="1:5" ht="25.5">
      <c r="A10737" s="449">
        <v>13339</v>
      </c>
      <c r="B10737" s="450" t="s">
        <v>11559</v>
      </c>
      <c r="C10737" s="449" t="s">
        <v>679</v>
      </c>
      <c r="D10737" s="451">
        <v>1245.3599999999999</v>
      </c>
      <c r="E10737" s="210"/>
    </row>
    <row r="10738" spans="1:5" ht="25.5">
      <c r="A10738" s="449">
        <v>12373</v>
      </c>
      <c r="B10738" s="450" t="s">
        <v>11560</v>
      </c>
      <c r="C10738" s="449" t="s">
        <v>679</v>
      </c>
      <c r="D10738" s="451">
        <v>1304.1600000000001</v>
      </c>
      <c r="E10738" s="210"/>
    </row>
    <row r="10739" spans="1:5" ht="25.5">
      <c r="A10739" s="449">
        <v>12388</v>
      </c>
      <c r="B10739" s="450" t="s">
        <v>11561</v>
      </c>
      <c r="C10739" s="449" t="s">
        <v>679</v>
      </c>
      <c r="D10739" s="451">
        <v>333.42</v>
      </c>
      <c r="E10739" s="210"/>
    </row>
    <row r="10740" spans="1:5">
      <c r="A10740" s="449">
        <v>34695</v>
      </c>
      <c r="B10740" s="450" t="s">
        <v>11562</v>
      </c>
      <c r="C10740" s="449" t="s">
        <v>679</v>
      </c>
      <c r="D10740" s="451">
        <v>897</v>
      </c>
      <c r="E10740" s="210"/>
    </row>
    <row r="10741" spans="1:5">
      <c r="A10741" s="449">
        <v>34692</v>
      </c>
      <c r="B10741" s="450" t="s">
        <v>11563</v>
      </c>
      <c r="C10741" s="449" t="s">
        <v>679</v>
      </c>
      <c r="D10741" s="451">
        <v>2152.8000000000002</v>
      </c>
      <c r="E10741" s="210"/>
    </row>
    <row r="10742" spans="1:5" ht="38.25">
      <c r="A10742" s="449">
        <v>2731</v>
      </c>
      <c r="B10742" s="450" t="s">
        <v>11564</v>
      </c>
      <c r="C10742" s="449" t="s">
        <v>683</v>
      </c>
      <c r="D10742" s="451">
        <v>74.92</v>
      </c>
      <c r="E10742" s="210"/>
    </row>
    <row r="10743" spans="1:5">
      <c r="A10743" s="449">
        <v>26028</v>
      </c>
      <c r="B10743" s="450" t="s">
        <v>11565</v>
      </c>
      <c r="C10743" s="449" t="s">
        <v>685</v>
      </c>
      <c r="D10743" s="451">
        <v>264.45</v>
      </c>
      <c r="E10743" s="210"/>
    </row>
    <row r="10744" spans="1:5" ht="38.25">
      <c r="A10744" s="449">
        <v>11844</v>
      </c>
      <c r="B10744" s="450" t="s">
        <v>11566</v>
      </c>
      <c r="C10744" s="449" t="s">
        <v>683</v>
      </c>
      <c r="D10744" s="451">
        <v>30.09</v>
      </c>
      <c r="E10744" s="210"/>
    </row>
    <row r="10745" spans="1:5" ht="38.25">
      <c r="A10745" s="449">
        <v>4465</v>
      </c>
      <c r="B10745" s="450" t="s">
        <v>11567</v>
      </c>
      <c r="C10745" s="449" t="s">
        <v>683</v>
      </c>
      <c r="D10745" s="451">
        <v>25</v>
      </c>
      <c r="E10745" s="210"/>
    </row>
    <row r="10746" spans="1:5" ht="38.25">
      <c r="A10746" s="449">
        <v>35273</v>
      </c>
      <c r="B10746" s="450" t="s">
        <v>11568</v>
      </c>
      <c r="C10746" s="449" t="s">
        <v>683</v>
      </c>
      <c r="D10746" s="451">
        <v>29.99</v>
      </c>
      <c r="E10746" s="210"/>
    </row>
    <row r="10747" spans="1:5" ht="38.25">
      <c r="A10747" s="449">
        <v>4470</v>
      </c>
      <c r="B10747" s="450" t="s">
        <v>11569</v>
      </c>
      <c r="C10747" s="449" t="s">
        <v>683</v>
      </c>
      <c r="D10747" s="451">
        <v>69.209999999999994</v>
      </c>
      <c r="E10747" s="210"/>
    </row>
    <row r="10748" spans="1:5" ht="38.25">
      <c r="A10748" s="449">
        <v>20208</v>
      </c>
      <c r="B10748" s="450" t="s">
        <v>11570</v>
      </c>
      <c r="C10748" s="449" t="s">
        <v>683</v>
      </c>
      <c r="D10748" s="451">
        <v>62.29</v>
      </c>
      <c r="E10748" s="210"/>
    </row>
    <row r="10749" spans="1:5" ht="38.25">
      <c r="A10749" s="449">
        <v>20204</v>
      </c>
      <c r="B10749" s="450" t="s">
        <v>11571</v>
      </c>
      <c r="C10749" s="449" t="s">
        <v>683</v>
      </c>
      <c r="D10749" s="451">
        <v>46.14</v>
      </c>
      <c r="E10749" s="210"/>
    </row>
    <row r="10750" spans="1:5" ht="38.25">
      <c r="A10750" s="449">
        <v>4437</v>
      </c>
      <c r="B10750" s="450" t="s">
        <v>11572</v>
      </c>
      <c r="C10750" s="449" t="s">
        <v>683</v>
      </c>
      <c r="D10750" s="451">
        <v>51.9</v>
      </c>
      <c r="E10750" s="210"/>
    </row>
    <row r="10751" spans="1:5" ht="38.25">
      <c r="A10751" s="449">
        <v>14580</v>
      </c>
      <c r="B10751" s="450" t="s">
        <v>11573</v>
      </c>
      <c r="C10751" s="449" t="s">
        <v>683</v>
      </c>
      <c r="D10751" s="451">
        <v>51.9</v>
      </c>
      <c r="E10751" s="210"/>
    </row>
    <row r="10752" spans="1:5" ht="25.5">
      <c r="A10752" s="449">
        <v>40304</v>
      </c>
      <c r="B10752" s="450" t="s">
        <v>11574</v>
      </c>
      <c r="C10752" s="449" t="s">
        <v>676</v>
      </c>
      <c r="D10752" s="451">
        <v>22.6</v>
      </c>
      <c r="E10752" s="210"/>
    </row>
    <row r="10753" spans="1:5" ht="25.5">
      <c r="A10753" s="449">
        <v>5065</v>
      </c>
      <c r="B10753" s="450" t="s">
        <v>11575</v>
      </c>
      <c r="C10753" s="449" t="s">
        <v>676</v>
      </c>
      <c r="D10753" s="451">
        <v>34.83</v>
      </c>
      <c r="E10753" s="210"/>
    </row>
    <row r="10754" spans="1:5" ht="25.5">
      <c r="A10754" s="449">
        <v>5072</v>
      </c>
      <c r="B10754" s="450" t="s">
        <v>11576</v>
      </c>
      <c r="C10754" s="449" t="s">
        <v>676</v>
      </c>
      <c r="D10754" s="451">
        <v>32.22</v>
      </c>
      <c r="E10754" s="210"/>
    </row>
    <row r="10755" spans="1:5">
      <c r="A10755" s="449">
        <v>5066</v>
      </c>
      <c r="B10755" s="450" t="s">
        <v>11577</v>
      </c>
      <c r="C10755" s="449" t="s">
        <v>676</v>
      </c>
      <c r="D10755" s="451">
        <v>24.12</v>
      </c>
      <c r="E10755" s="210"/>
    </row>
    <row r="10756" spans="1:5" ht="25.5">
      <c r="A10756" s="449">
        <v>5063</v>
      </c>
      <c r="B10756" s="450" t="s">
        <v>11578</v>
      </c>
      <c r="C10756" s="449" t="s">
        <v>676</v>
      </c>
      <c r="D10756" s="451">
        <v>21.85</v>
      </c>
      <c r="E10756" s="210"/>
    </row>
    <row r="10757" spans="1:5" ht="25.5">
      <c r="A10757" s="449">
        <v>20247</v>
      </c>
      <c r="B10757" s="450" t="s">
        <v>11579</v>
      </c>
      <c r="C10757" s="449" t="s">
        <v>676</v>
      </c>
      <c r="D10757" s="451">
        <v>20.27</v>
      </c>
      <c r="E10757" s="210"/>
    </row>
    <row r="10758" spans="1:5" ht="25.5">
      <c r="A10758" s="449">
        <v>5074</v>
      </c>
      <c r="B10758" s="450" t="s">
        <v>11580</v>
      </c>
      <c r="C10758" s="449" t="s">
        <v>676</v>
      </c>
      <c r="D10758" s="451">
        <v>20.51</v>
      </c>
      <c r="E10758" s="210"/>
    </row>
    <row r="10759" spans="1:5" ht="25.5">
      <c r="A10759" s="449">
        <v>5067</v>
      </c>
      <c r="B10759" s="450" t="s">
        <v>11581</v>
      </c>
      <c r="C10759" s="449" t="s">
        <v>676</v>
      </c>
      <c r="D10759" s="451">
        <v>19.510000000000002</v>
      </c>
      <c r="E10759" s="210"/>
    </row>
    <row r="10760" spans="1:5" ht="25.5">
      <c r="A10760" s="449">
        <v>5078</v>
      </c>
      <c r="B10760" s="450" t="s">
        <v>11582</v>
      </c>
      <c r="C10760" s="449" t="s">
        <v>676</v>
      </c>
      <c r="D10760" s="451">
        <v>19.29</v>
      </c>
      <c r="E10760" s="210"/>
    </row>
    <row r="10761" spans="1:5" ht="25.5">
      <c r="A10761" s="449">
        <v>5068</v>
      </c>
      <c r="B10761" s="450" t="s">
        <v>11583</v>
      </c>
      <c r="C10761" s="449" t="s">
        <v>676</v>
      </c>
      <c r="D10761" s="451">
        <v>18.309999999999999</v>
      </c>
      <c r="E10761" s="210"/>
    </row>
    <row r="10762" spans="1:5" ht="25.5">
      <c r="A10762" s="449">
        <v>5073</v>
      </c>
      <c r="B10762" s="450" t="s">
        <v>11584</v>
      </c>
      <c r="C10762" s="449" t="s">
        <v>676</v>
      </c>
      <c r="D10762" s="451">
        <v>18.66</v>
      </c>
      <c r="E10762" s="210"/>
    </row>
    <row r="10763" spans="1:5" ht="25.5">
      <c r="A10763" s="449">
        <v>5069</v>
      </c>
      <c r="B10763" s="450" t="s">
        <v>11585</v>
      </c>
      <c r="C10763" s="449" t="s">
        <v>676</v>
      </c>
      <c r="D10763" s="451">
        <v>18.66</v>
      </c>
      <c r="E10763" s="210"/>
    </row>
    <row r="10764" spans="1:5" ht="25.5">
      <c r="A10764" s="449">
        <v>5070</v>
      </c>
      <c r="B10764" s="450" t="s">
        <v>11586</v>
      </c>
      <c r="C10764" s="449" t="s">
        <v>676</v>
      </c>
      <c r="D10764" s="451">
        <v>18.87</v>
      </c>
      <c r="E10764" s="210"/>
    </row>
    <row r="10765" spans="1:5" ht="25.5">
      <c r="A10765" s="449">
        <v>5071</v>
      </c>
      <c r="B10765" s="450" t="s">
        <v>11587</v>
      </c>
      <c r="C10765" s="449" t="s">
        <v>676</v>
      </c>
      <c r="D10765" s="451">
        <v>18.309999999999999</v>
      </c>
      <c r="E10765" s="210"/>
    </row>
    <row r="10766" spans="1:5" ht="25.5">
      <c r="A10766" s="449">
        <v>5061</v>
      </c>
      <c r="B10766" s="450" t="s">
        <v>11588</v>
      </c>
      <c r="C10766" s="449" t="s">
        <v>676</v>
      </c>
      <c r="D10766" s="451">
        <v>18</v>
      </c>
      <c r="E10766" s="210"/>
    </row>
    <row r="10767" spans="1:5" ht="25.5">
      <c r="A10767" s="449">
        <v>5075</v>
      </c>
      <c r="B10767" s="450" t="s">
        <v>11589</v>
      </c>
      <c r="C10767" s="449" t="s">
        <v>676</v>
      </c>
      <c r="D10767" s="451">
        <v>18.309999999999999</v>
      </c>
      <c r="E10767" s="210"/>
    </row>
    <row r="10768" spans="1:5" ht="25.5">
      <c r="A10768" s="449">
        <v>39027</v>
      </c>
      <c r="B10768" s="450" t="s">
        <v>11590</v>
      </c>
      <c r="C10768" s="449" t="s">
        <v>676</v>
      </c>
      <c r="D10768" s="451">
        <v>18.29</v>
      </c>
      <c r="E10768" s="210"/>
    </row>
    <row r="10769" spans="1:5" ht="25.5">
      <c r="A10769" s="449">
        <v>5062</v>
      </c>
      <c r="B10769" s="450" t="s">
        <v>11591</v>
      </c>
      <c r="C10769" s="449" t="s">
        <v>676</v>
      </c>
      <c r="D10769" s="451">
        <v>18.55</v>
      </c>
      <c r="E10769" s="210"/>
    </row>
    <row r="10770" spans="1:5" ht="25.5">
      <c r="A10770" s="449">
        <v>40568</v>
      </c>
      <c r="B10770" s="450" t="s">
        <v>11592</v>
      </c>
      <c r="C10770" s="449" t="s">
        <v>676</v>
      </c>
      <c r="D10770" s="451">
        <v>18.45</v>
      </c>
      <c r="E10770" s="210"/>
    </row>
    <row r="10771" spans="1:5" ht="25.5">
      <c r="A10771" s="449">
        <v>39026</v>
      </c>
      <c r="B10771" s="450" t="s">
        <v>11593</v>
      </c>
      <c r="C10771" s="449" t="s">
        <v>676</v>
      </c>
      <c r="D10771" s="451">
        <v>20.59</v>
      </c>
      <c r="E10771" s="210"/>
    </row>
    <row r="10772" spans="1:5" ht="63.75">
      <c r="A10772" s="449">
        <v>42431</v>
      </c>
      <c r="B10772" s="450" t="s">
        <v>11594</v>
      </c>
      <c r="C10772" s="449" t="s">
        <v>679</v>
      </c>
      <c r="D10772" s="451">
        <v>3032.43</v>
      </c>
      <c r="E10772" s="210"/>
    </row>
    <row r="10773" spans="1:5">
      <c r="A10773" s="449">
        <v>11149</v>
      </c>
      <c r="B10773" s="450" t="s">
        <v>11595</v>
      </c>
      <c r="C10773" s="449" t="s">
        <v>688</v>
      </c>
      <c r="D10773" s="451">
        <v>181.64</v>
      </c>
      <c r="E10773" s="210"/>
    </row>
    <row r="10774" spans="1:5" ht="38.25">
      <c r="A10774" s="449">
        <v>511</v>
      </c>
      <c r="B10774" s="450" t="s">
        <v>11596</v>
      </c>
      <c r="C10774" s="449" t="s">
        <v>678</v>
      </c>
      <c r="D10774" s="451">
        <v>16.48</v>
      </c>
      <c r="E10774" s="210"/>
    </row>
    <row r="10775" spans="1:5" ht="38.25">
      <c r="A10775" s="449">
        <v>37540</v>
      </c>
      <c r="B10775" s="450" t="s">
        <v>11597</v>
      </c>
      <c r="C10775" s="449" t="s">
        <v>679</v>
      </c>
      <c r="D10775" s="451">
        <v>79861.919999999998</v>
      </c>
      <c r="E10775" s="273"/>
    </row>
    <row r="10776" spans="1:5" ht="38.25">
      <c r="A10776" s="449">
        <v>37548</v>
      </c>
      <c r="B10776" s="450" t="s">
        <v>11598</v>
      </c>
      <c r="C10776" s="449" t="s">
        <v>679</v>
      </c>
      <c r="D10776" s="451">
        <v>105856.57</v>
      </c>
      <c r="E10776" s="210"/>
    </row>
    <row r="10777" spans="1:5" ht="51">
      <c r="A10777" s="449">
        <v>39828</v>
      </c>
      <c r="B10777" s="450" t="s">
        <v>11599</v>
      </c>
      <c r="C10777" s="449" t="s">
        <v>679</v>
      </c>
      <c r="D10777" s="451">
        <v>635.03</v>
      </c>
      <c r="E10777" s="210"/>
    </row>
    <row r="10778" spans="1:5" ht="76.5">
      <c r="A10778" s="449">
        <v>12273</v>
      </c>
      <c r="B10778" s="450" t="s">
        <v>11600</v>
      </c>
      <c r="C10778" s="449" t="s">
        <v>679</v>
      </c>
      <c r="D10778" s="451">
        <v>102.96</v>
      </c>
      <c r="E10778" s="210"/>
    </row>
    <row r="10779" spans="1:5" ht="25.5">
      <c r="A10779" s="449">
        <v>38392</v>
      </c>
      <c r="B10779" s="450" t="s">
        <v>11601</v>
      </c>
      <c r="C10779" s="449" t="s">
        <v>679</v>
      </c>
      <c r="D10779" s="451">
        <v>57.09</v>
      </c>
      <c r="E10779" s="210"/>
    </row>
    <row r="10780" spans="1:5" ht="25.5">
      <c r="A10780" s="449">
        <v>11735</v>
      </c>
      <c r="B10780" s="450" t="s">
        <v>11602</v>
      </c>
      <c r="C10780" s="449" t="s">
        <v>679</v>
      </c>
      <c r="D10780" s="451">
        <v>5.16</v>
      </c>
      <c r="E10780" s="210"/>
    </row>
    <row r="10781" spans="1:5" ht="25.5">
      <c r="A10781" s="449">
        <v>11737</v>
      </c>
      <c r="B10781" s="450" t="s">
        <v>11603</v>
      </c>
      <c r="C10781" s="449" t="s">
        <v>679</v>
      </c>
      <c r="D10781" s="451">
        <v>6.89</v>
      </c>
      <c r="E10781" s="210"/>
    </row>
    <row r="10782" spans="1:5" ht="25.5">
      <c r="A10782" s="449">
        <v>11738</v>
      </c>
      <c r="B10782" s="450" t="s">
        <v>11604</v>
      </c>
      <c r="C10782" s="449" t="s">
        <v>679</v>
      </c>
      <c r="D10782" s="451">
        <v>11.21</v>
      </c>
      <c r="E10782" s="210"/>
    </row>
    <row r="10783" spans="1:5" ht="38.25">
      <c r="A10783" s="449">
        <v>36143</v>
      </c>
      <c r="B10783" s="450" t="s">
        <v>11605</v>
      </c>
      <c r="C10783" s="449" t="s">
        <v>679</v>
      </c>
      <c r="D10783" s="451">
        <v>29.11</v>
      </c>
      <c r="E10783" s="210"/>
    </row>
    <row r="10784" spans="1:5" ht="25.5">
      <c r="A10784" s="449">
        <v>36142</v>
      </c>
      <c r="B10784" s="450" t="s">
        <v>11606</v>
      </c>
      <c r="C10784" s="449" t="s">
        <v>679</v>
      </c>
      <c r="D10784" s="451">
        <v>2.13</v>
      </c>
      <c r="E10784" s="210"/>
    </row>
    <row r="10785" spans="1:5">
      <c r="A10785" s="449">
        <v>36146</v>
      </c>
      <c r="B10785" s="450" t="s">
        <v>11607</v>
      </c>
      <c r="C10785" s="449" t="s">
        <v>679</v>
      </c>
      <c r="D10785" s="451">
        <v>241.4</v>
      </c>
      <c r="E10785" s="210"/>
    </row>
    <row r="10786" spans="1:5" ht="38.25">
      <c r="A10786" s="449">
        <v>39015</v>
      </c>
      <c r="B10786" s="450" t="s">
        <v>11608</v>
      </c>
      <c r="C10786" s="449" t="s">
        <v>679</v>
      </c>
      <c r="D10786" s="451">
        <v>0.94</v>
      </c>
      <c r="E10786" s="210"/>
    </row>
    <row r="10787" spans="1:5">
      <c r="A10787" s="449">
        <v>38377</v>
      </c>
      <c r="B10787" s="450" t="s">
        <v>11609</v>
      </c>
      <c r="C10787" s="449" t="s">
        <v>679</v>
      </c>
      <c r="D10787" s="451">
        <v>35.270000000000003</v>
      </c>
      <c r="E10787" s="210"/>
    </row>
    <row r="10788" spans="1:5">
      <c r="A10788" s="449">
        <v>38376</v>
      </c>
      <c r="B10788" s="450" t="s">
        <v>11610</v>
      </c>
      <c r="C10788" s="449" t="s">
        <v>679</v>
      </c>
      <c r="D10788" s="451">
        <v>40.21</v>
      </c>
      <c r="E10788" s="210"/>
    </row>
    <row r="10789" spans="1:5" ht="25.5">
      <c r="A10789" s="449">
        <v>38116</v>
      </c>
      <c r="B10789" s="450" t="s">
        <v>11611</v>
      </c>
      <c r="C10789" s="449" t="s">
        <v>679</v>
      </c>
      <c r="D10789" s="451">
        <v>4.67</v>
      </c>
      <c r="E10789" s="210"/>
    </row>
    <row r="10790" spans="1:5" ht="38.25">
      <c r="A10790" s="449">
        <v>38066</v>
      </c>
      <c r="B10790" s="450" t="s">
        <v>11612</v>
      </c>
      <c r="C10790" s="449" t="s">
        <v>679</v>
      </c>
      <c r="D10790" s="451">
        <v>7.71</v>
      </c>
      <c r="E10790" s="210"/>
    </row>
    <row r="10791" spans="1:5" ht="25.5">
      <c r="A10791" s="449">
        <v>38117</v>
      </c>
      <c r="B10791" s="450" t="s">
        <v>11613</v>
      </c>
      <c r="C10791" s="449" t="s">
        <v>679</v>
      </c>
      <c r="D10791" s="451">
        <v>7.96</v>
      </c>
      <c r="E10791" s="210"/>
    </row>
    <row r="10792" spans="1:5" ht="38.25">
      <c r="A10792" s="449">
        <v>38067</v>
      </c>
      <c r="B10792" s="450" t="s">
        <v>11614</v>
      </c>
      <c r="C10792" s="449" t="s">
        <v>679</v>
      </c>
      <c r="D10792" s="451">
        <v>10.86</v>
      </c>
      <c r="E10792" s="210"/>
    </row>
    <row r="10793" spans="1:5" ht="51">
      <c r="A10793" s="449">
        <v>11522</v>
      </c>
      <c r="B10793" s="450" t="s">
        <v>11615</v>
      </c>
      <c r="C10793" s="449" t="s">
        <v>679</v>
      </c>
      <c r="D10793" s="451">
        <v>13.95</v>
      </c>
      <c r="E10793" s="210"/>
    </row>
    <row r="10794" spans="1:5" ht="51">
      <c r="A10794" s="449">
        <v>43600</v>
      </c>
      <c r="B10794" s="450" t="s">
        <v>11616</v>
      </c>
      <c r="C10794" s="449" t="s">
        <v>679</v>
      </c>
      <c r="D10794" s="451">
        <v>55.89</v>
      </c>
      <c r="E10794" s="210"/>
    </row>
    <row r="10795" spans="1:5" ht="51">
      <c r="A10795" s="449">
        <v>5080</v>
      </c>
      <c r="B10795" s="450" t="s">
        <v>11617</v>
      </c>
      <c r="C10795" s="449" t="s">
        <v>679</v>
      </c>
      <c r="D10795" s="451">
        <v>21.79</v>
      </c>
      <c r="E10795" s="210"/>
    </row>
    <row r="10796" spans="1:5" ht="38.25">
      <c r="A10796" s="449">
        <v>38168</v>
      </c>
      <c r="B10796" s="450" t="s">
        <v>11618</v>
      </c>
      <c r="C10796" s="449" t="s">
        <v>679</v>
      </c>
      <c r="D10796" s="451">
        <v>152.16999999999999</v>
      </c>
      <c r="E10796" s="210"/>
    </row>
    <row r="10797" spans="1:5" ht="38.25">
      <c r="A10797" s="449">
        <v>43601</v>
      </c>
      <c r="B10797" s="450" t="s">
        <v>11619</v>
      </c>
      <c r="C10797" s="449" t="s">
        <v>679</v>
      </c>
      <c r="D10797" s="451">
        <v>76.08</v>
      </c>
      <c r="E10797" s="210"/>
    </row>
    <row r="10798" spans="1:5" ht="38.25">
      <c r="A10798" s="449">
        <v>13393</v>
      </c>
      <c r="B10798" s="450" t="s">
        <v>11620</v>
      </c>
      <c r="C10798" s="449" t="s">
        <v>679</v>
      </c>
      <c r="D10798" s="451">
        <v>382.91</v>
      </c>
      <c r="E10798" s="210"/>
    </row>
    <row r="10799" spans="1:5" ht="51">
      <c r="A10799" s="449">
        <v>13395</v>
      </c>
      <c r="B10799" s="450" t="s">
        <v>11621</v>
      </c>
      <c r="C10799" s="449" t="s">
        <v>679</v>
      </c>
      <c r="D10799" s="451">
        <v>536.61</v>
      </c>
      <c r="E10799" s="210"/>
    </row>
    <row r="10800" spans="1:5" ht="38.25">
      <c r="A10800" s="449">
        <v>12039</v>
      </c>
      <c r="B10800" s="450" t="s">
        <v>11622</v>
      </c>
      <c r="C10800" s="449" t="s">
        <v>679</v>
      </c>
      <c r="D10800" s="451">
        <v>563.91999999999996</v>
      </c>
      <c r="E10800" s="210"/>
    </row>
    <row r="10801" spans="1:5" ht="38.25">
      <c r="A10801" s="449">
        <v>13396</v>
      </c>
      <c r="B10801" s="450" t="s">
        <v>11623</v>
      </c>
      <c r="C10801" s="449" t="s">
        <v>679</v>
      </c>
      <c r="D10801" s="451">
        <v>791.99</v>
      </c>
      <c r="E10801" s="210"/>
    </row>
    <row r="10802" spans="1:5" ht="38.25">
      <c r="A10802" s="449">
        <v>12041</v>
      </c>
      <c r="B10802" s="450" t="s">
        <v>11624</v>
      </c>
      <c r="C10802" s="449" t="s">
        <v>679</v>
      </c>
      <c r="D10802" s="451">
        <v>646.71</v>
      </c>
      <c r="E10802" s="210"/>
    </row>
    <row r="10803" spans="1:5" ht="38.25">
      <c r="A10803" s="449">
        <v>12043</v>
      </c>
      <c r="B10803" s="450" t="s">
        <v>11625</v>
      </c>
      <c r="C10803" s="449" t="s">
        <v>679</v>
      </c>
      <c r="D10803" s="451">
        <v>1365.42</v>
      </c>
      <c r="E10803" s="210"/>
    </row>
    <row r="10804" spans="1:5" ht="38.25">
      <c r="A10804" s="449">
        <v>39762</v>
      </c>
      <c r="B10804" s="450" t="s">
        <v>11626</v>
      </c>
      <c r="C10804" s="449" t="s">
        <v>679</v>
      </c>
      <c r="D10804" s="451">
        <v>649.98</v>
      </c>
      <c r="E10804" s="210"/>
    </row>
    <row r="10805" spans="1:5" ht="38.25">
      <c r="A10805" s="449">
        <v>12042</v>
      </c>
      <c r="B10805" s="450" t="s">
        <v>11627</v>
      </c>
      <c r="C10805" s="449" t="s">
        <v>679</v>
      </c>
      <c r="D10805" s="451">
        <v>948.95</v>
      </c>
      <c r="E10805" s="210"/>
    </row>
    <row r="10806" spans="1:5" ht="38.25">
      <c r="A10806" s="449">
        <v>39763</v>
      </c>
      <c r="B10806" s="450" t="s">
        <v>11628</v>
      </c>
      <c r="C10806" s="449" t="s">
        <v>679</v>
      </c>
      <c r="D10806" s="451">
        <v>1110.6199999999999</v>
      </c>
      <c r="E10806" s="210"/>
    </row>
    <row r="10807" spans="1:5" ht="51">
      <c r="A10807" s="449">
        <v>39760</v>
      </c>
      <c r="B10807" s="450" t="s">
        <v>11629</v>
      </c>
      <c r="C10807" s="449" t="s">
        <v>679</v>
      </c>
      <c r="D10807" s="451">
        <v>1106.96</v>
      </c>
      <c r="E10807" s="210"/>
    </row>
    <row r="10808" spans="1:5" ht="38.25">
      <c r="A10808" s="449">
        <v>39756</v>
      </c>
      <c r="B10808" s="450" t="s">
        <v>11630</v>
      </c>
      <c r="C10808" s="449" t="s">
        <v>679</v>
      </c>
      <c r="D10808" s="451">
        <v>397.47</v>
      </c>
      <c r="E10808" s="210"/>
    </row>
    <row r="10809" spans="1:5" ht="38.25">
      <c r="A10809" s="449">
        <v>12038</v>
      </c>
      <c r="B10809" s="450" t="s">
        <v>11631</v>
      </c>
      <c r="C10809" s="449" t="s">
        <v>679</v>
      </c>
      <c r="D10809" s="451">
        <v>496.65</v>
      </c>
      <c r="E10809" s="210"/>
    </row>
    <row r="10810" spans="1:5" ht="38.25">
      <c r="A10810" s="449">
        <v>39757</v>
      </c>
      <c r="B10810" s="450" t="s">
        <v>11632</v>
      </c>
      <c r="C10810" s="449" t="s">
        <v>679</v>
      </c>
      <c r="D10810" s="451">
        <v>459.24</v>
      </c>
      <c r="E10810" s="210"/>
    </row>
    <row r="10811" spans="1:5" ht="38.25">
      <c r="A10811" s="449">
        <v>39758</v>
      </c>
      <c r="B10811" s="450" t="s">
        <v>11633</v>
      </c>
      <c r="C10811" s="449" t="s">
        <v>679</v>
      </c>
      <c r="D10811" s="451">
        <v>669.28</v>
      </c>
      <c r="E10811" s="210"/>
    </row>
    <row r="10812" spans="1:5" ht="38.25">
      <c r="A10812" s="449">
        <v>39759</v>
      </c>
      <c r="B10812" s="450" t="s">
        <v>11634</v>
      </c>
      <c r="C10812" s="449" t="s">
        <v>679</v>
      </c>
      <c r="D10812" s="451">
        <v>826.57</v>
      </c>
      <c r="E10812" s="210"/>
    </row>
    <row r="10813" spans="1:5" ht="38.25">
      <c r="A10813" s="449">
        <v>39761</v>
      </c>
      <c r="B10813" s="450" t="s">
        <v>11635</v>
      </c>
      <c r="C10813" s="449" t="s">
        <v>679</v>
      </c>
      <c r="D10813" s="451">
        <v>993.56</v>
      </c>
      <c r="E10813" s="210"/>
    </row>
    <row r="10814" spans="1:5" ht="51">
      <c r="A10814" s="449">
        <v>39805</v>
      </c>
      <c r="B10814" s="450" t="s">
        <v>11636</v>
      </c>
      <c r="C10814" s="449" t="s">
        <v>679</v>
      </c>
      <c r="D10814" s="451">
        <v>119.39</v>
      </c>
      <c r="E10814" s="210"/>
    </row>
    <row r="10815" spans="1:5" ht="51">
      <c r="A10815" s="449">
        <v>39806</v>
      </c>
      <c r="B10815" s="450" t="s">
        <v>11637</v>
      </c>
      <c r="C10815" s="449" t="s">
        <v>679</v>
      </c>
      <c r="D10815" s="451">
        <v>221.2</v>
      </c>
      <c r="E10815" s="210"/>
    </row>
    <row r="10816" spans="1:5" ht="51">
      <c r="A10816" s="449">
        <v>39807</v>
      </c>
      <c r="B10816" s="450" t="s">
        <v>11638</v>
      </c>
      <c r="C10816" s="449" t="s">
        <v>679</v>
      </c>
      <c r="D10816" s="451">
        <v>479.4</v>
      </c>
      <c r="E10816" s="210"/>
    </row>
    <row r="10817" spans="1:5" ht="38.25">
      <c r="A10817" s="449">
        <v>43100</v>
      </c>
      <c r="B10817" s="450" t="s">
        <v>11639</v>
      </c>
      <c r="C10817" s="449" t="s">
        <v>679</v>
      </c>
      <c r="D10817" s="451">
        <v>374.79</v>
      </c>
      <c r="E10817" s="210"/>
    </row>
    <row r="10818" spans="1:5" ht="51">
      <c r="A10818" s="449">
        <v>39804</v>
      </c>
      <c r="B10818" s="450" t="s">
        <v>11640</v>
      </c>
      <c r="C10818" s="449" t="s">
        <v>679</v>
      </c>
      <c r="D10818" s="451">
        <v>70.11</v>
      </c>
      <c r="E10818" s="210"/>
    </row>
    <row r="10819" spans="1:5" ht="38.25">
      <c r="A10819" s="449">
        <v>39796</v>
      </c>
      <c r="B10819" s="450" t="s">
        <v>11641</v>
      </c>
      <c r="C10819" s="449" t="s">
        <v>679</v>
      </c>
      <c r="D10819" s="451">
        <v>72.61</v>
      </c>
      <c r="E10819" s="210"/>
    </row>
    <row r="10820" spans="1:5" ht="38.25">
      <c r="A10820" s="449">
        <v>39797</v>
      </c>
      <c r="B10820" s="450" t="s">
        <v>11642</v>
      </c>
      <c r="C10820" s="449" t="s">
        <v>679</v>
      </c>
      <c r="D10820" s="451">
        <v>113.99</v>
      </c>
      <c r="E10820" s="210"/>
    </row>
    <row r="10821" spans="1:5" ht="38.25">
      <c r="A10821" s="449">
        <v>39798</v>
      </c>
      <c r="B10821" s="450" t="s">
        <v>11643</v>
      </c>
      <c r="C10821" s="449" t="s">
        <v>679</v>
      </c>
      <c r="D10821" s="451">
        <v>195.53</v>
      </c>
      <c r="E10821" s="210"/>
    </row>
    <row r="10822" spans="1:5" ht="38.25">
      <c r="A10822" s="449">
        <v>39794</v>
      </c>
      <c r="B10822" s="450" t="s">
        <v>11644</v>
      </c>
      <c r="C10822" s="449" t="s">
        <v>679</v>
      </c>
      <c r="D10822" s="451">
        <v>30.82</v>
      </c>
      <c r="E10822" s="210"/>
    </row>
    <row r="10823" spans="1:5" ht="38.25">
      <c r="A10823" s="449">
        <v>39795</v>
      </c>
      <c r="B10823" s="450" t="s">
        <v>11645</v>
      </c>
      <c r="C10823" s="449" t="s">
        <v>679</v>
      </c>
      <c r="D10823" s="451">
        <v>48.69</v>
      </c>
      <c r="E10823" s="210"/>
    </row>
    <row r="10824" spans="1:5" ht="38.25">
      <c r="A10824" s="449">
        <v>39799</v>
      </c>
      <c r="B10824" s="450" t="s">
        <v>11646</v>
      </c>
      <c r="C10824" s="449" t="s">
        <v>679</v>
      </c>
      <c r="D10824" s="451">
        <v>35.93</v>
      </c>
      <c r="E10824" s="210"/>
    </row>
    <row r="10825" spans="1:5" ht="38.25">
      <c r="A10825" s="449">
        <v>39801</v>
      </c>
      <c r="B10825" s="450" t="s">
        <v>11647</v>
      </c>
      <c r="C10825" s="449" t="s">
        <v>679</v>
      </c>
      <c r="D10825" s="451">
        <v>102.82</v>
      </c>
      <c r="E10825" s="210"/>
    </row>
    <row r="10826" spans="1:5" ht="38.25">
      <c r="A10826" s="449">
        <v>39802</v>
      </c>
      <c r="B10826" s="450" t="s">
        <v>11648</v>
      </c>
      <c r="C10826" s="449" t="s">
        <v>679</v>
      </c>
      <c r="D10826" s="451">
        <v>150.72</v>
      </c>
      <c r="E10826" s="210"/>
    </row>
    <row r="10827" spans="1:5" ht="38.25">
      <c r="A10827" s="449">
        <v>39803</v>
      </c>
      <c r="B10827" s="450" t="s">
        <v>11649</v>
      </c>
      <c r="C10827" s="449" t="s">
        <v>679</v>
      </c>
      <c r="D10827" s="451">
        <v>210.26</v>
      </c>
      <c r="E10827" s="210"/>
    </row>
    <row r="10828" spans="1:5" ht="38.25">
      <c r="A10828" s="449">
        <v>39800</v>
      </c>
      <c r="B10828" s="450" t="s">
        <v>11650</v>
      </c>
      <c r="C10828" s="449" t="s">
        <v>679</v>
      </c>
      <c r="D10828" s="451">
        <v>61.2</v>
      </c>
      <c r="E10828" s="210"/>
    </row>
    <row r="10829" spans="1:5" ht="25.5">
      <c r="A10829" s="449">
        <v>21059</v>
      </c>
      <c r="B10829" s="450" t="s">
        <v>11651</v>
      </c>
      <c r="C10829" s="449" t="s">
        <v>679</v>
      </c>
      <c r="D10829" s="451">
        <v>64.180000000000007</v>
      </c>
      <c r="E10829" s="210"/>
    </row>
    <row r="10830" spans="1:5" ht="25.5">
      <c r="A10830" s="449">
        <v>11234</v>
      </c>
      <c r="B10830" s="450" t="s">
        <v>11652</v>
      </c>
      <c r="C10830" s="449" t="s">
        <v>679</v>
      </c>
      <c r="D10830" s="451">
        <v>96.74</v>
      </c>
      <c r="E10830" s="210"/>
    </row>
    <row r="10831" spans="1:5" ht="25.5">
      <c r="A10831" s="449">
        <v>21060</v>
      </c>
      <c r="B10831" s="450" t="s">
        <v>11653</v>
      </c>
      <c r="C10831" s="449" t="s">
        <v>679</v>
      </c>
      <c r="D10831" s="451">
        <v>119.06</v>
      </c>
      <c r="E10831" s="210"/>
    </row>
    <row r="10832" spans="1:5" ht="25.5">
      <c r="A10832" s="449">
        <v>21061</v>
      </c>
      <c r="B10832" s="450" t="s">
        <v>11654</v>
      </c>
      <c r="C10832" s="449" t="s">
        <v>679</v>
      </c>
      <c r="D10832" s="451">
        <v>148.83000000000001</v>
      </c>
      <c r="E10832" s="210"/>
    </row>
    <row r="10833" spans="1:5" ht="25.5">
      <c r="A10833" s="449">
        <v>21062</v>
      </c>
      <c r="B10833" s="450" t="s">
        <v>11655</v>
      </c>
      <c r="C10833" s="449" t="s">
        <v>679</v>
      </c>
      <c r="D10833" s="451">
        <v>234.41</v>
      </c>
      <c r="E10833" s="210"/>
    </row>
    <row r="10834" spans="1:5" ht="25.5">
      <c r="A10834" s="449">
        <v>11708</v>
      </c>
      <c r="B10834" s="450" t="s">
        <v>11656</v>
      </c>
      <c r="C10834" s="449" t="s">
        <v>679</v>
      </c>
      <c r="D10834" s="451">
        <v>25.58</v>
      </c>
      <c r="E10834" s="210"/>
    </row>
    <row r="10835" spans="1:5" ht="25.5">
      <c r="A10835" s="449">
        <v>11709</v>
      </c>
      <c r="B10835" s="450" t="s">
        <v>11657</v>
      </c>
      <c r="C10835" s="449" t="s">
        <v>679</v>
      </c>
      <c r="D10835" s="451">
        <v>60.09</v>
      </c>
      <c r="E10835" s="210"/>
    </row>
    <row r="10836" spans="1:5" ht="25.5">
      <c r="A10836" s="449">
        <v>11710</v>
      </c>
      <c r="B10836" s="450" t="s">
        <v>11658</v>
      </c>
      <c r="C10836" s="449" t="s">
        <v>679</v>
      </c>
      <c r="D10836" s="451">
        <v>138.13</v>
      </c>
      <c r="E10836" s="210"/>
    </row>
    <row r="10837" spans="1:5" ht="25.5">
      <c r="A10837" s="449">
        <v>11707</v>
      </c>
      <c r="B10837" s="450" t="s">
        <v>11659</v>
      </c>
      <c r="C10837" s="449" t="s">
        <v>679</v>
      </c>
      <c r="D10837" s="451">
        <v>19.16</v>
      </c>
      <c r="E10837" s="210"/>
    </row>
    <row r="10838" spans="1:5" ht="25.5">
      <c r="A10838" s="449">
        <v>11739</v>
      </c>
      <c r="B10838" s="450" t="s">
        <v>11660</v>
      </c>
      <c r="C10838" s="449" t="s">
        <v>679</v>
      </c>
      <c r="D10838" s="451">
        <v>7.51</v>
      </c>
      <c r="E10838" s="210"/>
    </row>
    <row r="10839" spans="1:5" ht="25.5">
      <c r="A10839" s="449">
        <v>11711</v>
      </c>
      <c r="B10839" s="450" t="s">
        <v>11661</v>
      </c>
      <c r="C10839" s="449" t="s">
        <v>679</v>
      </c>
      <c r="D10839" s="451">
        <v>11</v>
      </c>
      <c r="E10839" s="210"/>
    </row>
    <row r="10840" spans="1:5" ht="25.5">
      <c r="A10840" s="449">
        <v>5102</v>
      </c>
      <c r="B10840" s="450" t="s">
        <v>11662</v>
      </c>
      <c r="C10840" s="449" t="s">
        <v>679</v>
      </c>
      <c r="D10840" s="451">
        <v>10.64</v>
      </c>
      <c r="E10840" s="210"/>
    </row>
    <row r="10841" spans="1:5" ht="25.5">
      <c r="A10841" s="449">
        <v>11741</v>
      </c>
      <c r="B10841" s="450" t="s">
        <v>11663</v>
      </c>
      <c r="C10841" s="449" t="s">
        <v>679</v>
      </c>
      <c r="D10841" s="451">
        <v>7.74</v>
      </c>
      <c r="E10841" s="210"/>
    </row>
    <row r="10842" spans="1:5" ht="25.5">
      <c r="A10842" s="449">
        <v>11743</v>
      </c>
      <c r="B10842" s="450" t="s">
        <v>11664</v>
      </c>
      <c r="C10842" s="449" t="s">
        <v>679</v>
      </c>
      <c r="D10842" s="451">
        <v>7.03</v>
      </c>
      <c r="E10842" s="210"/>
    </row>
    <row r="10843" spans="1:5" ht="25.5">
      <c r="A10843" s="449">
        <v>11745</v>
      </c>
      <c r="B10843" s="450" t="s">
        <v>11665</v>
      </c>
      <c r="C10843" s="449" t="s">
        <v>679</v>
      </c>
      <c r="D10843" s="451">
        <v>9.99</v>
      </c>
      <c r="E10843" s="210"/>
    </row>
    <row r="10844" spans="1:5">
      <c r="A10844" s="449">
        <v>25961</v>
      </c>
      <c r="B10844" s="450" t="s">
        <v>11666</v>
      </c>
      <c r="C10844" s="449" t="s">
        <v>682</v>
      </c>
      <c r="D10844" s="451">
        <v>8.84</v>
      </c>
      <c r="E10844" s="210"/>
    </row>
    <row r="10845" spans="1:5">
      <c r="A10845" s="449">
        <v>40985</v>
      </c>
      <c r="B10845" s="450" t="s">
        <v>11667</v>
      </c>
      <c r="C10845" s="449" t="s">
        <v>797</v>
      </c>
      <c r="D10845" s="451">
        <v>1569.51</v>
      </c>
      <c r="E10845" s="210"/>
    </row>
    <row r="10846" spans="1:5" ht="25.5">
      <c r="A10846" s="449">
        <v>1088</v>
      </c>
      <c r="B10846" s="450" t="s">
        <v>11668</v>
      </c>
      <c r="C10846" s="449" t="s">
        <v>679</v>
      </c>
      <c r="D10846" s="451">
        <v>27.35</v>
      </c>
      <c r="E10846" s="210"/>
    </row>
    <row r="10847" spans="1:5" ht="25.5">
      <c r="A10847" s="449">
        <v>1087</v>
      </c>
      <c r="B10847" s="450" t="s">
        <v>11669</v>
      </c>
      <c r="C10847" s="449" t="s">
        <v>679</v>
      </c>
      <c r="D10847" s="451">
        <v>34.17</v>
      </c>
      <c r="E10847" s="210"/>
    </row>
    <row r="10848" spans="1:5" ht="25.5">
      <c r="A10848" s="449">
        <v>38777</v>
      </c>
      <c r="B10848" s="450" t="s">
        <v>11670</v>
      </c>
      <c r="C10848" s="449" t="s">
        <v>679</v>
      </c>
      <c r="D10848" s="451">
        <v>68.05</v>
      </c>
      <c r="E10848" s="210"/>
    </row>
    <row r="10849" spans="1:5" ht="25.5">
      <c r="A10849" s="449">
        <v>1086</v>
      </c>
      <c r="B10849" s="450" t="s">
        <v>11671</v>
      </c>
      <c r="C10849" s="449" t="s">
        <v>679</v>
      </c>
      <c r="D10849" s="451">
        <v>35.909999999999997</v>
      </c>
      <c r="E10849" s="210"/>
    </row>
    <row r="10850" spans="1:5" ht="25.5">
      <c r="A10850" s="449">
        <v>1079</v>
      </c>
      <c r="B10850" s="450" t="s">
        <v>11672</v>
      </c>
      <c r="C10850" s="449" t="s">
        <v>679</v>
      </c>
      <c r="D10850" s="451">
        <v>37.119999999999997</v>
      </c>
      <c r="E10850" s="210"/>
    </row>
    <row r="10851" spans="1:5" ht="38.25">
      <c r="A10851" s="449">
        <v>39374</v>
      </c>
      <c r="B10851" s="450" t="s">
        <v>11673</v>
      </c>
      <c r="C10851" s="449" t="s">
        <v>679</v>
      </c>
      <c r="D10851" s="451">
        <v>141.1</v>
      </c>
      <c r="E10851" s="210"/>
    </row>
    <row r="10852" spans="1:5" ht="25.5">
      <c r="A10852" s="449">
        <v>1082</v>
      </c>
      <c r="B10852" s="450" t="s">
        <v>11674</v>
      </c>
      <c r="C10852" s="449" t="s">
        <v>679</v>
      </c>
      <c r="D10852" s="451">
        <v>233.38</v>
      </c>
      <c r="E10852" s="210"/>
    </row>
    <row r="10853" spans="1:5" ht="25.5">
      <c r="A10853" s="449">
        <v>12316</v>
      </c>
      <c r="B10853" s="450" t="s">
        <v>11675</v>
      </c>
      <c r="C10853" s="449" t="s">
        <v>679</v>
      </c>
      <c r="D10853" s="451">
        <v>106.96</v>
      </c>
      <c r="E10853" s="210"/>
    </row>
    <row r="10854" spans="1:5" ht="25.5">
      <c r="A10854" s="449">
        <v>12317</v>
      </c>
      <c r="B10854" s="450" t="s">
        <v>11676</v>
      </c>
      <c r="C10854" s="449" t="s">
        <v>679</v>
      </c>
      <c r="D10854" s="451">
        <v>127.55</v>
      </c>
      <c r="E10854" s="210"/>
    </row>
    <row r="10855" spans="1:5" ht="25.5">
      <c r="A10855" s="449">
        <v>12318</v>
      </c>
      <c r="B10855" s="450" t="s">
        <v>11677</v>
      </c>
      <c r="C10855" s="449" t="s">
        <v>679</v>
      </c>
      <c r="D10855" s="451">
        <v>146.94</v>
      </c>
      <c r="E10855" s="210"/>
    </row>
    <row r="10856" spans="1:5" ht="25.5">
      <c r="A10856" s="449">
        <v>5104</v>
      </c>
      <c r="B10856" s="450" t="s">
        <v>11678</v>
      </c>
      <c r="C10856" s="449" t="s">
        <v>676</v>
      </c>
      <c r="D10856" s="451">
        <v>65.8</v>
      </c>
      <c r="E10856" s="210"/>
    </row>
    <row r="10857" spans="1:5" ht="25.5">
      <c r="A10857" s="449">
        <v>26023</v>
      </c>
      <c r="B10857" s="450" t="s">
        <v>11679</v>
      </c>
      <c r="C10857" s="449" t="s">
        <v>679</v>
      </c>
      <c r="D10857" s="451">
        <v>67.709999999999994</v>
      </c>
      <c r="E10857" s="210"/>
    </row>
    <row r="10858" spans="1:5" ht="25.5">
      <c r="A10858" s="449">
        <v>2710</v>
      </c>
      <c r="B10858" s="450" t="s">
        <v>11680</v>
      </c>
      <c r="C10858" s="449" t="s">
        <v>679</v>
      </c>
      <c r="D10858" s="451">
        <v>54.08</v>
      </c>
      <c r="E10858" s="210"/>
    </row>
    <row r="10859" spans="1:5" ht="38.25">
      <c r="A10859" s="449">
        <v>14575</v>
      </c>
      <c r="B10859" s="450" t="s">
        <v>11681</v>
      </c>
      <c r="C10859" s="449" t="s">
        <v>679</v>
      </c>
      <c r="D10859" s="451">
        <v>5092874.01</v>
      </c>
      <c r="E10859" s="210"/>
    </row>
    <row r="10860" spans="1:5" ht="25.5">
      <c r="A10860" s="449">
        <v>20034</v>
      </c>
      <c r="B10860" s="450" t="s">
        <v>11682</v>
      </c>
      <c r="C10860" s="449" t="s">
        <v>679</v>
      </c>
      <c r="D10860" s="451">
        <v>124.16</v>
      </c>
      <c r="E10860" s="210"/>
    </row>
    <row r="10861" spans="1:5" ht="25.5">
      <c r="A10861" s="449">
        <v>20036</v>
      </c>
      <c r="B10861" s="450" t="s">
        <v>11683</v>
      </c>
      <c r="C10861" s="449" t="s">
        <v>679</v>
      </c>
      <c r="D10861" s="451">
        <v>238.84</v>
      </c>
      <c r="E10861" s="210"/>
    </row>
    <row r="10862" spans="1:5" ht="25.5">
      <c r="A10862" s="449">
        <v>20037</v>
      </c>
      <c r="B10862" s="450" t="s">
        <v>11684</v>
      </c>
      <c r="C10862" s="449" t="s">
        <v>679</v>
      </c>
      <c r="D10862" s="451">
        <v>450.5</v>
      </c>
      <c r="E10862" s="210"/>
    </row>
    <row r="10863" spans="1:5" ht="25.5">
      <c r="A10863" s="449">
        <v>20043</v>
      </c>
      <c r="B10863" s="450" t="s">
        <v>11685</v>
      </c>
      <c r="C10863" s="449" t="s">
        <v>679</v>
      </c>
      <c r="D10863" s="451">
        <v>6.75</v>
      </c>
      <c r="E10863" s="210"/>
    </row>
    <row r="10864" spans="1:5" ht="25.5">
      <c r="A10864" s="449">
        <v>20044</v>
      </c>
      <c r="B10864" s="450" t="s">
        <v>11686</v>
      </c>
      <c r="C10864" s="449" t="s">
        <v>679</v>
      </c>
      <c r="D10864" s="451">
        <v>7.89</v>
      </c>
      <c r="E10864" s="210"/>
    </row>
    <row r="10865" spans="1:5" ht="25.5">
      <c r="A10865" s="449">
        <v>20042</v>
      </c>
      <c r="B10865" s="450" t="s">
        <v>11687</v>
      </c>
      <c r="C10865" s="449" t="s">
        <v>679</v>
      </c>
      <c r="D10865" s="451">
        <v>5.72</v>
      </c>
      <c r="E10865" s="210"/>
    </row>
    <row r="10866" spans="1:5" ht="38.25">
      <c r="A10866" s="449">
        <v>20046</v>
      </c>
      <c r="B10866" s="450" t="s">
        <v>11688</v>
      </c>
      <c r="C10866" s="449" t="s">
        <v>679</v>
      </c>
      <c r="D10866" s="451">
        <v>16.739999999999998</v>
      </c>
      <c r="E10866" s="210"/>
    </row>
    <row r="10867" spans="1:5" ht="38.25">
      <c r="A10867" s="449">
        <v>20047</v>
      </c>
      <c r="B10867" s="450" t="s">
        <v>11689</v>
      </c>
      <c r="C10867" s="449" t="s">
        <v>679</v>
      </c>
      <c r="D10867" s="451">
        <v>45.76</v>
      </c>
      <c r="E10867" s="210"/>
    </row>
    <row r="10868" spans="1:5" ht="38.25">
      <c r="A10868" s="449">
        <v>20045</v>
      </c>
      <c r="B10868" s="450" t="s">
        <v>11690</v>
      </c>
      <c r="C10868" s="449" t="s">
        <v>679</v>
      </c>
      <c r="D10868" s="451">
        <v>6.88</v>
      </c>
      <c r="E10868" s="210"/>
    </row>
    <row r="10869" spans="1:5" ht="38.25">
      <c r="A10869" s="449">
        <v>20972</v>
      </c>
      <c r="B10869" s="450" t="s">
        <v>11691</v>
      </c>
      <c r="C10869" s="449" t="s">
        <v>679</v>
      </c>
      <c r="D10869" s="451">
        <v>108.92</v>
      </c>
      <c r="E10869" s="210"/>
    </row>
    <row r="10870" spans="1:5" ht="25.5">
      <c r="A10870" s="449">
        <v>20032</v>
      </c>
      <c r="B10870" s="450" t="s">
        <v>11692</v>
      </c>
      <c r="C10870" s="449" t="s">
        <v>679</v>
      </c>
      <c r="D10870" s="451">
        <v>72.489999999999995</v>
      </c>
      <c r="E10870" s="210"/>
    </row>
    <row r="10871" spans="1:5" ht="25.5">
      <c r="A10871" s="449">
        <v>11321</v>
      </c>
      <c r="B10871" s="450" t="s">
        <v>11693</v>
      </c>
      <c r="C10871" s="449" t="s">
        <v>679</v>
      </c>
      <c r="D10871" s="451">
        <v>33.049999999999997</v>
      </c>
      <c r="E10871" s="210"/>
    </row>
    <row r="10872" spans="1:5" ht="25.5">
      <c r="A10872" s="449">
        <v>11323</v>
      </c>
      <c r="B10872" s="450" t="s">
        <v>11694</v>
      </c>
      <c r="C10872" s="449" t="s">
        <v>679</v>
      </c>
      <c r="D10872" s="451">
        <v>38.01</v>
      </c>
      <c r="E10872" s="210"/>
    </row>
    <row r="10873" spans="1:5" ht="25.5">
      <c r="A10873" s="449">
        <v>20327</v>
      </c>
      <c r="B10873" s="450" t="s">
        <v>11695</v>
      </c>
      <c r="C10873" s="449" t="s">
        <v>679</v>
      </c>
      <c r="D10873" s="451">
        <v>21.57</v>
      </c>
      <c r="E10873" s="210"/>
    </row>
    <row r="10874" spans="1:5" ht="63.75">
      <c r="A10874" s="449">
        <v>13390</v>
      </c>
      <c r="B10874" s="450" t="s">
        <v>11696</v>
      </c>
      <c r="C10874" s="449" t="s">
        <v>679</v>
      </c>
      <c r="D10874" s="451">
        <v>134.99</v>
      </c>
      <c r="E10874" s="210"/>
    </row>
    <row r="10875" spans="1:5" ht="25.5">
      <c r="A10875" s="449">
        <v>6034</v>
      </c>
      <c r="B10875" s="450" t="s">
        <v>11697</v>
      </c>
      <c r="C10875" s="449" t="s">
        <v>679</v>
      </c>
      <c r="D10875" s="451">
        <v>6.48</v>
      </c>
      <c r="E10875" s="210"/>
    </row>
    <row r="10876" spans="1:5" ht="25.5">
      <c r="A10876" s="449">
        <v>6036</v>
      </c>
      <c r="B10876" s="450" t="s">
        <v>11698</v>
      </c>
      <c r="C10876" s="449" t="s">
        <v>679</v>
      </c>
      <c r="D10876" s="451">
        <v>8.83</v>
      </c>
      <c r="E10876" s="210"/>
    </row>
    <row r="10877" spans="1:5" ht="25.5">
      <c r="A10877" s="449">
        <v>6031</v>
      </c>
      <c r="B10877" s="450" t="s">
        <v>11699</v>
      </c>
      <c r="C10877" s="449" t="s">
        <v>679</v>
      </c>
      <c r="D10877" s="451">
        <v>10.38</v>
      </c>
      <c r="E10877" s="210"/>
    </row>
    <row r="10878" spans="1:5" ht="25.5">
      <c r="A10878" s="449">
        <v>6029</v>
      </c>
      <c r="B10878" s="450" t="s">
        <v>11700</v>
      </c>
      <c r="C10878" s="449" t="s">
        <v>679</v>
      </c>
      <c r="D10878" s="451">
        <v>10.49</v>
      </c>
      <c r="E10878" s="210"/>
    </row>
    <row r="10879" spans="1:5" ht="25.5">
      <c r="A10879" s="449">
        <v>6033</v>
      </c>
      <c r="B10879" s="450" t="s">
        <v>11701</v>
      </c>
      <c r="C10879" s="449" t="s">
        <v>679</v>
      </c>
      <c r="D10879" s="451">
        <v>13.82</v>
      </c>
      <c r="E10879" s="210"/>
    </row>
    <row r="10880" spans="1:5" ht="25.5">
      <c r="A10880" s="449">
        <v>11672</v>
      </c>
      <c r="B10880" s="450" t="s">
        <v>11702</v>
      </c>
      <c r="C10880" s="449" t="s">
        <v>679</v>
      </c>
      <c r="D10880" s="451">
        <v>30.07</v>
      </c>
      <c r="E10880" s="210"/>
    </row>
    <row r="10881" spans="1:5" ht="25.5">
      <c r="A10881" s="449">
        <v>11669</v>
      </c>
      <c r="B10881" s="450" t="s">
        <v>11703</v>
      </c>
      <c r="C10881" s="449" t="s">
        <v>679</v>
      </c>
      <c r="D10881" s="451">
        <v>28.64</v>
      </c>
      <c r="E10881" s="210"/>
    </row>
    <row r="10882" spans="1:5" ht="25.5">
      <c r="A10882" s="449">
        <v>11670</v>
      </c>
      <c r="B10882" s="450" t="s">
        <v>11704</v>
      </c>
      <c r="C10882" s="449" t="s">
        <v>679</v>
      </c>
      <c r="D10882" s="451">
        <v>10.97</v>
      </c>
      <c r="E10882" s="210"/>
    </row>
    <row r="10883" spans="1:5" ht="25.5">
      <c r="A10883" s="449">
        <v>20055</v>
      </c>
      <c r="B10883" s="450" t="s">
        <v>11705</v>
      </c>
      <c r="C10883" s="449" t="s">
        <v>679</v>
      </c>
      <c r="D10883" s="451">
        <v>21.45</v>
      </c>
      <c r="E10883" s="210"/>
    </row>
    <row r="10884" spans="1:5" ht="25.5">
      <c r="A10884" s="449">
        <v>11671</v>
      </c>
      <c r="B10884" s="450" t="s">
        <v>11706</v>
      </c>
      <c r="C10884" s="449" t="s">
        <v>679</v>
      </c>
      <c r="D10884" s="451">
        <v>46.03</v>
      </c>
      <c r="E10884" s="210"/>
    </row>
    <row r="10885" spans="1:5" ht="25.5">
      <c r="A10885" s="449">
        <v>6032</v>
      </c>
      <c r="B10885" s="450" t="s">
        <v>11707</v>
      </c>
      <c r="C10885" s="449" t="s">
        <v>679</v>
      </c>
      <c r="D10885" s="451">
        <v>13.14</v>
      </c>
      <c r="E10885" s="210"/>
    </row>
    <row r="10886" spans="1:5" ht="25.5">
      <c r="A10886" s="449">
        <v>11673</v>
      </c>
      <c r="B10886" s="450" t="s">
        <v>11708</v>
      </c>
      <c r="C10886" s="449" t="s">
        <v>679</v>
      </c>
      <c r="D10886" s="451">
        <v>10.35</v>
      </c>
      <c r="E10886" s="210"/>
    </row>
    <row r="10887" spans="1:5" ht="25.5">
      <c r="A10887" s="449">
        <v>11674</v>
      </c>
      <c r="B10887" s="450" t="s">
        <v>11709</v>
      </c>
      <c r="C10887" s="449" t="s">
        <v>679</v>
      </c>
      <c r="D10887" s="451">
        <v>13.33</v>
      </c>
      <c r="E10887" s="210"/>
    </row>
    <row r="10888" spans="1:5" ht="25.5">
      <c r="A10888" s="449">
        <v>11675</v>
      </c>
      <c r="B10888" s="450" t="s">
        <v>11710</v>
      </c>
      <c r="C10888" s="449" t="s">
        <v>679</v>
      </c>
      <c r="D10888" s="451">
        <v>21.16</v>
      </c>
      <c r="E10888" s="210"/>
    </row>
    <row r="10889" spans="1:5" ht="25.5">
      <c r="A10889" s="449">
        <v>11676</v>
      </c>
      <c r="B10889" s="450" t="s">
        <v>11711</v>
      </c>
      <c r="C10889" s="449" t="s">
        <v>679</v>
      </c>
      <c r="D10889" s="451">
        <v>28.31</v>
      </c>
      <c r="E10889" s="210"/>
    </row>
    <row r="10890" spans="1:5" ht="25.5">
      <c r="A10890" s="449">
        <v>11677</v>
      </c>
      <c r="B10890" s="450" t="s">
        <v>11712</v>
      </c>
      <c r="C10890" s="449" t="s">
        <v>679</v>
      </c>
      <c r="D10890" s="451">
        <v>29.23</v>
      </c>
      <c r="E10890" s="210"/>
    </row>
    <row r="10891" spans="1:5" ht="25.5">
      <c r="A10891" s="449">
        <v>11678</v>
      </c>
      <c r="B10891" s="450" t="s">
        <v>11713</v>
      </c>
      <c r="C10891" s="449" t="s">
        <v>679</v>
      </c>
      <c r="D10891" s="451">
        <v>53.54</v>
      </c>
      <c r="E10891" s="210"/>
    </row>
    <row r="10892" spans="1:5" ht="25.5">
      <c r="A10892" s="449">
        <v>6038</v>
      </c>
      <c r="B10892" s="450" t="s">
        <v>11714</v>
      </c>
      <c r="C10892" s="449" t="s">
        <v>679</v>
      </c>
      <c r="D10892" s="451">
        <v>3.39</v>
      </c>
      <c r="E10892" s="210"/>
    </row>
    <row r="10893" spans="1:5" ht="25.5">
      <c r="A10893" s="449">
        <v>11718</v>
      </c>
      <c r="B10893" s="450" t="s">
        <v>11715</v>
      </c>
      <c r="C10893" s="449" t="s">
        <v>679</v>
      </c>
      <c r="D10893" s="451">
        <v>9.68</v>
      </c>
      <c r="E10893" s="210"/>
    </row>
    <row r="10894" spans="1:5" ht="25.5">
      <c r="A10894" s="449">
        <v>6037</v>
      </c>
      <c r="B10894" s="450" t="s">
        <v>11716</v>
      </c>
      <c r="C10894" s="449" t="s">
        <v>679</v>
      </c>
      <c r="D10894" s="451">
        <v>7.06</v>
      </c>
      <c r="E10894" s="210"/>
    </row>
    <row r="10895" spans="1:5" ht="25.5">
      <c r="A10895" s="449">
        <v>11719</v>
      </c>
      <c r="B10895" s="450" t="s">
        <v>11717</v>
      </c>
      <c r="C10895" s="449" t="s">
        <v>679</v>
      </c>
      <c r="D10895" s="451">
        <v>7.85</v>
      </c>
      <c r="E10895" s="210"/>
    </row>
    <row r="10896" spans="1:5" ht="25.5">
      <c r="A10896" s="449">
        <v>6019</v>
      </c>
      <c r="B10896" s="450" t="s">
        <v>11718</v>
      </c>
      <c r="C10896" s="449" t="s">
        <v>679</v>
      </c>
      <c r="D10896" s="451">
        <v>24.22</v>
      </c>
      <c r="E10896" s="210"/>
    </row>
    <row r="10897" spans="1:5" ht="25.5">
      <c r="A10897" s="449">
        <v>6010</v>
      </c>
      <c r="B10897" s="450" t="s">
        <v>11719</v>
      </c>
      <c r="C10897" s="449" t="s">
        <v>679</v>
      </c>
      <c r="D10897" s="451">
        <v>41.68</v>
      </c>
      <c r="E10897" s="210"/>
    </row>
    <row r="10898" spans="1:5" ht="25.5">
      <c r="A10898" s="449">
        <v>6017</v>
      </c>
      <c r="B10898" s="450" t="s">
        <v>11720</v>
      </c>
      <c r="C10898" s="449" t="s">
        <v>679</v>
      </c>
      <c r="D10898" s="451">
        <v>33.01</v>
      </c>
      <c r="E10898" s="210"/>
    </row>
    <row r="10899" spans="1:5" ht="25.5">
      <c r="A10899" s="449">
        <v>6020</v>
      </c>
      <c r="B10899" s="450" t="s">
        <v>11721</v>
      </c>
      <c r="C10899" s="449" t="s">
        <v>679</v>
      </c>
      <c r="D10899" s="451">
        <v>14.55</v>
      </c>
      <c r="E10899" s="210"/>
    </row>
    <row r="10900" spans="1:5" ht="25.5">
      <c r="A10900" s="449">
        <v>6028</v>
      </c>
      <c r="B10900" s="450" t="s">
        <v>11722</v>
      </c>
      <c r="C10900" s="449" t="s">
        <v>679</v>
      </c>
      <c r="D10900" s="451">
        <v>58.05</v>
      </c>
      <c r="E10900" s="210"/>
    </row>
    <row r="10901" spans="1:5" ht="25.5">
      <c r="A10901" s="449">
        <v>6011</v>
      </c>
      <c r="B10901" s="450" t="s">
        <v>11723</v>
      </c>
      <c r="C10901" s="449" t="s">
        <v>679</v>
      </c>
      <c r="D10901" s="451">
        <v>120.4</v>
      </c>
      <c r="E10901" s="210"/>
    </row>
    <row r="10902" spans="1:5" ht="25.5">
      <c r="A10902" s="449">
        <v>6012</v>
      </c>
      <c r="B10902" s="450" t="s">
        <v>11724</v>
      </c>
      <c r="C10902" s="449" t="s">
        <v>679</v>
      </c>
      <c r="D10902" s="451">
        <v>145.76</v>
      </c>
      <c r="E10902" s="210"/>
    </row>
    <row r="10903" spans="1:5" ht="25.5">
      <c r="A10903" s="449">
        <v>6016</v>
      </c>
      <c r="B10903" s="450" t="s">
        <v>11725</v>
      </c>
      <c r="C10903" s="449" t="s">
        <v>679</v>
      </c>
      <c r="D10903" s="451">
        <v>15.34</v>
      </c>
      <c r="E10903" s="210"/>
    </row>
    <row r="10904" spans="1:5" ht="25.5">
      <c r="A10904" s="449">
        <v>6027</v>
      </c>
      <c r="B10904" s="450" t="s">
        <v>11726</v>
      </c>
      <c r="C10904" s="449" t="s">
        <v>679</v>
      </c>
      <c r="D10904" s="451">
        <v>303.72000000000003</v>
      </c>
      <c r="E10904" s="210"/>
    </row>
    <row r="10905" spans="1:5" ht="38.25">
      <c r="A10905" s="449">
        <v>6013</v>
      </c>
      <c r="B10905" s="450" t="s">
        <v>11727</v>
      </c>
      <c r="C10905" s="449" t="s">
        <v>679</v>
      </c>
      <c r="D10905" s="451">
        <v>45.83</v>
      </c>
      <c r="E10905" s="210"/>
    </row>
    <row r="10906" spans="1:5" ht="38.25">
      <c r="A10906" s="449">
        <v>6015</v>
      </c>
      <c r="B10906" s="450" t="s">
        <v>11728</v>
      </c>
      <c r="C10906" s="449" t="s">
        <v>679</v>
      </c>
      <c r="D10906" s="451">
        <v>66.650000000000006</v>
      </c>
      <c r="E10906" s="210"/>
    </row>
    <row r="10907" spans="1:5" ht="38.25">
      <c r="A10907" s="449">
        <v>6014</v>
      </c>
      <c r="B10907" s="450" t="s">
        <v>11729</v>
      </c>
      <c r="C10907" s="449" t="s">
        <v>679</v>
      </c>
      <c r="D10907" s="451">
        <v>63.72</v>
      </c>
      <c r="E10907" s="210"/>
    </row>
    <row r="10908" spans="1:5" ht="38.25">
      <c r="A10908" s="449">
        <v>6006</v>
      </c>
      <c r="B10908" s="450" t="s">
        <v>11730</v>
      </c>
      <c r="C10908" s="449" t="s">
        <v>679</v>
      </c>
      <c r="D10908" s="451">
        <v>33.19</v>
      </c>
      <c r="E10908" s="210"/>
    </row>
    <row r="10909" spans="1:5" ht="38.25">
      <c r="A10909" s="449">
        <v>6005</v>
      </c>
      <c r="B10909" s="450" t="s">
        <v>11731</v>
      </c>
      <c r="C10909" s="449" t="s">
        <v>679</v>
      </c>
      <c r="D10909" s="451">
        <v>37.44</v>
      </c>
      <c r="E10909" s="210"/>
    </row>
    <row r="10910" spans="1:5" ht="25.5">
      <c r="A10910" s="449">
        <v>11756</v>
      </c>
      <c r="B10910" s="450" t="s">
        <v>11732</v>
      </c>
      <c r="C10910" s="449" t="s">
        <v>679</v>
      </c>
      <c r="D10910" s="451">
        <v>17.88</v>
      </c>
      <c r="E10910" s="210"/>
    </row>
    <row r="10911" spans="1:5" ht="63.75">
      <c r="A10911" s="449">
        <v>10904</v>
      </c>
      <c r="B10911" s="450" t="s">
        <v>11733</v>
      </c>
      <c r="C10911" s="449" t="s">
        <v>679</v>
      </c>
      <c r="D10911" s="451">
        <v>152.5</v>
      </c>
      <c r="E10911" s="210"/>
    </row>
    <row r="10912" spans="1:5" ht="25.5">
      <c r="A10912" s="449">
        <v>11752</v>
      </c>
      <c r="B10912" s="450" t="s">
        <v>11734</v>
      </c>
      <c r="C10912" s="449" t="s">
        <v>679</v>
      </c>
      <c r="D10912" s="451">
        <v>10.31</v>
      </c>
      <c r="E10912" s="210"/>
    </row>
    <row r="10913" spans="1:5" ht="25.5">
      <c r="A10913" s="449">
        <v>11753</v>
      </c>
      <c r="B10913" s="450" t="s">
        <v>11735</v>
      </c>
      <c r="C10913" s="449" t="s">
        <v>679</v>
      </c>
      <c r="D10913" s="451">
        <v>12.31</v>
      </c>
      <c r="E10913" s="210"/>
    </row>
    <row r="10914" spans="1:5" ht="38.25">
      <c r="A10914" s="449">
        <v>6021</v>
      </c>
      <c r="B10914" s="450" t="s">
        <v>11736</v>
      </c>
      <c r="C10914" s="449" t="s">
        <v>679</v>
      </c>
      <c r="D10914" s="451">
        <v>34.159999999999997</v>
      </c>
      <c r="E10914" s="210"/>
    </row>
    <row r="10915" spans="1:5" ht="38.25">
      <c r="A10915" s="449">
        <v>6024</v>
      </c>
      <c r="B10915" s="450" t="s">
        <v>11737</v>
      </c>
      <c r="C10915" s="449" t="s">
        <v>679</v>
      </c>
      <c r="D10915" s="451">
        <v>35.31</v>
      </c>
      <c r="E10915" s="210"/>
    </row>
    <row r="10916" spans="1:5">
      <c r="A10916" s="449">
        <v>38379</v>
      </c>
      <c r="B10916" s="450" t="s">
        <v>11738</v>
      </c>
      <c r="C10916" s="449" t="s">
        <v>683</v>
      </c>
      <c r="D10916" s="451">
        <v>47.19</v>
      </c>
      <c r="E10916" s="210"/>
    </row>
    <row r="10917" spans="1:5" ht="38.25">
      <c r="A10917" s="449">
        <v>13897</v>
      </c>
      <c r="B10917" s="450" t="s">
        <v>11739</v>
      </c>
      <c r="C10917" s="449" t="s">
        <v>679</v>
      </c>
      <c r="D10917" s="451">
        <v>5871.96</v>
      </c>
      <c r="E10917" s="210"/>
    </row>
    <row r="10918" spans="1:5" ht="25.5">
      <c r="A10918" s="449">
        <v>10640</v>
      </c>
      <c r="B10918" s="450" t="s">
        <v>11740</v>
      </c>
      <c r="C10918" s="449" t="s">
        <v>679</v>
      </c>
      <c r="D10918" s="451">
        <v>12717.43</v>
      </c>
      <c r="E10918" s="210"/>
    </row>
    <row r="10919" spans="1:5" ht="38.25">
      <c r="A10919" s="449">
        <v>11086</v>
      </c>
      <c r="B10919" s="450" t="s">
        <v>11741</v>
      </c>
      <c r="C10919" s="449" t="s">
        <v>677</v>
      </c>
      <c r="D10919" s="451">
        <v>71.790000000000006</v>
      </c>
      <c r="E10919" s="210"/>
    </row>
    <row r="10920" spans="1:5">
      <c r="A10920" s="449">
        <v>34357</v>
      </c>
      <c r="B10920" s="450" t="s">
        <v>11742</v>
      </c>
      <c r="C10920" s="449" t="s">
        <v>676</v>
      </c>
      <c r="D10920" s="451">
        <v>4.58</v>
      </c>
      <c r="E10920" s="210"/>
    </row>
    <row r="10921" spans="1:5">
      <c r="A10921" s="449">
        <v>37329</v>
      </c>
      <c r="B10921" s="450" t="s">
        <v>11743</v>
      </c>
      <c r="C10921" s="449" t="s">
        <v>676</v>
      </c>
      <c r="D10921" s="451">
        <v>96.46</v>
      </c>
      <c r="E10921" s="210"/>
    </row>
    <row r="10922" spans="1:5" ht="25.5">
      <c r="A10922" s="449">
        <v>2510</v>
      </c>
      <c r="B10922" s="450" t="s">
        <v>11744</v>
      </c>
      <c r="C10922" s="449" t="s">
        <v>679</v>
      </c>
      <c r="D10922" s="451">
        <v>33.81</v>
      </c>
      <c r="E10922" s="210"/>
    </row>
    <row r="10923" spans="1:5" ht="38.25">
      <c r="A10923" s="449">
        <v>12359</v>
      </c>
      <c r="B10923" s="450" t="s">
        <v>11745</v>
      </c>
      <c r="C10923" s="449" t="s">
        <v>679</v>
      </c>
      <c r="D10923" s="451">
        <v>135.11000000000001</v>
      </c>
      <c r="E10923" s="210"/>
    </row>
    <row r="10924" spans="1:5">
      <c r="A10924" s="449">
        <v>7353</v>
      </c>
      <c r="B10924" s="450" t="s">
        <v>11746</v>
      </c>
      <c r="C10924" s="449" t="s">
        <v>678</v>
      </c>
      <c r="D10924" s="451">
        <v>24.56</v>
      </c>
      <c r="E10924" s="210"/>
    </row>
    <row r="10925" spans="1:5" ht="25.5">
      <c r="A10925" s="449">
        <v>36144</v>
      </c>
      <c r="B10925" s="450" t="s">
        <v>11747</v>
      </c>
      <c r="C10925" s="449" t="s">
        <v>679</v>
      </c>
      <c r="D10925" s="451">
        <v>1.59</v>
      </c>
      <c r="E10925" s="210"/>
    </row>
    <row r="10926" spans="1:5">
      <c r="A10926" s="449">
        <v>10518</v>
      </c>
      <c r="B10926" s="450" t="s">
        <v>11748</v>
      </c>
      <c r="C10926" s="449" t="s">
        <v>679</v>
      </c>
      <c r="D10926" s="451">
        <v>103.91</v>
      </c>
      <c r="E10926" s="210"/>
    </row>
    <row r="10927" spans="1:5" ht="89.25">
      <c r="A10927" s="449">
        <v>36530</v>
      </c>
      <c r="B10927" s="450" t="s">
        <v>11749</v>
      </c>
      <c r="C10927" s="449" t="s">
        <v>679</v>
      </c>
      <c r="D10927" s="451">
        <v>274971.94</v>
      </c>
      <c r="E10927" s="210"/>
    </row>
    <row r="10928" spans="1:5" ht="102">
      <c r="A10928" s="449">
        <v>6046</v>
      </c>
      <c r="B10928" s="450" t="s">
        <v>11750</v>
      </c>
      <c r="C10928" s="449" t="s">
        <v>679</v>
      </c>
      <c r="D10928" s="451">
        <v>298250</v>
      </c>
      <c r="E10928" s="210"/>
    </row>
    <row r="10929" spans="1:5" ht="89.25">
      <c r="A10929" s="449">
        <v>36531</v>
      </c>
      <c r="B10929" s="450" t="s">
        <v>11751</v>
      </c>
      <c r="C10929" s="449" t="s">
        <v>679</v>
      </c>
      <c r="D10929" s="451">
        <v>309161.56</v>
      </c>
      <c r="E10929" s="210"/>
    </row>
    <row r="10930" spans="1:5" ht="38.25">
      <c r="A10930" s="449">
        <v>34684</v>
      </c>
      <c r="B10930" s="450" t="s">
        <v>11752</v>
      </c>
      <c r="C10930" s="449" t="s">
        <v>684</v>
      </c>
      <c r="D10930" s="451">
        <v>208.13</v>
      </c>
      <c r="E10930" s="210"/>
    </row>
    <row r="10931" spans="1:5" ht="38.25">
      <c r="A10931" s="449">
        <v>34683</v>
      </c>
      <c r="B10931" s="450" t="s">
        <v>11753</v>
      </c>
      <c r="C10931" s="449" t="s">
        <v>684</v>
      </c>
      <c r="D10931" s="451">
        <v>130.08000000000001</v>
      </c>
      <c r="E10931" s="210"/>
    </row>
    <row r="10932" spans="1:5" ht="38.25">
      <c r="A10932" s="449">
        <v>533</v>
      </c>
      <c r="B10932" s="450" t="s">
        <v>11754</v>
      </c>
      <c r="C10932" s="449" t="s">
        <v>684</v>
      </c>
      <c r="D10932" s="451">
        <v>21.21</v>
      </c>
      <c r="E10932" s="210"/>
    </row>
    <row r="10933" spans="1:5" ht="38.25">
      <c r="A10933" s="449">
        <v>10515</v>
      </c>
      <c r="B10933" s="450" t="s">
        <v>11755</v>
      </c>
      <c r="C10933" s="449" t="s">
        <v>684</v>
      </c>
      <c r="D10933" s="451">
        <v>40.020000000000003</v>
      </c>
      <c r="E10933" s="210"/>
    </row>
    <row r="10934" spans="1:5" ht="38.25">
      <c r="A10934" s="449">
        <v>536</v>
      </c>
      <c r="B10934" s="450" t="s">
        <v>11756</v>
      </c>
      <c r="C10934" s="449" t="s">
        <v>684</v>
      </c>
      <c r="D10934" s="451">
        <v>28.95</v>
      </c>
      <c r="E10934" s="210"/>
    </row>
    <row r="10935" spans="1:5" ht="38.25">
      <c r="A10935" s="449">
        <v>153</v>
      </c>
      <c r="B10935" s="450" t="s">
        <v>11757</v>
      </c>
      <c r="C10935" s="449" t="s">
        <v>678</v>
      </c>
      <c r="D10935" s="451">
        <v>73.239999999999995</v>
      </c>
      <c r="E10935" s="210"/>
    </row>
    <row r="10936" spans="1:5" ht="38.25">
      <c r="A10936" s="449">
        <v>34682</v>
      </c>
      <c r="B10936" s="450" t="s">
        <v>11758</v>
      </c>
      <c r="C10936" s="449" t="s">
        <v>684</v>
      </c>
      <c r="D10936" s="451">
        <v>99.47</v>
      </c>
      <c r="E10936" s="210"/>
    </row>
    <row r="10937" spans="1:5" ht="38.25">
      <c r="A10937" s="449">
        <v>20205</v>
      </c>
      <c r="B10937" s="450" t="s">
        <v>11759</v>
      </c>
      <c r="C10937" s="449" t="s">
        <v>683</v>
      </c>
      <c r="D10937" s="451">
        <v>1.92</v>
      </c>
      <c r="E10937" s="210"/>
    </row>
    <row r="10938" spans="1:5" ht="38.25">
      <c r="A10938" s="449">
        <v>4412</v>
      </c>
      <c r="B10938" s="450" t="s">
        <v>11760</v>
      </c>
      <c r="C10938" s="449" t="s">
        <v>683</v>
      </c>
      <c r="D10938" s="451">
        <v>1.1499999999999999</v>
      </c>
      <c r="E10938" s="210"/>
    </row>
    <row r="10939" spans="1:5" ht="38.25">
      <c r="A10939" s="449">
        <v>4408</v>
      </c>
      <c r="B10939" s="450" t="s">
        <v>11761</v>
      </c>
      <c r="C10939" s="449" t="s">
        <v>683</v>
      </c>
      <c r="D10939" s="451">
        <v>1.43</v>
      </c>
      <c r="E10939" s="210"/>
    </row>
    <row r="10940" spans="1:5" ht="25.5">
      <c r="A10940" s="449">
        <v>10559</v>
      </c>
      <c r="B10940" s="450" t="s">
        <v>11762</v>
      </c>
      <c r="C10940" s="449" t="s">
        <v>679</v>
      </c>
      <c r="D10940" s="451">
        <v>2785</v>
      </c>
      <c r="E10940" s="210"/>
    </row>
    <row r="10941" spans="1:5" ht="25.5">
      <c r="A10941" s="449">
        <v>10664</v>
      </c>
      <c r="B10941" s="450" t="s">
        <v>11763</v>
      </c>
      <c r="C10941" s="449" t="s">
        <v>679</v>
      </c>
      <c r="D10941" s="451">
        <v>7569.03</v>
      </c>
      <c r="E10941" s="210"/>
    </row>
    <row r="10942" spans="1:5" ht="25.5">
      <c r="A10942" s="449">
        <v>36250</v>
      </c>
      <c r="B10942" s="450" t="s">
        <v>11764</v>
      </c>
      <c r="C10942" s="449" t="s">
        <v>683</v>
      </c>
      <c r="D10942" s="451">
        <v>4.78</v>
      </c>
      <c r="E10942" s="210"/>
    </row>
    <row r="10943" spans="1:5">
      <c r="A10943" s="449">
        <v>10857</v>
      </c>
      <c r="B10943" s="450" t="s">
        <v>11765</v>
      </c>
      <c r="C10943" s="449" t="s">
        <v>683</v>
      </c>
      <c r="D10943" s="451">
        <v>12.02</v>
      </c>
      <c r="E10943" s="210"/>
    </row>
    <row r="10944" spans="1:5" ht="25.5">
      <c r="A10944" s="449">
        <v>4803</v>
      </c>
      <c r="B10944" s="450" t="s">
        <v>11766</v>
      </c>
      <c r="C10944" s="449" t="s">
        <v>683</v>
      </c>
      <c r="D10944" s="451">
        <v>27.28</v>
      </c>
      <c r="E10944" s="210"/>
    </row>
    <row r="10945" spans="1:5" ht="38.25">
      <c r="A10945" s="449">
        <v>6186</v>
      </c>
      <c r="B10945" s="450" t="s">
        <v>11767</v>
      </c>
      <c r="C10945" s="449" t="s">
        <v>683</v>
      </c>
      <c r="D10945" s="451">
        <v>13.88</v>
      </c>
      <c r="E10945" s="210"/>
    </row>
    <row r="10946" spans="1:5" ht="25.5">
      <c r="A10946" s="449">
        <v>4829</v>
      </c>
      <c r="B10946" s="450" t="s">
        <v>11768</v>
      </c>
      <c r="C10946" s="449" t="s">
        <v>683</v>
      </c>
      <c r="D10946" s="451">
        <v>45.06</v>
      </c>
      <c r="E10946" s="210"/>
    </row>
    <row r="10947" spans="1:5" ht="25.5">
      <c r="A10947" s="449">
        <v>39829</v>
      </c>
      <c r="B10947" s="450" t="s">
        <v>11769</v>
      </c>
      <c r="C10947" s="449" t="s">
        <v>683</v>
      </c>
      <c r="D10947" s="451">
        <v>27.46</v>
      </c>
      <c r="E10947" s="210"/>
    </row>
    <row r="10948" spans="1:5" ht="51">
      <c r="A10948" s="449">
        <v>20231</v>
      </c>
      <c r="B10948" s="450" t="s">
        <v>11770</v>
      </c>
      <c r="C10948" s="449" t="s">
        <v>683</v>
      </c>
      <c r="D10948" s="451">
        <v>41.67</v>
      </c>
      <c r="E10948" s="210"/>
    </row>
    <row r="10949" spans="1:5">
      <c r="A10949" s="449">
        <v>4804</v>
      </c>
      <c r="B10949" s="450" t="s">
        <v>11771</v>
      </c>
      <c r="C10949" s="449" t="s">
        <v>683</v>
      </c>
      <c r="D10949" s="451">
        <v>20.94</v>
      </c>
      <c r="E10949" s="210"/>
    </row>
    <row r="10950" spans="1:5" ht="25.5">
      <c r="A10950" s="449">
        <v>34680</v>
      </c>
      <c r="B10950" s="450" t="s">
        <v>11772</v>
      </c>
      <c r="C10950" s="449" t="s">
        <v>683</v>
      </c>
      <c r="D10950" s="451">
        <v>30.6</v>
      </c>
      <c r="E10950" s="210"/>
    </row>
    <row r="10951" spans="1:5" ht="38.25">
      <c r="A10951" s="449">
        <v>11573</v>
      </c>
      <c r="B10951" s="450" t="s">
        <v>11773</v>
      </c>
      <c r="C10951" s="449" t="s">
        <v>679</v>
      </c>
      <c r="D10951" s="451">
        <v>6.24</v>
      </c>
      <c r="E10951" s="210"/>
    </row>
    <row r="10952" spans="1:5">
      <c r="A10952" s="449">
        <v>38401</v>
      </c>
      <c r="B10952" s="450" t="s">
        <v>11774</v>
      </c>
      <c r="C10952" s="449" t="s">
        <v>679</v>
      </c>
      <c r="D10952" s="451">
        <v>16.12</v>
      </c>
      <c r="E10952" s="210"/>
    </row>
    <row r="10953" spans="1:5" ht="38.25">
      <c r="A10953" s="449">
        <v>11575</v>
      </c>
      <c r="B10953" s="450" t="s">
        <v>11775</v>
      </c>
      <c r="C10953" s="449" t="s">
        <v>679</v>
      </c>
      <c r="D10953" s="451">
        <v>60.19</v>
      </c>
      <c r="E10953" s="210"/>
    </row>
    <row r="10954" spans="1:5" ht="51">
      <c r="A10954" s="449">
        <v>38179</v>
      </c>
      <c r="B10954" s="450" t="s">
        <v>11776</v>
      </c>
      <c r="C10954" s="449" t="s">
        <v>679</v>
      </c>
      <c r="D10954" s="451">
        <v>49.77</v>
      </c>
      <c r="E10954" s="210"/>
    </row>
    <row r="10955" spans="1:5" ht="25.5">
      <c r="A10955" s="449">
        <v>20256</v>
      </c>
      <c r="B10955" s="450" t="s">
        <v>11777</v>
      </c>
      <c r="C10955" s="449" t="s">
        <v>679</v>
      </c>
      <c r="D10955" s="451">
        <v>0.34</v>
      </c>
      <c r="E10955" s="210"/>
    </row>
    <row r="10956" spans="1:5" ht="51">
      <c r="A10956" s="449">
        <v>14511</v>
      </c>
      <c r="B10956" s="450" t="s">
        <v>11778</v>
      </c>
      <c r="C10956" s="449" t="s">
        <v>679</v>
      </c>
      <c r="D10956" s="451">
        <v>647896.53</v>
      </c>
      <c r="E10956" s="210"/>
    </row>
    <row r="10957" spans="1:5" ht="51">
      <c r="A10957" s="449">
        <v>10642</v>
      </c>
      <c r="B10957" s="450" t="s">
        <v>11779</v>
      </c>
      <c r="C10957" s="449" t="s">
        <v>679</v>
      </c>
      <c r="D10957" s="451">
        <v>610350</v>
      </c>
      <c r="E10957" s="210"/>
    </row>
    <row r="10958" spans="1:5" ht="63.75">
      <c r="A10958" s="449">
        <v>14489</v>
      </c>
      <c r="B10958" s="450" t="s">
        <v>11780</v>
      </c>
      <c r="C10958" s="449" t="s">
        <v>679</v>
      </c>
      <c r="D10958" s="451">
        <v>541369.09</v>
      </c>
      <c r="E10958" s="210"/>
    </row>
    <row r="10959" spans="1:5" ht="51">
      <c r="A10959" s="449">
        <v>14513</v>
      </c>
      <c r="B10959" s="450" t="s">
        <v>11781</v>
      </c>
      <c r="C10959" s="449" t="s">
        <v>679</v>
      </c>
      <c r="D10959" s="451">
        <v>406039.67</v>
      </c>
      <c r="E10959" s="210"/>
    </row>
    <row r="10960" spans="1:5" ht="51">
      <c r="A10960" s="449">
        <v>13600</v>
      </c>
      <c r="B10960" s="450" t="s">
        <v>11782</v>
      </c>
      <c r="C10960" s="449" t="s">
        <v>679</v>
      </c>
      <c r="D10960" s="451">
        <v>523905.51</v>
      </c>
      <c r="E10960" s="210"/>
    </row>
    <row r="10961" spans="1:5" ht="51">
      <c r="A10961" s="449">
        <v>10646</v>
      </c>
      <c r="B10961" s="450" t="s">
        <v>11783</v>
      </c>
      <c r="C10961" s="449" t="s">
        <v>679</v>
      </c>
      <c r="D10961" s="451">
        <v>390536.65</v>
      </c>
      <c r="E10961" s="210"/>
    </row>
    <row r="10962" spans="1:5" ht="51">
      <c r="A10962" s="449">
        <v>6070</v>
      </c>
      <c r="B10962" s="450" t="s">
        <v>11784</v>
      </c>
      <c r="C10962" s="449" t="s">
        <v>679</v>
      </c>
      <c r="D10962" s="451">
        <v>533620.27</v>
      </c>
      <c r="E10962" s="210"/>
    </row>
    <row r="10963" spans="1:5" ht="51">
      <c r="A10963" s="449">
        <v>6069</v>
      </c>
      <c r="B10963" s="450" t="s">
        <v>11785</v>
      </c>
      <c r="C10963" s="449" t="s">
        <v>679</v>
      </c>
      <c r="D10963" s="451">
        <v>117884.76</v>
      </c>
      <c r="E10963" s="210"/>
    </row>
    <row r="10964" spans="1:5" ht="38.25">
      <c r="A10964" s="449">
        <v>14626</v>
      </c>
      <c r="B10964" s="450" t="s">
        <v>11786</v>
      </c>
      <c r="C10964" s="449" t="s">
        <v>679</v>
      </c>
      <c r="D10964" s="451">
        <v>584192.16</v>
      </c>
      <c r="E10964" s="210"/>
    </row>
    <row r="10965" spans="1:5" ht="38.25">
      <c r="A10965" s="449">
        <v>6067</v>
      </c>
      <c r="B10965" s="450" t="s">
        <v>11787</v>
      </c>
      <c r="C10965" s="449" t="s">
        <v>679</v>
      </c>
      <c r="D10965" s="451">
        <v>479560.72</v>
      </c>
      <c r="E10965" s="210"/>
    </row>
    <row r="10966" spans="1:5">
      <c r="A10966" s="449">
        <v>38393</v>
      </c>
      <c r="B10966" s="450" t="s">
        <v>11788</v>
      </c>
      <c r="C10966" s="449" t="s">
        <v>679</v>
      </c>
      <c r="D10966" s="451">
        <v>15.99</v>
      </c>
      <c r="E10966" s="210"/>
    </row>
    <row r="10967" spans="1:5">
      <c r="A10967" s="449">
        <v>38390</v>
      </c>
      <c r="B10967" s="450" t="s">
        <v>11789</v>
      </c>
      <c r="C10967" s="449" t="s">
        <v>679</v>
      </c>
      <c r="D10967" s="451">
        <v>35.46</v>
      </c>
      <c r="E10967" s="210"/>
    </row>
    <row r="10968" spans="1:5" ht="25.5">
      <c r="A10968" s="449">
        <v>36532</v>
      </c>
      <c r="B10968" s="450" t="s">
        <v>11790</v>
      </c>
      <c r="C10968" s="449" t="s">
        <v>679</v>
      </c>
      <c r="D10968" s="451">
        <v>27984.39</v>
      </c>
      <c r="E10968" s="210"/>
    </row>
    <row r="10969" spans="1:5" ht="38.25">
      <c r="A10969" s="449">
        <v>11578</v>
      </c>
      <c r="B10969" s="450" t="s">
        <v>11791</v>
      </c>
      <c r="C10969" s="449" t="s">
        <v>679</v>
      </c>
      <c r="D10969" s="451">
        <v>12.99</v>
      </c>
      <c r="E10969" s="210"/>
    </row>
    <row r="10970" spans="1:5" ht="51">
      <c r="A10970" s="449">
        <v>11577</v>
      </c>
      <c r="B10970" s="450" t="s">
        <v>11792</v>
      </c>
      <c r="C10970" s="449" t="s">
        <v>679</v>
      </c>
      <c r="D10970" s="451">
        <v>12.4</v>
      </c>
      <c r="E10970" s="210"/>
    </row>
    <row r="10971" spans="1:5" ht="63.75">
      <c r="A10971" s="449">
        <v>42432</v>
      </c>
      <c r="B10971" s="450" t="s">
        <v>11793</v>
      </c>
      <c r="C10971" s="449" t="s">
        <v>679</v>
      </c>
      <c r="D10971" s="451">
        <v>1857.71</v>
      </c>
      <c r="E10971" s="210"/>
    </row>
    <row r="10972" spans="1:5" ht="63.75">
      <c r="A10972" s="449">
        <v>42437</v>
      </c>
      <c r="B10972" s="450" t="s">
        <v>11794</v>
      </c>
      <c r="C10972" s="449" t="s">
        <v>679</v>
      </c>
      <c r="D10972" s="451">
        <v>1412.35</v>
      </c>
      <c r="E10972" s="210"/>
    </row>
    <row r="10973" spans="1:5" ht="25.5">
      <c r="A10973" s="449">
        <v>1116</v>
      </c>
      <c r="B10973" s="450" t="s">
        <v>11795</v>
      </c>
      <c r="C10973" s="449" t="s">
        <v>683</v>
      </c>
      <c r="D10973" s="451">
        <v>22</v>
      </c>
      <c r="E10973" s="210"/>
    </row>
    <row r="10974" spans="1:5" ht="25.5">
      <c r="A10974" s="449">
        <v>1115</v>
      </c>
      <c r="B10974" s="450" t="s">
        <v>11796</v>
      </c>
      <c r="C10974" s="449" t="s">
        <v>683</v>
      </c>
      <c r="D10974" s="451">
        <v>26.36</v>
      </c>
      <c r="E10974" s="210"/>
    </row>
    <row r="10975" spans="1:5" ht="25.5">
      <c r="A10975" s="449">
        <v>1113</v>
      </c>
      <c r="B10975" s="450" t="s">
        <v>11797</v>
      </c>
      <c r="C10975" s="449" t="s">
        <v>683</v>
      </c>
      <c r="D10975" s="451">
        <v>30.82</v>
      </c>
      <c r="E10975" s="210"/>
    </row>
    <row r="10976" spans="1:5" ht="25.5">
      <c r="A10976" s="449">
        <v>1114</v>
      </c>
      <c r="B10976" s="450" t="s">
        <v>11798</v>
      </c>
      <c r="C10976" s="449" t="s">
        <v>683</v>
      </c>
      <c r="D10976" s="451">
        <v>36.71</v>
      </c>
      <c r="E10976" s="210"/>
    </row>
    <row r="10977" spans="1:5" ht="25.5">
      <c r="A10977" s="449">
        <v>40873</v>
      </c>
      <c r="B10977" s="450" t="s">
        <v>11799</v>
      </c>
      <c r="C10977" s="449" t="s">
        <v>683</v>
      </c>
      <c r="D10977" s="451">
        <v>28.73</v>
      </c>
      <c r="E10977" s="210"/>
    </row>
    <row r="10978" spans="1:5" ht="25.5">
      <c r="A10978" s="449">
        <v>20214</v>
      </c>
      <c r="B10978" s="450" t="s">
        <v>11800</v>
      </c>
      <c r="C10978" s="449" t="s">
        <v>679</v>
      </c>
      <c r="D10978" s="451">
        <v>45.23</v>
      </c>
      <c r="E10978" s="210"/>
    </row>
    <row r="10979" spans="1:5" ht="38.25">
      <c r="A10979" s="449">
        <v>11064</v>
      </c>
      <c r="B10979" s="450" t="s">
        <v>11801</v>
      </c>
      <c r="C10979" s="449" t="s">
        <v>679</v>
      </c>
      <c r="D10979" s="451">
        <v>19.18</v>
      </c>
      <c r="E10979" s="210"/>
    </row>
    <row r="10980" spans="1:5" ht="38.25">
      <c r="A10980" s="449">
        <v>7237</v>
      </c>
      <c r="B10980" s="450" t="s">
        <v>11802</v>
      </c>
      <c r="C10980" s="449" t="s">
        <v>679</v>
      </c>
      <c r="D10980" s="451">
        <v>26.16</v>
      </c>
      <c r="E10980" s="210"/>
    </row>
    <row r="10981" spans="1:5">
      <c r="A10981" s="449">
        <v>11757</v>
      </c>
      <c r="B10981" s="450" t="s">
        <v>11803</v>
      </c>
      <c r="C10981" s="449" t="s">
        <v>679</v>
      </c>
      <c r="D10981" s="451">
        <v>29.45</v>
      </c>
      <c r="E10981" s="210"/>
    </row>
    <row r="10982" spans="1:5" ht="38.25">
      <c r="A10982" s="449">
        <v>11758</v>
      </c>
      <c r="B10982" s="450" t="s">
        <v>11804</v>
      </c>
      <c r="C10982" s="449" t="s">
        <v>679</v>
      </c>
      <c r="D10982" s="451">
        <v>75.900000000000006</v>
      </c>
      <c r="E10982" s="210"/>
    </row>
    <row r="10983" spans="1:5" ht="25.5">
      <c r="A10983" s="449">
        <v>37526</v>
      </c>
      <c r="B10983" s="450" t="s">
        <v>11805</v>
      </c>
      <c r="C10983" s="449" t="s">
        <v>679</v>
      </c>
      <c r="D10983" s="451">
        <v>2.66</v>
      </c>
      <c r="E10983" s="210"/>
    </row>
    <row r="10984" spans="1:5" ht="25.5">
      <c r="A10984" s="449">
        <v>6076</v>
      </c>
      <c r="B10984" s="450" t="s">
        <v>11806</v>
      </c>
      <c r="C10984" s="449" t="s">
        <v>677</v>
      </c>
      <c r="D10984" s="451">
        <v>54.75</v>
      </c>
      <c r="E10984" s="210"/>
    </row>
    <row r="10985" spans="1:5">
      <c r="A10985" s="449">
        <v>13109</v>
      </c>
      <c r="B10985" s="450" t="s">
        <v>11807</v>
      </c>
      <c r="C10985" s="449" t="s">
        <v>679</v>
      </c>
      <c r="D10985" s="451">
        <v>261.3</v>
      </c>
      <c r="E10985" s="210"/>
    </row>
    <row r="10986" spans="1:5">
      <c r="A10986" s="449">
        <v>13110</v>
      </c>
      <c r="B10986" s="450" t="s">
        <v>11808</v>
      </c>
      <c r="C10986" s="449" t="s">
        <v>679</v>
      </c>
      <c r="D10986" s="451">
        <v>343.89</v>
      </c>
      <c r="E10986" s="210"/>
    </row>
    <row r="10987" spans="1:5" ht="25.5">
      <c r="A10987" s="449">
        <v>7581</v>
      </c>
      <c r="B10987" s="450" t="s">
        <v>11809</v>
      </c>
      <c r="C10987" s="449" t="s">
        <v>679</v>
      </c>
      <c r="D10987" s="451">
        <v>3.97</v>
      </c>
      <c r="E10987" s="210"/>
    </row>
    <row r="10988" spans="1:5" ht="25.5">
      <c r="A10988" s="449">
        <v>4509</v>
      </c>
      <c r="B10988" s="450" t="s">
        <v>11810</v>
      </c>
      <c r="C10988" s="449" t="s">
        <v>683</v>
      </c>
      <c r="D10988" s="451">
        <v>4.13</v>
      </c>
      <c r="E10988" s="210"/>
    </row>
    <row r="10989" spans="1:5" ht="25.5">
      <c r="A10989" s="449">
        <v>4512</v>
      </c>
      <c r="B10989" s="450" t="s">
        <v>11811</v>
      </c>
      <c r="C10989" s="449" t="s">
        <v>683</v>
      </c>
      <c r="D10989" s="451">
        <v>1.97</v>
      </c>
      <c r="E10989" s="210"/>
    </row>
    <row r="10990" spans="1:5" ht="25.5">
      <c r="A10990" s="449">
        <v>4517</v>
      </c>
      <c r="B10990" s="450" t="s">
        <v>11812</v>
      </c>
      <c r="C10990" s="449" t="s">
        <v>683</v>
      </c>
      <c r="D10990" s="451">
        <v>2.85</v>
      </c>
      <c r="E10990" s="210"/>
    </row>
    <row r="10991" spans="1:5" ht="38.25">
      <c r="A10991" s="449">
        <v>20206</v>
      </c>
      <c r="B10991" s="450" t="s">
        <v>11813</v>
      </c>
      <c r="C10991" s="449" t="s">
        <v>683</v>
      </c>
      <c r="D10991" s="451">
        <v>5.19</v>
      </c>
      <c r="E10991" s="210"/>
    </row>
    <row r="10992" spans="1:5" ht="38.25">
      <c r="A10992" s="449">
        <v>4460</v>
      </c>
      <c r="B10992" s="450" t="s">
        <v>11814</v>
      </c>
      <c r="C10992" s="449" t="s">
        <v>683</v>
      </c>
      <c r="D10992" s="451">
        <v>5.32</v>
      </c>
      <c r="E10992" s="210"/>
    </row>
    <row r="10993" spans="1:5" ht="38.25">
      <c r="A10993" s="449">
        <v>4417</v>
      </c>
      <c r="B10993" s="450" t="s">
        <v>11815</v>
      </c>
      <c r="C10993" s="449" t="s">
        <v>683</v>
      </c>
      <c r="D10993" s="451">
        <v>4.0999999999999996</v>
      </c>
      <c r="E10993" s="210"/>
    </row>
    <row r="10994" spans="1:5" ht="38.25">
      <c r="A10994" s="449">
        <v>4415</v>
      </c>
      <c r="B10994" s="450" t="s">
        <v>11816</v>
      </c>
      <c r="C10994" s="449" t="s">
        <v>683</v>
      </c>
      <c r="D10994" s="451">
        <v>2.85</v>
      </c>
      <c r="E10994" s="210"/>
    </row>
    <row r="10995" spans="1:5">
      <c r="A10995" s="449">
        <v>37373</v>
      </c>
      <c r="B10995" s="450" t="s">
        <v>11817</v>
      </c>
      <c r="C10995" s="449" t="s">
        <v>682</v>
      </c>
      <c r="D10995" s="451">
        <v>0.06</v>
      </c>
      <c r="E10995" s="210"/>
    </row>
    <row r="10996" spans="1:5">
      <c r="A10996" s="449">
        <v>40864</v>
      </c>
      <c r="B10996" s="450" t="s">
        <v>11818</v>
      </c>
      <c r="C10996" s="449" t="s">
        <v>797</v>
      </c>
      <c r="D10996" s="451">
        <v>11.13</v>
      </c>
      <c r="E10996" s="210"/>
    </row>
    <row r="10997" spans="1:5" ht="25.5">
      <c r="A10997" s="449">
        <v>4734</v>
      </c>
      <c r="B10997" s="450" t="s">
        <v>11819</v>
      </c>
      <c r="C10997" s="449" t="s">
        <v>677</v>
      </c>
      <c r="D10997" s="451">
        <v>102.16</v>
      </c>
      <c r="E10997" s="210"/>
    </row>
    <row r="10998" spans="1:5" ht="25.5">
      <c r="A10998" s="449">
        <v>6085</v>
      </c>
      <c r="B10998" s="450" t="s">
        <v>11820</v>
      </c>
      <c r="C10998" s="449" t="s">
        <v>678</v>
      </c>
      <c r="D10998" s="451">
        <v>4.17</v>
      </c>
      <c r="E10998" s="210"/>
    </row>
    <row r="10999" spans="1:5">
      <c r="A10999" s="449">
        <v>38396</v>
      </c>
      <c r="B10999" s="450" t="s">
        <v>11821</v>
      </c>
      <c r="C10999" s="449" t="s">
        <v>679</v>
      </c>
      <c r="D10999" s="451">
        <v>442.63</v>
      </c>
      <c r="E10999" s="210"/>
    </row>
    <row r="11000" spans="1:5" ht="25.5">
      <c r="A11000" s="449">
        <v>11622</v>
      </c>
      <c r="B11000" s="450" t="s">
        <v>11822</v>
      </c>
      <c r="C11000" s="449" t="s">
        <v>676</v>
      </c>
      <c r="D11000" s="451">
        <v>55.19</v>
      </c>
      <c r="E11000" s="210"/>
    </row>
    <row r="11001" spans="1:5" ht="38.25">
      <c r="A11001" s="449">
        <v>43143</v>
      </c>
      <c r="B11001" s="450" t="s">
        <v>11823</v>
      </c>
      <c r="C11001" s="449" t="s">
        <v>678</v>
      </c>
      <c r="D11001" s="451">
        <v>20.84</v>
      </c>
      <c r="E11001" s="210"/>
    </row>
    <row r="11002" spans="1:5">
      <c r="A11002" s="449">
        <v>7317</v>
      </c>
      <c r="B11002" s="450" t="s">
        <v>11824</v>
      </c>
      <c r="C11002" s="449" t="s">
        <v>676</v>
      </c>
      <c r="D11002" s="451">
        <v>65.53</v>
      </c>
      <c r="E11002" s="210"/>
    </row>
    <row r="11003" spans="1:5" ht="25.5">
      <c r="A11003" s="449">
        <v>142</v>
      </c>
      <c r="B11003" s="450" t="s">
        <v>11825</v>
      </c>
      <c r="C11003" s="449" t="s">
        <v>680</v>
      </c>
      <c r="D11003" s="451">
        <v>26.04</v>
      </c>
      <c r="E11003" s="210"/>
    </row>
    <row r="11004" spans="1:5" ht="38.25">
      <c r="A11004" s="449">
        <v>43142</v>
      </c>
      <c r="B11004" s="450" t="s">
        <v>11826</v>
      </c>
      <c r="C11004" s="449" t="s">
        <v>678</v>
      </c>
      <c r="D11004" s="451">
        <v>118.29</v>
      </c>
      <c r="E11004" s="210"/>
    </row>
    <row r="11005" spans="1:5" ht="25.5">
      <c r="A11005" s="449">
        <v>38123</v>
      </c>
      <c r="B11005" s="450" t="s">
        <v>11827</v>
      </c>
      <c r="C11005" s="449" t="s">
        <v>676</v>
      </c>
      <c r="D11005" s="451">
        <v>67.95</v>
      </c>
      <c r="E11005" s="210"/>
    </row>
    <row r="11006" spans="1:5" ht="38.25">
      <c r="A11006" s="449">
        <v>42701</v>
      </c>
      <c r="B11006" s="450" t="s">
        <v>11828</v>
      </c>
      <c r="C11006" s="449" t="s">
        <v>679</v>
      </c>
      <c r="D11006" s="451">
        <v>57.74</v>
      </c>
      <c r="E11006" s="210"/>
    </row>
    <row r="11007" spans="1:5" ht="38.25">
      <c r="A11007" s="449">
        <v>42702</v>
      </c>
      <c r="B11007" s="450" t="s">
        <v>11829</v>
      </c>
      <c r="C11007" s="449" t="s">
        <v>679</v>
      </c>
      <c r="D11007" s="451">
        <v>102.6</v>
      </c>
      <c r="E11007" s="210"/>
    </row>
    <row r="11008" spans="1:5" ht="38.25">
      <c r="A11008" s="449">
        <v>37955</v>
      </c>
      <c r="B11008" s="450" t="s">
        <v>11830</v>
      </c>
      <c r="C11008" s="449" t="s">
        <v>679</v>
      </c>
      <c r="D11008" s="451">
        <v>132.97</v>
      </c>
      <c r="E11008" s="210"/>
    </row>
    <row r="11009" spans="1:5" ht="38.25">
      <c r="A11009" s="449">
        <v>42699</v>
      </c>
      <c r="B11009" s="450" t="s">
        <v>11831</v>
      </c>
      <c r="C11009" s="449" t="s">
        <v>679</v>
      </c>
      <c r="D11009" s="451">
        <v>35.270000000000003</v>
      </c>
      <c r="E11009" s="210"/>
    </row>
    <row r="11010" spans="1:5" ht="38.25">
      <c r="A11010" s="449">
        <v>42700</v>
      </c>
      <c r="B11010" s="450" t="s">
        <v>11832</v>
      </c>
      <c r="C11010" s="449" t="s">
        <v>679</v>
      </c>
      <c r="D11010" s="451">
        <v>100.55</v>
      </c>
      <c r="E11010" s="210"/>
    </row>
    <row r="11011" spans="1:5" ht="51">
      <c r="A11011" s="449">
        <v>37743</v>
      </c>
      <c r="B11011" s="450" t="s">
        <v>11833</v>
      </c>
      <c r="C11011" s="449" t="s">
        <v>679</v>
      </c>
      <c r="D11011" s="451">
        <v>213164.72</v>
      </c>
      <c r="E11011" s="210"/>
    </row>
    <row r="11012" spans="1:5" ht="51">
      <c r="A11012" s="449">
        <v>37744</v>
      </c>
      <c r="B11012" s="450" t="s">
        <v>11834</v>
      </c>
      <c r="C11012" s="449" t="s">
        <v>679</v>
      </c>
      <c r="D11012" s="451">
        <v>250641.6</v>
      </c>
      <c r="E11012" s="210"/>
    </row>
    <row r="11013" spans="1:5" ht="51">
      <c r="A11013" s="449">
        <v>37741</v>
      </c>
      <c r="B11013" s="450" t="s">
        <v>11835</v>
      </c>
      <c r="C11013" s="449" t="s">
        <v>679</v>
      </c>
      <c r="D11013" s="451">
        <v>193829.51</v>
      </c>
      <c r="E11013" s="210"/>
    </row>
    <row r="11014" spans="1:5" ht="51">
      <c r="A11014" s="449">
        <v>39396</v>
      </c>
      <c r="B11014" s="450" t="s">
        <v>11836</v>
      </c>
      <c r="C11014" s="449" t="s">
        <v>679</v>
      </c>
      <c r="D11014" s="451">
        <v>66.2</v>
      </c>
      <c r="E11014" s="210"/>
    </row>
    <row r="11015" spans="1:5" ht="51">
      <c r="A11015" s="449">
        <v>39392</v>
      </c>
      <c r="B11015" s="450" t="s">
        <v>11837</v>
      </c>
      <c r="C11015" s="449" t="s">
        <v>679</v>
      </c>
      <c r="D11015" s="451">
        <v>74.680000000000007</v>
      </c>
      <c r="E11015" s="210"/>
    </row>
    <row r="11016" spans="1:5" ht="51">
      <c r="A11016" s="449">
        <v>39393</v>
      </c>
      <c r="B11016" s="450" t="s">
        <v>11838</v>
      </c>
      <c r="C11016" s="449" t="s">
        <v>679</v>
      </c>
      <c r="D11016" s="451">
        <v>46.18</v>
      </c>
      <c r="E11016" s="210"/>
    </row>
    <row r="11017" spans="1:5" ht="51">
      <c r="A11017" s="449">
        <v>39394</v>
      </c>
      <c r="B11017" s="450" t="s">
        <v>11839</v>
      </c>
      <c r="C11017" s="449" t="s">
        <v>679</v>
      </c>
      <c r="D11017" s="451">
        <v>51.98</v>
      </c>
      <c r="E11017" s="210"/>
    </row>
    <row r="11018" spans="1:5" ht="51">
      <c r="A11018" s="449">
        <v>39395</v>
      </c>
      <c r="B11018" s="450" t="s">
        <v>11840</v>
      </c>
      <c r="C11018" s="449" t="s">
        <v>679</v>
      </c>
      <c r="D11018" s="451">
        <v>48.34</v>
      </c>
      <c r="E11018" s="210"/>
    </row>
    <row r="11019" spans="1:5" ht="38.25">
      <c r="A11019" s="449">
        <v>14618</v>
      </c>
      <c r="B11019" s="450" t="s">
        <v>11841</v>
      </c>
      <c r="C11019" s="449" t="s">
        <v>679</v>
      </c>
      <c r="D11019" s="451">
        <v>1536.17</v>
      </c>
      <c r="E11019" s="210"/>
    </row>
    <row r="11020" spans="1:5" ht="51">
      <c r="A11020" s="449">
        <v>40269</v>
      </c>
      <c r="B11020" s="450" t="s">
        <v>11842</v>
      </c>
      <c r="C11020" s="449" t="s">
        <v>679</v>
      </c>
      <c r="D11020" s="451">
        <v>6189.14</v>
      </c>
      <c r="E11020" s="210"/>
    </row>
    <row r="11021" spans="1:5">
      <c r="A11021" s="449">
        <v>6110</v>
      </c>
      <c r="B11021" s="450" t="s">
        <v>11843</v>
      </c>
      <c r="C11021" s="449" t="s">
        <v>682</v>
      </c>
      <c r="D11021" s="451">
        <v>13.66</v>
      </c>
      <c r="E11021" s="210"/>
    </row>
    <row r="11022" spans="1:5">
      <c r="A11022" s="449">
        <v>40910</v>
      </c>
      <c r="B11022" s="450" t="s">
        <v>11844</v>
      </c>
      <c r="C11022" s="449" t="s">
        <v>797</v>
      </c>
      <c r="D11022" s="451">
        <v>2420.84</v>
      </c>
      <c r="E11022" s="210"/>
    </row>
    <row r="11023" spans="1:5">
      <c r="A11023" s="449">
        <v>6111</v>
      </c>
      <c r="B11023" s="450" t="s">
        <v>11845</v>
      </c>
      <c r="C11023" s="449" t="s">
        <v>682</v>
      </c>
      <c r="D11023" s="451">
        <v>10.17</v>
      </c>
      <c r="E11023" s="210"/>
    </row>
    <row r="11024" spans="1:5">
      <c r="A11024" s="449">
        <v>41084</v>
      </c>
      <c r="B11024" s="450" t="s">
        <v>11846</v>
      </c>
      <c r="C11024" s="449" t="s">
        <v>797</v>
      </c>
      <c r="D11024" s="451">
        <v>1801.78</v>
      </c>
      <c r="E11024" s="210"/>
    </row>
    <row r="11025" spans="1:5" ht="25.5">
      <c r="A11025" s="449">
        <v>25950</v>
      </c>
      <c r="B11025" s="450" t="s">
        <v>11847</v>
      </c>
      <c r="C11025" s="449" t="s">
        <v>677</v>
      </c>
      <c r="D11025" s="451">
        <v>42.92</v>
      </c>
      <c r="E11025" s="210"/>
    </row>
    <row r="11026" spans="1:5" ht="25.5">
      <c r="A11026" s="449">
        <v>38637</v>
      </c>
      <c r="B11026" s="450" t="s">
        <v>11848</v>
      </c>
      <c r="C11026" s="449" t="s">
        <v>679</v>
      </c>
      <c r="D11026" s="451">
        <v>188.51</v>
      </c>
      <c r="E11026" s="210"/>
    </row>
    <row r="11027" spans="1:5" ht="25.5">
      <c r="A11027" s="449">
        <v>6150</v>
      </c>
      <c r="B11027" s="450" t="s">
        <v>11849</v>
      </c>
      <c r="C11027" s="449" t="s">
        <v>679</v>
      </c>
      <c r="D11027" s="451">
        <v>190.81</v>
      </c>
      <c r="E11027" s="210"/>
    </row>
    <row r="11028" spans="1:5" ht="25.5">
      <c r="A11028" s="449">
        <v>6136</v>
      </c>
      <c r="B11028" s="450" t="s">
        <v>11850</v>
      </c>
      <c r="C11028" s="449" t="s">
        <v>679</v>
      </c>
      <c r="D11028" s="451">
        <v>149.99</v>
      </c>
      <c r="E11028" s="210"/>
    </row>
    <row r="11029" spans="1:5" ht="25.5">
      <c r="A11029" s="449">
        <v>38638</v>
      </c>
      <c r="B11029" s="450" t="s">
        <v>11851</v>
      </c>
      <c r="C11029" s="449" t="s">
        <v>679</v>
      </c>
      <c r="D11029" s="451">
        <v>158.85</v>
      </c>
      <c r="E11029" s="210"/>
    </row>
    <row r="11030" spans="1:5" ht="25.5">
      <c r="A11030" s="449">
        <v>20262</v>
      </c>
      <c r="B11030" s="450" t="s">
        <v>11852</v>
      </c>
      <c r="C11030" s="449" t="s">
        <v>679</v>
      </c>
      <c r="D11030" s="451">
        <v>14.38</v>
      </c>
      <c r="E11030" s="210"/>
    </row>
    <row r="11031" spans="1:5" ht="25.5">
      <c r="A11031" s="449">
        <v>6148</v>
      </c>
      <c r="B11031" s="450" t="s">
        <v>11853</v>
      </c>
      <c r="C11031" s="449" t="s">
        <v>679</v>
      </c>
      <c r="D11031" s="451">
        <v>8.9</v>
      </c>
      <c r="E11031" s="210"/>
    </row>
    <row r="11032" spans="1:5" ht="25.5">
      <c r="A11032" s="449">
        <v>6145</v>
      </c>
      <c r="B11032" s="450" t="s">
        <v>11854</v>
      </c>
      <c r="C11032" s="449" t="s">
        <v>679</v>
      </c>
      <c r="D11032" s="451">
        <v>15.96</v>
      </c>
      <c r="E11032" s="210"/>
    </row>
    <row r="11033" spans="1:5" ht="25.5">
      <c r="A11033" s="449">
        <v>6149</v>
      </c>
      <c r="B11033" s="450" t="s">
        <v>11855</v>
      </c>
      <c r="C11033" s="449" t="s">
        <v>679</v>
      </c>
      <c r="D11033" s="451">
        <v>15.05</v>
      </c>
      <c r="E11033" s="210"/>
    </row>
    <row r="11034" spans="1:5" ht="25.5">
      <c r="A11034" s="449">
        <v>6146</v>
      </c>
      <c r="B11034" s="450" t="s">
        <v>11856</v>
      </c>
      <c r="C11034" s="449" t="s">
        <v>679</v>
      </c>
      <c r="D11034" s="451">
        <v>15.97</v>
      </c>
      <c r="E11034" s="210"/>
    </row>
    <row r="11035" spans="1:5" ht="25.5">
      <c r="A11035" s="449">
        <v>26026</v>
      </c>
      <c r="B11035" s="450" t="s">
        <v>11857</v>
      </c>
      <c r="C11035" s="449" t="s">
        <v>676</v>
      </c>
      <c r="D11035" s="451">
        <v>2.19</v>
      </c>
      <c r="E11035" s="210"/>
    </row>
    <row r="11036" spans="1:5">
      <c r="A11036" s="449">
        <v>39961</v>
      </c>
      <c r="B11036" s="450" t="s">
        <v>11858</v>
      </c>
      <c r="C11036" s="449" t="s">
        <v>679</v>
      </c>
      <c r="D11036" s="451">
        <v>17.2</v>
      </c>
      <c r="E11036" s="210"/>
    </row>
    <row r="11037" spans="1:5" ht="63.75">
      <c r="A11037" s="449">
        <v>42433</v>
      </c>
      <c r="B11037" s="450" t="s">
        <v>11859</v>
      </c>
      <c r="C11037" s="449" t="s">
        <v>679</v>
      </c>
      <c r="D11037" s="451">
        <v>3669.38</v>
      </c>
      <c r="E11037" s="210"/>
    </row>
    <row r="11038" spans="1:5" ht="63.75">
      <c r="A11038" s="449">
        <v>42434</v>
      </c>
      <c r="B11038" s="450" t="s">
        <v>11860</v>
      </c>
      <c r="C11038" s="449" t="s">
        <v>679</v>
      </c>
      <c r="D11038" s="451">
        <v>3965.3</v>
      </c>
      <c r="E11038" s="210"/>
    </row>
    <row r="11039" spans="1:5" ht="63.75">
      <c r="A11039" s="449">
        <v>42435</v>
      </c>
      <c r="B11039" s="450" t="s">
        <v>11861</v>
      </c>
      <c r="C11039" s="449" t="s">
        <v>679</v>
      </c>
      <c r="D11039" s="451">
        <v>1977.35</v>
      </c>
      <c r="E11039" s="210"/>
    </row>
    <row r="11040" spans="1:5" ht="25.5">
      <c r="A11040" s="449">
        <v>38061</v>
      </c>
      <c r="B11040" s="450" t="s">
        <v>11862</v>
      </c>
      <c r="C11040" s="449" t="s">
        <v>679</v>
      </c>
      <c r="D11040" s="451">
        <v>64.83</v>
      </c>
      <c r="E11040" s="210"/>
    </row>
    <row r="11041" spans="1:5">
      <c r="A11041" s="449">
        <v>20250</v>
      </c>
      <c r="B11041" s="450" t="s">
        <v>11863</v>
      </c>
      <c r="C11041" s="449" t="s">
        <v>676</v>
      </c>
      <c r="D11041" s="451">
        <v>12</v>
      </c>
      <c r="E11041" s="210"/>
    </row>
    <row r="11042" spans="1:5">
      <c r="A11042" s="449">
        <v>13388</v>
      </c>
      <c r="B11042" s="450" t="s">
        <v>11864</v>
      </c>
      <c r="C11042" s="449" t="s">
        <v>676</v>
      </c>
      <c r="D11042" s="451">
        <v>107.06</v>
      </c>
      <c r="E11042" s="210"/>
    </row>
    <row r="11043" spans="1:5" ht="25.5">
      <c r="A11043" s="449">
        <v>39914</v>
      </c>
      <c r="B11043" s="450" t="s">
        <v>11865</v>
      </c>
      <c r="C11043" s="449" t="s">
        <v>676</v>
      </c>
      <c r="D11043" s="451">
        <v>261.88</v>
      </c>
      <c r="E11043" s="210"/>
    </row>
    <row r="11044" spans="1:5" ht="38.25">
      <c r="A11044" s="449">
        <v>12732</v>
      </c>
      <c r="B11044" s="450" t="s">
        <v>11866</v>
      </c>
      <c r="C11044" s="449" t="s">
        <v>679</v>
      </c>
      <c r="D11044" s="451">
        <v>302.17</v>
      </c>
      <c r="E11044" s="210"/>
    </row>
    <row r="11045" spans="1:5">
      <c r="A11045" s="449">
        <v>6160</v>
      </c>
      <c r="B11045" s="450" t="s">
        <v>11867</v>
      </c>
      <c r="C11045" s="449" t="s">
        <v>682</v>
      </c>
      <c r="D11045" s="451">
        <v>13.66</v>
      </c>
      <c r="E11045" s="210"/>
    </row>
    <row r="11046" spans="1:5">
      <c r="A11046" s="449">
        <v>41087</v>
      </c>
      <c r="B11046" s="450" t="s">
        <v>11868</v>
      </c>
      <c r="C11046" s="449" t="s">
        <v>797</v>
      </c>
      <c r="D11046" s="451">
        <v>2420.84</v>
      </c>
      <c r="E11046" s="210"/>
    </row>
    <row r="11047" spans="1:5" ht="25.5">
      <c r="A11047" s="449">
        <v>6166</v>
      </c>
      <c r="B11047" s="450" t="s">
        <v>11869</v>
      </c>
      <c r="C11047" s="449" t="s">
        <v>682</v>
      </c>
      <c r="D11047" s="451">
        <v>18.309999999999999</v>
      </c>
      <c r="E11047" s="210"/>
    </row>
    <row r="11048" spans="1:5" ht="25.5">
      <c r="A11048" s="449">
        <v>41088</v>
      </c>
      <c r="B11048" s="450" t="s">
        <v>11870</v>
      </c>
      <c r="C11048" s="449" t="s">
        <v>797</v>
      </c>
      <c r="D11048" s="451">
        <v>3245.37</v>
      </c>
      <c r="E11048" s="210"/>
    </row>
    <row r="11049" spans="1:5" ht="51">
      <c r="A11049" s="449">
        <v>20232</v>
      </c>
      <c r="B11049" s="450" t="s">
        <v>11871</v>
      </c>
      <c r="C11049" s="449" t="s">
        <v>683</v>
      </c>
      <c r="D11049" s="451">
        <v>58.99</v>
      </c>
      <c r="E11049" s="210"/>
    </row>
    <row r="11050" spans="1:5" ht="25.5">
      <c r="A11050" s="449">
        <v>10856</v>
      </c>
      <c r="B11050" s="450" t="s">
        <v>11872</v>
      </c>
      <c r="C11050" s="449" t="s">
        <v>683</v>
      </c>
      <c r="D11050" s="451">
        <v>84.17</v>
      </c>
      <c r="E11050" s="210"/>
    </row>
    <row r="11051" spans="1:5" ht="38.25">
      <c r="A11051" s="449">
        <v>4828</v>
      </c>
      <c r="B11051" s="450" t="s">
        <v>11873</v>
      </c>
      <c r="C11051" s="449" t="s">
        <v>683</v>
      </c>
      <c r="D11051" s="451">
        <v>67.25</v>
      </c>
      <c r="E11051" s="210"/>
    </row>
    <row r="11052" spans="1:5" ht="25.5">
      <c r="A11052" s="449">
        <v>20249</v>
      </c>
      <c r="B11052" s="450" t="s">
        <v>11874</v>
      </c>
      <c r="C11052" s="449" t="s">
        <v>683</v>
      </c>
      <c r="D11052" s="451">
        <v>36.83</v>
      </c>
      <c r="E11052" s="210"/>
    </row>
    <row r="11053" spans="1:5" ht="25.5">
      <c r="A11053" s="449">
        <v>11609</v>
      </c>
      <c r="B11053" s="450" t="s">
        <v>11875</v>
      </c>
      <c r="C11053" s="449" t="s">
        <v>678</v>
      </c>
      <c r="D11053" s="451">
        <v>9.17</v>
      </c>
      <c r="E11053" s="210"/>
    </row>
    <row r="11054" spans="1:5" ht="25.5">
      <c r="A11054" s="449">
        <v>20083</v>
      </c>
      <c r="B11054" s="450" t="s">
        <v>11876</v>
      </c>
      <c r="C11054" s="449" t="s">
        <v>679</v>
      </c>
      <c r="D11054" s="451">
        <v>72.17</v>
      </c>
      <c r="E11054" s="210"/>
    </row>
    <row r="11055" spans="1:5">
      <c r="A11055" s="449">
        <v>5318</v>
      </c>
      <c r="B11055" s="450" t="s">
        <v>11877</v>
      </c>
      <c r="C11055" s="449" t="s">
        <v>678</v>
      </c>
      <c r="D11055" s="451">
        <v>12.84</v>
      </c>
      <c r="E11055" s="210"/>
    </row>
    <row r="11056" spans="1:5" ht="25.5">
      <c r="A11056" s="449">
        <v>10691</v>
      </c>
      <c r="B11056" s="450" t="s">
        <v>11878</v>
      </c>
      <c r="C11056" s="449" t="s">
        <v>678</v>
      </c>
      <c r="D11056" s="451">
        <v>53.87</v>
      </c>
      <c r="E11056" s="210"/>
    </row>
    <row r="11057" spans="1:5" ht="25.5">
      <c r="A11057" s="449">
        <v>12295</v>
      </c>
      <c r="B11057" s="450" t="s">
        <v>11879</v>
      </c>
      <c r="C11057" s="449" t="s">
        <v>679</v>
      </c>
      <c r="D11057" s="451">
        <v>2.89</v>
      </c>
      <c r="E11057" s="210"/>
    </row>
    <row r="11058" spans="1:5" ht="25.5">
      <c r="A11058" s="449">
        <v>12296</v>
      </c>
      <c r="B11058" s="450" t="s">
        <v>11880</v>
      </c>
      <c r="C11058" s="449" t="s">
        <v>679</v>
      </c>
      <c r="D11058" s="451">
        <v>3.74</v>
      </c>
      <c r="E11058" s="210"/>
    </row>
    <row r="11059" spans="1:5" ht="25.5">
      <c r="A11059" s="449">
        <v>12294</v>
      </c>
      <c r="B11059" s="450" t="s">
        <v>11881</v>
      </c>
      <c r="C11059" s="449" t="s">
        <v>679</v>
      </c>
      <c r="D11059" s="451">
        <v>8.99</v>
      </c>
      <c r="E11059" s="210"/>
    </row>
    <row r="11060" spans="1:5" ht="25.5">
      <c r="A11060" s="449">
        <v>14543</v>
      </c>
      <c r="B11060" s="450" t="s">
        <v>11882</v>
      </c>
      <c r="C11060" s="449" t="s">
        <v>679</v>
      </c>
      <c r="D11060" s="451">
        <v>6.42</v>
      </c>
      <c r="E11060" s="210"/>
    </row>
    <row r="11061" spans="1:5" ht="25.5">
      <c r="A11061" s="449">
        <v>13329</v>
      </c>
      <c r="B11061" s="450" t="s">
        <v>11883</v>
      </c>
      <c r="C11061" s="449" t="s">
        <v>679</v>
      </c>
      <c r="D11061" s="451">
        <v>3.77</v>
      </c>
      <c r="E11061" s="210"/>
    </row>
    <row r="11062" spans="1:5" ht="38.25">
      <c r="A11062" s="449">
        <v>21044</v>
      </c>
      <c r="B11062" s="450" t="s">
        <v>11884</v>
      </c>
      <c r="C11062" s="449" t="s">
        <v>679</v>
      </c>
      <c r="D11062" s="451">
        <v>24.52</v>
      </c>
      <c r="E11062" s="210"/>
    </row>
    <row r="11063" spans="1:5" ht="38.25">
      <c r="A11063" s="449">
        <v>21045</v>
      </c>
      <c r="B11063" s="450" t="s">
        <v>11885</v>
      </c>
      <c r="C11063" s="449" t="s">
        <v>679</v>
      </c>
      <c r="D11063" s="451">
        <v>33.590000000000003</v>
      </c>
      <c r="E11063" s="210"/>
    </row>
    <row r="11064" spans="1:5" ht="38.25">
      <c r="A11064" s="449">
        <v>21040</v>
      </c>
      <c r="B11064" s="450" t="s">
        <v>11886</v>
      </c>
      <c r="C11064" s="449" t="s">
        <v>679</v>
      </c>
      <c r="D11064" s="451">
        <v>24</v>
      </c>
      <c r="E11064" s="210"/>
    </row>
    <row r="11065" spans="1:5" ht="38.25">
      <c r="A11065" s="449">
        <v>21041</v>
      </c>
      <c r="B11065" s="450" t="s">
        <v>11887</v>
      </c>
      <c r="C11065" s="449" t="s">
        <v>679</v>
      </c>
      <c r="D11065" s="451">
        <v>28.97</v>
      </c>
      <c r="E11065" s="210"/>
    </row>
    <row r="11066" spans="1:5" ht="38.25">
      <c r="A11066" s="449">
        <v>21047</v>
      </c>
      <c r="B11066" s="450" t="s">
        <v>11888</v>
      </c>
      <c r="C11066" s="449" t="s">
        <v>679</v>
      </c>
      <c r="D11066" s="451">
        <v>36.159999999999997</v>
      </c>
      <c r="E11066" s="210"/>
    </row>
    <row r="11067" spans="1:5" ht="38.25">
      <c r="A11067" s="449">
        <v>21043</v>
      </c>
      <c r="B11067" s="450" t="s">
        <v>11889</v>
      </c>
      <c r="C11067" s="449" t="s">
        <v>679</v>
      </c>
      <c r="D11067" s="451">
        <v>35.200000000000003</v>
      </c>
      <c r="E11067" s="210"/>
    </row>
    <row r="11068" spans="1:5" ht="38.25">
      <c r="A11068" s="449">
        <v>21042</v>
      </c>
      <c r="B11068" s="450" t="s">
        <v>11890</v>
      </c>
      <c r="C11068" s="449" t="s">
        <v>679</v>
      </c>
      <c r="D11068" s="451">
        <v>27.87</v>
      </c>
      <c r="E11068" s="210"/>
    </row>
    <row r="11069" spans="1:5">
      <c r="A11069" s="449">
        <v>14149</v>
      </c>
      <c r="B11069" s="450" t="s">
        <v>11891</v>
      </c>
      <c r="C11069" s="449" t="s">
        <v>799</v>
      </c>
      <c r="D11069" s="451">
        <v>182.04</v>
      </c>
      <c r="E11069" s="210"/>
    </row>
    <row r="11070" spans="1:5" ht="51">
      <c r="A11070" s="449">
        <v>38099</v>
      </c>
      <c r="B11070" s="450" t="s">
        <v>11892</v>
      </c>
      <c r="C11070" s="449" t="s">
        <v>679</v>
      </c>
      <c r="D11070" s="451">
        <v>1.22</v>
      </c>
      <c r="E11070" s="210"/>
    </row>
    <row r="11071" spans="1:5" ht="51">
      <c r="A11071" s="449">
        <v>38100</v>
      </c>
      <c r="B11071" s="450" t="s">
        <v>11893</v>
      </c>
      <c r="C11071" s="449" t="s">
        <v>679</v>
      </c>
      <c r="D11071" s="451">
        <v>2</v>
      </c>
      <c r="E11071" s="210"/>
    </row>
    <row r="11072" spans="1:5" ht="38.25">
      <c r="A11072" s="449">
        <v>20061</v>
      </c>
      <c r="B11072" s="450" t="s">
        <v>11894</v>
      </c>
      <c r="C11072" s="449" t="s">
        <v>679</v>
      </c>
      <c r="D11072" s="451">
        <v>3.38</v>
      </c>
      <c r="E11072" s="210"/>
    </row>
    <row r="11073" spans="1:5" ht="38.25">
      <c r="A11073" s="449">
        <v>7576</v>
      </c>
      <c r="B11073" s="450" t="s">
        <v>11895</v>
      </c>
      <c r="C11073" s="449" t="s">
        <v>679</v>
      </c>
      <c r="D11073" s="451">
        <v>163.19999999999999</v>
      </c>
      <c r="E11073" s="210"/>
    </row>
    <row r="11074" spans="1:5" ht="25.5">
      <c r="A11074" s="449">
        <v>3384</v>
      </c>
      <c r="B11074" s="450" t="s">
        <v>11896</v>
      </c>
      <c r="C11074" s="449" t="s">
        <v>679</v>
      </c>
      <c r="D11074" s="451">
        <v>5.12</v>
      </c>
      <c r="E11074" s="210"/>
    </row>
    <row r="11075" spans="1:5" ht="25.5">
      <c r="A11075" s="449">
        <v>7572</v>
      </c>
      <c r="B11075" s="450" t="s">
        <v>11897</v>
      </c>
      <c r="C11075" s="449" t="s">
        <v>679</v>
      </c>
      <c r="D11075" s="451">
        <v>10.36</v>
      </c>
      <c r="E11075" s="210"/>
    </row>
    <row r="11076" spans="1:5" ht="25.5">
      <c r="A11076" s="449">
        <v>3396</v>
      </c>
      <c r="B11076" s="450" t="s">
        <v>11898</v>
      </c>
      <c r="C11076" s="449" t="s">
        <v>679</v>
      </c>
      <c r="D11076" s="451">
        <v>7.34</v>
      </c>
      <c r="E11076" s="210"/>
    </row>
    <row r="11077" spans="1:5" ht="25.5">
      <c r="A11077" s="449">
        <v>37590</v>
      </c>
      <c r="B11077" s="450" t="s">
        <v>11899</v>
      </c>
      <c r="C11077" s="449" t="s">
        <v>679</v>
      </c>
      <c r="D11077" s="451">
        <v>20.2</v>
      </c>
      <c r="E11077" s="210"/>
    </row>
    <row r="11078" spans="1:5" ht="25.5">
      <c r="A11078" s="449">
        <v>37591</v>
      </c>
      <c r="B11078" s="450" t="s">
        <v>11900</v>
      </c>
      <c r="C11078" s="449" t="s">
        <v>679</v>
      </c>
      <c r="D11078" s="451">
        <v>24.28</v>
      </c>
      <c r="E11078" s="210"/>
    </row>
    <row r="11079" spans="1:5" ht="38.25">
      <c r="A11079" s="449">
        <v>12626</v>
      </c>
      <c r="B11079" s="450" t="s">
        <v>11901</v>
      </c>
      <c r="C11079" s="449" t="s">
        <v>679</v>
      </c>
      <c r="D11079" s="451">
        <v>16.22</v>
      </c>
      <c r="E11079" s="210"/>
    </row>
    <row r="11080" spans="1:5" ht="25.5">
      <c r="A11080" s="449">
        <v>11033</v>
      </c>
      <c r="B11080" s="450" t="s">
        <v>11902</v>
      </c>
      <c r="C11080" s="449" t="s">
        <v>679</v>
      </c>
      <c r="D11080" s="451">
        <v>6.54</v>
      </c>
      <c r="E11080" s="210"/>
    </row>
    <row r="11081" spans="1:5" ht="25.5">
      <c r="A11081" s="449">
        <v>390</v>
      </c>
      <c r="B11081" s="450" t="s">
        <v>11903</v>
      </c>
      <c r="C11081" s="449" t="s">
        <v>679</v>
      </c>
      <c r="D11081" s="451">
        <v>14.75</v>
      </c>
      <c r="E11081" s="210"/>
    </row>
    <row r="11082" spans="1:5" ht="63.75">
      <c r="A11082" s="449">
        <v>42436</v>
      </c>
      <c r="B11082" s="450" t="s">
        <v>11904</v>
      </c>
      <c r="C11082" s="449" t="s">
        <v>679</v>
      </c>
      <c r="D11082" s="451">
        <v>2069.7199999999998</v>
      </c>
      <c r="E11082" s="210"/>
    </row>
    <row r="11083" spans="1:5" ht="38.25">
      <c r="A11083" s="449">
        <v>6193</v>
      </c>
      <c r="B11083" s="450" t="s">
        <v>11905</v>
      </c>
      <c r="C11083" s="449" t="s">
        <v>683</v>
      </c>
      <c r="D11083" s="451">
        <v>10.67</v>
      </c>
      <c r="E11083" s="210"/>
    </row>
    <row r="11084" spans="1:5" ht="25.5">
      <c r="A11084" s="449">
        <v>6194</v>
      </c>
      <c r="B11084" s="450" t="s">
        <v>11906</v>
      </c>
      <c r="C11084" s="449" t="s">
        <v>683</v>
      </c>
      <c r="D11084" s="451">
        <v>5.81</v>
      </c>
      <c r="E11084" s="210"/>
    </row>
    <row r="11085" spans="1:5" ht="25.5">
      <c r="A11085" s="449">
        <v>10567</v>
      </c>
      <c r="B11085" s="450" t="s">
        <v>11907</v>
      </c>
      <c r="C11085" s="449" t="s">
        <v>683</v>
      </c>
      <c r="D11085" s="451">
        <v>9.1999999999999993</v>
      </c>
      <c r="E11085" s="210"/>
    </row>
    <row r="11086" spans="1:5" ht="25.5">
      <c r="A11086" s="449">
        <v>6212</v>
      </c>
      <c r="B11086" s="450" t="s">
        <v>11908</v>
      </c>
      <c r="C11086" s="449" t="s">
        <v>683</v>
      </c>
      <c r="D11086" s="451">
        <v>13.5</v>
      </c>
      <c r="E11086" s="210"/>
    </row>
    <row r="11087" spans="1:5" ht="38.25">
      <c r="A11087" s="449">
        <v>3993</v>
      </c>
      <c r="B11087" s="450" t="s">
        <v>11909</v>
      </c>
      <c r="C11087" s="449" t="s">
        <v>684</v>
      </c>
      <c r="D11087" s="451">
        <v>68.959999999999994</v>
      </c>
      <c r="E11087" s="210"/>
    </row>
    <row r="11088" spans="1:5" ht="38.25">
      <c r="A11088" s="449">
        <v>3990</v>
      </c>
      <c r="B11088" s="450" t="s">
        <v>11910</v>
      </c>
      <c r="C11088" s="449" t="s">
        <v>683</v>
      </c>
      <c r="D11088" s="451">
        <v>12.97</v>
      </c>
      <c r="E11088" s="210"/>
    </row>
    <row r="11089" spans="1:5" ht="38.25">
      <c r="A11089" s="449">
        <v>3992</v>
      </c>
      <c r="B11089" s="450" t="s">
        <v>11911</v>
      </c>
      <c r="C11089" s="449" t="s">
        <v>683</v>
      </c>
      <c r="D11089" s="451">
        <v>17.510000000000002</v>
      </c>
      <c r="E11089" s="210"/>
    </row>
    <row r="11090" spans="1:5" ht="38.25">
      <c r="A11090" s="449">
        <v>6178</v>
      </c>
      <c r="B11090" s="450" t="s">
        <v>11912</v>
      </c>
      <c r="C11090" s="449" t="s">
        <v>684</v>
      </c>
      <c r="D11090" s="451">
        <v>231.64</v>
      </c>
      <c r="E11090" s="210"/>
    </row>
    <row r="11091" spans="1:5" ht="38.25">
      <c r="A11091" s="449">
        <v>6180</v>
      </c>
      <c r="B11091" s="450" t="s">
        <v>11913</v>
      </c>
      <c r="C11091" s="449" t="s">
        <v>684</v>
      </c>
      <c r="D11091" s="451">
        <v>250</v>
      </c>
      <c r="E11091" s="210"/>
    </row>
    <row r="11092" spans="1:5" ht="38.25">
      <c r="A11092" s="449">
        <v>6182</v>
      </c>
      <c r="B11092" s="450" t="s">
        <v>11914</v>
      </c>
      <c r="C11092" s="449" t="s">
        <v>684</v>
      </c>
      <c r="D11092" s="451">
        <v>310.31</v>
      </c>
      <c r="E11092" s="210"/>
    </row>
    <row r="11093" spans="1:5" ht="38.25">
      <c r="A11093" s="449">
        <v>43614</v>
      </c>
      <c r="B11093" s="450" t="s">
        <v>11915</v>
      </c>
      <c r="C11093" s="449" t="s">
        <v>683</v>
      </c>
      <c r="D11093" s="451">
        <v>8.76</v>
      </c>
      <c r="E11093" s="210"/>
    </row>
    <row r="11094" spans="1:5" ht="38.25">
      <c r="A11094" s="449">
        <v>6189</v>
      </c>
      <c r="B11094" s="450" t="s">
        <v>11916</v>
      </c>
      <c r="C11094" s="449" t="s">
        <v>683</v>
      </c>
      <c r="D11094" s="451">
        <v>15.57</v>
      </c>
      <c r="E11094" s="210"/>
    </row>
    <row r="11095" spans="1:5" ht="25.5">
      <c r="A11095" s="449">
        <v>6214</v>
      </c>
      <c r="B11095" s="450" t="s">
        <v>11917</v>
      </c>
      <c r="C11095" s="449" t="s">
        <v>684</v>
      </c>
      <c r="D11095" s="451">
        <v>145.1</v>
      </c>
      <c r="E11095" s="210"/>
    </row>
    <row r="11096" spans="1:5" ht="38.25">
      <c r="A11096" s="449">
        <v>36153</v>
      </c>
      <c r="B11096" s="450" t="s">
        <v>11918</v>
      </c>
      <c r="C11096" s="449" t="s">
        <v>679</v>
      </c>
      <c r="D11096" s="451">
        <v>189.92</v>
      </c>
      <c r="E11096" s="210"/>
    </row>
    <row r="11097" spans="1:5" ht="25.5">
      <c r="A11097" s="449">
        <v>10740</v>
      </c>
      <c r="B11097" s="450" t="s">
        <v>11919</v>
      </c>
      <c r="C11097" s="449" t="s">
        <v>679</v>
      </c>
      <c r="D11097" s="451">
        <v>11580.71</v>
      </c>
      <c r="E11097" s="210"/>
    </row>
    <row r="11098" spans="1:5" ht="25.5">
      <c r="A11098" s="449">
        <v>13914</v>
      </c>
      <c r="B11098" s="450" t="s">
        <v>11920</v>
      </c>
      <c r="C11098" s="449" t="s">
        <v>679</v>
      </c>
      <c r="D11098" s="451">
        <v>837.91</v>
      </c>
      <c r="E11098" s="210"/>
    </row>
    <row r="11099" spans="1:5" ht="25.5">
      <c r="A11099" s="449">
        <v>10742</v>
      </c>
      <c r="B11099" s="450" t="s">
        <v>11921</v>
      </c>
      <c r="C11099" s="449" t="s">
        <v>679</v>
      </c>
      <c r="D11099" s="451">
        <v>1222.0999999999999</v>
      </c>
      <c r="E11099" s="210"/>
    </row>
    <row r="11100" spans="1:5" ht="25.5">
      <c r="A11100" s="449">
        <v>38465</v>
      </c>
      <c r="B11100" s="450" t="s">
        <v>11922</v>
      </c>
      <c r="C11100" s="449" t="s">
        <v>679</v>
      </c>
      <c r="D11100" s="451">
        <v>26.73</v>
      </c>
      <c r="E11100" s="210"/>
    </row>
    <row r="11101" spans="1:5">
      <c r="A11101" s="449">
        <v>7543</v>
      </c>
      <c r="B11101" s="450" t="s">
        <v>11923</v>
      </c>
      <c r="C11101" s="449" t="s">
        <v>679</v>
      </c>
      <c r="D11101" s="451">
        <v>3.92</v>
      </c>
      <c r="E11101" s="210"/>
    </row>
    <row r="11102" spans="1:5" ht="38.25">
      <c r="A11102" s="449">
        <v>43427</v>
      </c>
      <c r="B11102" s="450" t="s">
        <v>11924</v>
      </c>
      <c r="C11102" s="449" t="s">
        <v>679</v>
      </c>
      <c r="D11102" s="451">
        <v>1612.9</v>
      </c>
      <c r="E11102" s="210"/>
    </row>
    <row r="11103" spans="1:5" ht="25.5">
      <c r="A11103" s="449">
        <v>41613</v>
      </c>
      <c r="B11103" s="450" t="s">
        <v>11925</v>
      </c>
      <c r="C11103" s="449" t="s">
        <v>679</v>
      </c>
      <c r="D11103" s="451">
        <v>103.68</v>
      </c>
      <c r="E11103" s="210"/>
    </row>
    <row r="11104" spans="1:5" ht="25.5">
      <c r="A11104" s="449">
        <v>41614</v>
      </c>
      <c r="B11104" s="450" t="s">
        <v>11926</v>
      </c>
      <c r="C11104" s="449" t="s">
        <v>679</v>
      </c>
      <c r="D11104" s="451">
        <v>132.1</v>
      </c>
      <c r="E11104" s="210"/>
    </row>
    <row r="11105" spans="1:5" ht="25.5">
      <c r="A11105" s="449">
        <v>41615</v>
      </c>
      <c r="B11105" s="450" t="s">
        <v>11927</v>
      </c>
      <c r="C11105" s="449" t="s">
        <v>679</v>
      </c>
      <c r="D11105" s="451">
        <v>204.18</v>
      </c>
      <c r="E11105" s="210"/>
    </row>
    <row r="11106" spans="1:5" ht="25.5">
      <c r="A11106" s="449">
        <v>41616</v>
      </c>
      <c r="B11106" s="450" t="s">
        <v>11928</v>
      </c>
      <c r="C11106" s="449" t="s">
        <v>679</v>
      </c>
      <c r="D11106" s="451">
        <v>305.08</v>
      </c>
      <c r="E11106" s="210"/>
    </row>
    <row r="11107" spans="1:5" ht="25.5">
      <c r="A11107" s="449">
        <v>41617</v>
      </c>
      <c r="B11107" s="450" t="s">
        <v>11929</v>
      </c>
      <c r="C11107" s="449" t="s">
        <v>679</v>
      </c>
      <c r="D11107" s="451">
        <v>606.61</v>
      </c>
      <c r="E11107" s="210"/>
    </row>
    <row r="11108" spans="1:5" ht="25.5">
      <c r="A11108" s="449">
        <v>41618</v>
      </c>
      <c r="B11108" s="450" t="s">
        <v>11930</v>
      </c>
      <c r="C11108" s="449" t="s">
        <v>679</v>
      </c>
      <c r="D11108" s="451">
        <v>1116.74</v>
      </c>
      <c r="E11108" s="210"/>
    </row>
    <row r="11109" spans="1:5" ht="51">
      <c r="A11109" s="449">
        <v>43428</v>
      </c>
      <c r="B11109" s="450" t="s">
        <v>11931</v>
      </c>
      <c r="C11109" s="449" t="s">
        <v>679</v>
      </c>
      <c r="D11109" s="451">
        <v>1961.57</v>
      </c>
      <c r="E11109" s="210"/>
    </row>
    <row r="11110" spans="1:5" ht="25.5">
      <c r="A11110" s="449">
        <v>41619</v>
      </c>
      <c r="B11110" s="450" t="s">
        <v>11932</v>
      </c>
      <c r="C11110" s="449" t="s">
        <v>679</v>
      </c>
      <c r="D11110" s="451">
        <v>127.09</v>
      </c>
      <c r="E11110" s="210"/>
    </row>
    <row r="11111" spans="1:5" ht="25.5">
      <c r="A11111" s="449">
        <v>41620</v>
      </c>
      <c r="B11111" s="450" t="s">
        <v>11933</v>
      </c>
      <c r="C11111" s="449" t="s">
        <v>679</v>
      </c>
      <c r="D11111" s="451">
        <v>160.53</v>
      </c>
      <c r="E11111" s="210"/>
    </row>
    <row r="11112" spans="1:5" ht="25.5">
      <c r="A11112" s="449">
        <v>41622</v>
      </c>
      <c r="B11112" s="450" t="s">
        <v>11934</v>
      </c>
      <c r="C11112" s="449" t="s">
        <v>679</v>
      </c>
      <c r="D11112" s="451">
        <v>278.43</v>
      </c>
      <c r="E11112" s="210"/>
    </row>
    <row r="11113" spans="1:5" ht="25.5">
      <c r="A11113" s="449">
        <v>41623</v>
      </c>
      <c r="B11113" s="450" t="s">
        <v>11935</v>
      </c>
      <c r="C11113" s="449" t="s">
        <v>679</v>
      </c>
      <c r="D11113" s="451">
        <v>428.1</v>
      </c>
      <c r="E11113" s="210"/>
    </row>
    <row r="11114" spans="1:5" ht="25.5">
      <c r="A11114" s="449">
        <v>41624</v>
      </c>
      <c r="B11114" s="450" t="s">
        <v>11936</v>
      </c>
      <c r="C11114" s="449" t="s">
        <v>679</v>
      </c>
      <c r="D11114" s="451">
        <v>802.68</v>
      </c>
      <c r="E11114" s="210"/>
    </row>
    <row r="11115" spans="1:5" ht="25.5">
      <c r="A11115" s="449">
        <v>41625</v>
      </c>
      <c r="B11115" s="450" t="s">
        <v>11937</v>
      </c>
      <c r="C11115" s="449" t="s">
        <v>679</v>
      </c>
      <c r="D11115" s="451">
        <v>1234.97</v>
      </c>
      <c r="E11115" s="210"/>
    </row>
    <row r="11116" spans="1:5" ht="25.5">
      <c r="A11116" s="449">
        <v>39352</v>
      </c>
      <c r="B11116" s="450" t="s">
        <v>11938</v>
      </c>
      <c r="C11116" s="449" t="s">
        <v>679</v>
      </c>
      <c r="D11116" s="451">
        <v>2.42</v>
      </c>
      <c r="E11116" s="210"/>
    </row>
    <row r="11117" spans="1:5" ht="25.5">
      <c r="A11117" s="449">
        <v>39346</v>
      </c>
      <c r="B11117" s="450" t="s">
        <v>11939</v>
      </c>
      <c r="C11117" s="449" t="s">
        <v>679</v>
      </c>
      <c r="D11117" s="451">
        <v>2.42</v>
      </c>
      <c r="E11117" s="210"/>
    </row>
    <row r="11118" spans="1:5" ht="25.5">
      <c r="A11118" s="449">
        <v>39350</v>
      </c>
      <c r="B11118" s="450" t="s">
        <v>11940</v>
      </c>
      <c r="C11118" s="449" t="s">
        <v>679</v>
      </c>
      <c r="D11118" s="451">
        <v>2.6</v>
      </c>
      <c r="E11118" s="210"/>
    </row>
    <row r="11119" spans="1:5" ht="25.5">
      <c r="A11119" s="449">
        <v>39351</v>
      </c>
      <c r="B11119" s="450" t="s">
        <v>11941</v>
      </c>
      <c r="C11119" s="449" t="s">
        <v>679</v>
      </c>
      <c r="D11119" s="451">
        <v>3.01</v>
      </c>
      <c r="E11119" s="210"/>
    </row>
    <row r="11120" spans="1:5" ht="25.5">
      <c r="A11120" s="449">
        <v>38952</v>
      </c>
      <c r="B11120" s="450" t="s">
        <v>11942</v>
      </c>
      <c r="C11120" s="449" t="s">
        <v>679</v>
      </c>
      <c r="D11120" s="451">
        <v>4.37</v>
      </c>
      <c r="E11120" s="210"/>
    </row>
    <row r="11121" spans="1:5" ht="25.5">
      <c r="A11121" s="449">
        <v>38953</v>
      </c>
      <c r="B11121" s="450" t="s">
        <v>11943</v>
      </c>
      <c r="C11121" s="449" t="s">
        <v>679</v>
      </c>
      <c r="D11121" s="451">
        <v>6.88</v>
      </c>
      <c r="E11121" s="210"/>
    </row>
    <row r="11122" spans="1:5" ht="25.5">
      <c r="A11122" s="449">
        <v>38835</v>
      </c>
      <c r="B11122" s="450" t="s">
        <v>11944</v>
      </c>
      <c r="C11122" s="449" t="s">
        <v>679</v>
      </c>
      <c r="D11122" s="451">
        <v>6.18</v>
      </c>
      <c r="E11122" s="210"/>
    </row>
    <row r="11123" spans="1:5" ht="25.5">
      <c r="A11123" s="449">
        <v>38837</v>
      </c>
      <c r="B11123" s="450" t="s">
        <v>11945</v>
      </c>
      <c r="C11123" s="449" t="s">
        <v>679</v>
      </c>
      <c r="D11123" s="451">
        <v>16.079999999999998</v>
      </c>
      <c r="E11123" s="210"/>
    </row>
    <row r="11124" spans="1:5" ht="25.5">
      <c r="A11124" s="449">
        <v>38836</v>
      </c>
      <c r="B11124" s="450" t="s">
        <v>11946</v>
      </c>
      <c r="C11124" s="449" t="s">
        <v>679</v>
      </c>
      <c r="D11124" s="451">
        <v>8.9</v>
      </c>
      <c r="E11124" s="210"/>
    </row>
    <row r="11125" spans="1:5" ht="38.25">
      <c r="A11125" s="449">
        <v>2666</v>
      </c>
      <c r="B11125" s="450" t="s">
        <v>11947</v>
      </c>
      <c r="C11125" s="449" t="s">
        <v>679</v>
      </c>
      <c r="D11125" s="451">
        <v>5.55</v>
      </c>
      <c r="E11125" s="210"/>
    </row>
    <row r="11126" spans="1:5" ht="38.25">
      <c r="A11126" s="449">
        <v>2668</v>
      </c>
      <c r="B11126" s="450" t="s">
        <v>11948</v>
      </c>
      <c r="C11126" s="449" t="s">
        <v>679</v>
      </c>
      <c r="D11126" s="451">
        <v>6.34</v>
      </c>
      <c r="E11126" s="210"/>
    </row>
    <row r="11127" spans="1:5" ht="38.25">
      <c r="A11127" s="449">
        <v>2664</v>
      </c>
      <c r="B11127" s="450" t="s">
        <v>11949</v>
      </c>
      <c r="C11127" s="449" t="s">
        <v>679</v>
      </c>
      <c r="D11127" s="451">
        <v>9.35</v>
      </c>
      <c r="E11127" s="210"/>
    </row>
    <row r="11128" spans="1:5" ht="38.25">
      <c r="A11128" s="449">
        <v>2662</v>
      </c>
      <c r="B11128" s="450" t="s">
        <v>11950</v>
      </c>
      <c r="C11128" s="449" t="s">
        <v>679</v>
      </c>
      <c r="D11128" s="451">
        <v>11.47</v>
      </c>
      <c r="E11128" s="210"/>
    </row>
    <row r="11129" spans="1:5" ht="38.25">
      <c r="A11129" s="449">
        <v>20964</v>
      </c>
      <c r="B11129" s="450" t="s">
        <v>11951</v>
      </c>
      <c r="C11129" s="449" t="s">
        <v>679</v>
      </c>
      <c r="D11129" s="451">
        <v>59.54</v>
      </c>
      <c r="E11129" s="210"/>
    </row>
    <row r="11130" spans="1:5" ht="38.25">
      <c r="A11130" s="449">
        <v>10905</v>
      </c>
      <c r="B11130" s="450" t="s">
        <v>11952</v>
      </c>
      <c r="C11130" s="449" t="s">
        <v>679</v>
      </c>
      <c r="D11130" s="451">
        <v>79.88</v>
      </c>
      <c r="E11130" s="210"/>
    </row>
    <row r="11131" spans="1:5" ht="25.5">
      <c r="A11131" s="449">
        <v>42703</v>
      </c>
      <c r="B11131" s="450" t="s">
        <v>11953</v>
      </c>
      <c r="C11131" s="449" t="s">
        <v>679</v>
      </c>
      <c r="D11131" s="451">
        <v>112.99</v>
      </c>
      <c r="E11131" s="210"/>
    </row>
    <row r="11132" spans="1:5" ht="25.5">
      <c r="A11132" s="449">
        <v>42704</v>
      </c>
      <c r="B11132" s="450" t="s">
        <v>11954</v>
      </c>
      <c r="C11132" s="449" t="s">
        <v>679</v>
      </c>
      <c r="D11132" s="451">
        <v>173.46</v>
      </c>
      <c r="E11132" s="210"/>
    </row>
    <row r="11133" spans="1:5" ht="25.5">
      <c r="A11133" s="449">
        <v>42705</v>
      </c>
      <c r="B11133" s="450" t="s">
        <v>11955</v>
      </c>
      <c r="C11133" s="449" t="s">
        <v>679</v>
      </c>
      <c r="D11133" s="451">
        <v>221.31</v>
      </c>
      <c r="E11133" s="210"/>
    </row>
    <row r="11134" spans="1:5" ht="25.5">
      <c r="A11134" s="449">
        <v>42706</v>
      </c>
      <c r="B11134" s="450" t="s">
        <v>11956</v>
      </c>
      <c r="C11134" s="449" t="s">
        <v>679</v>
      </c>
      <c r="D11134" s="451">
        <v>274.08999999999997</v>
      </c>
      <c r="E11134" s="210"/>
    </row>
    <row r="11135" spans="1:5" ht="25.5">
      <c r="A11135" s="449">
        <v>11289</v>
      </c>
      <c r="B11135" s="450" t="s">
        <v>11957</v>
      </c>
      <c r="C11135" s="449" t="s">
        <v>679</v>
      </c>
      <c r="D11135" s="451">
        <v>104.18</v>
      </c>
      <c r="E11135" s="210"/>
    </row>
    <row r="11136" spans="1:5" ht="25.5">
      <c r="A11136" s="449">
        <v>11241</v>
      </c>
      <c r="B11136" s="450" t="s">
        <v>11958</v>
      </c>
      <c r="C11136" s="449" t="s">
        <v>679</v>
      </c>
      <c r="D11136" s="451">
        <v>260.45999999999998</v>
      </c>
      <c r="E11136" s="210"/>
    </row>
    <row r="11137" spans="1:5" ht="38.25">
      <c r="A11137" s="449">
        <v>11301</v>
      </c>
      <c r="B11137" s="450" t="s">
        <v>11959</v>
      </c>
      <c r="C11137" s="449" t="s">
        <v>679</v>
      </c>
      <c r="D11137" s="451">
        <v>660.46</v>
      </c>
      <c r="E11137" s="210"/>
    </row>
    <row r="11138" spans="1:5" ht="38.25">
      <c r="A11138" s="449">
        <v>21090</v>
      </c>
      <c r="B11138" s="450" t="s">
        <v>11960</v>
      </c>
      <c r="C11138" s="449" t="s">
        <v>679</v>
      </c>
      <c r="D11138" s="451">
        <v>809.3</v>
      </c>
      <c r="E11138" s="210"/>
    </row>
    <row r="11139" spans="1:5" ht="38.25">
      <c r="A11139" s="449">
        <v>14112</v>
      </c>
      <c r="B11139" s="450" t="s">
        <v>11961</v>
      </c>
      <c r="C11139" s="449" t="s">
        <v>679</v>
      </c>
      <c r="D11139" s="451">
        <v>337.67</v>
      </c>
      <c r="E11139" s="210"/>
    </row>
    <row r="11140" spans="1:5" ht="38.25">
      <c r="A11140" s="449">
        <v>11315</v>
      </c>
      <c r="B11140" s="450" t="s">
        <v>11962</v>
      </c>
      <c r="C11140" s="449" t="s">
        <v>679</v>
      </c>
      <c r="D11140" s="451">
        <v>158.13</v>
      </c>
      <c r="E11140" s="210"/>
    </row>
    <row r="11141" spans="1:5" ht="38.25">
      <c r="A11141" s="449">
        <v>21071</v>
      </c>
      <c r="B11141" s="450" t="s">
        <v>11963</v>
      </c>
      <c r="C11141" s="449" t="s">
        <v>679</v>
      </c>
      <c r="D11141" s="451">
        <v>241.86</v>
      </c>
      <c r="E11141" s="210"/>
    </row>
    <row r="11142" spans="1:5" ht="38.25">
      <c r="A11142" s="449">
        <v>11316</v>
      </c>
      <c r="B11142" s="450" t="s">
        <v>11964</v>
      </c>
      <c r="C11142" s="449" t="s">
        <v>679</v>
      </c>
      <c r="D11142" s="451">
        <v>520.92999999999995</v>
      </c>
      <c r="E11142" s="210"/>
    </row>
    <row r="11143" spans="1:5" ht="38.25">
      <c r="A11143" s="449">
        <v>6243</v>
      </c>
      <c r="B11143" s="450" t="s">
        <v>11965</v>
      </c>
      <c r="C11143" s="449" t="s">
        <v>679</v>
      </c>
      <c r="D11143" s="451">
        <v>600</v>
      </c>
      <c r="E11143" s="210"/>
    </row>
    <row r="11144" spans="1:5" ht="38.25">
      <c r="A11144" s="449">
        <v>6240</v>
      </c>
      <c r="B11144" s="450" t="s">
        <v>11966</v>
      </c>
      <c r="C11144" s="449" t="s">
        <v>679</v>
      </c>
      <c r="D11144" s="451">
        <v>794.41</v>
      </c>
      <c r="E11144" s="210"/>
    </row>
    <row r="11145" spans="1:5" ht="38.25">
      <c r="A11145" s="449">
        <v>11296</v>
      </c>
      <c r="B11145" s="450" t="s">
        <v>11967</v>
      </c>
      <c r="C11145" s="449" t="s">
        <v>679</v>
      </c>
      <c r="D11145" s="451">
        <v>2531.16</v>
      </c>
      <c r="E11145" s="210"/>
    </row>
    <row r="11146" spans="1:5" ht="25.5">
      <c r="A11146" s="449">
        <v>11299</v>
      </c>
      <c r="B11146" s="450" t="s">
        <v>11968</v>
      </c>
      <c r="C11146" s="449" t="s">
        <v>679</v>
      </c>
      <c r="D11146" s="451">
        <v>856.74</v>
      </c>
      <c r="E11146" s="210"/>
    </row>
    <row r="11147" spans="1:5" ht="38.25">
      <c r="A11147" s="449">
        <v>11066</v>
      </c>
      <c r="B11147" s="450" t="s">
        <v>11969</v>
      </c>
      <c r="C11147" s="449" t="s">
        <v>679</v>
      </c>
      <c r="D11147" s="451">
        <v>15.91</v>
      </c>
      <c r="E11147" s="210"/>
    </row>
    <row r="11148" spans="1:5" ht="38.25">
      <c r="A11148" s="449">
        <v>11065</v>
      </c>
      <c r="B11148" s="450" t="s">
        <v>11970</v>
      </c>
      <c r="C11148" s="449" t="s">
        <v>679</v>
      </c>
      <c r="D11148" s="451">
        <v>18.239999999999998</v>
      </c>
      <c r="E11148" s="210"/>
    </row>
    <row r="11149" spans="1:5" ht="25.5">
      <c r="A11149" s="449">
        <v>11688</v>
      </c>
      <c r="B11149" s="450" t="s">
        <v>11971</v>
      </c>
      <c r="C11149" s="449" t="s">
        <v>679</v>
      </c>
      <c r="D11149" s="451">
        <v>473.51</v>
      </c>
      <c r="E11149" s="210"/>
    </row>
    <row r="11150" spans="1:5" ht="63.75">
      <c r="A11150" s="449">
        <v>37736</v>
      </c>
      <c r="B11150" s="450" t="s">
        <v>11972</v>
      </c>
      <c r="C11150" s="449" t="s">
        <v>679</v>
      </c>
      <c r="D11150" s="451">
        <v>80950</v>
      </c>
      <c r="E11150" s="210"/>
    </row>
    <row r="11151" spans="1:5" ht="38.25">
      <c r="A11151" s="449">
        <v>37739</v>
      </c>
      <c r="B11151" s="450" t="s">
        <v>11973</v>
      </c>
      <c r="C11151" s="449" t="s">
        <v>679</v>
      </c>
      <c r="D11151" s="451">
        <v>99630.76</v>
      </c>
      <c r="E11151" s="210"/>
    </row>
    <row r="11152" spans="1:5" ht="38.25">
      <c r="A11152" s="449">
        <v>37740</v>
      </c>
      <c r="B11152" s="450" t="s">
        <v>11974</v>
      </c>
      <c r="C11152" s="449" t="s">
        <v>679</v>
      </c>
      <c r="D11152" s="451">
        <v>56854.51</v>
      </c>
      <c r="E11152" s="210"/>
    </row>
    <row r="11153" spans="1:5" ht="38.25">
      <c r="A11153" s="449">
        <v>37738</v>
      </c>
      <c r="B11153" s="450" t="s">
        <v>11975</v>
      </c>
      <c r="C11153" s="449" t="s">
        <v>679</v>
      </c>
      <c r="D11153" s="451">
        <v>67548.58</v>
      </c>
      <c r="E11153" s="210"/>
    </row>
    <row r="11154" spans="1:5" ht="38.25">
      <c r="A11154" s="449">
        <v>37737</v>
      </c>
      <c r="B11154" s="450" t="s">
        <v>11976</v>
      </c>
      <c r="C11154" s="449" t="s">
        <v>679</v>
      </c>
      <c r="D11154" s="451">
        <v>53741.05</v>
      </c>
      <c r="E11154" s="210"/>
    </row>
    <row r="11155" spans="1:5" ht="25.5">
      <c r="A11155" s="449">
        <v>25014</v>
      </c>
      <c r="B11155" s="450" t="s">
        <v>11977</v>
      </c>
      <c r="C11155" s="449" t="s">
        <v>679</v>
      </c>
      <c r="D11155" s="451">
        <v>112558.39999999999</v>
      </c>
      <c r="E11155" s="210"/>
    </row>
    <row r="11156" spans="1:5" ht="25.5">
      <c r="A11156" s="449">
        <v>25013</v>
      </c>
      <c r="B11156" s="450" t="s">
        <v>11978</v>
      </c>
      <c r="C11156" s="449" t="s">
        <v>679</v>
      </c>
      <c r="D11156" s="451">
        <v>117973.12</v>
      </c>
      <c r="E11156" s="210"/>
    </row>
    <row r="11157" spans="1:5" ht="25.5">
      <c r="A11157" s="449">
        <v>14405</v>
      </c>
      <c r="B11157" s="450" t="s">
        <v>11979</v>
      </c>
      <c r="C11157" s="449" t="s">
        <v>679</v>
      </c>
      <c r="D11157" s="451">
        <v>138481.35</v>
      </c>
      <c r="E11157" s="210"/>
    </row>
    <row r="11158" spans="1:5">
      <c r="A11158" s="449">
        <v>20271</v>
      </c>
      <c r="B11158" s="450" t="s">
        <v>11980</v>
      </c>
      <c r="C11158" s="449" t="s">
        <v>679</v>
      </c>
      <c r="D11158" s="451">
        <v>431.59</v>
      </c>
      <c r="E11158" s="210"/>
    </row>
    <row r="11159" spans="1:5">
      <c r="A11159" s="449">
        <v>10423</v>
      </c>
      <c r="B11159" s="450" t="s">
        <v>11981</v>
      </c>
      <c r="C11159" s="449" t="s">
        <v>679</v>
      </c>
      <c r="D11159" s="451">
        <v>316.89</v>
      </c>
      <c r="E11159" s="210"/>
    </row>
    <row r="11160" spans="1:5" ht="25.5">
      <c r="A11160" s="449">
        <v>36790</v>
      </c>
      <c r="B11160" s="450" t="s">
        <v>11982</v>
      </c>
      <c r="C11160" s="449" t="s">
        <v>679</v>
      </c>
      <c r="D11160" s="451">
        <v>262.64999999999998</v>
      </c>
      <c r="E11160" s="210"/>
    </row>
    <row r="11161" spans="1:5" ht="25.5">
      <c r="A11161" s="449">
        <v>37589</v>
      </c>
      <c r="B11161" s="450" t="s">
        <v>11983</v>
      </c>
      <c r="C11161" s="449" t="s">
        <v>679</v>
      </c>
      <c r="D11161" s="451">
        <v>321.82</v>
      </c>
      <c r="E11161" s="210"/>
    </row>
    <row r="11162" spans="1:5" ht="38.25">
      <c r="A11162" s="449">
        <v>11690</v>
      </c>
      <c r="B11162" s="450" t="s">
        <v>11984</v>
      </c>
      <c r="C11162" s="449" t="s">
        <v>679</v>
      </c>
      <c r="D11162" s="451">
        <v>170.96</v>
      </c>
      <c r="E11162" s="210"/>
    </row>
    <row r="11163" spans="1:5" ht="25.5">
      <c r="A11163" s="449">
        <v>20234</v>
      </c>
      <c r="B11163" s="450" t="s">
        <v>11985</v>
      </c>
      <c r="C11163" s="449" t="s">
        <v>679</v>
      </c>
      <c r="D11163" s="451">
        <v>216.35</v>
      </c>
      <c r="E11163" s="210"/>
    </row>
    <row r="11164" spans="1:5">
      <c r="A11164" s="449">
        <v>4763</v>
      </c>
      <c r="B11164" s="450" t="s">
        <v>11986</v>
      </c>
      <c r="C11164" s="449" t="s">
        <v>682</v>
      </c>
      <c r="D11164" s="451">
        <v>16.75</v>
      </c>
      <c r="E11164" s="210"/>
    </row>
    <row r="11165" spans="1:5">
      <c r="A11165" s="449">
        <v>41070</v>
      </c>
      <c r="B11165" s="450" t="s">
        <v>11987</v>
      </c>
      <c r="C11165" s="449" t="s">
        <v>797</v>
      </c>
      <c r="D11165" s="451">
        <v>2970.7</v>
      </c>
      <c r="E11165" s="210"/>
    </row>
    <row r="11166" spans="1:5" ht="25.5">
      <c r="A11166" s="449">
        <v>14583</v>
      </c>
      <c r="B11166" s="450" t="s">
        <v>11988</v>
      </c>
      <c r="C11166" s="449" t="s">
        <v>677</v>
      </c>
      <c r="D11166" s="451">
        <v>16.27</v>
      </c>
      <c r="E11166" s="210"/>
    </row>
    <row r="11167" spans="1:5" ht="38.25">
      <c r="A11167" s="449">
        <v>11457</v>
      </c>
      <c r="B11167" s="450" t="s">
        <v>11989</v>
      </c>
      <c r="C11167" s="449" t="s">
        <v>679</v>
      </c>
      <c r="D11167" s="451">
        <v>49.21</v>
      </c>
      <c r="E11167" s="210"/>
    </row>
    <row r="11168" spans="1:5" ht="25.5">
      <c r="A11168" s="449">
        <v>21121</v>
      </c>
      <c r="B11168" s="450" t="s">
        <v>11990</v>
      </c>
      <c r="C11168" s="449" t="s">
        <v>679</v>
      </c>
      <c r="D11168" s="451">
        <v>4.42</v>
      </c>
      <c r="E11168" s="210"/>
    </row>
    <row r="11169" spans="1:5" ht="25.5">
      <c r="A11169" s="449">
        <v>38010</v>
      </c>
      <c r="B11169" s="450" t="s">
        <v>11991</v>
      </c>
      <c r="C11169" s="449" t="s">
        <v>679</v>
      </c>
      <c r="D11169" s="451">
        <v>7.23</v>
      </c>
      <c r="E11169" s="210"/>
    </row>
    <row r="11170" spans="1:5" ht="25.5">
      <c r="A11170" s="449">
        <v>38011</v>
      </c>
      <c r="B11170" s="450" t="s">
        <v>11992</v>
      </c>
      <c r="C11170" s="449" t="s">
        <v>679</v>
      </c>
      <c r="D11170" s="451">
        <v>13.35</v>
      </c>
      <c r="E11170" s="210"/>
    </row>
    <row r="11171" spans="1:5" ht="25.5">
      <c r="A11171" s="449">
        <v>38012</v>
      </c>
      <c r="B11171" s="450" t="s">
        <v>11993</v>
      </c>
      <c r="C11171" s="449" t="s">
        <v>679</v>
      </c>
      <c r="D11171" s="451">
        <v>45.6</v>
      </c>
      <c r="E11171" s="210"/>
    </row>
    <row r="11172" spans="1:5" ht="25.5">
      <c r="A11172" s="449">
        <v>38013</v>
      </c>
      <c r="B11172" s="450" t="s">
        <v>11994</v>
      </c>
      <c r="C11172" s="449" t="s">
        <v>679</v>
      </c>
      <c r="D11172" s="451">
        <v>59.2</v>
      </c>
      <c r="E11172" s="210"/>
    </row>
    <row r="11173" spans="1:5" ht="25.5">
      <c r="A11173" s="449">
        <v>38014</v>
      </c>
      <c r="B11173" s="450" t="s">
        <v>11995</v>
      </c>
      <c r="C11173" s="449" t="s">
        <v>679</v>
      </c>
      <c r="D11173" s="451">
        <v>96.34</v>
      </c>
      <c r="E11173" s="210"/>
    </row>
    <row r="11174" spans="1:5" ht="25.5">
      <c r="A11174" s="449">
        <v>38015</v>
      </c>
      <c r="B11174" s="450" t="s">
        <v>11996</v>
      </c>
      <c r="C11174" s="449" t="s">
        <v>679</v>
      </c>
      <c r="D11174" s="451">
        <v>232.62</v>
      </c>
      <c r="E11174" s="210"/>
    </row>
    <row r="11175" spans="1:5" ht="25.5">
      <c r="A11175" s="449">
        <v>38016</v>
      </c>
      <c r="B11175" s="450" t="s">
        <v>11997</v>
      </c>
      <c r="C11175" s="449" t="s">
        <v>679</v>
      </c>
      <c r="D11175" s="451">
        <v>283.04000000000002</v>
      </c>
      <c r="E11175" s="210"/>
    </row>
    <row r="11176" spans="1:5" ht="25.5">
      <c r="A11176" s="449">
        <v>12741</v>
      </c>
      <c r="B11176" s="450" t="s">
        <v>11998</v>
      </c>
      <c r="C11176" s="449" t="s">
        <v>679</v>
      </c>
      <c r="D11176" s="451">
        <v>1450.94</v>
      </c>
      <c r="E11176" s="210"/>
    </row>
    <row r="11177" spans="1:5" ht="25.5">
      <c r="A11177" s="449">
        <v>12733</v>
      </c>
      <c r="B11177" s="450" t="s">
        <v>11999</v>
      </c>
      <c r="C11177" s="449" t="s">
        <v>679</v>
      </c>
      <c r="D11177" s="451">
        <v>7.3</v>
      </c>
      <c r="E11177" s="210"/>
    </row>
    <row r="11178" spans="1:5" ht="25.5">
      <c r="A11178" s="449">
        <v>12734</v>
      </c>
      <c r="B11178" s="450" t="s">
        <v>12000</v>
      </c>
      <c r="C11178" s="449" t="s">
        <v>679</v>
      </c>
      <c r="D11178" s="451">
        <v>15.56</v>
      </c>
      <c r="E11178" s="210"/>
    </row>
    <row r="11179" spans="1:5" ht="25.5">
      <c r="A11179" s="449">
        <v>12735</v>
      </c>
      <c r="B11179" s="450" t="s">
        <v>12001</v>
      </c>
      <c r="C11179" s="449" t="s">
        <v>679</v>
      </c>
      <c r="D11179" s="451">
        <v>25.6</v>
      </c>
      <c r="E11179" s="210"/>
    </row>
    <row r="11180" spans="1:5" ht="25.5">
      <c r="A11180" s="449">
        <v>12736</v>
      </c>
      <c r="B11180" s="450" t="s">
        <v>12002</v>
      </c>
      <c r="C11180" s="449" t="s">
        <v>679</v>
      </c>
      <c r="D11180" s="451">
        <v>58.52</v>
      </c>
      <c r="E11180" s="210"/>
    </row>
    <row r="11181" spans="1:5" ht="25.5">
      <c r="A11181" s="449">
        <v>12737</v>
      </c>
      <c r="B11181" s="450" t="s">
        <v>12003</v>
      </c>
      <c r="C11181" s="449" t="s">
        <v>679</v>
      </c>
      <c r="D11181" s="451">
        <v>75.39</v>
      </c>
      <c r="E11181" s="210"/>
    </row>
    <row r="11182" spans="1:5" ht="25.5">
      <c r="A11182" s="449">
        <v>12738</v>
      </c>
      <c r="B11182" s="450" t="s">
        <v>12004</v>
      </c>
      <c r="C11182" s="449" t="s">
        <v>679</v>
      </c>
      <c r="D11182" s="451">
        <v>149</v>
      </c>
      <c r="E11182" s="210"/>
    </row>
    <row r="11183" spans="1:5" ht="25.5">
      <c r="A11183" s="449">
        <v>12739</v>
      </c>
      <c r="B11183" s="450" t="s">
        <v>12005</v>
      </c>
      <c r="C11183" s="449" t="s">
        <v>679</v>
      </c>
      <c r="D11183" s="451">
        <v>424.15</v>
      </c>
      <c r="E11183" s="210"/>
    </row>
    <row r="11184" spans="1:5" ht="25.5">
      <c r="A11184" s="449">
        <v>12740</v>
      </c>
      <c r="B11184" s="450" t="s">
        <v>12006</v>
      </c>
      <c r="C11184" s="449" t="s">
        <v>679</v>
      </c>
      <c r="D11184" s="451">
        <v>663.6</v>
      </c>
      <c r="E11184" s="210"/>
    </row>
    <row r="11185" spans="1:5">
      <c r="A11185" s="449">
        <v>6297</v>
      </c>
      <c r="B11185" s="450" t="s">
        <v>12007</v>
      </c>
      <c r="C11185" s="449" t="s">
        <v>679</v>
      </c>
      <c r="D11185" s="451">
        <v>31.35</v>
      </c>
      <c r="E11185" s="210"/>
    </row>
    <row r="11186" spans="1:5">
      <c r="A11186" s="449">
        <v>6296</v>
      </c>
      <c r="B11186" s="450" t="s">
        <v>12008</v>
      </c>
      <c r="C11186" s="449" t="s">
        <v>679</v>
      </c>
      <c r="D11186" s="451">
        <v>24.74</v>
      </c>
      <c r="E11186" s="210"/>
    </row>
    <row r="11187" spans="1:5">
      <c r="A11187" s="449">
        <v>6294</v>
      </c>
      <c r="B11187" s="450" t="s">
        <v>12009</v>
      </c>
      <c r="C11187" s="449" t="s">
        <v>679</v>
      </c>
      <c r="D11187" s="451">
        <v>7.05</v>
      </c>
      <c r="E11187" s="210"/>
    </row>
    <row r="11188" spans="1:5">
      <c r="A11188" s="449">
        <v>6323</v>
      </c>
      <c r="B11188" s="450" t="s">
        <v>12010</v>
      </c>
      <c r="C11188" s="449" t="s">
        <v>679</v>
      </c>
      <c r="D11188" s="451">
        <v>16.170000000000002</v>
      </c>
      <c r="E11188" s="210"/>
    </row>
    <row r="11189" spans="1:5">
      <c r="A11189" s="449">
        <v>6299</v>
      </c>
      <c r="B11189" s="450" t="s">
        <v>12011</v>
      </c>
      <c r="C11189" s="449" t="s">
        <v>679</v>
      </c>
      <c r="D11189" s="451">
        <v>94.29</v>
      </c>
      <c r="E11189" s="210"/>
    </row>
    <row r="11190" spans="1:5">
      <c r="A11190" s="449">
        <v>6298</v>
      </c>
      <c r="B11190" s="450" t="s">
        <v>12012</v>
      </c>
      <c r="C11190" s="449" t="s">
        <v>679</v>
      </c>
      <c r="D11190" s="451">
        <v>49.66</v>
      </c>
      <c r="E11190" s="210"/>
    </row>
    <row r="11191" spans="1:5">
      <c r="A11191" s="449">
        <v>6295</v>
      </c>
      <c r="B11191" s="450" t="s">
        <v>12013</v>
      </c>
      <c r="C11191" s="449" t="s">
        <v>679</v>
      </c>
      <c r="D11191" s="451">
        <v>10.039999999999999</v>
      </c>
      <c r="E11191" s="210"/>
    </row>
    <row r="11192" spans="1:5">
      <c r="A11192" s="449">
        <v>6322</v>
      </c>
      <c r="B11192" s="450" t="s">
        <v>12014</v>
      </c>
      <c r="C11192" s="449" t="s">
        <v>679</v>
      </c>
      <c r="D11192" s="451">
        <v>126.29</v>
      </c>
      <c r="E11192" s="210"/>
    </row>
    <row r="11193" spans="1:5">
      <c r="A11193" s="449">
        <v>6300</v>
      </c>
      <c r="B11193" s="450" t="s">
        <v>12015</v>
      </c>
      <c r="C11193" s="449" t="s">
        <v>679</v>
      </c>
      <c r="D11193" s="451">
        <v>232.83</v>
      </c>
      <c r="E11193" s="210"/>
    </row>
    <row r="11194" spans="1:5">
      <c r="A11194" s="449">
        <v>6321</v>
      </c>
      <c r="B11194" s="450" t="s">
        <v>12016</v>
      </c>
      <c r="C11194" s="449" t="s">
        <v>679</v>
      </c>
      <c r="D11194" s="451">
        <v>332.58</v>
      </c>
      <c r="E11194" s="210"/>
    </row>
    <row r="11195" spans="1:5">
      <c r="A11195" s="449">
        <v>6301</v>
      </c>
      <c r="B11195" s="450" t="s">
        <v>12017</v>
      </c>
      <c r="C11195" s="449" t="s">
        <v>679</v>
      </c>
      <c r="D11195" s="451">
        <v>779.54</v>
      </c>
      <c r="E11195" s="210"/>
    </row>
    <row r="11196" spans="1:5" ht="25.5">
      <c r="A11196" s="449">
        <v>7105</v>
      </c>
      <c r="B11196" s="450" t="s">
        <v>12018</v>
      </c>
      <c r="C11196" s="449" t="s">
        <v>679</v>
      </c>
      <c r="D11196" s="451">
        <v>36.42</v>
      </c>
      <c r="E11196" s="210"/>
    </row>
    <row r="11197" spans="1:5" ht="25.5">
      <c r="A11197" s="449">
        <v>20183</v>
      </c>
      <c r="B11197" s="450" t="s">
        <v>12019</v>
      </c>
      <c r="C11197" s="449" t="s">
        <v>679</v>
      </c>
      <c r="D11197" s="451">
        <v>47.95</v>
      </c>
      <c r="E11197" s="210"/>
    </row>
    <row r="11198" spans="1:5" ht="25.5">
      <c r="A11198" s="449">
        <v>38448</v>
      </c>
      <c r="B11198" s="450" t="s">
        <v>12020</v>
      </c>
      <c r="C11198" s="449" t="s">
        <v>679</v>
      </c>
      <c r="D11198" s="451">
        <v>225.3</v>
      </c>
      <c r="E11198" s="210"/>
    </row>
    <row r="11199" spans="1:5" ht="25.5">
      <c r="A11199" s="449">
        <v>20182</v>
      </c>
      <c r="B11199" s="450" t="s">
        <v>12021</v>
      </c>
      <c r="C11199" s="449" t="s">
        <v>679</v>
      </c>
      <c r="D11199" s="451">
        <v>27.37</v>
      </c>
      <c r="E11199" s="210"/>
    </row>
    <row r="11200" spans="1:5" ht="25.5">
      <c r="A11200" s="449">
        <v>7119</v>
      </c>
      <c r="B11200" s="450" t="s">
        <v>12022</v>
      </c>
      <c r="C11200" s="449" t="s">
        <v>679</v>
      </c>
      <c r="D11200" s="451">
        <v>9.4499999999999993</v>
      </c>
      <c r="E11200" s="210"/>
    </row>
    <row r="11201" spans="1:5" ht="25.5">
      <c r="A11201" s="449">
        <v>7120</v>
      </c>
      <c r="B11201" s="450" t="s">
        <v>12023</v>
      </c>
      <c r="C11201" s="449" t="s">
        <v>679</v>
      </c>
      <c r="D11201" s="451">
        <v>6.48</v>
      </c>
      <c r="E11201" s="210"/>
    </row>
    <row r="11202" spans="1:5" ht="25.5">
      <c r="A11202" s="449">
        <v>6319</v>
      </c>
      <c r="B11202" s="450" t="s">
        <v>12024</v>
      </c>
      <c r="C11202" s="449" t="s">
        <v>679</v>
      </c>
      <c r="D11202" s="451">
        <v>36.83</v>
      </c>
      <c r="E11202" s="210"/>
    </row>
    <row r="11203" spans="1:5" ht="25.5">
      <c r="A11203" s="449">
        <v>6304</v>
      </c>
      <c r="B11203" s="450" t="s">
        <v>12025</v>
      </c>
      <c r="C11203" s="449" t="s">
        <v>679</v>
      </c>
      <c r="D11203" s="451">
        <v>36.83</v>
      </c>
      <c r="E11203" s="210"/>
    </row>
    <row r="11204" spans="1:5" ht="25.5">
      <c r="A11204" s="449">
        <v>21116</v>
      </c>
      <c r="B11204" s="450" t="s">
        <v>12026</v>
      </c>
      <c r="C11204" s="449" t="s">
        <v>679</v>
      </c>
      <c r="D11204" s="451">
        <v>27.89</v>
      </c>
      <c r="E11204" s="210"/>
    </row>
    <row r="11205" spans="1:5" ht="25.5">
      <c r="A11205" s="449">
        <v>6320</v>
      </c>
      <c r="B11205" s="450" t="s">
        <v>12027</v>
      </c>
      <c r="C11205" s="449" t="s">
        <v>679</v>
      </c>
      <c r="D11205" s="451">
        <v>18.97</v>
      </c>
      <c r="E11205" s="210"/>
    </row>
    <row r="11206" spans="1:5" ht="25.5">
      <c r="A11206" s="449">
        <v>6303</v>
      </c>
      <c r="B11206" s="450" t="s">
        <v>12028</v>
      </c>
      <c r="C11206" s="449" t="s">
        <v>679</v>
      </c>
      <c r="D11206" s="451">
        <v>18.97</v>
      </c>
      <c r="E11206" s="210"/>
    </row>
    <row r="11207" spans="1:5" ht="25.5">
      <c r="A11207" s="449">
        <v>6308</v>
      </c>
      <c r="B11207" s="450" t="s">
        <v>12029</v>
      </c>
      <c r="C11207" s="449" t="s">
        <v>679</v>
      </c>
      <c r="D11207" s="451">
        <v>101.91</v>
      </c>
      <c r="E11207" s="210"/>
    </row>
    <row r="11208" spans="1:5" ht="25.5">
      <c r="A11208" s="449">
        <v>6317</v>
      </c>
      <c r="B11208" s="450" t="s">
        <v>12030</v>
      </c>
      <c r="C11208" s="449" t="s">
        <v>679</v>
      </c>
      <c r="D11208" s="451">
        <v>101.91</v>
      </c>
      <c r="E11208" s="210"/>
    </row>
    <row r="11209" spans="1:5" ht="25.5">
      <c r="A11209" s="449">
        <v>6307</v>
      </c>
      <c r="B11209" s="450" t="s">
        <v>12031</v>
      </c>
      <c r="C11209" s="449" t="s">
        <v>679</v>
      </c>
      <c r="D11209" s="451">
        <v>101.91</v>
      </c>
      <c r="E11209" s="210"/>
    </row>
    <row r="11210" spans="1:5" ht="25.5">
      <c r="A11210" s="449">
        <v>6309</v>
      </c>
      <c r="B11210" s="450" t="s">
        <v>12032</v>
      </c>
      <c r="C11210" s="449" t="s">
        <v>679</v>
      </c>
      <c r="D11210" s="451">
        <v>104.87</v>
      </c>
      <c r="E11210" s="210"/>
    </row>
    <row r="11211" spans="1:5" ht="25.5">
      <c r="A11211" s="449">
        <v>6318</v>
      </c>
      <c r="B11211" s="450" t="s">
        <v>12033</v>
      </c>
      <c r="C11211" s="449" t="s">
        <v>679</v>
      </c>
      <c r="D11211" s="451">
        <v>54.97</v>
      </c>
      <c r="E11211" s="210"/>
    </row>
    <row r="11212" spans="1:5" ht="25.5">
      <c r="A11212" s="449">
        <v>6306</v>
      </c>
      <c r="B11212" s="450" t="s">
        <v>12034</v>
      </c>
      <c r="C11212" s="449" t="s">
        <v>679</v>
      </c>
      <c r="D11212" s="451">
        <v>54.97</v>
      </c>
      <c r="E11212" s="210"/>
    </row>
    <row r="11213" spans="1:5" ht="25.5">
      <c r="A11213" s="449">
        <v>6305</v>
      </c>
      <c r="B11213" s="450" t="s">
        <v>12035</v>
      </c>
      <c r="C11213" s="449" t="s">
        <v>679</v>
      </c>
      <c r="D11213" s="451">
        <v>54.97</v>
      </c>
      <c r="E11213" s="210"/>
    </row>
    <row r="11214" spans="1:5" ht="25.5">
      <c r="A11214" s="449">
        <v>6302</v>
      </c>
      <c r="B11214" s="450" t="s">
        <v>12036</v>
      </c>
      <c r="C11214" s="449" t="s">
        <v>679</v>
      </c>
      <c r="D11214" s="451">
        <v>11.66</v>
      </c>
      <c r="E11214" s="210"/>
    </row>
    <row r="11215" spans="1:5" ht="25.5">
      <c r="A11215" s="449">
        <v>6312</v>
      </c>
      <c r="B11215" s="450" t="s">
        <v>12037</v>
      </c>
      <c r="C11215" s="449" t="s">
        <v>679</v>
      </c>
      <c r="D11215" s="451">
        <v>146.59</v>
      </c>
      <c r="E11215" s="210"/>
    </row>
    <row r="11216" spans="1:5" ht="25.5">
      <c r="A11216" s="449">
        <v>6311</v>
      </c>
      <c r="B11216" s="450" t="s">
        <v>12038</v>
      </c>
      <c r="C11216" s="449" t="s">
        <v>679</v>
      </c>
      <c r="D11216" s="451">
        <v>146.59</v>
      </c>
      <c r="E11216" s="210"/>
    </row>
    <row r="11217" spans="1:5" ht="25.5">
      <c r="A11217" s="449">
        <v>6310</v>
      </c>
      <c r="B11217" s="450" t="s">
        <v>12039</v>
      </c>
      <c r="C11217" s="449" t="s">
        <v>679</v>
      </c>
      <c r="D11217" s="451">
        <v>146.59</v>
      </c>
      <c r="E11217" s="210"/>
    </row>
    <row r="11218" spans="1:5" ht="25.5">
      <c r="A11218" s="449">
        <v>6314</v>
      </c>
      <c r="B11218" s="450" t="s">
        <v>12040</v>
      </c>
      <c r="C11218" s="449" t="s">
        <v>679</v>
      </c>
      <c r="D11218" s="451">
        <v>146.59</v>
      </c>
      <c r="E11218" s="210"/>
    </row>
    <row r="11219" spans="1:5" ht="25.5">
      <c r="A11219" s="449">
        <v>6313</v>
      </c>
      <c r="B11219" s="450" t="s">
        <v>12041</v>
      </c>
      <c r="C11219" s="449" t="s">
        <v>679</v>
      </c>
      <c r="D11219" s="451">
        <v>146.59</v>
      </c>
      <c r="E11219" s="210"/>
    </row>
    <row r="11220" spans="1:5" ht="25.5">
      <c r="A11220" s="449">
        <v>6315</v>
      </c>
      <c r="B11220" s="450" t="s">
        <v>12042</v>
      </c>
      <c r="C11220" s="449" t="s">
        <v>679</v>
      </c>
      <c r="D11220" s="451">
        <v>277.57</v>
      </c>
      <c r="E11220" s="210"/>
    </row>
    <row r="11221" spans="1:5" ht="25.5">
      <c r="A11221" s="449">
        <v>6316</v>
      </c>
      <c r="B11221" s="450" t="s">
        <v>12043</v>
      </c>
      <c r="C11221" s="449" t="s">
        <v>679</v>
      </c>
      <c r="D11221" s="451">
        <v>277.57</v>
      </c>
      <c r="E11221" s="210"/>
    </row>
    <row r="11222" spans="1:5" ht="38.25">
      <c r="A11222" s="449">
        <v>38878</v>
      </c>
      <c r="B11222" s="450" t="s">
        <v>12044</v>
      </c>
      <c r="C11222" s="449" t="s">
        <v>679</v>
      </c>
      <c r="D11222" s="451">
        <v>22.62</v>
      </c>
      <c r="E11222" s="210"/>
    </row>
    <row r="11223" spans="1:5" ht="38.25">
      <c r="A11223" s="449">
        <v>38879</v>
      </c>
      <c r="B11223" s="450" t="s">
        <v>12045</v>
      </c>
      <c r="C11223" s="449" t="s">
        <v>679</v>
      </c>
      <c r="D11223" s="451">
        <v>42.41</v>
      </c>
      <c r="E11223" s="210"/>
    </row>
    <row r="11224" spans="1:5" ht="38.25">
      <c r="A11224" s="449">
        <v>38881</v>
      </c>
      <c r="B11224" s="450" t="s">
        <v>12046</v>
      </c>
      <c r="C11224" s="449" t="s">
        <v>679</v>
      </c>
      <c r="D11224" s="451">
        <v>22.19</v>
      </c>
      <c r="E11224" s="210"/>
    </row>
    <row r="11225" spans="1:5" ht="38.25">
      <c r="A11225" s="449">
        <v>38880</v>
      </c>
      <c r="B11225" s="450" t="s">
        <v>12047</v>
      </c>
      <c r="C11225" s="449" t="s">
        <v>679</v>
      </c>
      <c r="D11225" s="451">
        <v>23.25</v>
      </c>
      <c r="E11225" s="210"/>
    </row>
    <row r="11226" spans="1:5" ht="38.25">
      <c r="A11226" s="449">
        <v>38882</v>
      </c>
      <c r="B11226" s="450" t="s">
        <v>12048</v>
      </c>
      <c r="C11226" s="449" t="s">
        <v>679</v>
      </c>
      <c r="D11226" s="451">
        <v>24.08</v>
      </c>
      <c r="E11226" s="210"/>
    </row>
    <row r="11227" spans="1:5" ht="38.25">
      <c r="A11227" s="449">
        <v>38883</v>
      </c>
      <c r="B11227" s="450" t="s">
        <v>12049</v>
      </c>
      <c r="C11227" s="449" t="s">
        <v>679</v>
      </c>
      <c r="D11227" s="451">
        <v>35.619999999999997</v>
      </c>
      <c r="E11227" s="210"/>
    </row>
    <row r="11228" spans="1:5" ht="38.25">
      <c r="A11228" s="449">
        <v>38884</v>
      </c>
      <c r="B11228" s="450" t="s">
        <v>12050</v>
      </c>
      <c r="C11228" s="449" t="s">
        <v>679</v>
      </c>
      <c r="D11228" s="451">
        <v>38.67</v>
      </c>
      <c r="E11228" s="210"/>
    </row>
    <row r="11229" spans="1:5" ht="38.25">
      <c r="A11229" s="449">
        <v>38885</v>
      </c>
      <c r="B11229" s="450" t="s">
        <v>12051</v>
      </c>
      <c r="C11229" s="449" t="s">
        <v>679</v>
      </c>
      <c r="D11229" s="451">
        <v>37.409999999999997</v>
      </c>
      <c r="E11229" s="210"/>
    </row>
    <row r="11230" spans="1:5" ht="38.25">
      <c r="A11230" s="449">
        <v>38886</v>
      </c>
      <c r="B11230" s="450" t="s">
        <v>12052</v>
      </c>
      <c r="C11230" s="449" t="s">
        <v>679</v>
      </c>
      <c r="D11230" s="451">
        <v>40.369999999999997</v>
      </c>
      <c r="E11230" s="210"/>
    </row>
    <row r="11231" spans="1:5" ht="38.25">
      <c r="A11231" s="449">
        <v>38887</v>
      </c>
      <c r="B11231" s="450" t="s">
        <v>12053</v>
      </c>
      <c r="C11231" s="449" t="s">
        <v>679</v>
      </c>
      <c r="D11231" s="451">
        <v>36.26</v>
      </c>
      <c r="E11231" s="210"/>
    </row>
    <row r="11232" spans="1:5" ht="38.25">
      <c r="A11232" s="449">
        <v>38888</v>
      </c>
      <c r="B11232" s="450" t="s">
        <v>12054</v>
      </c>
      <c r="C11232" s="449" t="s">
        <v>679</v>
      </c>
      <c r="D11232" s="451">
        <v>43.1</v>
      </c>
      <c r="E11232" s="210"/>
    </row>
    <row r="11233" spans="1:5" ht="38.25">
      <c r="A11233" s="449">
        <v>38890</v>
      </c>
      <c r="B11233" s="450" t="s">
        <v>12055</v>
      </c>
      <c r="C11233" s="449" t="s">
        <v>679</v>
      </c>
      <c r="D11233" s="451">
        <v>64.069999999999993</v>
      </c>
      <c r="E11233" s="210"/>
    </row>
    <row r="11234" spans="1:5" ht="38.25">
      <c r="A11234" s="449">
        <v>38893</v>
      </c>
      <c r="B11234" s="450" t="s">
        <v>12056</v>
      </c>
      <c r="C11234" s="449" t="s">
        <v>679</v>
      </c>
      <c r="D11234" s="451">
        <v>51.53</v>
      </c>
      <c r="E11234" s="210"/>
    </row>
    <row r="11235" spans="1:5" ht="38.25">
      <c r="A11235" s="449">
        <v>38894</v>
      </c>
      <c r="B11235" s="450" t="s">
        <v>12057</v>
      </c>
      <c r="C11235" s="449" t="s">
        <v>679</v>
      </c>
      <c r="D11235" s="451">
        <v>65.44</v>
      </c>
      <c r="E11235" s="210"/>
    </row>
    <row r="11236" spans="1:5" ht="38.25">
      <c r="A11236" s="449">
        <v>38896</v>
      </c>
      <c r="B11236" s="450" t="s">
        <v>12058</v>
      </c>
      <c r="C11236" s="449" t="s">
        <v>679</v>
      </c>
      <c r="D11236" s="451">
        <v>66.73</v>
      </c>
      <c r="E11236" s="210"/>
    </row>
    <row r="11237" spans="1:5" ht="25.5">
      <c r="A11237" s="449">
        <v>39324</v>
      </c>
      <c r="B11237" s="450" t="s">
        <v>12059</v>
      </c>
      <c r="C11237" s="449" t="s">
        <v>679</v>
      </c>
      <c r="D11237" s="451">
        <v>9.8000000000000007</v>
      </c>
      <c r="E11237" s="210"/>
    </row>
    <row r="11238" spans="1:5" ht="25.5">
      <c r="A11238" s="449">
        <v>39325</v>
      </c>
      <c r="B11238" s="450" t="s">
        <v>12060</v>
      </c>
      <c r="C11238" s="449" t="s">
        <v>679</v>
      </c>
      <c r="D11238" s="451">
        <v>14.84</v>
      </c>
      <c r="E11238" s="210"/>
    </row>
    <row r="11239" spans="1:5" ht="25.5">
      <c r="A11239" s="449">
        <v>39326</v>
      </c>
      <c r="B11239" s="450" t="s">
        <v>12061</v>
      </c>
      <c r="C11239" s="449" t="s">
        <v>679</v>
      </c>
      <c r="D11239" s="451">
        <v>38.21</v>
      </c>
      <c r="E11239" s="210"/>
    </row>
    <row r="11240" spans="1:5" ht="25.5">
      <c r="A11240" s="449">
        <v>39327</v>
      </c>
      <c r="B11240" s="450" t="s">
        <v>12062</v>
      </c>
      <c r="C11240" s="449" t="s">
        <v>679</v>
      </c>
      <c r="D11240" s="451">
        <v>57.88</v>
      </c>
      <c r="E11240" s="210"/>
    </row>
    <row r="11241" spans="1:5" ht="38.25">
      <c r="A11241" s="449">
        <v>20176</v>
      </c>
      <c r="B11241" s="450" t="s">
        <v>12063</v>
      </c>
      <c r="C11241" s="449" t="s">
        <v>679</v>
      </c>
      <c r="D11241" s="451">
        <v>41.32</v>
      </c>
      <c r="E11241" s="210"/>
    </row>
    <row r="11242" spans="1:5" ht="25.5">
      <c r="A11242" s="449">
        <v>11378</v>
      </c>
      <c r="B11242" s="450" t="s">
        <v>12064</v>
      </c>
      <c r="C11242" s="449" t="s">
        <v>679</v>
      </c>
      <c r="D11242" s="451">
        <v>103.38</v>
      </c>
      <c r="E11242" s="210"/>
    </row>
    <row r="11243" spans="1:5" ht="25.5">
      <c r="A11243" s="449">
        <v>11379</v>
      </c>
      <c r="B11243" s="450" t="s">
        <v>12065</v>
      </c>
      <c r="C11243" s="449" t="s">
        <v>679</v>
      </c>
      <c r="D11243" s="451">
        <v>87.36</v>
      </c>
      <c r="E11243" s="210"/>
    </row>
    <row r="11244" spans="1:5" ht="25.5">
      <c r="A11244" s="449">
        <v>11493</v>
      </c>
      <c r="B11244" s="450" t="s">
        <v>12066</v>
      </c>
      <c r="C11244" s="449" t="s">
        <v>679</v>
      </c>
      <c r="D11244" s="451">
        <v>50.39</v>
      </c>
      <c r="E11244" s="210"/>
    </row>
    <row r="11245" spans="1:5" ht="38.25">
      <c r="A11245" s="449">
        <v>42717</v>
      </c>
      <c r="B11245" s="450" t="s">
        <v>12067</v>
      </c>
      <c r="C11245" s="449" t="s">
        <v>679</v>
      </c>
      <c r="D11245" s="451">
        <v>672.44</v>
      </c>
      <c r="E11245" s="210"/>
    </row>
    <row r="11246" spans="1:5" ht="38.25">
      <c r="A11246" s="449">
        <v>42718</v>
      </c>
      <c r="B11246" s="450" t="s">
        <v>12068</v>
      </c>
      <c r="C11246" s="449" t="s">
        <v>679</v>
      </c>
      <c r="D11246" s="451">
        <v>746.55</v>
      </c>
      <c r="E11246" s="210"/>
    </row>
    <row r="11247" spans="1:5" ht="25.5">
      <c r="A11247" s="449">
        <v>7106</v>
      </c>
      <c r="B11247" s="450" t="s">
        <v>12069</v>
      </c>
      <c r="C11247" s="449" t="s">
        <v>679</v>
      </c>
      <c r="D11247" s="451">
        <v>153.76</v>
      </c>
      <c r="E11247" s="210"/>
    </row>
    <row r="11248" spans="1:5" ht="25.5">
      <c r="A11248" s="449">
        <v>7104</v>
      </c>
      <c r="B11248" s="450" t="s">
        <v>12070</v>
      </c>
      <c r="C11248" s="449" t="s">
        <v>679</v>
      </c>
      <c r="D11248" s="451">
        <v>3.2</v>
      </c>
      <c r="E11248" s="210"/>
    </row>
    <row r="11249" spans="1:5" ht="25.5">
      <c r="A11249" s="449">
        <v>7136</v>
      </c>
      <c r="B11249" s="450" t="s">
        <v>12071</v>
      </c>
      <c r="C11249" s="449" t="s">
        <v>679</v>
      </c>
      <c r="D11249" s="451">
        <v>6.03</v>
      </c>
      <c r="E11249" s="210"/>
    </row>
    <row r="11250" spans="1:5" ht="25.5">
      <c r="A11250" s="449">
        <v>7128</v>
      </c>
      <c r="B11250" s="450" t="s">
        <v>12072</v>
      </c>
      <c r="C11250" s="449" t="s">
        <v>679</v>
      </c>
      <c r="D11250" s="451">
        <v>9.8699999999999992</v>
      </c>
      <c r="E11250" s="210"/>
    </row>
    <row r="11251" spans="1:5" ht="25.5">
      <c r="A11251" s="449">
        <v>7108</v>
      </c>
      <c r="B11251" s="450" t="s">
        <v>12073</v>
      </c>
      <c r="C11251" s="449" t="s">
        <v>679</v>
      </c>
      <c r="D11251" s="451">
        <v>10.57</v>
      </c>
      <c r="E11251" s="210"/>
    </row>
    <row r="11252" spans="1:5" ht="25.5">
      <c r="A11252" s="449">
        <v>7129</v>
      </c>
      <c r="B11252" s="450" t="s">
        <v>12074</v>
      </c>
      <c r="C11252" s="449" t="s">
        <v>679</v>
      </c>
      <c r="D11252" s="451">
        <v>8.7799999999999994</v>
      </c>
      <c r="E11252" s="210"/>
    </row>
    <row r="11253" spans="1:5" ht="25.5">
      <c r="A11253" s="449">
        <v>7130</v>
      </c>
      <c r="B11253" s="450" t="s">
        <v>12075</v>
      </c>
      <c r="C11253" s="449" t="s">
        <v>679</v>
      </c>
      <c r="D11253" s="451">
        <v>14.33</v>
      </c>
      <c r="E11253" s="210"/>
    </row>
    <row r="11254" spans="1:5" ht="25.5">
      <c r="A11254" s="449">
        <v>7131</v>
      </c>
      <c r="B11254" s="450" t="s">
        <v>12076</v>
      </c>
      <c r="C11254" s="449" t="s">
        <v>679</v>
      </c>
      <c r="D11254" s="451">
        <v>17.57</v>
      </c>
      <c r="E11254" s="210"/>
    </row>
    <row r="11255" spans="1:5" ht="25.5">
      <c r="A11255" s="449">
        <v>7132</v>
      </c>
      <c r="B11255" s="450" t="s">
        <v>12077</v>
      </c>
      <c r="C11255" s="449" t="s">
        <v>679</v>
      </c>
      <c r="D11255" s="451">
        <v>48.79</v>
      </c>
      <c r="E11255" s="210"/>
    </row>
    <row r="11256" spans="1:5" ht="25.5">
      <c r="A11256" s="449">
        <v>7133</v>
      </c>
      <c r="B11256" s="450" t="s">
        <v>12078</v>
      </c>
      <c r="C11256" s="449" t="s">
        <v>679</v>
      </c>
      <c r="D11256" s="451">
        <v>75.790000000000006</v>
      </c>
      <c r="E11256" s="210"/>
    </row>
    <row r="11257" spans="1:5" ht="38.25">
      <c r="A11257" s="449">
        <v>37420</v>
      </c>
      <c r="B11257" s="450" t="s">
        <v>12079</v>
      </c>
      <c r="C11257" s="449" t="s">
        <v>679</v>
      </c>
      <c r="D11257" s="451">
        <v>46.86</v>
      </c>
      <c r="E11257" s="210"/>
    </row>
    <row r="11258" spans="1:5" ht="38.25">
      <c r="A11258" s="449">
        <v>37421</v>
      </c>
      <c r="B11258" s="450" t="s">
        <v>12080</v>
      </c>
      <c r="C11258" s="449" t="s">
        <v>679</v>
      </c>
      <c r="D11258" s="451">
        <v>64.05</v>
      </c>
      <c r="E11258" s="210"/>
    </row>
    <row r="11259" spans="1:5" ht="38.25">
      <c r="A11259" s="449">
        <v>37422</v>
      </c>
      <c r="B11259" s="450" t="s">
        <v>12081</v>
      </c>
      <c r="C11259" s="449" t="s">
        <v>679</v>
      </c>
      <c r="D11259" s="451">
        <v>59.95</v>
      </c>
      <c r="E11259" s="210"/>
    </row>
    <row r="11260" spans="1:5" ht="25.5">
      <c r="A11260" s="449">
        <v>37443</v>
      </c>
      <c r="B11260" s="450" t="s">
        <v>12082</v>
      </c>
      <c r="C11260" s="449" t="s">
        <v>679</v>
      </c>
      <c r="D11260" s="451">
        <v>228.22</v>
      </c>
      <c r="E11260" s="210"/>
    </row>
    <row r="11261" spans="1:5" ht="25.5">
      <c r="A11261" s="449">
        <v>37444</v>
      </c>
      <c r="B11261" s="450" t="s">
        <v>12083</v>
      </c>
      <c r="C11261" s="449" t="s">
        <v>679</v>
      </c>
      <c r="D11261" s="451">
        <v>232.09</v>
      </c>
      <c r="E11261" s="210"/>
    </row>
    <row r="11262" spans="1:5" ht="25.5">
      <c r="A11262" s="449">
        <v>37445</v>
      </c>
      <c r="B11262" s="450" t="s">
        <v>12084</v>
      </c>
      <c r="C11262" s="449" t="s">
        <v>679</v>
      </c>
      <c r="D11262" s="451">
        <v>351.78</v>
      </c>
      <c r="E11262" s="210"/>
    </row>
    <row r="11263" spans="1:5" ht="25.5">
      <c r="A11263" s="449">
        <v>37446</v>
      </c>
      <c r="B11263" s="450" t="s">
        <v>12085</v>
      </c>
      <c r="C11263" s="449" t="s">
        <v>679</v>
      </c>
      <c r="D11263" s="451">
        <v>383.5</v>
      </c>
      <c r="E11263" s="210"/>
    </row>
    <row r="11264" spans="1:5" ht="25.5">
      <c r="A11264" s="449">
        <v>37447</v>
      </c>
      <c r="B11264" s="450" t="s">
        <v>12086</v>
      </c>
      <c r="C11264" s="449" t="s">
        <v>679</v>
      </c>
      <c r="D11264" s="451">
        <v>389.5</v>
      </c>
      <c r="E11264" s="210"/>
    </row>
    <row r="11265" spans="1:5" ht="25.5">
      <c r="A11265" s="449">
        <v>37448</v>
      </c>
      <c r="B11265" s="450" t="s">
        <v>12087</v>
      </c>
      <c r="C11265" s="449" t="s">
        <v>679</v>
      </c>
      <c r="D11265" s="451">
        <v>534.26</v>
      </c>
      <c r="E11265" s="210"/>
    </row>
    <row r="11266" spans="1:5" ht="25.5">
      <c r="A11266" s="449">
        <v>37440</v>
      </c>
      <c r="B11266" s="450" t="s">
        <v>12088</v>
      </c>
      <c r="C11266" s="449" t="s">
        <v>679</v>
      </c>
      <c r="D11266" s="451">
        <v>181.14</v>
      </c>
      <c r="E11266" s="210"/>
    </row>
    <row r="11267" spans="1:5" ht="25.5">
      <c r="A11267" s="449">
        <v>37441</v>
      </c>
      <c r="B11267" s="450" t="s">
        <v>12089</v>
      </c>
      <c r="C11267" s="449" t="s">
        <v>679</v>
      </c>
      <c r="D11267" s="451">
        <v>181.14</v>
      </c>
      <c r="E11267" s="210"/>
    </row>
    <row r="11268" spans="1:5" ht="25.5">
      <c r="A11268" s="449">
        <v>37442</v>
      </c>
      <c r="B11268" s="450" t="s">
        <v>12090</v>
      </c>
      <c r="C11268" s="449" t="s">
        <v>679</v>
      </c>
      <c r="D11268" s="451">
        <v>218.17</v>
      </c>
      <c r="E11268" s="210"/>
    </row>
    <row r="11269" spans="1:5" ht="25.5">
      <c r="A11269" s="449">
        <v>38017</v>
      </c>
      <c r="B11269" s="450" t="s">
        <v>12091</v>
      </c>
      <c r="C11269" s="449" t="s">
        <v>679</v>
      </c>
      <c r="D11269" s="451">
        <v>13.94</v>
      </c>
      <c r="E11269" s="210"/>
    </row>
    <row r="11270" spans="1:5" ht="25.5">
      <c r="A11270" s="449">
        <v>38018</v>
      </c>
      <c r="B11270" s="450" t="s">
        <v>12092</v>
      </c>
      <c r="C11270" s="449" t="s">
        <v>679</v>
      </c>
      <c r="D11270" s="451">
        <v>15.38</v>
      </c>
      <c r="E11270" s="210"/>
    </row>
    <row r="11271" spans="1:5" ht="38.25">
      <c r="A11271" s="449">
        <v>39895</v>
      </c>
      <c r="B11271" s="450" t="s">
        <v>12093</v>
      </c>
      <c r="C11271" s="449" t="s">
        <v>679</v>
      </c>
      <c r="D11271" s="451">
        <v>52.71</v>
      </c>
      <c r="E11271" s="210"/>
    </row>
    <row r="11272" spans="1:5" ht="38.25">
      <c r="A11272" s="449">
        <v>39896</v>
      </c>
      <c r="B11272" s="450" t="s">
        <v>12094</v>
      </c>
      <c r="C11272" s="449" t="s">
        <v>679</v>
      </c>
      <c r="D11272" s="451">
        <v>77.25</v>
      </c>
      <c r="E11272" s="210"/>
    </row>
    <row r="11273" spans="1:5" ht="25.5">
      <c r="A11273" s="449">
        <v>38873</v>
      </c>
      <c r="B11273" s="450" t="s">
        <v>12095</v>
      </c>
      <c r="C11273" s="449" t="s">
        <v>679</v>
      </c>
      <c r="D11273" s="451">
        <v>20.07</v>
      </c>
      <c r="E11273" s="210"/>
    </row>
    <row r="11274" spans="1:5" ht="25.5">
      <c r="A11274" s="449">
        <v>38874</v>
      </c>
      <c r="B11274" s="450" t="s">
        <v>12096</v>
      </c>
      <c r="C11274" s="449" t="s">
        <v>679</v>
      </c>
      <c r="D11274" s="451">
        <v>24.4</v>
      </c>
      <c r="E11274" s="210"/>
    </row>
    <row r="11275" spans="1:5" ht="25.5">
      <c r="A11275" s="449">
        <v>38875</v>
      </c>
      <c r="B11275" s="450" t="s">
        <v>12097</v>
      </c>
      <c r="C11275" s="449" t="s">
        <v>679</v>
      </c>
      <c r="D11275" s="451">
        <v>43.13</v>
      </c>
      <c r="E11275" s="210"/>
    </row>
    <row r="11276" spans="1:5" ht="25.5">
      <c r="A11276" s="449">
        <v>38876</v>
      </c>
      <c r="B11276" s="450" t="s">
        <v>12098</v>
      </c>
      <c r="C11276" s="449" t="s">
        <v>679</v>
      </c>
      <c r="D11276" s="451">
        <v>58.02</v>
      </c>
      <c r="E11276" s="210"/>
    </row>
    <row r="11277" spans="1:5" ht="38.25">
      <c r="A11277" s="449">
        <v>39000</v>
      </c>
      <c r="B11277" s="450" t="s">
        <v>12099</v>
      </c>
      <c r="C11277" s="449" t="s">
        <v>679</v>
      </c>
      <c r="D11277" s="451">
        <v>41.49</v>
      </c>
      <c r="E11277" s="210"/>
    </row>
    <row r="11278" spans="1:5" ht="25.5">
      <c r="A11278" s="449">
        <v>38674</v>
      </c>
      <c r="B11278" s="450" t="s">
        <v>12100</v>
      </c>
      <c r="C11278" s="449" t="s">
        <v>679</v>
      </c>
      <c r="D11278" s="451">
        <v>48.48</v>
      </c>
      <c r="E11278" s="210"/>
    </row>
    <row r="11279" spans="1:5" ht="25.5">
      <c r="A11279" s="449">
        <v>38911</v>
      </c>
      <c r="B11279" s="450" t="s">
        <v>12101</v>
      </c>
      <c r="C11279" s="449" t="s">
        <v>679</v>
      </c>
      <c r="D11279" s="451">
        <v>71.959999999999994</v>
      </c>
      <c r="E11279" s="210"/>
    </row>
    <row r="11280" spans="1:5" ht="25.5">
      <c r="A11280" s="449">
        <v>38912</v>
      </c>
      <c r="B11280" s="450" t="s">
        <v>12102</v>
      </c>
      <c r="C11280" s="449" t="s">
        <v>679</v>
      </c>
      <c r="D11280" s="451">
        <v>91.45</v>
      </c>
      <c r="E11280" s="210"/>
    </row>
    <row r="11281" spans="1:5" ht="25.5">
      <c r="A11281" s="449">
        <v>38019</v>
      </c>
      <c r="B11281" s="450" t="s">
        <v>12103</v>
      </c>
      <c r="C11281" s="449" t="s">
        <v>679</v>
      </c>
      <c r="D11281" s="451">
        <v>12.15</v>
      </c>
      <c r="E11281" s="210"/>
    </row>
    <row r="11282" spans="1:5" ht="25.5">
      <c r="A11282" s="449">
        <v>38020</v>
      </c>
      <c r="B11282" s="450" t="s">
        <v>12104</v>
      </c>
      <c r="C11282" s="449" t="s">
        <v>679</v>
      </c>
      <c r="D11282" s="451">
        <v>15.38</v>
      </c>
      <c r="E11282" s="210"/>
    </row>
    <row r="11283" spans="1:5" ht="25.5">
      <c r="A11283" s="449">
        <v>38454</v>
      </c>
      <c r="B11283" s="450" t="s">
        <v>12105</v>
      </c>
      <c r="C11283" s="449" t="s">
        <v>679</v>
      </c>
      <c r="D11283" s="451">
        <v>7.57</v>
      </c>
      <c r="E11283" s="210"/>
    </row>
    <row r="11284" spans="1:5" ht="25.5">
      <c r="A11284" s="449">
        <v>38455</v>
      </c>
      <c r="B11284" s="450" t="s">
        <v>12106</v>
      </c>
      <c r="C11284" s="449" t="s">
        <v>679</v>
      </c>
      <c r="D11284" s="451">
        <v>6.93</v>
      </c>
      <c r="E11284" s="210"/>
    </row>
    <row r="11285" spans="1:5" ht="25.5">
      <c r="A11285" s="449">
        <v>38462</v>
      </c>
      <c r="B11285" s="450" t="s">
        <v>12107</v>
      </c>
      <c r="C11285" s="449" t="s">
        <v>679</v>
      </c>
      <c r="D11285" s="451">
        <v>195.63</v>
      </c>
      <c r="E11285" s="210"/>
    </row>
    <row r="11286" spans="1:5" ht="25.5">
      <c r="A11286" s="449">
        <v>36362</v>
      </c>
      <c r="B11286" s="450" t="s">
        <v>12108</v>
      </c>
      <c r="C11286" s="449" t="s">
        <v>679</v>
      </c>
      <c r="D11286" s="451">
        <v>2.98</v>
      </c>
      <c r="E11286" s="210"/>
    </row>
    <row r="11287" spans="1:5" ht="25.5">
      <c r="A11287" s="449">
        <v>36298</v>
      </c>
      <c r="B11287" s="450" t="s">
        <v>12109</v>
      </c>
      <c r="C11287" s="449" t="s">
        <v>679</v>
      </c>
      <c r="D11287" s="451">
        <v>4.41</v>
      </c>
      <c r="E11287" s="210"/>
    </row>
    <row r="11288" spans="1:5" ht="25.5">
      <c r="A11288" s="449">
        <v>38456</v>
      </c>
      <c r="B11288" s="450" t="s">
        <v>12110</v>
      </c>
      <c r="C11288" s="449" t="s">
        <v>679</v>
      </c>
      <c r="D11288" s="451">
        <v>7.2</v>
      </c>
      <c r="E11288" s="210"/>
    </row>
    <row r="11289" spans="1:5" ht="25.5">
      <c r="A11289" s="449">
        <v>38457</v>
      </c>
      <c r="B11289" s="450" t="s">
        <v>12111</v>
      </c>
      <c r="C11289" s="449" t="s">
        <v>679</v>
      </c>
      <c r="D11289" s="451">
        <v>16.22</v>
      </c>
      <c r="E11289" s="210"/>
    </row>
    <row r="11290" spans="1:5" ht="25.5">
      <c r="A11290" s="449">
        <v>38458</v>
      </c>
      <c r="B11290" s="450" t="s">
        <v>12112</v>
      </c>
      <c r="C11290" s="449" t="s">
        <v>679</v>
      </c>
      <c r="D11290" s="451">
        <v>21.74</v>
      </c>
      <c r="E11290" s="210"/>
    </row>
    <row r="11291" spans="1:5" ht="25.5">
      <c r="A11291" s="449">
        <v>38459</v>
      </c>
      <c r="B11291" s="450" t="s">
        <v>12113</v>
      </c>
      <c r="C11291" s="449" t="s">
        <v>679</v>
      </c>
      <c r="D11291" s="451">
        <v>38.369999999999997</v>
      </c>
      <c r="E11291" s="210"/>
    </row>
    <row r="11292" spans="1:5" ht="25.5">
      <c r="A11292" s="449">
        <v>38460</v>
      </c>
      <c r="B11292" s="450" t="s">
        <v>12114</v>
      </c>
      <c r="C11292" s="449" t="s">
        <v>679</v>
      </c>
      <c r="D11292" s="451">
        <v>80.14</v>
      </c>
      <c r="E11292" s="210"/>
    </row>
    <row r="11293" spans="1:5" ht="25.5">
      <c r="A11293" s="449">
        <v>38461</v>
      </c>
      <c r="B11293" s="450" t="s">
        <v>12115</v>
      </c>
      <c r="C11293" s="449" t="s">
        <v>679</v>
      </c>
      <c r="D11293" s="451">
        <v>122.25</v>
      </c>
      <c r="E11293" s="210"/>
    </row>
    <row r="11294" spans="1:5" ht="25.5">
      <c r="A11294" s="449">
        <v>7094</v>
      </c>
      <c r="B11294" s="450" t="s">
        <v>12116</v>
      </c>
      <c r="C11294" s="449" t="s">
        <v>679</v>
      </c>
      <c r="D11294" s="451">
        <v>11.08</v>
      </c>
      <c r="E11294" s="210"/>
    </row>
    <row r="11295" spans="1:5" ht="25.5">
      <c r="A11295" s="449">
        <v>7116</v>
      </c>
      <c r="B11295" s="450" t="s">
        <v>12117</v>
      </c>
      <c r="C11295" s="449" t="s">
        <v>679</v>
      </c>
      <c r="D11295" s="451">
        <v>3.09</v>
      </c>
      <c r="E11295" s="210"/>
    </row>
    <row r="11296" spans="1:5" ht="25.5">
      <c r="A11296" s="449">
        <v>7118</v>
      </c>
      <c r="B11296" s="450" t="s">
        <v>12118</v>
      </c>
      <c r="C11296" s="449" t="s">
        <v>679</v>
      </c>
      <c r="D11296" s="451">
        <v>24.45</v>
      </c>
      <c r="E11296" s="210"/>
    </row>
    <row r="11297" spans="1:5" ht="25.5">
      <c r="A11297" s="449">
        <v>7117</v>
      </c>
      <c r="B11297" s="450" t="s">
        <v>12119</v>
      </c>
      <c r="C11297" s="449" t="s">
        <v>679</v>
      </c>
      <c r="D11297" s="451">
        <v>21.74</v>
      </c>
      <c r="E11297" s="210"/>
    </row>
    <row r="11298" spans="1:5" ht="25.5">
      <c r="A11298" s="449">
        <v>7098</v>
      </c>
      <c r="B11298" s="450" t="s">
        <v>12120</v>
      </c>
      <c r="C11298" s="449" t="s">
        <v>679</v>
      </c>
      <c r="D11298" s="451">
        <v>3.03</v>
      </c>
      <c r="E11298" s="210"/>
    </row>
    <row r="11299" spans="1:5" ht="25.5">
      <c r="A11299" s="449">
        <v>7110</v>
      </c>
      <c r="B11299" s="450" t="s">
        <v>12121</v>
      </c>
      <c r="C11299" s="449" t="s">
        <v>679</v>
      </c>
      <c r="D11299" s="451">
        <v>53.17</v>
      </c>
      <c r="E11299" s="210"/>
    </row>
    <row r="11300" spans="1:5" ht="25.5">
      <c r="A11300" s="449">
        <v>7123</v>
      </c>
      <c r="B11300" s="450" t="s">
        <v>12122</v>
      </c>
      <c r="C11300" s="449" t="s">
        <v>679</v>
      </c>
      <c r="D11300" s="451">
        <v>3.9</v>
      </c>
      <c r="E11300" s="210"/>
    </row>
    <row r="11301" spans="1:5" ht="38.25">
      <c r="A11301" s="449">
        <v>7121</v>
      </c>
      <c r="B11301" s="450" t="s">
        <v>12123</v>
      </c>
      <c r="C11301" s="449" t="s">
        <v>679</v>
      </c>
      <c r="D11301" s="451">
        <v>9.61</v>
      </c>
      <c r="E11301" s="210"/>
    </row>
    <row r="11302" spans="1:5" ht="38.25">
      <c r="A11302" s="449">
        <v>7137</v>
      </c>
      <c r="B11302" s="450" t="s">
        <v>12124</v>
      </c>
      <c r="C11302" s="449" t="s">
        <v>679</v>
      </c>
      <c r="D11302" s="451">
        <v>8.65</v>
      </c>
      <c r="E11302" s="210"/>
    </row>
    <row r="11303" spans="1:5" ht="38.25">
      <c r="A11303" s="449">
        <v>7122</v>
      </c>
      <c r="B11303" s="450" t="s">
        <v>12125</v>
      </c>
      <c r="C11303" s="449" t="s">
        <v>679</v>
      </c>
      <c r="D11303" s="451">
        <v>10.81</v>
      </c>
      <c r="E11303" s="210"/>
    </row>
    <row r="11304" spans="1:5" ht="38.25">
      <c r="A11304" s="449">
        <v>7114</v>
      </c>
      <c r="B11304" s="450" t="s">
        <v>12126</v>
      </c>
      <c r="C11304" s="449" t="s">
        <v>679</v>
      </c>
      <c r="D11304" s="451">
        <v>16.66</v>
      </c>
      <c r="E11304" s="210"/>
    </row>
    <row r="11305" spans="1:5" ht="38.25">
      <c r="A11305" s="449">
        <v>7109</v>
      </c>
      <c r="B11305" s="450" t="s">
        <v>12127</v>
      </c>
      <c r="C11305" s="449" t="s">
        <v>679</v>
      </c>
      <c r="D11305" s="451">
        <v>2.92</v>
      </c>
      <c r="E11305" s="210"/>
    </row>
    <row r="11306" spans="1:5" ht="38.25">
      <c r="A11306" s="449">
        <v>7135</v>
      </c>
      <c r="B11306" s="450" t="s">
        <v>12128</v>
      </c>
      <c r="C11306" s="449" t="s">
        <v>679</v>
      </c>
      <c r="D11306" s="451">
        <v>4.55</v>
      </c>
      <c r="E11306" s="210"/>
    </row>
    <row r="11307" spans="1:5" ht="38.25">
      <c r="A11307" s="449">
        <v>37947</v>
      </c>
      <c r="B11307" s="450" t="s">
        <v>12129</v>
      </c>
      <c r="C11307" s="449" t="s">
        <v>679</v>
      </c>
      <c r="D11307" s="451">
        <v>4.6100000000000003</v>
      </c>
      <c r="E11307" s="210"/>
    </row>
    <row r="11308" spans="1:5" ht="38.25">
      <c r="A11308" s="449">
        <v>7103</v>
      </c>
      <c r="B11308" s="450" t="s">
        <v>12130</v>
      </c>
      <c r="C11308" s="449" t="s">
        <v>679</v>
      </c>
      <c r="D11308" s="451">
        <v>10.57</v>
      </c>
      <c r="E11308" s="210"/>
    </row>
    <row r="11309" spans="1:5">
      <c r="A11309" s="449">
        <v>40419</v>
      </c>
      <c r="B11309" s="450" t="s">
        <v>12131</v>
      </c>
      <c r="C11309" s="449" t="s">
        <v>679</v>
      </c>
      <c r="D11309" s="451">
        <v>37.729999999999997</v>
      </c>
      <c r="E11309" s="210"/>
    </row>
    <row r="11310" spans="1:5" ht="25.5">
      <c r="A11310" s="449">
        <v>40420</v>
      </c>
      <c r="B11310" s="450" t="s">
        <v>12132</v>
      </c>
      <c r="C11310" s="449" t="s">
        <v>679</v>
      </c>
      <c r="D11310" s="451">
        <v>55.04</v>
      </c>
      <c r="E11310" s="210"/>
    </row>
    <row r="11311" spans="1:5">
      <c r="A11311" s="449">
        <v>40421</v>
      </c>
      <c r="B11311" s="450" t="s">
        <v>12133</v>
      </c>
      <c r="C11311" s="449" t="s">
        <v>679</v>
      </c>
      <c r="D11311" s="451">
        <v>58.6</v>
      </c>
      <c r="E11311" s="210"/>
    </row>
    <row r="11312" spans="1:5" ht="25.5">
      <c r="A11312" s="449">
        <v>7126</v>
      </c>
      <c r="B11312" s="450" t="s">
        <v>12134</v>
      </c>
      <c r="C11312" s="449" t="s">
        <v>679</v>
      </c>
      <c r="D11312" s="451">
        <v>22.18</v>
      </c>
      <c r="E11312" s="210"/>
    </row>
    <row r="11313" spans="1:5" ht="38.25">
      <c r="A11313" s="449">
        <v>38905</v>
      </c>
      <c r="B11313" s="450" t="s">
        <v>12135</v>
      </c>
      <c r="C11313" s="449" t="s">
        <v>679</v>
      </c>
      <c r="D11313" s="451">
        <v>22.55</v>
      </c>
      <c r="E11313" s="210"/>
    </row>
    <row r="11314" spans="1:5" ht="38.25">
      <c r="A11314" s="449">
        <v>38907</v>
      </c>
      <c r="B11314" s="450" t="s">
        <v>12136</v>
      </c>
      <c r="C11314" s="449" t="s">
        <v>679</v>
      </c>
      <c r="D11314" s="451">
        <v>23.99</v>
      </c>
      <c r="E11314" s="210"/>
    </row>
    <row r="11315" spans="1:5" ht="38.25">
      <c r="A11315" s="449">
        <v>38908</v>
      </c>
      <c r="B11315" s="450" t="s">
        <v>12137</v>
      </c>
      <c r="C11315" s="449" t="s">
        <v>679</v>
      </c>
      <c r="D11315" s="451">
        <v>27</v>
      </c>
      <c r="E11315" s="210"/>
    </row>
    <row r="11316" spans="1:5" ht="38.25">
      <c r="A11316" s="449">
        <v>38909</v>
      </c>
      <c r="B11316" s="450" t="s">
        <v>12138</v>
      </c>
      <c r="C11316" s="449" t="s">
        <v>679</v>
      </c>
      <c r="D11316" s="451">
        <v>38.81</v>
      </c>
      <c r="E11316" s="210"/>
    </row>
    <row r="11317" spans="1:5" ht="38.25">
      <c r="A11317" s="449">
        <v>38910</v>
      </c>
      <c r="B11317" s="450" t="s">
        <v>12139</v>
      </c>
      <c r="C11317" s="449" t="s">
        <v>679</v>
      </c>
      <c r="D11317" s="451">
        <v>41.92</v>
      </c>
      <c r="E11317" s="210"/>
    </row>
    <row r="11318" spans="1:5" ht="38.25">
      <c r="A11318" s="449">
        <v>38897</v>
      </c>
      <c r="B11318" s="450" t="s">
        <v>12140</v>
      </c>
      <c r="C11318" s="449" t="s">
        <v>679</v>
      </c>
      <c r="D11318" s="451">
        <v>22.64</v>
      </c>
      <c r="E11318" s="210"/>
    </row>
    <row r="11319" spans="1:5" ht="38.25">
      <c r="A11319" s="449">
        <v>38899</v>
      </c>
      <c r="B11319" s="450" t="s">
        <v>12141</v>
      </c>
      <c r="C11319" s="449" t="s">
        <v>679</v>
      </c>
      <c r="D11319" s="451">
        <v>25.47</v>
      </c>
      <c r="E11319" s="210"/>
    </row>
    <row r="11320" spans="1:5" ht="38.25">
      <c r="A11320" s="449">
        <v>38900</v>
      </c>
      <c r="B11320" s="450" t="s">
        <v>12142</v>
      </c>
      <c r="C11320" s="449" t="s">
        <v>679</v>
      </c>
      <c r="D11320" s="451">
        <v>26.55</v>
      </c>
      <c r="E11320" s="210"/>
    </row>
    <row r="11321" spans="1:5" ht="38.25">
      <c r="A11321" s="449">
        <v>38901</v>
      </c>
      <c r="B11321" s="450" t="s">
        <v>12143</v>
      </c>
      <c r="C11321" s="449" t="s">
        <v>679</v>
      </c>
      <c r="D11321" s="451">
        <v>43.44</v>
      </c>
      <c r="E11321" s="210"/>
    </row>
    <row r="11322" spans="1:5" ht="38.25">
      <c r="A11322" s="449">
        <v>38904</v>
      </c>
      <c r="B11322" s="450" t="s">
        <v>12144</v>
      </c>
      <c r="C11322" s="449" t="s">
        <v>679</v>
      </c>
      <c r="D11322" s="451">
        <v>70.569999999999993</v>
      </c>
      <c r="E11322" s="210"/>
    </row>
    <row r="11323" spans="1:5" ht="38.25">
      <c r="A11323" s="449">
        <v>38903</v>
      </c>
      <c r="B11323" s="450" t="s">
        <v>12145</v>
      </c>
      <c r="C11323" s="449" t="s">
        <v>679</v>
      </c>
      <c r="D11323" s="451">
        <v>70.13</v>
      </c>
      <c r="E11323" s="210"/>
    </row>
    <row r="11324" spans="1:5" ht="25.5">
      <c r="A11324" s="449">
        <v>7091</v>
      </c>
      <c r="B11324" s="450" t="s">
        <v>12146</v>
      </c>
      <c r="C11324" s="449" t="s">
        <v>679</v>
      </c>
      <c r="D11324" s="451">
        <v>14.54</v>
      </c>
      <c r="E11324" s="210"/>
    </row>
    <row r="11325" spans="1:5" ht="25.5">
      <c r="A11325" s="449">
        <v>11655</v>
      </c>
      <c r="B11325" s="450" t="s">
        <v>12147</v>
      </c>
      <c r="C11325" s="449" t="s">
        <v>679</v>
      </c>
      <c r="D11325" s="451">
        <v>13.89</v>
      </c>
      <c r="E11325" s="210"/>
    </row>
    <row r="11326" spans="1:5" ht="25.5">
      <c r="A11326" s="449">
        <v>11656</v>
      </c>
      <c r="B11326" s="450" t="s">
        <v>12148</v>
      </c>
      <c r="C11326" s="449" t="s">
        <v>679</v>
      </c>
      <c r="D11326" s="451">
        <v>14.53</v>
      </c>
      <c r="E11326" s="210"/>
    </row>
    <row r="11327" spans="1:5" ht="25.5">
      <c r="A11327" s="449">
        <v>37948</v>
      </c>
      <c r="B11327" s="450" t="s">
        <v>12149</v>
      </c>
      <c r="C11327" s="449" t="s">
        <v>679</v>
      </c>
      <c r="D11327" s="451">
        <v>2.94</v>
      </c>
      <c r="E11327" s="210"/>
    </row>
    <row r="11328" spans="1:5" ht="25.5">
      <c r="A11328" s="449">
        <v>7097</v>
      </c>
      <c r="B11328" s="450" t="s">
        <v>12150</v>
      </c>
      <c r="C11328" s="449" t="s">
        <v>679</v>
      </c>
      <c r="D11328" s="451">
        <v>6.46</v>
      </c>
      <c r="E11328" s="210"/>
    </row>
    <row r="11329" spans="1:5" ht="25.5">
      <c r="A11329" s="449">
        <v>11657</v>
      </c>
      <c r="B11329" s="450" t="s">
        <v>12151</v>
      </c>
      <c r="C11329" s="449" t="s">
        <v>679</v>
      </c>
      <c r="D11329" s="451">
        <v>12.66</v>
      </c>
      <c r="E11329" s="210"/>
    </row>
    <row r="11330" spans="1:5" ht="25.5">
      <c r="A11330" s="449">
        <v>11658</v>
      </c>
      <c r="B11330" s="450" t="s">
        <v>12152</v>
      </c>
      <c r="C11330" s="449" t="s">
        <v>679</v>
      </c>
      <c r="D11330" s="451">
        <v>12.9</v>
      </c>
      <c r="E11330" s="210"/>
    </row>
    <row r="11331" spans="1:5" ht="25.5">
      <c r="A11331" s="449">
        <v>7146</v>
      </c>
      <c r="B11331" s="450" t="s">
        <v>12153</v>
      </c>
      <c r="C11331" s="449" t="s">
        <v>679</v>
      </c>
      <c r="D11331" s="451">
        <v>164.66</v>
      </c>
      <c r="E11331" s="210"/>
    </row>
    <row r="11332" spans="1:5" ht="25.5">
      <c r="A11332" s="449">
        <v>7138</v>
      </c>
      <c r="B11332" s="450" t="s">
        <v>12154</v>
      </c>
      <c r="C11332" s="449" t="s">
        <v>679</v>
      </c>
      <c r="D11332" s="451">
        <v>0.93</v>
      </c>
      <c r="E11332" s="210"/>
    </row>
    <row r="11333" spans="1:5" ht="25.5">
      <c r="A11333" s="449">
        <v>7139</v>
      </c>
      <c r="B11333" s="450" t="s">
        <v>12155</v>
      </c>
      <c r="C11333" s="449" t="s">
        <v>679</v>
      </c>
      <c r="D11333" s="451">
        <v>1.22</v>
      </c>
      <c r="E11333" s="210"/>
    </row>
    <row r="11334" spans="1:5" ht="25.5">
      <c r="A11334" s="449">
        <v>7140</v>
      </c>
      <c r="B11334" s="450" t="s">
        <v>12156</v>
      </c>
      <c r="C11334" s="449" t="s">
        <v>679</v>
      </c>
      <c r="D11334" s="451">
        <v>4.0599999999999996</v>
      </c>
      <c r="E11334" s="210"/>
    </row>
    <row r="11335" spans="1:5" ht="25.5">
      <c r="A11335" s="449">
        <v>7141</v>
      </c>
      <c r="B11335" s="450" t="s">
        <v>12157</v>
      </c>
      <c r="C11335" s="449" t="s">
        <v>679</v>
      </c>
      <c r="D11335" s="451">
        <v>8.8800000000000008</v>
      </c>
      <c r="E11335" s="210"/>
    </row>
    <row r="11336" spans="1:5" ht="25.5">
      <c r="A11336" s="449">
        <v>7143</v>
      </c>
      <c r="B11336" s="450" t="s">
        <v>12158</v>
      </c>
      <c r="C11336" s="449" t="s">
        <v>679</v>
      </c>
      <c r="D11336" s="451">
        <v>29.59</v>
      </c>
      <c r="E11336" s="210"/>
    </row>
    <row r="11337" spans="1:5" ht="25.5">
      <c r="A11337" s="449">
        <v>7144</v>
      </c>
      <c r="B11337" s="450" t="s">
        <v>12159</v>
      </c>
      <c r="C11337" s="449" t="s">
        <v>679</v>
      </c>
      <c r="D11337" s="451">
        <v>59.2</v>
      </c>
      <c r="E11337" s="210"/>
    </row>
    <row r="11338" spans="1:5" ht="25.5">
      <c r="A11338" s="449">
        <v>7145</v>
      </c>
      <c r="B11338" s="450" t="s">
        <v>12160</v>
      </c>
      <c r="C11338" s="449" t="s">
        <v>679</v>
      </c>
      <c r="D11338" s="451">
        <v>97.09</v>
      </c>
      <c r="E11338" s="210"/>
    </row>
    <row r="11339" spans="1:5" ht="25.5">
      <c r="A11339" s="449">
        <v>7142</v>
      </c>
      <c r="B11339" s="450" t="s">
        <v>12161</v>
      </c>
      <c r="C11339" s="449" t="s">
        <v>679</v>
      </c>
      <c r="D11339" s="451">
        <v>9.93</v>
      </c>
      <c r="E11339" s="210"/>
    </row>
    <row r="11340" spans="1:5" ht="25.5">
      <c r="A11340" s="449">
        <v>3593</v>
      </c>
      <c r="B11340" s="450" t="s">
        <v>12162</v>
      </c>
      <c r="C11340" s="449" t="s">
        <v>679</v>
      </c>
      <c r="D11340" s="451">
        <v>68.040000000000006</v>
      </c>
      <c r="E11340" s="210"/>
    </row>
    <row r="11341" spans="1:5" ht="25.5">
      <c r="A11341" s="449">
        <v>3588</v>
      </c>
      <c r="B11341" s="450" t="s">
        <v>12163</v>
      </c>
      <c r="C11341" s="449" t="s">
        <v>679</v>
      </c>
      <c r="D11341" s="451">
        <v>52.44</v>
      </c>
      <c r="E11341" s="210"/>
    </row>
    <row r="11342" spans="1:5" ht="25.5">
      <c r="A11342" s="449">
        <v>3585</v>
      </c>
      <c r="B11342" s="450" t="s">
        <v>12164</v>
      </c>
      <c r="C11342" s="449" t="s">
        <v>679</v>
      </c>
      <c r="D11342" s="451">
        <v>16.2</v>
      </c>
      <c r="E11342" s="210"/>
    </row>
    <row r="11343" spans="1:5" ht="25.5">
      <c r="A11343" s="449">
        <v>3587</v>
      </c>
      <c r="B11343" s="450" t="s">
        <v>12165</v>
      </c>
      <c r="C11343" s="449" t="s">
        <v>679</v>
      </c>
      <c r="D11343" s="451">
        <v>32.54</v>
      </c>
      <c r="E11343" s="210"/>
    </row>
    <row r="11344" spans="1:5" ht="25.5">
      <c r="A11344" s="449">
        <v>3590</v>
      </c>
      <c r="B11344" s="450" t="s">
        <v>12166</v>
      </c>
      <c r="C11344" s="449" t="s">
        <v>679</v>
      </c>
      <c r="D11344" s="451">
        <v>193.19</v>
      </c>
      <c r="E11344" s="210"/>
    </row>
    <row r="11345" spans="1:5" ht="25.5">
      <c r="A11345" s="449">
        <v>3589</v>
      </c>
      <c r="B11345" s="450" t="s">
        <v>12167</v>
      </c>
      <c r="C11345" s="449" t="s">
        <v>679</v>
      </c>
      <c r="D11345" s="451">
        <v>103.69</v>
      </c>
      <c r="E11345" s="210"/>
    </row>
    <row r="11346" spans="1:5" ht="25.5">
      <c r="A11346" s="449">
        <v>3586</v>
      </c>
      <c r="B11346" s="450" t="s">
        <v>12168</v>
      </c>
      <c r="C11346" s="449" t="s">
        <v>679</v>
      </c>
      <c r="D11346" s="451">
        <v>21.22</v>
      </c>
      <c r="E11346" s="210"/>
    </row>
    <row r="11347" spans="1:5" ht="25.5">
      <c r="A11347" s="449">
        <v>3592</v>
      </c>
      <c r="B11347" s="450" t="s">
        <v>12169</v>
      </c>
      <c r="C11347" s="449" t="s">
        <v>679</v>
      </c>
      <c r="D11347" s="451">
        <v>305.37</v>
      </c>
      <c r="E11347" s="210"/>
    </row>
    <row r="11348" spans="1:5" ht="25.5">
      <c r="A11348" s="449">
        <v>3591</v>
      </c>
      <c r="B11348" s="450" t="s">
        <v>12170</v>
      </c>
      <c r="C11348" s="449" t="s">
        <v>679</v>
      </c>
      <c r="D11348" s="451">
        <v>489.53</v>
      </c>
      <c r="E11348" s="210"/>
    </row>
    <row r="11349" spans="1:5" ht="25.5">
      <c r="A11349" s="449">
        <v>40396</v>
      </c>
      <c r="B11349" s="450" t="s">
        <v>12171</v>
      </c>
      <c r="C11349" s="449" t="s">
        <v>679</v>
      </c>
      <c r="D11349" s="451">
        <v>115.07</v>
      </c>
      <c r="E11349" s="210"/>
    </row>
    <row r="11350" spans="1:5" ht="25.5">
      <c r="A11350" s="449">
        <v>40395</v>
      </c>
      <c r="B11350" s="450" t="s">
        <v>12172</v>
      </c>
      <c r="C11350" s="449" t="s">
        <v>679</v>
      </c>
      <c r="D11350" s="451">
        <v>88.31</v>
      </c>
      <c r="E11350" s="210"/>
    </row>
    <row r="11351" spans="1:5" ht="25.5">
      <c r="A11351" s="449">
        <v>40392</v>
      </c>
      <c r="B11351" s="450" t="s">
        <v>12173</v>
      </c>
      <c r="C11351" s="449" t="s">
        <v>679</v>
      </c>
      <c r="D11351" s="451">
        <v>28.41</v>
      </c>
      <c r="E11351" s="210"/>
    </row>
    <row r="11352" spans="1:5" ht="25.5">
      <c r="A11352" s="449">
        <v>40394</v>
      </c>
      <c r="B11352" s="450" t="s">
        <v>12174</v>
      </c>
      <c r="C11352" s="449" t="s">
        <v>679</v>
      </c>
      <c r="D11352" s="451">
        <v>57.49</v>
      </c>
      <c r="E11352" s="210"/>
    </row>
    <row r="11353" spans="1:5" ht="25.5">
      <c r="A11353" s="449">
        <v>40398</v>
      </c>
      <c r="B11353" s="450" t="s">
        <v>12175</v>
      </c>
      <c r="C11353" s="449" t="s">
        <v>679</v>
      </c>
      <c r="D11353" s="451">
        <v>369.16</v>
      </c>
      <c r="E11353" s="210"/>
    </row>
    <row r="11354" spans="1:5" ht="25.5">
      <c r="A11354" s="449">
        <v>40397</v>
      </c>
      <c r="B11354" s="450" t="s">
        <v>12176</v>
      </c>
      <c r="C11354" s="449" t="s">
        <v>679</v>
      </c>
      <c r="D11354" s="451">
        <v>189.05</v>
      </c>
      <c r="E11354" s="210"/>
    </row>
    <row r="11355" spans="1:5" ht="25.5">
      <c r="A11355" s="449">
        <v>40393</v>
      </c>
      <c r="B11355" s="450" t="s">
        <v>12177</v>
      </c>
      <c r="C11355" s="449" t="s">
        <v>679</v>
      </c>
      <c r="D11355" s="451">
        <v>36.6</v>
      </c>
      <c r="E11355" s="210"/>
    </row>
    <row r="11356" spans="1:5" ht="25.5">
      <c r="A11356" s="449">
        <v>40399</v>
      </c>
      <c r="B11356" s="450" t="s">
        <v>12178</v>
      </c>
      <c r="C11356" s="449" t="s">
        <v>679</v>
      </c>
      <c r="D11356" s="451">
        <v>603.95000000000005</v>
      </c>
      <c r="E11356" s="210"/>
    </row>
    <row r="11357" spans="1:5" ht="25.5">
      <c r="A11357" s="449">
        <v>39322</v>
      </c>
      <c r="B11357" s="450" t="s">
        <v>12179</v>
      </c>
      <c r="C11357" s="449" t="s">
        <v>679</v>
      </c>
      <c r="D11357" s="451">
        <v>27.35</v>
      </c>
      <c r="E11357" s="210"/>
    </row>
    <row r="11358" spans="1:5" ht="25.5">
      <c r="A11358" s="449">
        <v>39289</v>
      </c>
      <c r="B11358" s="450" t="s">
        <v>12180</v>
      </c>
      <c r="C11358" s="449" t="s">
        <v>679</v>
      </c>
      <c r="D11358" s="451">
        <v>32.770000000000003</v>
      </c>
      <c r="E11358" s="210"/>
    </row>
    <row r="11359" spans="1:5" ht="25.5">
      <c r="A11359" s="449">
        <v>39290</v>
      </c>
      <c r="B11359" s="450" t="s">
        <v>12181</v>
      </c>
      <c r="C11359" s="449" t="s">
        <v>679</v>
      </c>
      <c r="D11359" s="451">
        <v>55.62</v>
      </c>
      <c r="E11359" s="210"/>
    </row>
    <row r="11360" spans="1:5" ht="25.5">
      <c r="A11360" s="449">
        <v>39291</v>
      </c>
      <c r="B11360" s="450" t="s">
        <v>12182</v>
      </c>
      <c r="C11360" s="449" t="s">
        <v>679</v>
      </c>
      <c r="D11360" s="451">
        <v>83.27</v>
      </c>
      <c r="E11360" s="210"/>
    </row>
    <row r="11361" spans="1:5" ht="25.5">
      <c r="A11361" s="449">
        <v>20174</v>
      </c>
      <c r="B11361" s="450" t="s">
        <v>12183</v>
      </c>
      <c r="C11361" s="449" t="s">
        <v>679</v>
      </c>
      <c r="D11361" s="451">
        <v>35.44</v>
      </c>
      <c r="E11361" s="210"/>
    </row>
    <row r="11362" spans="1:5" ht="25.5">
      <c r="A11362" s="449">
        <v>41892</v>
      </c>
      <c r="B11362" s="450" t="s">
        <v>12184</v>
      </c>
      <c r="C11362" s="449" t="s">
        <v>679</v>
      </c>
      <c r="D11362" s="451">
        <v>130.1</v>
      </c>
      <c r="E11362" s="210"/>
    </row>
    <row r="11363" spans="1:5" ht="25.5">
      <c r="A11363" s="449">
        <v>7048</v>
      </c>
      <c r="B11363" s="450" t="s">
        <v>12185</v>
      </c>
      <c r="C11363" s="449" t="s">
        <v>679</v>
      </c>
      <c r="D11363" s="451">
        <v>28.08</v>
      </c>
      <c r="E11363" s="210"/>
    </row>
    <row r="11364" spans="1:5" ht="25.5">
      <c r="A11364" s="449">
        <v>7088</v>
      </c>
      <c r="B11364" s="450" t="s">
        <v>12186</v>
      </c>
      <c r="C11364" s="449" t="s">
        <v>679</v>
      </c>
      <c r="D11364" s="451">
        <v>61.4</v>
      </c>
      <c r="E11364" s="210"/>
    </row>
    <row r="11365" spans="1:5" ht="25.5">
      <c r="A11365" s="449">
        <v>20179</v>
      </c>
      <c r="B11365" s="450" t="s">
        <v>12187</v>
      </c>
      <c r="C11365" s="449" t="s">
        <v>679</v>
      </c>
      <c r="D11365" s="451">
        <v>47.71</v>
      </c>
      <c r="E11365" s="210"/>
    </row>
    <row r="11366" spans="1:5" ht="25.5">
      <c r="A11366" s="449">
        <v>20178</v>
      </c>
      <c r="B11366" s="450" t="s">
        <v>12188</v>
      </c>
      <c r="C11366" s="449" t="s">
        <v>679</v>
      </c>
      <c r="D11366" s="451">
        <v>42.16</v>
      </c>
      <c r="E11366" s="210"/>
    </row>
    <row r="11367" spans="1:5" ht="25.5">
      <c r="A11367" s="449">
        <v>20180</v>
      </c>
      <c r="B11367" s="450" t="s">
        <v>12189</v>
      </c>
      <c r="C11367" s="449" t="s">
        <v>679</v>
      </c>
      <c r="D11367" s="451">
        <v>77.48</v>
      </c>
      <c r="E11367" s="210"/>
    </row>
    <row r="11368" spans="1:5" ht="25.5">
      <c r="A11368" s="449">
        <v>20181</v>
      </c>
      <c r="B11368" s="450" t="s">
        <v>12190</v>
      </c>
      <c r="C11368" s="449" t="s">
        <v>679</v>
      </c>
      <c r="D11368" s="451">
        <v>114.93</v>
      </c>
      <c r="E11368" s="210"/>
    </row>
    <row r="11369" spans="1:5" ht="25.5">
      <c r="A11369" s="449">
        <v>20177</v>
      </c>
      <c r="B11369" s="450" t="s">
        <v>12191</v>
      </c>
      <c r="C11369" s="449" t="s">
        <v>679</v>
      </c>
      <c r="D11369" s="451">
        <v>27.63</v>
      </c>
      <c r="E11369" s="210"/>
    </row>
    <row r="11370" spans="1:5" ht="25.5">
      <c r="A11370" s="449">
        <v>7082</v>
      </c>
      <c r="B11370" s="450" t="s">
        <v>12192</v>
      </c>
      <c r="C11370" s="449" t="s">
        <v>679</v>
      </c>
      <c r="D11370" s="451">
        <v>72.44</v>
      </c>
      <c r="E11370" s="210"/>
    </row>
    <row r="11371" spans="1:5" ht="38.25">
      <c r="A11371" s="449">
        <v>42707</v>
      </c>
      <c r="B11371" s="450" t="s">
        <v>12193</v>
      </c>
      <c r="C11371" s="449" t="s">
        <v>679</v>
      </c>
      <c r="D11371" s="451">
        <v>196.72</v>
      </c>
      <c r="E11371" s="210"/>
    </row>
    <row r="11372" spans="1:5" ht="25.5">
      <c r="A11372" s="449">
        <v>7069</v>
      </c>
      <c r="B11372" s="450" t="s">
        <v>12194</v>
      </c>
      <c r="C11372" s="449" t="s">
        <v>679</v>
      </c>
      <c r="D11372" s="451">
        <v>160.76</v>
      </c>
      <c r="E11372" s="210"/>
    </row>
    <row r="11373" spans="1:5" ht="38.25">
      <c r="A11373" s="449">
        <v>42708</v>
      </c>
      <c r="B11373" s="450" t="s">
        <v>12195</v>
      </c>
      <c r="C11373" s="449" t="s">
        <v>679</v>
      </c>
      <c r="D11373" s="451">
        <v>516.33000000000004</v>
      </c>
      <c r="E11373" s="210"/>
    </row>
    <row r="11374" spans="1:5" ht="25.5">
      <c r="A11374" s="449">
        <v>7070</v>
      </c>
      <c r="B11374" s="450" t="s">
        <v>12196</v>
      </c>
      <c r="C11374" s="449" t="s">
        <v>679</v>
      </c>
      <c r="D11374" s="451">
        <v>230.21</v>
      </c>
      <c r="E11374" s="210"/>
    </row>
    <row r="11375" spans="1:5" ht="38.25">
      <c r="A11375" s="449">
        <v>42709</v>
      </c>
      <c r="B11375" s="450" t="s">
        <v>12197</v>
      </c>
      <c r="C11375" s="449" t="s">
        <v>679</v>
      </c>
      <c r="D11375" s="451">
        <v>772.2</v>
      </c>
      <c r="E11375" s="210"/>
    </row>
    <row r="11376" spans="1:5" ht="38.25">
      <c r="A11376" s="449">
        <v>42710</v>
      </c>
      <c r="B11376" s="450" t="s">
        <v>12198</v>
      </c>
      <c r="C11376" s="449" t="s">
        <v>679</v>
      </c>
      <c r="D11376" s="451">
        <v>2219.69</v>
      </c>
      <c r="E11376" s="210"/>
    </row>
    <row r="11377" spans="1:5" ht="38.25">
      <c r="A11377" s="449">
        <v>42716</v>
      </c>
      <c r="B11377" s="450" t="s">
        <v>12199</v>
      </c>
      <c r="C11377" s="449" t="s">
        <v>679</v>
      </c>
      <c r="D11377" s="451">
        <v>2762.79</v>
      </c>
      <c r="E11377" s="210"/>
    </row>
    <row r="11378" spans="1:5" ht="25.5">
      <c r="A11378" s="449">
        <v>20172</v>
      </c>
      <c r="B11378" s="450" t="s">
        <v>12200</v>
      </c>
      <c r="C11378" s="449" t="s">
        <v>679</v>
      </c>
      <c r="D11378" s="451">
        <v>53.13</v>
      </c>
      <c r="E11378" s="210"/>
    </row>
    <row r="11379" spans="1:5">
      <c r="A11379" s="449">
        <v>40945</v>
      </c>
      <c r="B11379" s="450" t="s">
        <v>12201</v>
      </c>
      <c r="C11379" s="449" t="s">
        <v>682</v>
      </c>
      <c r="D11379" s="451">
        <v>13.02</v>
      </c>
      <c r="E11379" s="210"/>
    </row>
    <row r="11380" spans="1:5">
      <c r="A11380" s="449">
        <v>40946</v>
      </c>
      <c r="B11380" s="450" t="s">
        <v>12202</v>
      </c>
      <c r="C11380" s="449" t="s">
        <v>797</v>
      </c>
      <c r="D11380" s="451">
        <v>2309.2600000000002</v>
      </c>
      <c r="E11380" s="210"/>
    </row>
    <row r="11381" spans="1:5" ht="25.5">
      <c r="A11381" s="449">
        <v>7153</v>
      </c>
      <c r="B11381" s="450" t="s">
        <v>12203</v>
      </c>
      <c r="C11381" s="449" t="s">
        <v>682</v>
      </c>
      <c r="D11381" s="451">
        <v>19.66</v>
      </c>
      <c r="E11381" s="210"/>
    </row>
    <row r="11382" spans="1:5" ht="25.5">
      <c r="A11382" s="449">
        <v>41089</v>
      </c>
      <c r="B11382" s="450" t="s">
        <v>12204</v>
      </c>
      <c r="C11382" s="449" t="s">
        <v>797</v>
      </c>
      <c r="D11382" s="451">
        <v>3485.32</v>
      </c>
      <c r="E11382" s="210"/>
    </row>
    <row r="11383" spans="1:5">
      <c r="A11383" s="449">
        <v>40943</v>
      </c>
      <c r="B11383" s="450" t="s">
        <v>12205</v>
      </c>
      <c r="C11383" s="449" t="s">
        <v>682</v>
      </c>
      <c r="D11383" s="451">
        <v>20.7</v>
      </c>
      <c r="E11383" s="210"/>
    </row>
    <row r="11384" spans="1:5" ht="25.5">
      <c r="A11384" s="449">
        <v>40944</v>
      </c>
      <c r="B11384" s="450" t="s">
        <v>12206</v>
      </c>
      <c r="C11384" s="449" t="s">
        <v>797</v>
      </c>
      <c r="D11384" s="451">
        <v>3670.52</v>
      </c>
      <c r="E11384" s="210"/>
    </row>
    <row r="11385" spans="1:5">
      <c r="A11385" s="449">
        <v>6175</v>
      </c>
      <c r="B11385" s="450" t="s">
        <v>12207</v>
      </c>
      <c r="C11385" s="449" t="s">
        <v>682</v>
      </c>
      <c r="D11385" s="451">
        <v>18.11</v>
      </c>
      <c r="E11385" s="210"/>
    </row>
    <row r="11386" spans="1:5">
      <c r="A11386" s="449">
        <v>41092</v>
      </c>
      <c r="B11386" s="450" t="s">
        <v>12208</v>
      </c>
      <c r="C11386" s="449" t="s">
        <v>797</v>
      </c>
      <c r="D11386" s="451">
        <v>3210.7</v>
      </c>
      <c r="E11386" s="210"/>
    </row>
    <row r="11387" spans="1:5" ht="51">
      <c r="A11387" s="449">
        <v>37712</v>
      </c>
      <c r="B11387" s="450" t="s">
        <v>12209</v>
      </c>
      <c r="C11387" s="449" t="s">
        <v>684</v>
      </c>
      <c r="D11387" s="451">
        <v>61.5</v>
      </c>
      <c r="E11387" s="210"/>
    </row>
    <row r="11388" spans="1:5" ht="38.25">
      <c r="A11388" s="449">
        <v>34547</v>
      </c>
      <c r="B11388" s="450" t="s">
        <v>12210</v>
      </c>
      <c r="C11388" s="449" t="s">
        <v>683</v>
      </c>
      <c r="D11388" s="451">
        <v>7.01</v>
      </c>
      <c r="E11388" s="210"/>
    </row>
    <row r="11389" spans="1:5" ht="38.25">
      <c r="A11389" s="449">
        <v>34548</v>
      </c>
      <c r="B11389" s="450" t="s">
        <v>12211</v>
      </c>
      <c r="C11389" s="449" t="s">
        <v>683</v>
      </c>
      <c r="D11389" s="451">
        <v>11.5</v>
      </c>
      <c r="E11389" s="210"/>
    </row>
    <row r="11390" spans="1:5" ht="38.25">
      <c r="A11390" s="449">
        <v>34558</v>
      </c>
      <c r="B11390" s="450" t="s">
        <v>12212</v>
      </c>
      <c r="C11390" s="449" t="s">
        <v>683</v>
      </c>
      <c r="D11390" s="451">
        <v>5.7</v>
      </c>
      <c r="E11390" s="210"/>
    </row>
    <row r="11391" spans="1:5" ht="38.25">
      <c r="A11391" s="449">
        <v>34550</v>
      </c>
      <c r="B11391" s="450" t="s">
        <v>12213</v>
      </c>
      <c r="C11391" s="449" t="s">
        <v>683</v>
      </c>
      <c r="D11391" s="451">
        <v>3.03</v>
      </c>
      <c r="E11391" s="210"/>
    </row>
    <row r="11392" spans="1:5" ht="38.25">
      <c r="A11392" s="449">
        <v>34557</v>
      </c>
      <c r="B11392" s="450" t="s">
        <v>12214</v>
      </c>
      <c r="C11392" s="449" t="s">
        <v>683</v>
      </c>
      <c r="D11392" s="451">
        <v>4.4400000000000004</v>
      </c>
      <c r="E11392" s="210"/>
    </row>
    <row r="11393" spans="1:5" ht="38.25">
      <c r="A11393" s="449">
        <v>37411</v>
      </c>
      <c r="B11393" s="450" t="s">
        <v>12215</v>
      </c>
      <c r="C11393" s="449" t="s">
        <v>684</v>
      </c>
      <c r="D11393" s="451">
        <v>32.44</v>
      </c>
      <c r="E11393" s="210"/>
    </row>
    <row r="11394" spans="1:5" ht="51">
      <c r="A11394" s="449">
        <v>39508</v>
      </c>
      <c r="B11394" s="450" t="s">
        <v>12216</v>
      </c>
      <c r="C11394" s="449" t="s">
        <v>684</v>
      </c>
      <c r="D11394" s="451">
        <v>18.22</v>
      </c>
      <c r="E11394" s="210"/>
    </row>
    <row r="11395" spans="1:5" ht="51">
      <c r="A11395" s="449">
        <v>39507</v>
      </c>
      <c r="B11395" s="450" t="s">
        <v>12217</v>
      </c>
      <c r="C11395" s="449" t="s">
        <v>684</v>
      </c>
      <c r="D11395" s="451">
        <v>27.19</v>
      </c>
      <c r="E11395" s="210"/>
    </row>
    <row r="11396" spans="1:5" ht="51">
      <c r="A11396" s="449">
        <v>7155</v>
      </c>
      <c r="B11396" s="450" t="s">
        <v>12218</v>
      </c>
      <c r="C11396" s="449" t="s">
        <v>684</v>
      </c>
      <c r="D11396" s="451">
        <v>34.9</v>
      </c>
      <c r="E11396" s="210"/>
    </row>
    <row r="11397" spans="1:5" ht="51">
      <c r="A11397" s="449">
        <v>42406</v>
      </c>
      <c r="B11397" s="450" t="s">
        <v>12219</v>
      </c>
      <c r="C11397" s="449" t="s">
        <v>684</v>
      </c>
      <c r="D11397" s="451">
        <v>40.020000000000003</v>
      </c>
      <c r="E11397" s="210"/>
    </row>
    <row r="11398" spans="1:5" ht="51">
      <c r="A11398" s="449">
        <v>7156</v>
      </c>
      <c r="B11398" s="450" t="s">
        <v>12220</v>
      </c>
      <c r="C11398" s="449" t="s">
        <v>684</v>
      </c>
      <c r="D11398" s="451">
        <v>50.07</v>
      </c>
      <c r="E11398" s="210"/>
    </row>
    <row r="11399" spans="1:5" ht="51">
      <c r="A11399" s="449">
        <v>43127</v>
      </c>
      <c r="B11399" s="450" t="s">
        <v>12221</v>
      </c>
      <c r="C11399" s="449" t="s">
        <v>684</v>
      </c>
      <c r="D11399" s="451">
        <v>71.66</v>
      </c>
      <c r="E11399" s="210"/>
    </row>
    <row r="11400" spans="1:5" ht="51">
      <c r="A11400" s="449">
        <v>10917</v>
      </c>
      <c r="B11400" s="450" t="s">
        <v>12222</v>
      </c>
      <c r="C11400" s="449" t="s">
        <v>684</v>
      </c>
      <c r="D11400" s="451">
        <v>15.12</v>
      </c>
      <c r="E11400" s="210"/>
    </row>
    <row r="11401" spans="1:5" ht="51">
      <c r="A11401" s="449">
        <v>21141</v>
      </c>
      <c r="B11401" s="450" t="s">
        <v>12223</v>
      </c>
      <c r="C11401" s="449" t="s">
        <v>684</v>
      </c>
      <c r="D11401" s="451">
        <v>23.41</v>
      </c>
      <c r="E11401" s="210"/>
    </row>
    <row r="11402" spans="1:5" ht="51">
      <c r="A11402" s="449">
        <v>39509</v>
      </c>
      <c r="B11402" s="450" t="s">
        <v>12224</v>
      </c>
      <c r="C11402" s="449" t="s">
        <v>684</v>
      </c>
      <c r="D11402" s="451">
        <v>22.52</v>
      </c>
      <c r="E11402" s="210"/>
    </row>
    <row r="11403" spans="1:5">
      <c r="A11403" s="449">
        <v>25988</v>
      </c>
      <c r="B11403" s="450" t="s">
        <v>12225</v>
      </c>
      <c r="C11403" s="449" t="s">
        <v>684</v>
      </c>
      <c r="D11403" s="451">
        <v>10.77</v>
      </c>
      <c r="E11403" s="210"/>
    </row>
    <row r="11404" spans="1:5" ht="38.25">
      <c r="A11404" s="449">
        <v>7167</v>
      </c>
      <c r="B11404" s="450" t="s">
        <v>12226</v>
      </c>
      <c r="C11404" s="449" t="s">
        <v>684</v>
      </c>
      <c r="D11404" s="451">
        <v>23.74</v>
      </c>
      <c r="E11404" s="210"/>
    </row>
    <row r="11405" spans="1:5" ht="38.25">
      <c r="A11405" s="449">
        <v>10928</v>
      </c>
      <c r="B11405" s="450" t="s">
        <v>12227</v>
      </c>
      <c r="C11405" s="449" t="s">
        <v>684</v>
      </c>
      <c r="D11405" s="451">
        <v>13.64</v>
      </c>
      <c r="E11405" s="210"/>
    </row>
    <row r="11406" spans="1:5" ht="38.25">
      <c r="A11406" s="449">
        <v>10933</v>
      </c>
      <c r="B11406" s="450" t="s">
        <v>12228</v>
      </c>
      <c r="C11406" s="449" t="s">
        <v>684</v>
      </c>
      <c r="D11406" s="451">
        <v>20.58</v>
      </c>
      <c r="E11406" s="210"/>
    </row>
    <row r="11407" spans="1:5" ht="38.25">
      <c r="A11407" s="449">
        <v>7158</v>
      </c>
      <c r="B11407" s="450" t="s">
        <v>12229</v>
      </c>
      <c r="C11407" s="449" t="s">
        <v>684</v>
      </c>
      <c r="D11407" s="451">
        <v>34.9</v>
      </c>
      <c r="E11407" s="210"/>
    </row>
    <row r="11408" spans="1:5" ht="38.25">
      <c r="A11408" s="449">
        <v>10927</v>
      </c>
      <c r="B11408" s="450" t="s">
        <v>12230</v>
      </c>
      <c r="C11408" s="449" t="s">
        <v>684</v>
      </c>
      <c r="D11408" s="451">
        <v>22.32</v>
      </c>
      <c r="E11408" s="210"/>
    </row>
    <row r="11409" spans="1:5" ht="38.25">
      <c r="A11409" s="449">
        <v>7162</v>
      </c>
      <c r="B11409" s="450" t="s">
        <v>12231</v>
      </c>
      <c r="C11409" s="449" t="s">
        <v>684</v>
      </c>
      <c r="D11409" s="451">
        <v>54.61</v>
      </c>
      <c r="E11409" s="210"/>
    </row>
    <row r="11410" spans="1:5" ht="38.25">
      <c r="A11410" s="449">
        <v>10932</v>
      </c>
      <c r="B11410" s="450" t="s">
        <v>12232</v>
      </c>
      <c r="C11410" s="449" t="s">
        <v>684</v>
      </c>
      <c r="D11410" s="451">
        <v>94.99</v>
      </c>
      <c r="E11410" s="210"/>
    </row>
    <row r="11411" spans="1:5" ht="51">
      <c r="A11411" s="449">
        <v>10937</v>
      </c>
      <c r="B11411" s="450" t="s">
        <v>12233</v>
      </c>
      <c r="C11411" s="449" t="s">
        <v>684</v>
      </c>
      <c r="D11411" s="451">
        <v>24.41</v>
      </c>
      <c r="E11411" s="210"/>
    </row>
    <row r="11412" spans="1:5" ht="51">
      <c r="A11412" s="449">
        <v>10935</v>
      </c>
      <c r="B11412" s="450" t="s">
        <v>12234</v>
      </c>
      <c r="C11412" s="449" t="s">
        <v>684</v>
      </c>
      <c r="D11412" s="451">
        <v>42.34</v>
      </c>
      <c r="E11412" s="210"/>
    </row>
    <row r="11413" spans="1:5" ht="25.5">
      <c r="A11413" s="449">
        <v>10931</v>
      </c>
      <c r="B11413" s="450" t="s">
        <v>12235</v>
      </c>
      <c r="C11413" s="449" t="s">
        <v>684</v>
      </c>
      <c r="D11413" s="451">
        <v>11.91</v>
      </c>
      <c r="E11413" s="210"/>
    </row>
    <row r="11414" spans="1:5" ht="25.5">
      <c r="A11414" s="449">
        <v>7164</v>
      </c>
      <c r="B11414" s="450" t="s">
        <v>12236</v>
      </c>
      <c r="C11414" s="449" t="s">
        <v>684</v>
      </c>
      <c r="D11414" s="451">
        <v>39.409999999999997</v>
      </c>
      <c r="E11414" s="210"/>
    </row>
    <row r="11415" spans="1:5" ht="25.5">
      <c r="A11415" s="449">
        <v>36887</v>
      </c>
      <c r="B11415" s="450" t="s">
        <v>12237</v>
      </c>
      <c r="C11415" s="449" t="s">
        <v>684</v>
      </c>
      <c r="D11415" s="451">
        <v>14.03</v>
      </c>
      <c r="E11415" s="210"/>
    </row>
    <row r="11416" spans="1:5" ht="63.75">
      <c r="A11416" s="449">
        <v>34630</v>
      </c>
      <c r="B11416" s="450" t="s">
        <v>12238</v>
      </c>
      <c r="C11416" s="449" t="s">
        <v>679</v>
      </c>
      <c r="D11416" s="451">
        <v>999.55</v>
      </c>
      <c r="E11416" s="210"/>
    </row>
    <row r="11417" spans="1:5">
      <c r="A11417" s="449">
        <v>7161</v>
      </c>
      <c r="B11417" s="450" t="s">
        <v>12239</v>
      </c>
      <c r="C11417" s="449" t="s">
        <v>684</v>
      </c>
      <c r="D11417" s="451">
        <v>4.9000000000000004</v>
      </c>
      <c r="E11417" s="210"/>
    </row>
    <row r="11418" spans="1:5" ht="38.25">
      <c r="A11418" s="449">
        <v>7170</v>
      </c>
      <c r="B11418" s="450" t="s">
        <v>12240</v>
      </c>
      <c r="C11418" s="449" t="s">
        <v>684</v>
      </c>
      <c r="D11418" s="451">
        <v>1.99</v>
      </c>
      <c r="E11418" s="210"/>
    </row>
    <row r="11419" spans="1:5" ht="38.25">
      <c r="A11419" s="449">
        <v>37524</v>
      </c>
      <c r="B11419" s="450" t="s">
        <v>12241</v>
      </c>
      <c r="C11419" s="449" t="s">
        <v>683</v>
      </c>
      <c r="D11419" s="451">
        <v>1.91</v>
      </c>
      <c r="E11419" s="210"/>
    </row>
    <row r="11420" spans="1:5" ht="51">
      <c r="A11420" s="449">
        <v>37525</v>
      </c>
      <c r="B11420" s="450" t="s">
        <v>12242</v>
      </c>
      <c r="C11420" s="449" t="s">
        <v>683</v>
      </c>
      <c r="D11420" s="451">
        <v>2.2799999999999998</v>
      </c>
      <c r="E11420" s="210"/>
    </row>
    <row r="11421" spans="1:5" ht="38.25">
      <c r="A11421" s="449">
        <v>36789</v>
      </c>
      <c r="B11421" s="450" t="s">
        <v>12243</v>
      </c>
      <c r="C11421" s="449" t="s">
        <v>679</v>
      </c>
      <c r="D11421" s="451">
        <v>2.5299999999999998</v>
      </c>
      <c r="E11421" s="210"/>
    </row>
    <row r="11422" spans="1:5" ht="51">
      <c r="A11422" s="449">
        <v>7173</v>
      </c>
      <c r="B11422" s="450" t="s">
        <v>12244</v>
      </c>
      <c r="C11422" s="449" t="s">
        <v>689</v>
      </c>
      <c r="D11422" s="451">
        <v>1640</v>
      </c>
      <c r="E11422" s="210"/>
    </row>
    <row r="11423" spans="1:5" ht="51">
      <c r="A11423" s="449">
        <v>7175</v>
      </c>
      <c r="B11423" s="450" t="s">
        <v>12245</v>
      </c>
      <c r="C11423" s="449" t="s">
        <v>679</v>
      </c>
      <c r="D11423" s="451">
        <v>1.85</v>
      </c>
      <c r="E11423" s="210"/>
    </row>
    <row r="11424" spans="1:5" ht="38.25">
      <c r="A11424" s="449">
        <v>40741</v>
      </c>
      <c r="B11424" s="450" t="s">
        <v>12246</v>
      </c>
      <c r="C11424" s="449" t="s">
        <v>679</v>
      </c>
      <c r="D11424" s="451">
        <v>2.2799999999999998</v>
      </c>
      <c r="E11424" s="210"/>
    </row>
    <row r="11425" spans="1:5" ht="25.5">
      <c r="A11425" s="449">
        <v>7184</v>
      </c>
      <c r="B11425" s="450" t="s">
        <v>12247</v>
      </c>
      <c r="C11425" s="449" t="s">
        <v>684</v>
      </c>
      <c r="D11425" s="451">
        <v>34.69</v>
      </c>
      <c r="E11425" s="210"/>
    </row>
    <row r="11426" spans="1:5" ht="25.5">
      <c r="A11426" s="449">
        <v>34458</v>
      </c>
      <c r="B11426" s="450" t="s">
        <v>12248</v>
      </c>
      <c r="C11426" s="449" t="s">
        <v>679</v>
      </c>
      <c r="D11426" s="451">
        <v>153.63999999999999</v>
      </c>
      <c r="E11426" s="210"/>
    </row>
    <row r="11427" spans="1:5" ht="25.5">
      <c r="A11427" s="449">
        <v>34464</v>
      </c>
      <c r="B11427" s="450" t="s">
        <v>12249</v>
      </c>
      <c r="C11427" s="449" t="s">
        <v>679</v>
      </c>
      <c r="D11427" s="451">
        <v>206.13</v>
      </c>
      <c r="E11427" s="210"/>
    </row>
    <row r="11428" spans="1:5" ht="25.5">
      <c r="A11428" s="449">
        <v>34468</v>
      </c>
      <c r="B11428" s="450" t="s">
        <v>12250</v>
      </c>
      <c r="C11428" s="449" t="s">
        <v>679</v>
      </c>
      <c r="D11428" s="451">
        <v>237.89</v>
      </c>
      <c r="E11428" s="210"/>
    </row>
    <row r="11429" spans="1:5" ht="25.5">
      <c r="A11429" s="449">
        <v>34473</v>
      </c>
      <c r="B11429" s="450" t="s">
        <v>12251</v>
      </c>
      <c r="C11429" s="449" t="s">
        <v>679</v>
      </c>
      <c r="D11429" s="451">
        <v>194.56</v>
      </c>
      <c r="E11429" s="210"/>
    </row>
    <row r="11430" spans="1:5" ht="25.5">
      <c r="A11430" s="449">
        <v>34480</v>
      </c>
      <c r="B11430" s="450" t="s">
        <v>12252</v>
      </c>
      <c r="C11430" s="449" t="s">
        <v>679</v>
      </c>
      <c r="D11430" s="451">
        <v>265.32</v>
      </c>
      <c r="E11430" s="210"/>
    </row>
    <row r="11431" spans="1:5" ht="25.5">
      <c r="A11431" s="449">
        <v>34486</v>
      </c>
      <c r="B11431" s="450" t="s">
        <v>12253</v>
      </c>
      <c r="C11431" s="449" t="s">
        <v>679</v>
      </c>
      <c r="D11431" s="451">
        <v>297.16000000000003</v>
      </c>
      <c r="E11431" s="210"/>
    </row>
    <row r="11432" spans="1:5" ht="25.5">
      <c r="A11432" s="449">
        <v>7202</v>
      </c>
      <c r="B11432" s="450" t="s">
        <v>12254</v>
      </c>
      <c r="C11432" s="449" t="s">
        <v>684</v>
      </c>
      <c r="D11432" s="451">
        <v>60.89</v>
      </c>
      <c r="E11432" s="210"/>
    </row>
    <row r="11433" spans="1:5" ht="25.5">
      <c r="A11433" s="449">
        <v>7190</v>
      </c>
      <c r="B11433" s="450" t="s">
        <v>12255</v>
      </c>
      <c r="C11433" s="449" t="s">
        <v>679</v>
      </c>
      <c r="D11433" s="451">
        <v>10.45</v>
      </c>
      <c r="E11433" s="210"/>
    </row>
    <row r="11434" spans="1:5" ht="25.5">
      <c r="A11434" s="449">
        <v>34417</v>
      </c>
      <c r="B11434" s="450" t="s">
        <v>12256</v>
      </c>
      <c r="C11434" s="449" t="s">
        <v>679</v>
      </c>
      <c r="D11434" s="451">
        <v>18.16</v>
      </c>
      <c r="E11434" s="210"/>
    </row>
    <row r="11435" spans="1:5" ht="25.5">
      <c r="A11435" s="449">
        <v>7213</v>
      </c>
      <c r="B11435" s="450" t="s">
        <v>12257</v>
      </c>
      <c r="C11435" s="449" t="s">
        <v>684</v>
      </c>
      <c r="D11435" s="451">
        <v>17.25</v>
      </c>
      <c r="E11435" s="210"/>
    </row>
    <row r="11436" spans="1:5" ht="25.5">
      <c r="A11436" s="449">
        <v>7195</v>
      </c>
      <c r="B11436" s="450" t="s">
        <v>12258</v>
      </c>
      <c r="C11436" s="449" t="s">
        <v>679</v>
      </c>
      <c r="D11436" s="451">
        <v>50.14</v>
      </c>
      <c r="E11436" s="210"/>
    </row>
    <row r="11437" spans="1:5" ht="25.5">
      <c r="A11437" s="449">
        <v>7186</v>
      </c>
      <c r="B11437" s="450" t="s">
        <v>12259</v>
      </c>
      <c r="C11437" s="449" t="s">
        <v>679</v>
      </c>
      <c r="D11437" s="451">
        <v>59.99</v>
      </c>
      <c r="E11437" s="210"/>
    </row>
    <row r="11438" spans="1:5" ht="25.5">
      <c r="A11438" s="449">
        <v>7194</v>
      </c>
      <c r="B11438" s="450" t="s">
        <v>12260</v>
      </c>
      <c r="C11438" s="449" t="s">
        <v>684</v>
      </c>
      <c r="D11438" s="451">
        <v>29.75</v>
      </c>
      <c r="E11438" s="210"/>
    </row>
    <row r="11439" spans="1:5" ht="25.5">
      <c r="A11439" s="449">
        <v>7197</v>
      </c>
      <c r="B11439" s="450" t="s">
        <v>12261</v>
      </c>
      <c r="C11439" s="449" t="s">
        <v>679</v>
      </c>
      <c r="D11439" s="451">
        <v>119.95</v>
      </c>
      <c r="E11439" s="210"/>
    </row>
    <row r="11440" spans="1:5" ht="25.5">
      <c r="A11440" s="449">
        <v>7192</v>
      </c>
      <c r="B11440" s="450" t="s">
        <v>12262</v>
      </c>
      <c r="C11440" s="449" t="s">
        <v>679</v>
      </c>
      <c r="D11440" s="451">
        <v>65.97</v>
      </c>
      <c r="E11440" s="210"/>
    </row>
    <row r="11441" spans="1:5" ht="25.5">
      <c r="A11441" s="449">
        <v>7193</v>
      </c>
      <c r="B11441" s="450" t="s">
        <v>12263</v>
      </c>
      <c r="C11441" s="449" t="s">
        <v>679</v>
      </c>
      <c r="D11441" s="451">
        <v>78.75</v>
      </c>
      <c r="E11441" s="210"/>
    </row>
    <row r="11442" spans="1:5" ht="25.5">
      <c r="A11442" s="449">
        <v>7189</v>
      </c>
      <c r="B11442" s="450" t="s">
        <v>12264</v>
      </c>
      <c r="C11442" s="449" t="s">
        <v>679</v>
      </c>
      <c r="D11442" s="451">
        <v>110.62</v>
      </c>
      <c r="E11442" s="210"/>
    </row>
    <row r="11443" spans="1:5" ht="25.5">
      <c r="A11443" s="449">
        <v>7198</v>
      </c>
      <c r="B11443" s="450" t="s">
        <v>12265</v>
      </c>
      <c r="C11443" s="449" t="s">
        <v>684</v>
      </c>
      <c r="D11443" s="451">
        <v>41.18</v>
      </c>
      <c r="E11443" s="210"/>
    </row>
    <row r="11444" spans="1:5" ht="25.5">
      <c r="A11444" s="449">
        <v>34402</v>
      </c>
      <c r="B11444" s="450" t="s">
        <v>12265</v>
      </c>
      <c r="C11444" s="449" t="s">
        <v>679</v>
      </c>
      <c r="D11444" s="451">
        <v>165.8</v>
      </c>
      <c r="E11444" s="210"/>
    </row>
    <row r="11445" spans="1:5">
      <c r="A11445" s="449">
        <v>7245</v>
      </c>
      <c r="B11445" s="450" t="s">
        <v>12266</v>
      </c>
      <c r="C11445" s="449" t="s">
        <v>679</v>
      </c>
      <c r="D11445" s="451">
        <v>56.28</v>
      </c>
      <c r="E11445" s="210"/>
    </row>
    <row r="11446" spans="1:5" ht="25.5">
      <c r="A11446" s="449">
        <v>34425</v>
      </c>
      <c r="B11446" s="450" t="s">
        <v>12267</v>
      </c>
      <c r="C11446" s="449" t="s">
        <v>679</v>
      </c>
      <c r="D11446" s="451">
        <v>102.53</v>
      </c>
      <c r="E11446" s="210"/>
    </row>
    <row r="11447" spans="1:5" ht="25.5">
      <c r="A11447" s="449">
        <v>7223</v>
      </c>
      <c r="B11447" s="450" t="s">
        <v>12268</v>
      </c>
      <c r="C11447" s="449" t="s">
        <v>679</v>
      </c>
      <c r="D11447" s="451">
        <v>119.49</v>
      </c>
      <c r="E11447" s="210"/>
    </row>
    <row r="11448" spans="1:5" ht="25.5">
      <c r="A11448" s="449">
        <v>7234</v>
      </c>
      <c r="B11448" s="450" t="s">
        <v>12269</v>
      </c>
      <c r="C11448" s="449" t="s">
        <v>679</v>
      </c>
      <c r="D11448" s="451">
        <v>172.35</v>
      </c>
      <c r="E11448" s="210"/>
    </row>
    <row r="11449" spans="1:5" ht="25.5">
      <c r="A11449" s="449">
        <v>7224</v>
      </c>
      <c r="B11449" s="450" t="s">
        <v>12270</v>
      </c>
      <c r="C11449" s="449" t="s">
        <v>679</v>
      </c>
      <c r="D11449" s="451">
        <v>190.37</v>
      </c>
      <c r="E11449" s="210"/>
    </row>
    <row r="11450" spans="1:5" ht="25.5">
      <c r="A11450" s="449">
        <v>7221</v>
      </c>
      <c r="B11450" s="450" t="s">
        <v>12271</v>
      </c>
      <c r="C11450" s="449" t="s">
        <v>684</v>
      </c>
      <c r="D11450" s="451">
        <v>92.56</v>
      </c>
      <c r="E11450" s="210"/>
    </row>
    <row r="11451" spans="1:5" ht="25.5">
      <c r="A11451" s="449">
        <v>7225</v>
      </c>
      <c r="B11451" s="450" t="s">
        <v>12272</v>
      </c>
      <c r="C11451" s="449" t="s">
        <v>679</v>
      </c>
      <c r="D11451" s="451">
        <v>240.68</v>
      </c>
      <c r="E11451" s="210"/>
    </row>
    <row r="11452" spans="1:5" ht="25.5">
      <c r="A11452" s="449">
        <v>7226</v>
      </c>
      <c r="B11452" s="450" t="s">
        <v>12273</v>
      </c>
      <c r="C11452" s="449" t="s">
        <v>679</v>
      </c>
      <c r="D11452" s="451">
        <v>264.86</v>
      </c>
      <c r="E11452" s="210"/>
    </row>
    <row r="11453" spans="1:5" ht="25.5">
      <c r="A11453" s="449">
        <v>7236</v>
      </c>
      <c r="B11453" s="450" t="s">
        <v>12274</v>
      </c>
      <c r="C11453" s="449" t="s">
        <v>679</v>
      </c>
      <c r="D11453" s="451">
        <v>288.86</v>
      </c>
      <c r="E11453" s="210"/>
    </row>
    <row r="11454" spans="1:5" ht="25.5">
      <c r="A11454" s="449">
        <v>7227</v>
      </c>
      <c r="B11454" s="450" t="s">
        <v>12275</v>
      </c>
      <c r="C11454" s="449" t="s">
        <v>679</v>
      </c>
      <c r="D11454" s="451">
        <v>312.94</v>
      </c>
      <c r="E11454" s="210"/>
    </row>
    <row r="11455" spans="1:5" ht="25.5">
      <c r="A11455" s="449">
        <v>7212</v>
      </c>
      <c r="B11455" s="450" t="s">
        <v>12276</v>
      </c>
      <c r="C11455" s="449" t="s">
        <v>679</v>
      </c>
      <c r="D11455" s="451">
        <v>346.5</v>
      </c>
      <c r="E11455" s="210"/>
    </row>
    <row r="11456" spans="1:5" ht="25.5">
      <c r="A11456" s="449">
        <v>7229</v>
      </c>
      <c r="B11456" s="450" t="s">
        <v>12277</v>
      </c>
      <c r="C11456" s="449" t="s">
        <v>679</v>
      </c>
      <c r="D11456" s="451">
        <v>229.14</v>
      </c>
      <c r="E11456" s="210"/>
    </row>
    <row r="11457" spans="1:5" ht="25.5">
      <c r="A11457" s="449">
        <v>7230</v>
      </c>
      <c r="B11457" s="450" t="s">
        <v>12278</v>
      </c>
      <c r="C11457" s="449" t="s">
        <v>679</v>
      </c>
      <c r="D11457" s="451">
        <v>365.15</v>
      </c>
      <c r="E11457" s="210"/>
    </row>
    <row r="11458" spans="1:5" ht="25.5">
      <c r="A11458" s="449">
        <v>7231</v>
      </c>
      <c r="B11458" s="450" t="s">
        <v>12279</v>
      </c>
      <c r="C11458" s="449" t="s">
        <v>679</v>
      </c>
      <c r="D11458" s="451">
        <v>479.55</v>
      </c>
      <c r="E11458" s="210"/>
    </row>
    <row r="11459" spans="1:5" ht="25.5">
      <c r="A11459" s="449">
        <v>7220</v>
      </c>
      <c r="B11459" s="450" t="s">
        <v>12280</v>
      </c>
      <c r="C11459" s="449" t="s">
        <v>679</v>
      </c>
      <c r="D11459" s="451">
        <v>589.57000000000005</v>
      </c>
      <c r="E11459" s="210"/>
    </row>
    <row r="11460" spans="1:5" ht="25.5">
      <c r="A11460" s="449">
        <v>34447</v>
      </c>
      <c r="B11460" s="450" t="s">
        <v>12281</v>
      </c>
      <c r="C11460" s="449" t="s">
        <v>679</v>
      </c>
      <c r="D11460" s="451">
        <v>656.2</v>
      </c>
      <c r="E11460" s="210"/>
    </row>
    <row r="11461" spans="1:5" ht="25.5">
      <c r="A11461" s="449">
        <v>7233</v>
      </c>
      <c r="B11461" s="450" t="s">
        <v>12282</v>
      </c>
      <c r="C11461" s="449" t="s">
        <v>679</v>
      </c>
      <c r="D11461" s="451">
        <v>734.64</v>
      </c>
      <c r="E11461" s="210"/>
    </row>
    <row r="11462" spans="1:5" ht="76.5">
      <c r="A11462" s="449">
        <v>40740</v>
      </c>
      <c r="B11462" s="450" t="s">
        <v>12283</v>
      </c>
      <c r="C11462" s="449" t="s">
        <v>684</v>
      </c>
      <c r="D11462" s="451">
        <v>218.24</v>
      </c>
      <c r="E11462" s="210"/>
    </row>
    <row r="11463" spans="1:5" ht="38.25">
      <c r="A11463" s="449">
        <v>25007</v>
      </c>
      <c r="B11463" s="450" t="s">
        <v>12284</v>
      </c>
      <c r="C11463" s="449" t="s">
        <v>684</v>
      </c>
      <c r="D11463" s="451">
        <v>62.45</v>
      </c>
      <c r="E11463" s="210"/>
    </row>
    <row r="11464" spans="1:5" ht="89.25">
      <c r="A11464" s="449">
        <v>43071</v>
      </c>
      <c r="B11464" s="450" t="s">
        <v>12285</v>
      </c>
      <c r="C11464" s="449" t="s">
        <v>684</v>
      </c>
      <c r="D11464" s="451">
        <v>245.74</v>
      </c>
      <c r="E11464" s="210"/>
    </row>
    <row r="11465" spans="1:5" ht="89.25">
      <c r="A11465" s="449">
        <v>39520</v>
      </c>
      <c r="B11465" s="450" t="s">
        <v>12286</v>
      </c>
      <c r="C11465" s="449" t="s">
        <v>684</v>
      </c>
      <c r="D11465" s="451">
        <v>200.49</v>
      </c>
      <c r="E11465" s="210"/>
    </row>
    <row r="11466" spans="1:5" ht="89.25">
      <c r="A11466" s="449">
        <v>39521</v>
      </c>
      <c r="B11466" s="450" t="s">
        <v>12287</v>
      </c>
      <c r="C11466" s="449" t="s">
        <v>684</v>
      </c>
      <c r="D11466" s="451">
        <v>207.04</v>
      </c>
      <c r="E11466" s="210"/>
    </row>
    <row r="11467" spans="1:5" ht="76.5">
      <c r="A11467" s="449">
        <v>39522</v>
      </c>
      <c r="B11467" s="450" t="s">
        <v>12288</v>
      </c>
      <c r="C11467" s="449" t="s">
        <v>684</v>
      </c>
      <c r="D11467" s="451">
        <v>213.79</v>
      </c>
      <c r="E11467" s="210"/>
    </row>
    <row r="11468" spans="1:5" ht="51">
      <c r="A11468" s="449">
        <v>7243</v>
      </c>
      <c r="B11468" s="450" t="s">
        <v>12289</v>
      </c>
      <c r="C11468" s="449" t="s">
        <v>684</v>
      </c>
      <c r="D11468" s="451">
        <v>65.260000000000005</v>
      </c>
      <c r="E11468" s="210"/>
    </row>
    <row r="11469" spans="1:5" ht="38.25">
      <c r="A11469" s="449">
        <v>11067</v>
      </c>
      <c r="B11469" s="450" t="s">
        <v>12290</v>
      </c>
      <c r="C11469" s="449" t="s">
        <v>679</v>
      </c>
      <c r="D11469" s="451">
        <v>421.23</v>
      </c>
      <c r="E11469" s="210"/>
    </row>
    <row r="11470" spans="1:5" ht="38.25">
      <c r="A11470" s="449">
        <v>11068</v>
      </c>
      <c r="B11470" s="450" t="s">
        <v>12291</v>
      </c>
      <c r="C11470" s="449" t="s">
        <v>679</v>
      </c>
      <c r="D11470" s="451">
        <v>532.16</v>
      </c>
      <c r="E11470" s="210"/>
    </row>
    <row r="11471" spans="1:5" ht="25.5">
      <c r="A11471" s="449">
        <v>7246</v>
      </c>
      <c r="B11471" s="450" t="s">
        <v>12292</v>
      </c>
      <c r="C11471" s="449" t="s">
        <v>679</v>
      </c>
      <c r="D11471" s="451">
        <v>52.36</v>
      </c>
      <c r="E11471" s="210"/>
    </row>
    <row r="11472" spans="1:5">
      <c r="A11472" s="449">
        <v>12869</v>
      </c>
      <c r="B11472" s="450" t="s">
        <v>12293</v>
      </c>
      <c r="C11472" s="449" t="s">
        <v>682</v>
      </c>
      <c r="D11472" s="451">
        <v>14.91</v>
      </c>
      <c r="E11472" s="210"/>
    </row>
    <row r="11473" spans="1:5">
      <c r="A11473" s="449">
        <v>41097</v>
      </c>
      <c r="B11473" s="450" t="s">
        <v>12294</v>
      </c>
      <c r="C11473" s="449" t="s">
        <v>797</v>
      </c>
      <c r="D11473" s="451">
        <v>2643.34</v>
      </c>
      <c r="E11473" s="210"/>
    </row>
    <row r="11474" spans="1:5" ht="38.25">
      <c r="A11474" s="449">
        <v>1574</v>
      </c>
      <c r="B11474" s="450" t="s">
        <v>12295</v>
      </c>
      <c r="C11474" s="449" t="s">
        <v>679</v>
      </c>
      <c r="D11474" s="451">
        <v>1.3</v>
      </c>
      <c r="E11474" s="210"/>
    </row>
    <row r="11475" spans="1:5" ht="51">
      <c r="A11475" s="449">
        <v>1581</v>
      </c>
      <c r="B11475" s="450" t="s">
        <v>12296</v>
      </c>
      <c r="C11475" s="449" t="s">
        <v>679</v>
      </c>
      <c r="D11475" s="451">
        <v>9.0299999999999994</v>
      </c>
      <c r="E11475" s="210"/>
    </row>
    <row r="11476" spans="1:5" ht="38.25">
      <c r="A11476" s="449">
        <v>1575</v>
      </c>
      <c r="B11476" s="450" t="s">
        <v>12297</v>
      </c>
      <c r="C11476" s="449" t="s">
        <v>679</v>
      </c>
      <c r="D11476" s="451">
        <v>1.54</v>
      </c>
      <c r="E11476" s="210"/>
    </row>
    <row r="11477" spans="1:5" ht="38.25">
      <c r="A11477" s="449">
        <v>1570</v>
      </c>
      <c r="B11477" s="450" t="s">
        <v>12298</v>
      </c>
      <c r="C11477" s="449" t="s">
        <v>679</v>
      </c>
      <c r="D11477" s="451">
        <v>0.77</v>
      </c>
      <c r="E11477" s="210"/>
    </row>
    <row r="11478" spans="1:5" ht="38.25">
      <c r="A11478" s="449">
        <v>1576</v>
      </c>
      <c r="B11478" s="450" t="s">
        <v>12299</v>
      </c>
      <c r="C11478" s="449" t="s">
        <v>679</v>
      </c>
      <c r="D11478" s="451">
        <v>2.14</v>
      </c>
      <c r="E11478" s="210"/>
    </row>
    <row r="11479" spans="1:5" ht="38.25">
      <c r="A11479" s="449">
        <v>1577</v>
      </c>
      <c r="B11479" s="450" t="s">
        <v>12300</v>
      </c>
      <c r="C11479" s="449" t="s">
        <v>679</v>
      </c>
      <c r="D11479" s="451">
        <v>2.41</v>
      </c>
      <c r="E11479" s="210"/>
    </row>
    <row r="11480" spans="1:5" ht="38.25">
      <c r="A11480" s="449">
        <v>1571</v>
      </c>
      <c r="B11480" s="450" t="s">
        <v>12301</v>
      </c>
      <c r="C11480" s="449" t="s">
        <v>679</v>
      </c>
      <c r="D11480" s="451">
        <v>1.01</v>
      </c>
      <c r="E11480" s="210"/>
    </row>
    <row r="11481" spans="1:5" ht="38.25">
      <c r="A11481" s="449">
        <v>1578</v>
      </c>
      <c r="B11481" s="450" t="s">
        <v>12302</v>
      </c>
      <c r="C11481" s="449" t="s">
        <v>679</v>
      </c>
      <c r="D11481" s="451">
        <v>4.18</v>
      </c>
      <c r="E11481" s="210"/>
    </row>
    <row r="11482" spans="1:5" ht="38.25">
      <c r="A11482" s="449">
        <v>1573</v>
      </c>
      <c r="B11482" s="450" t="s">
        <v>12303</v>
      </c>
      <c r="C11482" s="449" t="s">
        <v>679</v>
      </c>
      <c r="D11482" s="451">
        <v>1.2</v>
      </c>
      <c r="E11482" s="210"/>
    </row>
    <row r="11483" spans="1:5" ht="51">
      <c r="A11483" s="449">
        <v>1579</v>
      </c>
      <c r="B11483" s="450" t="s">
        <v>12304</v>
      </c>
      <c r="C11483" s="449" t="s">
        <v>679</v>
      </c>
      <c r="D11483" s="451">
        <v>5.21</v>
      </c>
      <c r="E11483" s="210"/>
    </row>
    <row r="11484" spans="1:5" ht="51">
      <c r="A11484" s="449">
        <v>1580</v>
      </c>
      <c r="B11484" s="450" t="s">
        <v>12305</v>
      </c>
      <c r="C11484" s="449" t="s">
        <v>679</v>
      </c>
      <c r="D11484" s="451">
        <v>6.42</v>
      </c>
      <c r="E11484" s="210"/>
    </row>
    <row r="11485" spans="1:5" ht="25.5">
      <c r="A11485" s="449">
        <v>39321</v>
      </c>
      <c r="B11485" s="450" t="s">
        <v>12306</v>
      </c>
      <c r="C11485" s="449" t="s">
        <v>679</v>
      </c>
      <c r="D11485" s="451">
        <v>16.010000000000002</v>
      </c>
      <c r="E11485" s="210"/>
    </row>
    <row r="11486" spans="1:5" ht="25.5">
      <c r="A11486" s="449">
        <v>39319</v>
      </c>
      <c r="B11486" s="450" t="s">
        <v>12307</v>
      </c>
      <c r="C11486" s="449" t="s">
        <v>679</v>
      </c>
      <c r="D11486" s="451">
        <v>6.25</v>
      </c>
      <c r="E11486" s="210"/>
    </row>
    <row r="11487" spans="1:5" ht="25.5">
      <c r="A11487" s="449">
        <v>39320</v>
      </c>
      <c r="B11487" s="450" t="s">
        <v>12308</v>
      </c>
      <c r="C11487" s="449" t="s">
        <v>679</v>
      </c>
      <c r="D11487" s="451">
        <v>10.39</v>
      </c>
      <c r="E11487" s="210"/>
    </row>
    <row r="11488" spans="1:5" ht="25.5">
      <c r="A11488" s="449">
        <v>1591</v>
      </c>
      <c r="B11488" s="450" t="s">
        <v>12309</v>
      </c>
      <c r="C11488" s="449" t="s">
        <v>679</v>
      </c>
      <c r="D11488" s="451">
        <v>19.91</v>
      </c>
      <c r="E11488" s="210"/>
    </row>
    <row r="11489" spans="1:5" ht="25.5">
      <c r="A11489" s="449">
        <v>1547</v>
      </c>
      <c r="B11489" s="450" t="s">
        <v>12310</v>
      </c>
      <c r="C11489" s="449" t="s">
        <v>679</v>
      </c>
      <c r="D11489" s="451">
        <v>104.33</v>
      </c>
      <c r="E11489" s="210"/>
    </row>
    <row r="11490" spans="1:5" ht="25.5">
      <c r="A11490" s="449">
        <v>38196</v>
      </c>
      <c r="B11490" s="450" t="s">
        <v>12311</v>
      </c>
      <c r="C11490" s="449" t="s">
        <v>679</v>
      </c>
      <c r="D11490" s="451">
        <v>20.32</v>
      </c>
      <c r="E11490" s="210"/>
    </row>
    <row r="11491" spans="1:5" ht="25.5">
      <c r="A11491" s="449">
        <v>1543</v>
      </c>
      <c r="B11491" s="450" t="s">
        <v>12312</v>
      </c>
      <c r="C11491" s="449" t="s">
        <v>679</v>
      </c>
      <c r="D11491" s="451">
        <v>21.59</v>
      </c>
      <c r="E11491" s="210"/>
    </row>
    <row r="11492" spans="1:5" ht="25.5">
      <c r="A11492" s="449">
        <v>1585</v>
      </c>
      <c r="B11492" s="450" t="s">
        <v>12313</v>
      </c>
      <c r="C11492" s="449" t="s">
        <v>679</v>
      </c>
      <c r="D11492" s="451">
        <v>4.18</v>
      </c>
      <c r="E11492" s="210"/>
    </row>
    <row r="11493" spans="1:5" ht="25.5">
      <c r="A11493" s="449">
        <v>1593</v>
      </c>
      <c r="B11493" s="450" t="s">
        <v>12314</v>
      </c>
      <c r="C11493" s="449" t="s">
        <v>679</v>
      </c>
      <c r="D11493" s="451">
        <v>22.21</v>
      </c>
      <c r="E11493" s="210"/>
    </row>
    <row r="11494" spans="1:5" ht="25.5">
      <c r="A11494" s="449">
        <v>11838</v>
      </c>
      <c r="B11494" s="450" t="s">
        <v>12315</v>
      </c>
      <c r="C11494" s="449" t="s">
        <v>679</v>
      </c>
      <c r="D11494" s="451">
        <v>29.3</v>
      </c>
      <c r="E11494" s="210"/>
    </row>
    <row r="11495" spans="1:5" ht="25.5">
      <c r="A11495" s="449">
        <v>1594</v>
      </c>
      <c r="B11495" s="450" t="s">
        <v>12316</v>
      </c>
      <c r="C11495" s="449" t="s">
        <v>679</v>
      </c>
      <c r="D11495" s="451">
        <v>29.62</v>
      </c>
      <c r="E11495" s="210"/>
    </row>
    <row r="11496" spans="1:5" ht="25.5">
      <c r="A11496" s="449">
        <v>1586</v>
      </c>
      <c r="B11496" s="450" t="s">
        <v>12317</v>
      </c>
      <c r="C11496" s="449" t="s">
        <v>679</v>
      </c>
      <c r="D11496" s="451">
        <v>5.29</v>
      </c>
      <c r="E11496" s="210"/>
    </row>
    <row r="11497" spans="1:5" ht="25.5">
      <c r="A11497" s="449">
        <v>11839</v>
      </c>
      <c r="B11497" s="450" t="s">
        <v>12318</v>
      </c>
      <c r="C11497" s="449" t="s">
        <v>679</v>
      </c>
      <c r="D11497" s="451">
        <v>42.63</v>
      </c>
      <c r="E11497" s="210"/>
    </row>
    <row r="11498" spans="1:5" ht="25.5">
      <c r="A11498" s="449">
        <v>1587</v>
      </c>
      <c r="B11498" s="450" t="s">
        <v>12319</v>
      </c>
      <c r="C11498" s="449" t="s">
        <v>679</v>
      </c>
      <c r="D11498" s="451">
        <v>5.39</v>
      </c>
      <c r="E11498" s="210"/>
    </row>
    <row r="11499" spans="1:5" ht="25.5">
      <c r="A11499" s="449">
        <v>1545</v>
      </c>
      <c r="B11499" s="450" t="s">
        <v>12320</v>
      </c>
      <c r="C11499" s="449" t="s">
        <v>679</v>
      </c>
      <c r="D11499" s="451">
        <v>51.16</v>
      </c>
      <c r="E11499" s="210"/>
    </row>
    <row r="11500" spans="1:5" ht="25.5">
      <c r="A11500" s="449">
        <v>1588</v>
      </c>
      <c r="B11500" s="450" t="s">
        <v>12321</v>
      </c>
      <c r="C11500" s="449" t="s">
        <v>679</v>
      </c>
      <c r="D11500" s="451">
        <v>7.39</v>
      </c>
      <c r="E11500" s="210"/>
    </row>
    <row r="11501" spans="1:5" ht="25.5">
      <c r="A11501" s="449">
        <v>1535</v>
      </c>
      <c r="B11501" s="450" t="s">
        <v>12322</v>
      </c>
      <c r="C11501" s="449" t="s">
        <v>679</v>
      </c>
      <c r="D11501" s="451">
        <v>4.26</v>
      </c>
      <c r="E11501" s="210"/>
    </row>
    <row r="11502" spans="1:5" ht="25.5">
      <c r="A11502" s="449">
        <v>1589</v>
      </c>
      <c r="B11502" s="450" t="s">
        <v>12323</v>
      </c>
      <c r="C11502" s="449" t="s">
        <v>679</v>
      </c>
      <c r="D11502" s="451">
        <v>7.63</v>
      </c>
      <c r="E11502" s="210"/>
    </row>
    <row r="11503" spans="1:5" ht="25.5">
      <c r="A11503" s="449">
        <v>1546</v>
      </c>
      <c r="B11503" s="450" t="s">
        <v>12324</v>
      </c>
      <c r="C11503" s="449" t="s">
        <v>679</v>
      </c>
      <c r="D11503" s="451">
        <v>86.33</v>
      </c>
      <c r="E11503" s="210"/>
    </row>
    <row r="11504" spans="1:5" ht="25.5">
      <c r="A11504" s="449">
        <v>1590</v>
      </c>
      <c r="B11504" s="450" t="s">
        <v>12325</v>
      </c>
      <c r="C11504" s="449" t="s">
        <v>679</v>
      </c>
      <c r="D11504" s="451">
        <v>13.43</v>
      </c>
      <c r="E11504" s="210"/>
    </row>
    <row r="11505" spans="1:5" ht="38.25">
      <c r="A11505" s="449">
        <v>1542</v>
      </c>
      <c r="B11505" s="450" t="s">
        <v>12326</v>
      </c>
      <c r="C11505" s="449" t="s">
        <v>679</v>
      </c>
      <c r="D11505" s="451">
        <v>17.79</v>
      </c>
      <c r="E11505" s="210"/>
    </row>
    <row r="11506" spans="1:5" ht="38.25">
      <c r="A11506" s="449">
        <v>38415</v>
      </c>
      <c r="B11506" s="450" t="s">
        <v>12327</v>
      </c>
      <c r="C11506" s="449" t="s">
        <v>679</v>
      </c>
      <c r="D11506" s="451">
        <v>1139.1400000000001</v>
      </c>
      <c r="E11506" s="210"/>
    </row>
    <row r="11507" spans="1:5" ht="38.25">
      <c r="A11507" s="449">
        <v>38414</v>
      </c>
      <c r="B11507" s="450" t="s">
        <v>12328</v>
      </c>
      <c r="C11507" s="449" t="s">
        <v>679</v>
      </c>
      <c r="D11507" s="451">
        <v>1598.79</v>
      </c>
      <c r="E11507" s="210"/>
    </row>
    <row r="11508" spans="1:5">
      <c r="A11508" s="449">
        <v>38128</v>
      </c>
      <c r="B11508" s="450" t="s">
        <v>12329</v>
      </c>
      <c r="C11508" s="449" t="s">
        <v>676</v>
      </c>
      <c r="D11508" s="451">
        <v>0.5</v>
      </c>
      <c r="E11508" s="210"/>
    </row>
    <row r="11509" spans="1:5">
      <c r="A11509" s="449">
        <v>7253</v>
      </c>
      <c r="B11509" s="450" t="s">
        <v>12330</v>
      </c>
      <c r="C11509" s="449" t="s">
        <v>677</v>
      </c>
      <c r="D11509" s="451">
        <v>107.14</v>
      </c>
      <c r="E11509" s="210"/>
    </row>
    <row r="11510" spans="1:5" ht="25.5">
      <c r="A11510" s="449">
        <v>4806</v>
      </c>
      <c r="B11510" s="450" t="s">
        <v>12331</v>
      </c>
      <c r="C11510" s="449" t="s">
        <v>683</v>
      </c>
      <c r="D11510" s="451">
        <v>15.84</v>
      </c>
      <c r="E11510" s="210"/>
    </row>
    <row r="11511" spans="1:5" ht="25.5">
      <c r="A11511" s="449">
        <v>34401</v>
      </c>
      <c r="B11511" s="450" t="s">
        <v>12332</v>
      </c>
      <c r="C11511" s="449" t="s">
        <v>679</v>
      </c>
      <c r="D11511" s="451">
        <v>2.19</v>
      </c>
      <c r="E11511" s="210"/>
    </row>
    <row r="11512" spans="1:5" ht="25.5">
      <c r="A11512" s="449">
        <v>7260</v>
      </c>
      <c r="B11512" s="450" t="s">
        <v>12333</v>
      </c>
      <c r="C11512" s="449" t="s">
        <v>679</v>
      </c>
      <c r="D11512" s="451">
        <v>1.94</v>
      </c>
      <c r="E11512" s="210"/>
    </row>
    <row r="11513" spans="1:5" ht="25.5">
      <c r="A11513" s="449">
        <v>7256</v>
      </c>
      <c r="B11513" s="450" t="s">
        <v>12334</v>
      </c>
      <c r="C11513" s="449" t="s">
        <v>679</v>
      </c>
      <c r="D11513" s="451">
        <v>1.92</v>
      </c>
      <c r="E11513" s="210"/>
    </row>
    <row r="11514" spans="1:5" ht="25.5">
      <c r="A11514" s="449">
        <v>7258</v>
      </c>
      <c r="B11514" s="450" t="s">
        <v>12335</v>
      </c>
      <c r="C11514" s="449" t="s">
        <v>679</v>
      </c>
      <c r="D11514" s="451">
        <v>0.79</v>
      </c>
      <c r="E11514" s="210"/>
    </row>
    <row r="11515" spans="1:5" ht="25.5">
      <c r="A11515" s="449">
        <v>34400</v>
      </c>
      <c r="B11515" s="450" t="s">
        <v>12336</v>
      </c>
      <c r="C11515" s="449" t="s">
        <v>679</v>
      </c>
      <c r="D11515" s="451">
        <v>3.38</v>
      </c>
      <c r="E11515" s="210"/>
    </row>
    <row r="11516" spans="1:5" ht="25.5">
      <c r="A11516" s="449">
        <v>10617</v>
      </c>
      <c r="B11516" s="450" t="s">
        <v>12337</v>
      </c>
      <c r="C11516" s="449" t="s">
        <v>679</v>
      </c>
      <c r="D11516" s="451">
        <v>6.46</v>
      </c>
      <c r="E11516" s="210"/>
    </row>
    <row r="11517" spans="1:5" ht="38.25">
      <c r="A11517" s="449">
        <v>7274</v>
      </c>
      <c r="B11517" s="450" t="s">
        <v>12338</v>
      </c>
      <c r="C11517" s="449" t="s">
        <v>679</v>
      </c>
      <c r="D11517" s="451">
        <v>63.93</v>
      </c>
      <c r="E11517" s="210"/>
    </row>
    <row r="11518" spans="1:5" ht="38.25">
      <c r="A11518" s="449">
        <v>11663</v>
      </c>
      <c r="B11518" s="450" t="s">
        <v>12339</v>
      </c>
      <c r="C11518" s="449" t="s">
        <v>679</v>
      </c>
      <c r="D11518" s="451">
        <v>525.85</v>
      </c>
      <c r="E11518" s="210"/>
    </row>
    <row r="11519" spans="1:5" ht="25.5">
      <c r="A11519" s="449">
        <v>154</v>
      </c>
      <c r="B11519" s="450" t="s">
        <v>12340</v>
      </c>
      <c r="C11519" s="449" t="s">
        <v>678</v>
      </c>
      <c r="D11519" s="451">
        <v>55.05</v>
      </c>
      <c r="E11519" s="210"/>
    </row>
    <row r="11520" spans="1:5" ht="38.25">
      <c r="A11520" s="449">
        <v>38121</v>
      </c>
      <c r="B11520" s="450" t="s">
        <v>12341</v>
      </c>
      <c r="C11520" s="449" t="s">
        <v>678</v>
      </c>
      <c r="D11520" s="451">
        <v>7.53</v>
      </c>
      <c r="E11520" s="210"/>
    </row>
    <row r="11521" spans="1:5" ht="25.5">
      <c r="A11521" s="449">
        <v>7343</v>
      </c>
      <c r="B11521" s="450" t="s">
        <v>12342</v>
      </c>
      <c r="C11521" s="449" t="s">
        <v>678</v>
      </c>
      <c r="D11521" s="451">
        <v>7.63</v>
      </c>
      <c r="E11521" s="210"/>
    </row>
    <row r="11522" spans="1:5" ht="25.5">
      <c r="A11522" s="449">
        <v>43776</v>
      </c>
      <c r="B11522" s="450" t="s">
        <v>12343</v>
      </c>
      <c r="C11522" s="449" t="s">
        <v>678</v>
      </c>
      <c r="D11522" s="451">
        <v>17.399999999999999</v>
      </c>
      <c r="E11522" s="210"/>
    </row>
    <row r="11523" spans="1:5">
      <c r="A11523" s="449">
        <v>7350</v>
      </c>
      <c r="B11523" s="450" t="s">
        <v>12344</v>
      </c>
      <c r="C11523" s="449" t="s">
        <v>678</v>
      </c>
      <c r="D11523" s="451">
        <v>25.23</v>
      </c>
      <c r="E11523" s="210"/>
    </row>
    <row r="11524" spans="1:5">
      <c r="A11524" s="449">
        <v>7348</v>
      </c>
      <c r="B11524" s="450" t="s">
        <v>12345</v>
      </c>
      <c r="C11524" s="449" t="s">
        <v>678</v>
      </c>
      <c r="D11524" s="451">
        <v>14.15</v>
      </c>
      <c r="E11524" s="210"/>
    </row>
    <row r="11525" spans="1:5">
      <c r="A11525" s="449">
        <v>7356</v>
      </c>
      <c r="B11525" s="450" t="s">
        <v>12346</v>
      </c>
      <c r="C11525" s="449" t="s">
        <v>678</v>
      </c>
      <c r="D11525" s="451">
        <v>21.21</v>
      </c>
      <c r="E11525" s="210"/>
    </row>
    <row r="11526" spans="1:5" ht="38.25">
      <c r="A11526" s="449">
        <v>7313</v>
      </c>
      <c r="B11526" s="450" t="s">
        <v>12347</v>
      </c>
      <c r="C11526" s="449" t="s">
        <v>678</v>
      </c>
      <c r="D11526" s="451">
        <v>34.6</v>
      </c>
      <c r="E11526" s="210"/>
    </row>
    <row r="11527" spans="1:5" ht="25.5">
      <c r="A11527" s="449">
        <v>7319</v>
      </c>
      <c r="B11527" s="450" t="s">
        <v>12348</v>
      </c>
      <c r="C11527" s="449" t="s">
        <v>678</v>
      </c>
      <c r="D11527" s="451">
        <v>19.8</v>
      </c>
      <c r="E11527" s="210"/>
    </row>
    <row r="11528" spans="1:5" ht="25.5">
      <c r="A11528" s="449">
        <v>38119</v>
      </c>
      <c r="B11528" s="450" t="s">
        <v>12349</v>
      </c>
      <c r="C11528" s="449" t="s">
        <v>678</v>
      </c>
      <c r="D11528" s="451">
        <v>98.62</v>
      </c>
      <c r="E11528" s="210"/>
    </row>
    <row r="11529" spans="1:5" ht="25.5">
      <c r="A11529" s="449">
        <v>7314</v>
      </c>
      <c r="B11529" s="450" t="s">
        <v>12350</v>
      </c>
      <c r="C11529" s="449" t="s">
        <v>678</v>
      </c>
      <c r="D11529" s="451">
        <v>106.28</v>
      </c>
      <c r="E11529" s="210"/>
    </row>
    <row r="11530" spans="1:5" ht="25.5">
      <c r="A11530" s="449">
        <v>38131</v>
      </c>
      <c r="B11530" s="450" t="s">
        <v>12351</v>
      </c>
      <c r="C11530" s="449" t="s">
        <v>678</v>
      </c>
      <c r="D11530" s="451">
        <v>99.5</v>
      </c>
      <c r="E11530" s="210"/>
    </row>
    <row r="11531" spans="1:5">
      <c r="A11531" s="449">
        <v>7304</v>
      </c>
      <c r="B11531" s="450" t="s">
        <v>12352</v>
      </c>
      <c r="C11531" s="449" t="s">
        <v>678</v>
      </c>
      <c r="D11531" s="451">
        <v>51.57</v>
      </c>
      <c r="E11531" s="210"/>
    </row>
    <row r="11532" spans="1:5" ht="25.5">
      <c r="A11532" s="449">
        <v>43649</v>
      </c>
      <c r="B11532" s="450" t="s">
        <v>12353</v>
      </c>
      <c r="C11532" s="449" t="s">
        <v>678</v>
      </c>
      <c r="D11532" s="451">
        <v>26.67</v>
      </c>
      <c r="E11532" s="210"/>
    </row>
    <row r="11533" spans="1:5" ht="25.5">
      <c r="A11533" s="449">
        <v>43650</v>
      </c>
      <c r="B11533" s="450" t="s">
        <v>12354</v>
      </c>
      <c r="C11533" s="449" t="s">
        <v>678</v>
      </c>
      <c r="D11533" s="451">
        <v>25.21</v>
      </c>
      <c r="E11533" s="210"/>
    </row>
    <row r="11534" spans="1:5">
      <c r="A11534" s="449">
        <v>7311</v>
      </c>
      <c r="B11534" s="450" t="s">
        <v>12355</v>
      </c>
      <c r="C11534" s="449" t="s">
        <v>678</v>
      </c>
      <c r="D11534" s="451">
        <v>25.82</v>
      </c>
      <c r="E11534" s="210"/>
    </row>
    <row r="11535" spans="1:5">
      <c r="A11535" s="449">
        <v>7292</v>
      </c>
      <c r="B11535" s="450" t="s">
        <v>12356</v>
      </c>
      <c r="C11535" s="449" t="s">
        <v>678</v>
      </c>
      <c r="D11535" s="451">
        <v>25</v>
      </c>
      <c r="E11535" s="210"/>
    </row>
    <row r="11536" spans="1:5" ht="38.25">
      <c r="A11536" s="449">
        <v>7293</v>
      </c>
      <c r="B11536" s="450" t="s">
        <v>12357</v>
      </c>
      <c r="C11536" s="449" t="s">
        <v>678</v>
      </c>
      <c r="D11536" s="451">
        <v>27.65</v>
      </c>
      <c r="E11536" s="210"/>
    </row>
    <row r="11537" spans="1:5" ht="25.5">
      <c r="A11537" s="449">
        <v>7306</v>
      </c>
      <c r="B11537" s="450" t="s">
        <v>12358</v>
      </c>
      <c r="C11537" s="449" t="s">
        <v>678</v>
      </c>
      <c r="D11537" s="451">
        <v>30.52</v>
      </c>
      <c r="E11537" s="210"/>
    </row>
    <row r="11538" spans="1:5">
      <c r="A11538" s="449">
        <v>7288</v>
      </c>
      <c r="B11538" s="450" t="s">
        <v>12359</v>
      </c>
      <c r="C11538" s="449" t="s">
        <v>678</v>
      </c>
      <c r="D11538" s="451">
        <v>25.34</v>
      </c>
      <c r="E11538" s="210"/>
    </row>
    <row r="11539" spans="1:5" ht="25.5">
      <c r="A11539" s="449">
        <v>43625</v>
      </c>
      <c r="B11539" s="450" t="s">
        <v>12360</v>
      </c>
      <c r="C11539" s="449" t="s">
        <v>678</v>
      </c>
      <c r="D11539" s="451">
        <v>20.46</v>
      </c>
      <c r="E11539" s="210"/>
    </row>
    <row r="11540" spans="1:5">
      <c r="A11540" s="449">
        <v>43647</v>
      </c>
      <c r="B11540" s="450" t="s">
        <v>12361</v>
      </c>
      <c r="C11540" s="449" t="s">
        <v>678</v>
      </c>
      <c r="D11540" s="451">
        <v>18.59</v>
      </c>
      <c r="E11540" s="210"/>
    </row>
    <row r="11541" spans="1:5">
      <c r="A11541" s="449">
        <v>43648</v>
      </c>
      <c r="B11541" s="450" t="s">
        <v>12362</v>
      </c>
      <c r="C11541" s="449" t="s">
        <v>678</v>
      </c>
      <c r="D11541" s="451">
        <v>17.93</v>
      </c>
      <c r="E11541" s="210"/>
    </row>
    <row r="11542" spans="1:5">
      <c r="A11542" s="449">
        <v>35693</v>
      </c>
      <c r="B11542" s="450" t="s">
        <v>12363</v>
      </c>
      <c r="C11542" s="449" t="s">
        <v>678</v>
      </c>
      <c r="D11542" s="451">
        <v>9.73</v>
      </c>
      <c r="E11542" s="210"/>
    </row>
    <row r="11543" spans="1:5">
      <c r="A11543" s="449">
        <v>35692</v>
      </c>
      <c r="B11543" s="450" t="s">
        <v>12364</v>
      </c>
      <c r="C11543" s="449" t="s">
        <v>678</v>
      </c>
      <c r="D11543" s="451">
        <v>14.48</v>
      </c>
      <c r="E11543" s="210"/>
    </row>
    <row r="11544" spans="1:5">
      <c r="A11544" s="449">
        <v>7342</v>
      </c>
      <c r="B11544" s="450" t="s">
        <v>12365</v>
      </c>
      <c r="C11544" s="449" t="s">
        <v>676</v>
      </c>
      <c r="D11544" s="451">
        <v>3.8</v>
      </c>
      <c r="E11544" s="210"/>
    </row>
    <row r="11545" spans="1:5" ht="38.25">
      <c r="A11545" s="449">
        <v>39574</v>
      </c>
      <c r="B11545" s="450" t="s">
        <v>12366</v>
      </c>
      <c r="C11545" s="449" t="s">
        <v>679</v>
      </c>
      <c r="D11545" s="451">
        <v>4.91</v>
      </c>
      <c r="E11545" s="210"/>
    </row>
    <row r="11546" spans="1:5" ht="38.25">
      <c r="A11546" s="449">
        <v>11060</v>
      </c>
      <c r="B11546" s="450" t="s">
        <v>12367</v>
      </c>
      <c r="C11546" s="449" t="s">
        <v>679</v>
      </c>
      <c r="D11546" s="451">
        <v>38.78</v>
      </c>
      <c r="E11546" s="210"/>
    </row>
    <row r="11547" spans="1:5" ht="25.5">
      <c r="A11547" s="449">
        <v>37401</v>
      </c>
      <c r="B11547" s="450" t="s">
        <v>12368</v>
      </c>
      <c r="C11547" s="449" t="s">
        <v>679</v>
      </c>
      <c r="D11547" s="451">
        <v>79.02</v>
      </c>
      <c r="E11547" s="210"/>
    </row>
    <row r="11548" spans="1:5" ht="25.5">
      <c r="A11548" s="449">
        <v>7525</v>
      </c>
      <c r="B11548" s="450" t="s">
        <v>12369</v>
      </c>
      <c r="C11548" s="449" t="s">
        <v>679</v>
      </c>
      <c r="D11548" s="451">
        <v>36.729999999999997</v>
      </c>
      <c r="E11548" s="210"/>
    </row>
    <row r="11549" spans="1:5" ht="25.5">
      <c r="A11549" s="449">
        <v>7524</v>
      </c>
      <c r="B11549" s="450" t="s">
        <v>12370</v>
      </c>
      <c r="C11549" s="449" t="s">
        <v>679</v>
      </c>
      <c r="D11549" s="451">
        <v>34.61</v>
      </c>
      <c r="E11549" s="210"/>
    </row>
    <row r="11550" spans="1:5" ht="25.5">
      <c r="A11550" s="449">
        <v>38105</v>
      </c>
      <c r="B11550" s="450" t="s">
        <v>12371</v>
      </c>
      <c r="C11550" s="449" t="s">
        <v>679</v>
      </c>
      <c r="D11550" s="451">
        <v>8.89</v>
      </c>
      <c r="E11550" s="210"/>
    </row>
    <row r="11551" spans="1:5" ht="38.25">
      <c r="A11551" s="449">
        <v>38084</v>
      </c>
      <c r="B11551" s="450" t="s">
        <v>12372</v>
      </c>
      <c r="C11551" s="449" t="s">
        <v>679</v>
      </c>
      <c r="D11551" s="451">
        <v>12.63</v>
      </c>
      <c r="E11551" s="210"/>
    </row>
    <row r="11552" spans="1:5">
      <c r="A11552" s="449">
        <v>38103</v>
      </c>
      <c r="B11552" s="450" t="s">
        <v>12373</v>
      </c>
      <c r="C11552" s="449" t="s">
        <v>679</v>
      </c>
      <c r="D11552" s="451">
        <v>13.35</v>
      </c>
      <c r="E11552" s="210"/>
    </row>
    <row r="11553" spans="1:5" ht="38.25">
      <c r="A11553" s="449">
        <v>38082</v>
      </c>
      <c r="B11553" s="450" t="s">
        <v>12374</v>
      </c>
      <c r="C11553" s="449" t="s">
        <v>679</v>
      </c>
      <c r="D11553" s="451">
        <v>16.440000000000001</v>
      </c>
      <c r="E11553" s="210"/>
    </row>
    <row r="11554" spans="1:5">
      <c r="A11554" s="449">
        <v>38104</v>
      </c>
      <c r="B11554" s="450" t="s">
        <v>12375</v>
      </c>
      <c r="C11554" s="449" t="s">
        <v>679</v>
      </c>
      <c r="D11554" s="451">
        <v>26.13</v>
      </c>
      <c r="E11554" s="210"/>
    </row>
    <row r="11555" spans="1:5" ht="38.25">
      <c r="A11555" s="449">
        <v>38083</v>
      </c>
      <c r="B11555" s="450" t="s">
        <v>12376</v>
      </c>
      <c r="C11555" s="449" t="s">
        <v>679</v>
      </c>
      <c r="D11555" s="451">
        <v>29.02</v>
      </c>
      <c r="E11555" s="210"/>
    </row>
    <row r="11556" spans="1:5">
      <c r="A11556" s="449">
        <v>38101</v>
      </c>
      <c r="B11556" s="450" t="s">
        <v>12377</v>
      </c>
      <c r="C11556" s="449" t="s">
        <v>679</v>
      </c>
      <c r="D11556" s="451">
        <v>6.35</v>
      </c>
      <c r="E11556" s="210"/>
    </row>
    <row r="11557" spans="1:5" ht="38.25">
      <c r="A11557" s="449">
        <v>7528</v>
      </c>
      <c r="B11557" s="450" t="s">
        <v>12378</v>
      </c>
      <c r="C11557" s="449" t="s">
        <v>679</v>
      </c>
      <c r="D11557" s="451">
        <v>7.46</v>
      </c>
      <c r="E11557" s="210"/>
    </row>
    <row r="11558" spans="1:5" ht="25.5">
      <c r="A11558" s="449">
        <v>12147</v>
      </c>
      <c r="B11558" s="450" t="s">
        <v>12379</v>
      </c>
      <c r="C11558" s="449" t="s">
        <v>679</v>
      </c>
      <c r="D11558" s="451">
        <v>11.37</v>
      </c>
      <c r="E11558" s="210"/>
    </row>
    <row r="11559" spans="1:5" ht="38.25">
      <c r="A11559" s="449">
        <v>38075</v>
      </c>
      <c r="B11559" s="450" t="s">
        <v>12380</v>
      </c>
      <c r="C11559" s="449" t="s">
        <v>679</v>
      </c>
      <c r="D11559" s="451">
        <v>12.92</v>
      </c>
      <c r="E11559" s="210"/>
    </row>
    <row r="11560" spans="1:5">
      <c r="A11560" s="449">
        <v>38102</v>
      </c>
      <c r="B11560" s="450" t="s">
        <v>12381</v>
      </c>
      <c r="C11560" s="449" t="s">
        <v>679</v>
      </c>
      <c r="D11560" s="451">
        <v>8.1199999999999992</v>
      </c>
      <c r="E11560" s="210"/>
    </row>
    <row r="11561" spans="1:5" ht="38.25">
      <c r="A11561" s="449">
        <v>38076</v>
      </c>
      <c r="B11561" s="450" t="s">
        <v>12382</v>
      </c>
      <c r="C11561" s="449" t="s">
        <v>679</v>
      </c>
      <c r="D11561" s="451">
        <v>14.48</v>
      </c>
      <c r="E11561" s="210"/>
    </row>
    <row r="11562" spans="1:5">
      <c r="A11562" s="449">
        <v>7592</v>
      </c>
      <c r="B11562" s="450" t="s">
        <v>12383</v>
      </c>
      <c r="C11562" s="449" t="s">
        <v>682</v>
      </c>
      <c r="D11562" s="451">
        <v>13.66</v>
      </c>
      <c r="E11562" s="210"/>
    </row>
    <row r="11563" spans="1:5">
      <c r="A11563" s="449">
        <v>40820</v>
      </c>
      <c r="B11563" s="450" t="s">
        <v>12384</v>
      </c>
      <c r="C11563" s="449" t="s">
        <v>797</v>
      </c>
      <c r="D11563" s="451">
        <v>2420.84</v>
      </c>
      <c r="E11563" s="210"/>
    </row>
    <row r="11564" spans="1:5" ht="25.5">
      <c r="A11564" s="449">
        <v>11762</v>
      </c>
      <c r="B11564" s="450" t="s">
        <v>12385</v>
      </c>
      <c r="C11564" s="449" t="s">
        <v>679</v>
      </c>
      <c r="D11564" s="451">
        <v>61.78</v>
      </c>
      <c r="E11564" s="210"/>
    </row>
    <row r="11565" spans="1:5" ht="25.5">
      <c r="A11565" s="449">
        <v>13984</v>
      </c>
      <c r="B11565" s="450" t="s">
        <v>12386</v>
      </c>
      <c r="C11565" s="449" t="s">
        <v>679</v>
      </c>
      <c r="D11565" s="451">
        <v>43.17</v>
      </c>
      <c r="E11565" s="210"/>
    </row>
    <row r="11566" spans="1:5" ht="38.25">
      <c r="A11566" s="449">
        <v>11772</v>
      </c>
      <c r="B11566" s="450" t="s">
        <v>12387</v>
      </c>
      <c r="C11566" s="449" t="s">
        <v>679</v>
      </c>
      <c r="D11566" s="451">
        <v>104.85</v>
      </c>
      <c r="E11566" s="210"/>
    </row>
    <row r="11567" spans="1:5" ht="25.5">
      <c r="A11567" s="449">
        <v>36795</v>
      </c>
      <c r="B11567" s="450" t="s">
        <v>12388</v>
      </c>
      <c r="C11567" s="449" t="s">
        <v>679</v>
      </c>
      <c r="D11567" s="451">
        <v>674.36</v>
      </c>
      <c r="E11567" s="210"/>
    </row>
    <row r="11568" spans="1:5" ht="25.5">
      <c r="A11568" s="449">
        <v>36796</v>
      </c>
      <c r="B11568" s="450" t="s">
        <v>12389</v>
      </c>
      <c r="C11568" s="449" t="s">
        <v>679</v>
      </c>
      <c r="D11568" s="451">
        <v>173.63</v>
      </c>
      <c r="E11568" s="210"/>
    </row>
    <row r="11569" spans="1:5" ht="25.5">
      <c r="A11569" s="449">
        <v>36791</v>
      </c>
      <c r="B11569" s="450" t="s">
        <v>12390</v>
      </c>
      <c r="C11569" s="449" t="s">
        <v>679</v>
      </c>
      <c r="D11569" s="451">
        <v>89.46</v>
      </c>
      <c r="E11569" s="210"/>
    </row>
    <row r="11570" spans="1:5" ht="38.25">
      <c r="A11570" s="449">
        <v>13415</v>
      </c>
      <c r="B11570" s="450" t="s">
        <v>12391</v>
      </c>
      <c r="C11570" s="449" t="s">
        <v>679</v>
      </c>
      <c r="D11570" s="451">
        <v>52</v>
      </c>
      <c r="E11570" s="210"/>
    </row>
    <row r="11571" spans="1:5" ht="25.5">
      <c r="A11571" s="449">
        <v>36792</v>
      </c>
      <c r="B11571" s="450" t="s">
        <v>12392</v>
      </c>
      <c r="C11571" s="449" t="s">
        <v>679</v>
      </c>
      <c r="D11571" s="451">
        <v>171</v>
      </c>
      <c r="E11571" s="210"/>
    </row>
    <row r="11572" spans="1:5" ht="38.25">
      <c r="A11572" s="449">
        <v>11773</v>
      </c>
      <c r="B11572" s="450" t="s">
        <v>12393</v>
      </c>
      <c r="C11572" s="449" t="s">
        <v>679</v>
      </c>
      <c r="D11572" s="451">
        <v>100.1</v>
      </c>
      <c r="E11572" s="210"/>
    </row>
    <row r="11573" spans="1:5" ht="38.25">
      <c r="A11573" s="449">
        <v>13983</v>
      </c>
      <c r="B11573" s="450" t="s">
        <v>12394</v>
      </c>
      <c r="C11573" s="449" t="s">
        <v>679</v>
      </c>
      <c r="D11573" s="451">
        <v>53.4</v>
      </c>
      <c r="E11573" s="210"/>
    </row>
    <row r="11574" spans="1:5" ht="38.25">
      <c r="A11574" s="449">
        <v>13416</v>
      </c>
      <c r="B11574" s="450" t="s">
        <v>12395</v>
      </c>
      <c r="C11574" s="449" t="s">
        <v>679</v>
      </c>
      <c r="D11574" s="451">
        <v>43.06</v>
      </c>
      <c r="E11574" s="210"/>
    </row>
    <row r="11575" spans="1:5" ht="25.5">
      <c r="A11575" s="449">
        <v>13417</v>
      </c>
      <c r="B11575" s="450" t="s">
        <v>12396</v>
      </c>
      <c r="C11575" s="449" t="s">
        <v>679</v>
      </c>
      <c r="D11575" s="451">
        <v>37.99</v>
      </c>
      <c r="E11575" s="210"/>
    </row>
    <row r="11576" spans="1:5" ht="25.5">
      <c r="A11576" s="449">
        <v>7604</v>
      </c>
      <c r="B11576" s="450" t="s">
        <v>12397</v>
      </c>
      <c r="C11576" s="449" t="s">
        <v>679</v>
      </c>
      <c r="D11576" s="451">
        <v>16.45</v>
      </c>
      <c r="E11576" s="210"/>
    </row>
    <row r="11577" spans="1:5" ht="38.25">
      <c r="A11577" s="449">
        <v>11763</v>
      </c>
      <c r="B11577" s="450" t="s">
        <v>12398</v>
      </c>
      <c r="C11577" s="449" t="s">
        <v>679</v>
      </c>
      <c r="D11577" s="451">
        <v>104.11</v>
      </c>
      <c r="E11577" s="210"/>
    </row>
    <row r="11578" spans="1:5" ht="38.25">
      <c r="A11578" s="449">
        <v>11764</v>
      </c>
      <c r="B11578" s="450" t="s">
        <v>12399</v>
      </c>
      <c r="C11578" s="449" t="s">
        <v>679</v>
      </c>
      <c r="D11578" s="451">
        <v>111.2</v>
      </c>
      <c r="E11578" s="210"/>
    </row>
    <row r="11579" spans="1:5" ht="38.25">
      <c r="A11579" s="449">
        <v>11829</v>
      </c>
      <c r="B11579" s="450" t="s">
        <v>12400</v>
      </c>
      <c r="C11579" s="449" t="s">
        <v>679</v>
      </c>
      <c r="D11579" s="451">
        <v>26.65</v>
      </c>
      <c r="E11579" s="210"/>
    </row>
    <row r="11580" spans="1:5" ht="38.25">
      <c r="A11580" s="449">
        <v>11825</v>
      </c>
      <c r="B11580" s="450" t="s">
        <v>12401</v>
      </c>
      <c r="C11580" s="449" t="s">
        <v>679</v>
      </c>
      <c r="D11580" s="451">
        <v>45.69</v>
      </c>
      <c r="E11580" s="210"/>
    </row>
    <row r="11581" spans="1:5" ht="38.25">
      <c r="A11581" s="449">
        <v>11767</v>
      </c>
      <c r="B11581" s="450" t="s">
        <v>12402</v>
      </c>
      <c r="C11581" s="449" t="s">
        <v>679</v>
      </c>
      <c r="D11581" s="451">
        <v>184.58</v>
      </c>
      <c r="E11581" s="210"/>
    </row>
    <row r="11582" spans="1:5" ht="38.25">
      <c r="A11582" s="449">
        <v>11830</v>
      </c>
      <c r="B11582" s="450" t="s">
        <v>12403</v>
      </c>
      <c r="C11582" s="449" t="s">
        <v>679</v>
      </c>
      <c r="D11582" s="451">
        <v>28.8</v>
      </c>
      <c r="E11582" s="210"/>
    </row>
    <row r="11583" spans="1:5" ht="38.25">
      <c r="A11583" s="449">
        <v>11766</v>
      </c>
      <c r="B11583" s="450" t="s">
        <v>12404</v>
      </c>
      <c r="C11583" s="449" t="s">
        <v>679</v>
      </c>
      <c r="D11583" s="451">
        <v>51.19</v>
      </c>
      <c r="E11583" s="210"/>
    </row>
    <row r="11584" spans="1:5" ht="38.25">
      <c r="A11584" s="449">
        <v>11765</v>
      </c>
      <c r="B11584" s="450" t="s">
        <v>12405</v>
      </c>
      <c r="C11584" s="449" t="s">
        <v>679</v>
      </c>
      <c r="D11584" s="451">
        <v>69.709999999999994</v>
      </c>
      <c r="E11584" s="210"/>
    </row>
    <row r="11585" spans="1:5" ht="38.25">
      <c r="A11585" s="449">
        <v>11824</v>
      </c>
      <c r="B11585" s="450" t="s">
        <v>12406</v>
      </c>
      <c r="C11585" s="449" t="s">
        <v>679</v>
      </c>
      <c r="D11585" s="451">
        <v>52.8</v>
      </c>
      <c r="E11585" s="210"/>
    </row>
    <row r="11586" spans="1:5" ht="25.5">
      <c r="A11586" s="449">
        <v>11777</v>
      </c>
      <c r="B11586" s="450" t="s">
        <v>12407</v>
      </c>
      <c r="C11586" s="449" t="s">
        <v>679</v>
      </c>
      <c r="D11586" s="451">
        <v>149.62</v>
      </c>
      <c r="E11586" s="210"/>
    </row>
    <row r="11587" spans="1:5" ht="38.25">
      <c r="A11587" s="449">
        <v>7602</v>
      </c>
      <c r="B11587" s="450" t="s">
        <v>12408</v>
      </c>
      <c r="C11587" s="449" t="s">
        <v>679</v>
      </c>
      <c r="D11587" s="451">
        <v>16.309999999999999</v>
      </c>
      <c r="E11587" s="210"/>
    </row>
    <row r="11588" spans="1:5" ht="38.25">
      <c r="A11588" s="449">
        <v>7603</v>
      </c>
      <c r="B11588" s="450" t="s">
        <v>12409</v>
      </c>
      <c r="C11588" s="449" t="s">
        <v>679</v>
      </c>
      <c r="D11588" s="451">
        <v>15.81</v>
      </c>
      <c r="E11588" s="210"/>
    </row>
    <row r="11589" spans="1:5" ht="38.25">
      <c r="A11589" s="449">
        <v>11826</v>
      </c>
      <c r="B11589" s="450" t="s">
        <v>12410</v>
      </c>
      <c r="C11589" s="449" t="s">
        <v>679</v>
      </c>
      <c r="D11589" s="451">
        <v>44.35</v>
      </c>
      <c r="E11589" s="210"/>
    </row>
    <row r="11590" spans="1:5" ht="38.25">
      <c r="A11590" s="449">
        <v>7606</v>
      </c>
      <c r="B11590" s="450" t="s">
        <v>12411</v>
      </c>
      <c r="C11590" s="449" t="s">
        <v>679</v>
      </c>
      <c r="D11590" s="451">
        <v>46.21</v>
      </c>
      <c r="E11590" s="210"/>
    </row>
    <row r="11591" spans="1:5" ht="51">
      <c r="A11591" s="449">
        <v>40329</v>
      </c>
      <c r="B11591" s="450" t="s">
        <v>12412</v>
      </c>
      <c r="C11591" s="449" t="s">
        <v>679</v>
      </c>
      <c r="D11591" s="451">
        <v>22.35</v>
      </c>
      <c r="E11591" s="210"/>
    </row>
    <row r="11592" spans="1:5" ht="38.25">
      <c r="A11592" s="449">
        <v>11823</v>
      </c>
      <c r="B11592" s="450" t="s">
        <v>12413</v>
      </c>
      <c r="C11592" s="449" t="s">
        <v>679</v>
      </c>
      <c r="D11592" s="451">
        <v>9.66</v>
      </c>
      <c r="E11592" s="210"/>
    </row>
    <row r="11593" spans="1:5" ht="25.5">
      <c r="A11593" s="449">
        <v>11822</v>
      </c>
      <c r="B11593" s="450" t="s">
        <v>12414</v>
      </c>
      <c r="C11593" s="449" t="s">
        <v>679</v>
      </c>
      <c r="D11593" s="451">
        <v>39.020000000000003</v>
      </c>
      <c r="E11593" s="210"/>
    </row>
    <row r="11594" spans="1:5" ht="25.5">
      <c r="A11594" s="449">
        <v>11831</v>
      </c>
      <c r="B11594" s="450" t="s">
        <v>12415</v>
      </c>
      <c r="C11594" s="449" t="s">
        <v>679</v>
      </c>
      <c r="D11594" s="451">
        <v>29.63</v>
      </c>
      <c r="E11594" s="210"/>
    </row>
    <row r="11595" spans="1:5" ht="51">
      <c r="A11595" s="449">
        <v>7613</v>
      </c>
      <c r="B11595" s="450" t="s">
        <v>12416</v>
      </c>
      <c r="C11595" s="449" t="s">
        <v>679</v>
      </c>
      <c r="D11595" s="451">
        <v>85530.68</v>
      </c>
      <c r="E11595" s="210"/>
    </row>
    <row r="11596" spans="1:5" ht="51">
      <c r="A11596" s="449">
        <v>7619</v>
      </c>
      <c r="B11596" s="450" t="s">
        <v>12417</v>
      </c>
      <c r="C11596" s="449" t="s">
        <v>679</v>
      </c>
      <c r="D11596" s="451">
        <v>13221.21</v>
      </c>
      <c r="E11596" s="210"/>
    </row>
    <row r="11597" spans="1:5" ht="51">
      <c r="A11597" s="449">
        <v>12076</v>
      </c>
      <c r="B11597" s="450" t="s">
        <v>12418</v>
      </c>
      <c r="C11597" s="449" t="s">
        <v>679</v>
      </c>
      <c r="D11597" s="451">
        <v>6064.77</v>
      </c>
      <c r="E11597" s="210"/>
    </row>
    <row r="11598" spans="1:5" ht="51">
      <c r="A11598" s="449">
        <v>7614</v>
      </c>
      <c r="B11598" s="450" t="s">
        <v>12419</v>
      </c>
      <c r="C11598" s="449" t="s">
        <v>679</v>
      </c>
      <c r="D11598" s="451">
        <v>16675.099999999999</v>
      </c>
      <c r="E11598" s="210"/>
    </row>
    <row r="11599" spans="1:5" ht="51">
      <c r="A11599" s="449">
        <v>7618</v>
      </c>
      <c r="B11599" s="450" t="s">
        <v>12420</v>
      </c>
      <c r="C11599" s="449" t="s">
        <v>679</v>
      </c>
      <c r="D11599" s="451">
        <v>108150.57</v>
      </c>
      <c r="E11599" s="210"/>
    </row>
    <row r="11600" spans="1:5" ht="51">
      <c r="A11600" s="449">
        <v>7620</v>
      </c>
      <c r="B11600" s="450" t="s">
        <v>12421</v>
      </c>
      <c r="C11600" s="449" t="s">
        <v>679</v>
      </c>
      <c r="D11600" s="451">
        <v>23392.71</v>
      </c>
      <c r="E11600" s="210"/>
    </row>
    <row r="11601" spans="1:5" ht="51">
      <c r="A11601" s="449">
        <v>7610</v>
      </c>
      <c r="B11601" s="450" t="s">
        <v>12422</v>
      </c>
      <c r="C11601" s="449" t="s">
        <v>679</v>
      </c>
      <c r="D11601" s="451">
        <v>7407.69</v>
      </c>
      <c r="E11601" s="210"/>
    </row>
    <row r="11602" spans="1:5" ht="51">
      <c r="A11602" s="449">
        <v>7615</v>
      </c>
      <c r="B11602" s="450" t="s">
        <v>12423</v>
      </c>
      <c r="C11602" s="449" t="s">
        <v>679</v>
      </c>
      <c r="D11602" s="451">
        <v>27291.49</v>
      </c>
      <c r="E11602" s="210"/>
    </row>
    <row r="11603" spans="1:5" ht="51">
      <c r="A11603" s="449">
        <v>7617</v>
      </c>
      <c r="B11603" s="450" t="s">
        <v>12424</v>
      </c>
      <c r="C11603" s="449" t="s">
        <v>679</v>
      </c>
      <c r="D11603" s="451">
        <v>8274.08</v>
      </c>
      <c r="E11603" s="210"/>
    </row>
    <row r="11604" spans="1:5" ht="51">
      <c r="A11604" s="449">
        <v>7616</v>
      </c>
      <c r="B11604" s="450" t="s">
        <v>12425</v>
      </c>
      <c r="C11604" s="449" t="s">
        <v>679</v>
      </c>
      <c r="D11604" s="451">
        <v>44535.39</v>
      </c>
      <c r="E11604" s="210"/>
    </row>
    <row r="11605" spans="1:5" ht="51">
      <c r="A11605" s="449">
        <v>7611</v>
      </c>
      <c r="B11605" s="450" t="s">
        <v>12426</v>
      </c>
      <c r="C11605" s="449" t="s">
        <v>679</v>
      </c>
      <c r="D11605" s="451">
        <v>10700</v>
      </c>
      <c r="E11605" s="210"/>
    </row>
    <row r="11606" spans="1:5" ht="51">
      <c r="A11606" s="449">
        <v>7612</v>
      </c>
      <c r="B11606" s="450" t="s">
        <v>12427</v>
      </c>
      <c r="C11606" s="449" t="s">
        <v>679</v>
      </c>
      <c r="D11606" s="451">
        <v>61087.9</v>
      </c>
      <c r="E11606" s="210"/>
    </row>
    <row r="11607" spans="1:5">
      <c r="A11607" s="449">
        <v>37371</v>
      </c>
      <c r="B11607" s="450" t="s">
        <v>12428</v>
      </c>
      <c r="C11607" s="449" t="s">
        <v>682</v>
      </c>
      <c r="D11607" s="451">
        <v>0.71</v>
      </c>
      <c r="E11607" s="210"/>
    </row>
    <row r="11608" spans="1:5">
      <c r="A11608" s="449">
        <v>40861</v>
      </c>
      <c r="B11608" s="450" t="s">
        <v>12429</v>
      </c>
      <c r="C11608" s="449" t="s">
        <v>797</v>
      </c>
      <c r="D11608" s="451">
        <v>133.68</v>
      </c>
      <c r="E11608" s="210"/>
    </row>
    <row r="11609" spans="1:5" ht="38.25">
      <c r="A11609" s="449">
        <v>36510</v>
      </c>
      <c r="B11609" s="450" t="s">
        <v>12430</v>
      </c>
      <c r="C11609" s="449" t="s">
        <v>679</v>
      </c>
      <c r="D11609" s="451">
        <v>803058.07</v>
      </c>
      <c r="E11609" s="210"/>
    </row>
    <row r="11610" spans="1:5" ht="51">
      <c r="A11610" s="449">
        <v>25020</v>
      </c>
      <c r="B11610" s="450" t="s">
        <v>12431</v>
      </c>
      <c r="C11610" s="449" t="s">
        <v>679</v>
      </c>
      <c r="D11610" s="451">
        <v>3308316.71</v>
      </c>
      <c r="E11610" s="210"/>
    </row>
    <row r="11611" spans="1:5" ht="38.25">
      <c r="A11611" s="449">
        <v>7622</v>
      </c>
      <c r="B11611" s="450" t="s">
        <v>12432</v>
      </c>
      <c r="C11611" s="449" t="s">
        <v>679</v>
      </c>
      <c r="D11611" s="451">
        <v>779083.7</v>
      </c>
      <c r="E11611" s="210"/>
    </row>
    <row r="11612" spans="1:5" ht="51">
      <c r="A11612" s="449">
        <v>7624</v>
      </c>
      <c r="B11612" s="450" t="s">
        <v>12433</v>
      </c>
      <c r="C11612" s="449" t="s">
        <v>679</v>
      </c>
      <c r="D11612" s="451">
        <v>1010000</v>
      </c>
      <c r="E11612" s="210"/>
    </row>
    <row r="11613" spans="1:5" ht="38.25">
      <c r="A11613" s="449">
        <v>7625</v>
      </c>
      <c r="B11613" s="450" t="s">
        <v>12434</v>
      </c>
      <c r="C11613" s="449" t="s">
        <v>679</v>
      </c>
      <c r="D11613" s="451">
        <v>1003822.53</v>
      </c>
      <c r="E11613" s="210"/>
    </row>
    <row r="11614" spans="1:5" ht="38.25">
      <c r="A11614" s="449">
        <v>7623</v>
      </c>
      <c r="B11614" s="450" t="s">
        <v>12435</v>
      </c>
      <c r="C11614" s="449" t="s">
        <v>679</v>
      </c>
      <c r="D11614" s="451">
        <v>3308316.71</v>
      </c>
      <c r="E11614" s="210"/>
    </row>
    <row r="11615" spans="1:5" ht="51">
      <c r="A11615" s="449">
        <v>36508</v>
      </c>
      <c r="B11615" s="450" t="s">
        <v>12436</v>
      </c>
      <c r="C11615" s="449" t="s">
        <v>679</v>
      </c>
      <c r="D11615" s="451">
        <v>1487881.29</v>
      </c>
      <c r="E11615" s="210"/>
    </row>
    <row r="11616" spans="1:5" ht="38.25">
      <c r="A11616" s="449">
        <v>36509</v>
      </c>
      <c r="B11616" s="450" t="s">
        <v>12437</v>
      </c>
      <c r="C11616" s="449" t="s">
        <v>679</v>
      </c>
      <c r="D11616" s="451">
        <v>815412.79</v>
      </c>
      <c r="E11616" s="210"/>
    </row>
    <row r="11617" spans="1:5" ht="25.5">
      <c r="A11617" s="449">
        <v>13238</v>
      </c>
      <c r="B11617" s="450" t="s">
        <v>12438</v>
      </c>
      <c r="C11617" s="449" t="s">
        <v>679</v>
      </c>
      <c r="D11617" s="451">
        <v>235861.38</v>
      </c>
      <c r="E11617" s="210"/>
    </row>
    <row r="11618" spans="1:5" ht="25.5">
      <c r="A11618" s="449">
        <v>36511</v>
      </c>
      <c r="B11618" s="450" t="s">
        <v>12439</v>
      </c>
      <c r="C11618" s="449" t="s">
        <v>679</v>
      </c>
      <c r="D11618" s="451">
        <v>273299.7</v>
      </c>
      <c r="E11618" s="210"/>
    </row>
    <row r="11619" spans="1:5" ht="25.5">
      <c r="A11619" s="449">
        <v>36515</v>
      </c>
      <c r="B11619" s="450" t="s">
        <v>12440</v>
      </c>
      <c r="C11619" s="449" t="s">
        <v>679</v>
      </c>
      <c r="D11619" s="451">
        <v>80492.37</v>
      </c>
      <c r="E11619" s="210"/>
    </row>
    <row r="11620" spans="1:5" ht="25.5">
      <c r="A11620" s="449">
        <v>10598</v>
      </c>
      <c r="B11620" s="450" t="s">
        <v>12441</v>
      </c>
      <c r="C11620" s="449" t="s">
        <v>679</v>
      </c>
      <c r="D11620" s="451">
        <v>130530.54</v>
      </c>
      <c r="E11620" s="210"/>
    </row>
    <row r="11621" spans="1:5" ht="25.5">
      <c r="A11621" s="449">
        <v>7640</v>
      </c>
      <c r="B11621" s="450" t="s">
        <v>12442</v>
      </c>
      <c r="C11621" s="449" t="s">
        <v>679</v>
      </c>
      <c r="D11621" s="451">
        <v>200295</v>
      </c>
      <c r="E11621" s="210"/>
    </row>
    <row r="11622" spans="1:5" ht="25.5">
      <c r="A11622" s="449">
        <v>36513</v>
      </c>
      <c r="B11622" s="450" t="s">
        <v>12443</v>
      </c>
      <c r="C11622" s="449" t="s">
        <v>679</v>
      </c>
      <c r="D11622" s="451">
        <v>192947.71</v>
      </c>
      <c r="E11622" s="210"/>
    </row>
    <row r="11623" spans="1:5" ht="25.5">
      <c r="A11623" s="449">
        <v>36514</v>
      </c>
      <c r="B11623" s="450" t="s">
        <v>12444</v>
      </c>
      <c r="C11623" s="449" t="s">
        <v>679</v>
      </c>
      <c r="D11623" s="451">
        <v>215270.31</v>
      </c>
      <c r="E11623" s="210"/>
    </row>
    <row r="11624" spans="1:5" ht="25.5">
      <c r="A11624" s="449">
        <v>11572</v>
      </c>
      <c r="B11624" s="450" t="s">
        <v>12445</v>
      </c>
      <c r="C11624" s="449" t="s">
        <v>679</v>
      </c>
      <c r="D11624" s="451">
        <v>33.450000000000003</v>
      </c>
      <c r="E11624" s="210"/>
    </row>
    <row r="11625" spans="1:5" ht="38.25">
      <c r="A11625" s="449">
        <v>36149</v>
      </c>
      <c r="B11625" s="450" t="s">
        <v>12446</v>
      </c>
      <c r="C11625" s="449" t="s">
        <v>679</v>
      </c>
      <c r="D11625" s="451">
        <v>166.85</v>
      </c>
      <c r="E11625" s="210"/>
    </row>
    <row r="11626" spans="1:5" ht="51">
      <c r="A11626" s="449">
        <v>42407</v>
      </c>
      <c r="B11626" s="450" t="s">
        <v>12447</v>
      </c>
      <c r="C11626" s="449" t="s">
        <v>683</v>
      </c>
      <c r="D11626" s="451">
        <v>11.43</v>
      </c>
      <c r="E11626" s="210"/>
    </row>
    <row r="11627" spans="1:5" ht="38.25">
      <c r="A11627" s="449">
        <v>11581</v>
      </c>
      <c r="B11627" s="450" t="s">
        <v>12448</v>
      </c>
      <c r="C11627" s="449" t="s">
        <v>683</v>
      </c>
      <c r="D11627" s="451">
        <v>22.08</v>
      </c>
      <c r="E11627" s="210"/>
    </row>
    <row r="11628" spans="1:5" ht="38.25">
      <c r="A11628" s="449">
        <v>43605</v>
      </c>
      <c r="B11628" s="450" t="s">
        <v>12449</v>
      </c>
      <c r="C11628" s="449" t="s">
        <v>683</v>
      </c>
      <c r="D11628" s="451">
        <v>45.17</v>
      </c>
      <c r="E11628" s="210"/>
    </row>
    <row r="11629" spans="1:5" ht="38.25">
      <c r="A11629" s="449">
        <v>11580</v>
      </c>
      <c r="B11629" s="450" t="s">
        <v>12450</v>
      </c>
      <c r="C11629" s="449" t="s">
        <v>683</v>
      </c>
      <c r="D11629" s="451">
        <v>8.86</v>
      </c>
      <c r="E11629" s="210"/>
    </row>
    <row r="11630" spans="1:5">
      <c r="A11630" s="449">
        <v>10743</v>
      </c>
      <c r="B11630" s="450" t="s">
        <v>12451</v>
      </c>
      <c r="C11630" s="449" t="s">
        <v>679</v>
      </c>
      <c r="D11630" s="451">
        <v>676.56</v>
      </c>
      <c r="E11630" s="210"/>
    </row>
    <row r="11631" spans="1:5" ht="51">
      <c r="A11631" s="449">
        <v>39848</v>
      </c>
      <c r="B11631" s="450" t="s">
        <v>12452</v>
      </c>
      <c r="C11631" s="449" t="s">
        <v>683</v>
      </c>
      <c r="D11631" s="451">
        <v>2.17</v>
      </c>
      <c r="E11631" s="210"/>
    </row>
    <row r="11632" spans="1:5" ht="25.5">
      <c r="A11632" s="449">
        <v>20999</v>
      </c>
      <c r="B11632" s="450" t="s">
        <v>12453</v>
      </c>
      <c r="C11632" s="449" t="s">
        <v>683</v>
      </c>
      <c r="D11632" s="451">
        <v>14.51</v>
      </c>
      <c r="E11632" s="210"/>
    </row>
    <row r="11633" spans="1:5" ht="25.5">
      <c r="A11633" s="449">
        <v>21001</v>
      </c>
      <c r="B11633" s="450" t="s">
        <v>12454</v>
      </c>
      <c r="C11633" s="449" t="s">
        <v>683</v>
      </c>
      <c r="D11633" s="451">
        <v>27.08</v>
      </c>
      <c r="E11633" s="210"/>
    </row>
    <row r="11634" spans="1:5" ht="25.5">
      <c r="A11634" s="449">
        <v>21003</v>
      </c>
      <c r="B11634" s="450" t="s">
        <v>12455</v>
      </c>
      <c r="C11634" s="449" t="s">
        <v>683</v>
      </c>
      <c r="D11634" s="451">
        <v>44.5</v>
      </c>
      <c r="E11634" s="210"/>
    </row>
    <row r="11635" spans="1:5" ht="25.5">
      <c r="A11635" s="449">
        <v>21006</v>
      </c>
      <c r="B11635" s="450" t="s">
        <v>12456</v>
      </c>
      <c r="C11635" s="449" t="s">
        <v>683</v>
      </c>
      <c r="D11635" s="451">
        <v>94.44</v>
      </c>
      <c r="E11635" s="210"/>
    </row>
    <row r="11636" spans="1:5" ht="25.5">
      <c r="A11636" s="449">
        <v>21019</v>
      </c>
      <c r="B11636" s="450" t="s">
        <v>12457</v>
      </c>
      <c r="C11636" s="449" t="s">
        <v>683</v>
      </c>
      <c r="D11636" s="451">
        <v>32.83</v>
      </c>
      <c r="E11636" s="210"/>
    </row>
    <row r="11637" spans="1:5" ht="25.5">
      <c r="A11637" s="449">
        <v>21021</v>
      </c>
      <c r="B11637" s="450" t="s">
        <v>12458</v>
      </c>
      <c r="C11637" s="449" t="s">
        <v>683</v>
      </c>
      <c r="D11637" s="451">
        <v>51.89</v>
      </c>
      <c r="E11637" s="210"/>
    </row>
    <row r="11638" spans="1:5" ht="25.5">
      <c r="A11638" s="449">
        <v>21024</v>
      </c>
      <c r="B11638" s="450" t="s">
        <v>12459</v>
      </c>
      <c r="C11638" s="449" t="s">
        <v>683</v>
      </c>
      <c r="D11638" s="451">
        <v>111.19</v>
      </c>
      <c r="E11638" s="210"/>
    </row>
    <row r="11639" spans="1:5" ht="25.5">
      <c r="A11639" s="449">
        <v>40624</v>
      </c>
      <c r="B11639" s="450" t="s">
        <v>12460</v>
      </c>
      <c r="C11639" s="449" t="s">
        <v>683</v>
      </c>
      <c r="D11639" s="451">
        <v>84.34</v>
      </c>
      <c r="E11639" s="210"/>
    </row>
    <row r="11640" spans="1:5" ht="25.5">
      <c r="A11640" s="449">
        <v>42575</v>
      </c>
      <c r="B11640" s="450" t="s">
        <v>12461</v>
      </c>
      <c r="C11640" s="449" t="s">
        <v>683</v>
      </c>
      <c r="D11640" s="451">
        <v>77.400000000000006</v>
      </c>
      <c r="E11640" s="210"/>
    </row>
    <row r="11641" spans="1:5" ht="25.5">
      <c r="A11641" s="449">
        <v>13127</v>
      </c>
      <c r="B11641" s="450" t="s">
        <v>12462</v>
      </c>
      <c r="C11641" s="449" t="s">
        <v>683</v>
      </c>
      <c r="D11641" s="451">
        <v>37.619999999999997</v>
      </c>
      <c r="E11641" s="210"/>
    </row>
    <row r="11642" spans="1:5" ht="25.5">
      <c r="A11642" s="449">
        <v>13137</v>
      </c>
      <c r="B11642" s="450" t="s">
        <v>12463</v>
      </c>
      <c r="C11642" s="449" t="s">
        <v>683</v>
      </c>
      <c r="D11642" s="451">
        <v>49.92</v>
      </c>
      <c r="E11642" s="210"/>
    </row>
    <row r="11643" spans="1:5" ht="25.5">
      <c r="A11643" s="449">
        <v>42574</v>
      </c>
      <c r="B11643" s="450" t="s">
        <v>12464</v>
      </c>
      <c r="C11643" s="449" t="s">
        <v>683</v>
      </c>
      <c r="D11643" s="451">
        <v>57.76</v>
      </c>
      <c r="E11643" s="210"/>
    </row>
    <row r="11644" spans="1:5" ht="25.5">
      <c r="A11644" s="449">
        <v>20989</v>
      </c>
      <c r="B11644" s="450" t="s">
        <v>12465</v>
      </c>
      <c r="C11644" s="449" t="s">
        <v>683</v>
      </c>
      <c r="D11644" s="451">
        <v>1788.5</v>
      </c>
      <c r="E11644" s="210"/>
    </row>
    <row r="11645" spans="1:5" ht="25.5">
      <c r="A11645" s="449">
        <v>21147</v>
      </c>
      <c r="B11645" s="450" t="s">
        <v>12466</v>
      </c>
      <c r="C11645" s="449" t="s">
        <v>683</v>
      </c>
      <c r="D11645" s="451">
        <v>167.69</v>
      </c>
      <c r="E11645" s="210"/>
    </row>
    <row r="11646" spans="1:5" ht="25.5">
      <c r="A11646" s="449">
        <v>21148</v>
      </c>
      <c r="B11646" s="450" t="s">
        <v>12467</v>
      </c>
      <c r="C11646" s="449" t="s">
        <v>683</v>
      </c>
      <c r="D11646" s="451">
        <v>103.5</v>
      </c>
      <c r="E11646" s="210"/>
    </row>
    <row r="11647" spans="1:5" ht="25.5">
      <c r="A11647" s="449">
        <v>20984</v>
      </c>
      <c r="B11647" s="450" t="s">
        <v>12468</v>
      </c>
      <c r="C11647" s="449" t="s">
        <v>683</v>
      </c>
      <c r="D11647" s="451">
        <v>3431.79</v>
      </c>
      <c r="E11647" s="210"/>
    </row>
    <row r="11648" spans="1:5" ht="25.5">
      <c r="A11648" s="449">
        <v>13042</v>
      </c>
      <c r="B11648" s="450" t="s">
        <v>12469</v>
      </c>
      <c r="C11648" s="449" t="s">
        <v>683</v>
      </c>
      <c r="D11648" s="451">
        <v>1901.72</v>
      </c>
      <c r="E11648" s="210"/>
    </row>
    <row r="11649" spans="1:5" ht="25.5">
      <c r="A11649" s="449">
        <v>21150</v>
      </c>
      <c r="B11649" s="450" t="s">
        <v>12470</v>
      </c>
      <c r="C11649" s="449" t="s">
        <v>683</v>
      </c>
      <c r="D11649" s="451">
        <v>51.32</v>
      </c>
      <c r="E11649" s="210"/>
    </row>
    <row r="11650" spans="1:5" ht="25.5">
      <c r="A11650" s="449">
        <v>13141</v>
      </c>
      <c r="B11650" s="450" t="s">
        <v>12471</v>
      </c>
      <c r="C11650" s="449" t="s">
        <v>683</v>
      </c>
      <c r="D11650" s="451">
        <v>64.66</v>
      </c>
      <c r="E11650" s="210"/>
    </row>
    <row r="11651" spans="1:5" ht="25.5">
      <c r="A11651" s="449">
        <v>42576</v>
      </c>
      <c r="B11651" s="450" t="s">
        <v>12472</v>
      </c>
      <c r="C11651" s="449" t="s">
        <v>683</v>
      </c>
      <c r="D11651" s="451">
        <v>211.12</v>
      </c>
      <c r="E11651" s="210"/>
    </row>
    <row r="11652" spans="1:5" ht="25.5">
      <c r="A11652" s="449">
        <v>21151</v>
      </c>
      <c r="B11652" s="450" t="s">
        <v>12473</v>
      </c>
      <c r="C11652" s="449" t="s">
        <v>683</v>
      </c>
      <c r="D11652" s="451">
        <v>307.18</v>
      </c>
      <c r="E11652" s="210"/>
    </row>
    <row r="11653" spans="1:5" ht="25.5">
      <c r="A11653" s="449">
        <v>13142</v>
      </c>
      <c r="B11653" s="450" t="s">
        <v>12474</v>
      </c>
      <c r="C11653" s="449" t="s">
        <v>683</v>
      </c>
      <c r="D11653" s="451">
        <v>439.15</v>
      </c>
      <c r="E11653" s="210"/>
    </row>
    <row r="11654" spans="1:5" ht="25.5">
      <c r="A11654" s="449">
        <v>42577</v>
      </c>
      <c r="B11654" s="450" t="s">
        <v>12475</v>
      </c>
      <c r="C11654" s="449" t="s">
        <v>683</v>
      </c>
      <c r="D11654" s="451">
        <v>481.86</v>
      </c>
      <c r="E11654" s="210"/>
    </row>
    <row r="11655" spans="1:5" ht="25.5">
      <c r="A11655" s="449">
        <v>20994</v>
      </c>
      <c r="B11655" s="450" t="s">
        <v>12476</v>
      </c>
      <c r="C11655" s="449" t="s">
        <v>683</v>
      </c>
      <c r="D11655" s="451">
        <v>827.99</v>
      </c>
      <c r="E11655" s="210"/>
    </row>
    <row r="11656" spans="1:5" ht="25.5">
      <c r="A11656" s="449">
        <v>7672</v>
      </c>
      <c r="B11656" s="450" t="s">
        <v>12477</v>
      </c>
      <c r="C11656" s="449" t="s">
        <v>683</v>
      </c>
      <c r="D11656" s="451">
        <v>542.41999999999996</v>
      </c>
      <c r="E11656" s="210"/>
    </row>
    <row r="11657" spans="1:5" ht="25.5">
      <c r="A11657" s="449">
        <v>20995</v>
      </c>
      <c r="B11657" s="450" t="s">
        <v>12478</v>
      </c>
      <c r="C11657" s="449" t="s">
        <v>683</v>
      </c>
      <c r="D11657" s="451">
        <v>1088.1300000000001</v>
      </c>
      <c r="E11657" s="210"/>
    </row>
    <row r="11658" spans="1:5" ht="25.5">
      <c r="A11658" s="449">
        <v>7690</v>
      </c>
      <c r="B11658" s="450" t="s">
        <v>12479</v>
      </c>
      <c r="C11658" s="449" t="s">
        <v>683</v>
      </c>
      <c r="D11658" s="451">
        <v>629.34</v>
      </c>
      <c r="E11658" s="210"/>
    </row>
    <row r="11659" spans="1:5" ht="25.5">
      <c r="A11659" s="449">
        <v>20980</v>
      </c>
      <c r="B11659" s="450" t="s">
        <v>12480</v>
      </c>
      <c r="C11659" s="449" t="s">
        <v>683</v>
      </c>
      <c r="D11659" s="451">
        <v>686.55</v>
      </c>
      <c r="E11659" s="210"/>
    </row>
    <row r="11660" spans="1:5" ht="25.5">
      <c r="A11660" s="449">
        <v>7661</v>
      </c>
      <c r="B11660" s="450" t="s">
        <v>12481</v>
      </c>
      <c r="C11660" s="449" t="s">
        <v>683</v>
      </c>
      <c r="D11660" s="451">
        <v>816.71</v>
      </c>
      <c r="E11660" s="210"/>
    </row>
    <row r="11661" spans="1:5" ht="38.25">
      <c r="A11661" s="449">
        <v>21016</v>
      </c>
      <c r="B11661" s="450" t="s">
        <v>12482</v>
      </c>
      <c r="C11661" s="449" t="s">
        <v>683</v>
      </c>
      <c r="D11661" s="451">
        <v>229.41</v>
      </c>
      <c r="E11661" s="210"/>
    </row>
    <row r="11662" spans="1:5" ht="38.25">
      <c r="A11662" s="449">
        <v>21008</v>
      </c>
      <c r="B11662" s="450" t="s">
        <v>12483</v>
      </c>
      <c r="C11662" s="449" t="s">
        <v>683</v>
      </c>
      <c r="D11662" s="451">
        <v>26.8</v>
      </c>
      <c r="E11662" s="210"/>
    </row>
    <row r="11663" spans="1:5" ht="38.25">
      <c r="A11663" s="449">
        <v>21009</v>
      </c>
      <c r="B11663" s="450" t="s">
        <v>12484</v>
      </c>
      <c r="C11663" s="449" t="s">
        <v>683</v>
      </c>
      <c r="D11663" s="451">
        <v>34.89</v>
      </c>
      <c r="E11663" s="210"/>
    </row>
    <row r="11664" spans="1:5" ht="38.25">
      <c r="A11664" s="449">
        <v>21010</v>
      </c>
      <c r="B11664" s="450" t="s">
        <v>12485</v>
      </c>
      <c r="C11664" s="449" t="s">
        <v>683</v>
      </c>
      <c r="D11664" s="451">
        <v>46.85</v>
      </c>
      <c r="E11664" s="210"/>
    </row>
    <row r="11665" spans="1:5" ht="38.25">
      <c r="A11665" s="449">
        <v>21011</v>
      </c>
      <c r="B11665" s="450" t="s">
        <v>12486</v>
      </c>
      <c r="C11665" s="449" t="s">
        <v>683</v>
      </c>
      <c r="D11665" s="451">
        <v>68.28</v>
      </c>
      <c r="E11665" s="210"/>
    </row>
    <row r="11666" spans="1:5" ht="38.25">
      <c r="A11666" s="449">
        <v>21012</v>
      </c>
      <c r="B11666" s="450" t="s">
        <v>12487</v>
      </c>
      <c r="C11666" s="449" t="s">
        <v>683</v>
      </c>
      <c r="D11666" s="451">
        <v>75.459999999999994</v>
      </c>
      <c r="E11666" s="210"/>
    </row>
    <row r="11667" spans="1:5" ht="38.25">
      <c r="A11667" s="449">
        <v>21013</v>
      </c>
      <c r="B11667" s="450" t="s">
        <v>12488</v>
      </c>
      <c r="C11667" s="449" t="s">
        <v>683</v>
      </c>
      <c r="D11667" s="451">
        <v>98.47</v>
      </c>
      <c r="E11667" s="210"/>
    </row>
    <row r="11668" spans="1:5" ht="38.25">
      <c r="A11668" s="449">
        <v>21014</v>
      </c>
      <c r="B11668" s="450" t="s">
        <v>12489</v>
      </c>
      <c r="C11668" s="449" t="s">
        <v>683</v>
      </c>
      <c r="D11668" s="451">
        <v>137.78</v>
      </c>
      <c r="E11668" s="210"/>
    </row>
    <row r="11669" spans="1:5" ht="38.25">
      <c r="A11669" s="449">
        <v>21015</v>
      </c>
      <c r="B11669" s="450" t="s">
        <v>12490</v>
      </c>
      <c r="C11669" s="449" t="s">
        <v>683</v>
      </c>
      <c r="D11669" s="451">
        <v>158.29</v>
      </c>
      <c r="E11669" s="210"/>
    </row>
    <row r="11670" spans="1:5" ht="38.25">
      <c r="A11670" s="449">
        <v>7697</v>
      </c>
      <c r="B11670" s="450" t="s">
        <v>12491</v>
      </c>
      <c r="C11670" s="449" t="s">
        <v>683</v>
      </c>
      <c r="D11670" s="451">
        <v>75.53</v>
      </c>
      <c r="E11670" s="210"/>
    </row>
    <row r="11671" spans="1:5" ht="38.25">
      <c r="A11671" s="449">
        <v>7698</v>
      </c>
      <c r="B11671" s="450" t="s">
        <v>12492</v>
      </c>
      <c r="C11671" s="449" t="s">
        <v>683</v>
      </c>
      <c r="D11671" s="451">
        <v>65.02</v>
      </c>
      <c r="E11671" s="210"/>
    </row>
    <row r="11672" spans="1:5" ht="38.25">
      <c r="A11672" s="449">
        <v>7691</v>
      </c>
      <c r="B11672" s="450" t="s">
        <v>12493</v>
      </c>
      <c r="C11672" s="449" t="s">
        <v>683</v>
      </c>
      <c r="D11672" s="451">
        <v>27.47</v>
      </c>
      <c r="E11672" s="210"/>
    </row>
    <row r="11673" spans="1:5" ht="38.25">
      <c r="A11673" s="449">
        <v>40626</v>
      </c>
      <c r="B11673" s="450" t="s">
        <v>12494</v>
      </c>
      <c r="C11673" s="449" t="s">
        <v>683</v>
      </c>
      <c r="D11673" s="451">
        <v>51.56</v>
      </c>
      <c r="E11673" s="210"/>
    </row>
    <row r="11674" spans="1:5" ht="38.25">
      <c r="A11674" s="449">
        <v>7701</v>
      </c>
      <c r="B11674" s="450" t="s">
        <v>12495</v>
      </c>
      <c r="C11674" s="449" t="s">
        <v>683</v>
      </c>
      <c r="D11674" s="451">
        <v>135.16999999999999</v>
      </c>
      <c r="E11674" s="210"/>
    </row>
    <row r="11675" spans="1:5" ht="38.25">
      <c r="A11675" s="449">
        <v>7696</v>
      </c>
      <c r="B11675" s="450" t="s">
        <v>12496</v>
      </c>
      <c r="C11675" s="449" t="s">
        <v>683</v>
      </c>
      <c r="D11675" s="451">
        <v>108.92</v>
      </c>
      <c r="E11675" s="210"/>
    </row>
    <row r="11676" spans="1:5" ht="38.25">
      <c r="A11676" s="449">
        <v>7700</v>
      </c>
      <c r="B11676" s="450" t="s">
        <v>12497</v>
      </c>
      <c r="C11676" s="449" t="s">
        <v>683</v>
      </c>
      <c r="D11676" s="451">
        <v>34.75</v>
      </c>
      <c r="E11676" s="210"/>
    </row>
    <row r="11677" spans="1:5" ht="38.25">
      <c r="A11677" s="449">
        <v>7694</v>
      </c>
      <c r="B11677" s="450" t="s">
        <v>12498</v>
      </c>
      <c r="C11677" s="449" t="s">
        <v>683</v>
      </c>
      <c r="D11677" s="451">
        <v>181.9</v>
      </c>
      <c r="E11677" s="210"/>
    </row>
    <row r="11678" spans="1:5" ht="38.25">
      <c r="A11678" s="449">
        <v>7693</v>
      </c>
      <c r="B11678" s="450" t="s">
        <v>12499</v>
      </c>
      <c r="C11678" s="449" t="s">
        <v>683</v>
      </c>
      <c r="D11678" s="451">
        <v>250.51</v>
      </c>
      <c r="E11678" s="210"/>
    </row>
    <row r="11679" spans="1:5" ht="38.25">
      <c r="A11679" s="449">
        <v>7692</v>
      </c>
      <c r="B11679" s="450" t="s">
        <v>12500</v>
      </c>
      <c r="C11679" s="449" t="s">
        <v>683</v>
      </c>
      <c r="D11679" s="451">
        <v>375.06</v>
      </c>
      <c r="E11679" s="210"/>
    </row>
    <row r="11680" spans="1:5" ht="38.25">
      <c r="A11680" s="449">
        <v>7695</v>
      </c>
      <c r="B11680" s="450" t="s">
        <v>12501</v>
      </c>
      <c r="C11680" s="449" t="s">
        <v>683</v>
      </c>
      <c r="D11680" s="451">
        <v>406.76</v>
      </c>
      <c r="E11680" s="210"/>
    </row>
    <row r="11681" spans="1:5" ht="25.5">
      <c r="A11681" s="449">
        <v>13356</v>
      </c>
      <c r="B11681" s="450" t="s">
        <v>12502</v>
      </c>
      <c r="C11681" s="449" t="s">
        <v>683</v>
      </c>
      <c r="D11681" s="451">
        <v>29.49</v>
      </c>
      <c r="E11681" s="210"/>
    </row>
    <row r="11682" spans="1:5" ht="25.5">
      <c r="A11682" s="449">
        <v>36365</v>
      </c>
      <c r="B11682" s="450" t="s">
        <v>12503</v>
      </c>
      <c r="C11682" s="449" t="s">
        <v>683</v>
      </c>
      <c r="D11682" s="451">
        <v>39.11</v>
      </c>
      <c r="E11682" s="210"/>
    </row>
    <row r="11683" spans="1:5" ht="25.5">
      <c r="A11683" s="449">
        <v>41930</v>
      </c>
      <c r="B11683" s="450" t="s">
        <v>12504</v>
      </c>
      <c r="C11683" s="449" t="s">
        <v>683</v>
      </c>
      <c r="D11683" s="451">
        <v>126.61</v>
      </c>
      <c r="E11683" s="210"/>
    </row>
    <row r="11684" spans="1:5" ht="25.5">
      <c r="A11684" s="449">
        <v>41931</v>
      </c>
      <c r="B11684" s="450" t="s">
        <v>12505</v>
      </c>
      <c r="C11684" s="449" t="s">
        <v>683</v>
      </c>
      <c r="D11684" s="451">
        <v>215.89</v>
      </c>
      <c r="E11684" s="210"/>
    </row>
    <row r="11685" spans="1:5" ht="25.5">
      <c r="A11685" s="449">
        <v>41932</v>
      </c>
      <c r="B11685" s="450" t="s">
        <v>12506</v>
      </c>
      <c r="C11685" s="449" t="s">
        <v>683</v>
      </c>
      <c r="D11685" s="451">
        <v>348.7</v>
      </c>
      <c r="E11685" s="210"/>
    </row>
    <row r="11686" spans="1:5" ht="25.5">
      <c r="A11686" s="449">
        <v>41933</v>
      </c>
      <c r="B11686" s="450" t="s">
        <v>12507</v>
      </c>
      <c r="C11686" s="449" t="s">
        <v>683</v>
      </c>
      <c r="D11686" s="451">
        <v>431.86</v>
      </c>
      <c r="E11686" s="210"/>
    </row>
    <row r="11687" spans="1:5" ht="25.5">
      <c r="A11687" s="449">
        <v>41934</v>
      </c>
      <c r="B11687" s="450" t="s">
        <v>12508</v>
      </c>
      <c r="C11687" s="449" t="s">
        <v>683</v>
      </c>
      <c r="D11687" s="451">
        <v>559.37</v>
      </c>
      <c r="E11687" s="210"/>
    </row>
    <row r="11688" spans="1:5" ht="25.5">
      <c r="A11688" s="449">
        <v>41936</v>
      </c>
      <c r="B11688" s="450" t="s">
        <v>12509</v>
      </c>
      <c r="C11688" s="449" t="s">
        <v>683</v>
      </c>
      <c r="D11688" s="451">
        <v>84.34</v>
      </c>
      <c r="E11688" s="210"/>
    </row>
    <row r="11689" spans="1:5" ht="38.25">
      <c r="A11689" s="449">
        <v>41785</v>
      </c>
      <c r="B11689" s="450" t="s">
        <v>12510</v>
      </c>
      <c r="C11689" s="449" t="s">
        <v>683</v>
      </c>
      <c r="D11689" s="451">
        <v>2229.8200000000002</v>
      </c>
      <c r="E11689" s="210"/>
    </row>
    <row r="11690" spans="1:5" ht="38.25">
      <c r="A11690" s="449">
        <v>41781</v>
      </c>
      <c r="B11690" s="450" t="s">
        <v>12511</v>
      </c>
      <c r="C11690" s="449" t="s">
        <v>683</v>
      </c>
      <c r="D11690" s="451">
        <v>635.74</v>
      </c>
      <c r="E11690" s="210"/>
    </row>
    <row r="11691" spans="1:5" ht="38.25">
      <c r="A11691" s="449">
        <v>41783</v>
      </c>
      <c r="B11691" s="450" t="s">
        <v>12512</v>
      </c>
      <c r="C11691" s="449" t="s">
        <v>683</v>
      </c>
      <c r="D11691" s="451">
        <v>1677.61</v>
      </c>
      <c r="E11691" s="210"/>
    </row>
    <row r="11692" spans="1:5" ht="38.25">
      <c r="A11692" s="449">
        <v>41786</v>
      </c>
      <c r="B11692" s="450" t="s">
        <v>12513</v>
      </c>
      <c r="C11692" s="449" t="s">
        <v>683</v>
      </c>
      <c r="D11692" s="451">
        <v>3499.68</v>
      </c>
      <c r="E11692" s="210"/>
    </row>
    <row r="11693" spans="1:5" ht="38.25">
      <c r="A11693" s="449">
        <v>41779</v>
      </c>
      <c r="B11693" s="450" t="s">
        <v>12514</v>
      </c>
      <c r="C11693" s="449" t="s">
        <v>683</v>
      </c>
      <c r="D11693" s="451">
        <v>243.83</v>
      </c>
      <c r="E11693" s="210"/>
    </row>
    <row r="11694" spans="1:5" ht="38.25">
      <c r="A11694" s="449">
        <v>41780</v>
      </c>
      <c r="B11694" s="450" t="s">
        <v>12515</v>
      </c>
      <c r="C11694" s="449" t="s">
        <v>683</v>
      </c>
      <c r="D11694" s="451">
        <v>288.38</v>
      </c>
      <c r="E11694" s="210"/>
    </row>
    <row r="11695" spans="1:5" ht="38.25">
      <c r="A11695" s="449">
        <v>41782</v>
      </c>
      <c r="B11695" s="450" t="s">
        <v>12516</v>
      </c>
      <c r="C11695" s="449" t="s">
        <v>683</v>
      </c>
      <c r="D11695" s="451">
        <v>1188.78</v>
      </c>
      <c r="E11695" s="210"/>
    </row>
    <row r="11696" spans="1:5" ht="25.5">
      <c r="A11696" s="449">
        <v>38130</v>
      </c>
      <c r="B11696" s="450" t="s">
        <v>12517</v>
      </c>
      <c r="C11696" s="449" t="s">
        <v>683</v>
      </c>
      <c r="D11696" s="451">
        <v>35.24</v>
      </c>
      <c r="E11696" s="210"/>
    </row>
    <row r="11697" spans="1:5" ht="25.5">
      <c r="A11697" s="449">
        <v>21123</v>
      </c>
      <c r="B11697" s="450" t="s">
        <v>12518</v>
      </c>
      <c r="C11697" s="449" t="s">
        <v>683</v>
      </c>
      <c r="D11697" s="451">
        <v>10</v>
      </c>
      <c r="E11697" s="210"/>
    </row>
    <row r="11698" spans="1:5" ht="25.5">
      <c r="A11698" s="449">
        <v>21124</v>
      </c>
      <c r="B11698" s="450" t="s">
        <v>12519</v>
      </c>
      <c r="C11698" s="449" t="s">
        <v>683</v>
      </c>
      <c r="D11698" s="451">
        <v>17.73</v>
      </c>
      <c r="E11698" s="210"/>
    </row>
    <row r="11699" spans="1:5" ht="25.5">
      <c r="A11699" s="449">
        <v>21125</v>
      </c>
      <c r="B11699" s="450" t="s">
        <v>12520</v>
      </c>
      <c r="C11699" s="449" t="s">
        <v>683</v>
      </c>
      <c r="D11699" s="451">
        <v>28.46</v>
      </c>
      <c r="E11699" s="210"/>
    </row>
    <row r="11700" spans="1:5" ht="25.5">
      <c r="A11700" s="449">
        <v>38028</v>
      </c>
      <c r="B11700" s="450" t="s">
        <v>12521</v>
      </c>
      <c r="C11700" s="449" t="s">
        <v>683</v>
      </c>
      <c r="D11700" s="451">
        <v>48.29</v>
      </c>
      <c r="E11700" s="210"/>
    </row>
    <row r="11701" spans="1:5" ht="25.5">
      <c r="A11701" s="449">
        <v>38029</v>
      </c>
      <c r="B11701" s="450" t="s">
        <v>12522</v>
      </c>
      <c r="C11701" s="449" t="s">
        <v>683</v>
      </c>
      <c r="D11701" s="451">
        <v>73.61</v>
      </c>
      <c r="E11701" s="210"/>
    </row>
    <row r="11702" spans="1:5" ht="25.5">
      <c r="A11702" s="449">
        <v>38030</v>
      </c>
      <c r="B11702" s="450" t="s">
        <v>12523</v>
      </c>
      <c r="C11702" s="449" t="s">
        <v>683</v>
      </c>
      <c r="D11702" s="451">
        <v>113.07</v>
      </c>
      <c r="E11702" s="210"/>
    </row>
    <row r="11703" spans="1:5" ht="25.5">
      <c r="A11703" s="449">
        <v>38031</v>
      </c>
      <c r="B11703" s="450" t="s">
        <v>12524</v>
      </c>
      <c r="C11703" s="449" t="s">
        <v>683</v>
      </c>
      <c r="D11703" s="451">
        <v>179.18</v>
      </c>
      <c r="E11703" s="210"/>
    </row>
    <row r="11704" spans="1:5" ht="76.5">
      <c r="A11704" s="449">
        <v>39735</v>
      </c>
      <c r="B11704" s="450" t="s">
        <v>12525</v>
      </c>
      <c r="C11704" s="449" t="s">
        <v>683</v>
      </c>
      <c r="D11704" s="451">
        <v>110.89</v>
      </c>
      <c r="E11704" s="210"/>
    </row>
    <row r="11705" spans="1:5" ht="76.5">
      <c r="A11705" s="449">
        <v>39734</v>
      </c>
      <c r="B11705" s="450" t="s">
        <v>12526</v>
      </c>
      <c r="C11705" s="449" t="s">
        <v>683</v>
      </c>
      <c r="D11705" s="451">
        <v>131.53</v>
      </c>
      <c r="E11705" s="210"/>
    </row>
    <row r="11706" spans="1:5" ht="76.5">
      <c r="A11706" s="449">
        <v>39736</v>
      </c>
      <c r="B11706" s="450" t="s">
        <v>12527</v>
      </c>
      <c r="C11706" s="449" t="s">
        <v>683</v>
      </c>
      <c r="D11706" s="451">
        <v>150.11000000000001</v>
      </c>
      <c r="E11706" s="210"/>
    </row>
    <row r="11707" spans="1:5" ht="76.5">
      <c r="A11707" s="449">
        <v>39737</v>
      </c>
      <c r="B11707" s="450" t="s">
        <v>12528</v>
      </c>
      <c r="C11707" s="449" t="s">
        <v>683</v>
      </c>
      <c r="D11707" s="451">
        <v>20.190000000000001</v>
      </c>
      <c r="E11707" s="210"/>
    </row>
    <row r="11708" spans="1:5" ht="76.5">
      <c r="A11708" s="449">
        <v>39738</v>
      </c>
      <c r="B11708" s="450" t="s">
        <v>12529</v>
      </c>
      <c r="C11708" s="449" t="s">
        <v>683</v>
      </c>
      <c r="D11708" s="451">
        <v>7.3</v>
      </c>
      <c r="E11708" s="210"/>
    </row>
    <row r="11709" spans="1:5" ht="76.5">
      <c r="A11709" s="449">
        <v>39739</v>
      </c>
      <c r="B11709" s="450" t="s">
        <v>12530</v>
      </c>
      <c r="C11709" s="449" t="s">
        <v>683</v>
      </c>
      <c r="D11709" s="451">
        <v>103.81</v>
      </c>
      <c r="E11709" s="210"/>
    </row>
    <row r="11710" spans="1:5" ht="76.5">
      <c r="A11710" s="449">
        <v>39733</v>
      </c>
      <c r="B11710" s="450" t="s">
        <v>12531</v>
      </c>
      <c r="C11710" s="449" t="s">
        <v>683</v>
      </c>
      <c r="D11710" s="451">
        <v>179.64</v>
      </c>
      <c r="E11710" s="210"/>
    </row>
    <row r="11711" spans="1:5" ht="76.5">
      <c r="A11711" s="449">
        <v>39854</v>
      </c>
      <c r="B11711" s="450" t="s">
        <v>12532</v>
      </c>
      <c r="C11711" s="449" t="s">
        <v>683</v>
      </c>
      <c r="D11711" s="451">
        <v>182.18</v>
      </c>
      <c r="E11711" s="210"/>
    </row>
    <row r="11712" spans="1:5" ht="76.5">
      <c r="A11712" s="449">
        <v>39740</v>
      </c>
      <c r="B11712" s="450" t="s">
        <v>12533</v>
      </c>
      <c r="C11712" s="449" t="s">
        <v>683</v>
      </c>
      <c r="D11712" s="451">
        <v>99.68</v>
      </c>
      <c r="E11712" s="210"/>
    </row>
    <row r="11713" spans="1:5" ht="76.5">
      <c r="A11713" s="449">
        <v>39741</v>
      </c>
      <c r="B11713" s="450" t="s">
        <v>12534</v>
      </c>
      <c r="C11713" s="449" t="s">
        <v>683</v>
      </c>
      <c r="D11713" s="451">
        <v>18.37</v>
      </c>
      <c r="E11713" s="210"/>
    </row>
    <row r="11714" spans="1:5" ht="76.5">
      <c r="A11714" s="449">
        <v>39853</v>
      </c>
      <c r="B11714" s="450" t="s">
        <v>12535</v>
      </c>
      <c r="C11714" s="449" t="s">
        <v>683</v>
      </c>
      <c r="D11714" s="451">
        <v>24.13</v>
      </c>
      <c r="E11714" s="210"/>
    </row>
    <row r="11715" spans="1:5" ht="76.5">
      <c r="A11715" s="449">
        <v>39742</v>
      </c>
      <c r="B11715" s="450" t="s">
        <v>12536</v>
      </c>
      <c r="C11715" s="449" t="s">
        <v>683</v>
      </c>
      <c r="D11715" s="451">
        <v>80.12</v>
      </c>
      <c r="E11715" s="210"/>
    </row>
    <row r="11716" spans="1:5" ht="38.25">
      <c r="A11716" s="449">
        <v>39749</v>
      </c>
      <c r="B11716" s="450" t="s">
        <v>12537</v>
      </c>
      <c r="C11716" s="449" t="s">
        <v>683</v>
      </c>
      <c r="D11716" s="451">
        <v>101.85</v>
      </c>
      <c r="E11716" s="210"/>
    </row>
    <row r="11717" spans="1:5" ht="38.25">
      <c r="A11717" s="449">
        <v>39751</v>
      </c>
      <c r="B11717" s="450" t="s">
        <v>12538</v>
      </c>
      <c r="C11717" s="449" t="s">
        <v>683</v>
      </c>
      <c r="D11717" s="451">
        <v>185.08</v>
      </c>
      <c r="E11717" s="210"/>
    </row>
    <row r="11718" spans="1:5" ht="38.25">
      <c r="A11718" s="449">
        <v>39750</v>
      </c>
      <c r="B11718" s="450" t="s">
        <v>12539</v>
      </c>
      <c r="C11718" s="449" t="s">
        <v>683</v>
      </c>
      <c r="D11718" s="451">
        <v>153.83000000000001</v>
      </c>
      <c r="E11718" s="210"/>
    </row>
    <row r="11719" spans="1:5" ht="38.25">
      <c r="A11719" s="449">
        <v>39747</v>
      </c>
      <c r="B11719" s="450" t="s">
        <v>12540</v>
      </c>
      <c r="C11719" s="449" t="s">
        <v>683</v>
      </c>
      <c r="D11719" s="451">
        <v>49.48</v>
      </c>
      <c r="E11719" s="210"/>
    </row>
    <row r="11720" spans="1:5" ht="38.25">
      <c r="A11720" s="449">
        <v>39753</v>
      </c>
      <c r="B11720" s="450" t="s">
        <v>12541</v>
      </c>
      <c r="C11720" s="449" t="s">
        <v>683</v>
      </c>
      <c r="D11720" s="451">
        <v>340.69</v>
      </c>
      <c r="E11720" s="210"/>
    </row>
    <row r="11721" spans="1:5" ht="38.25">
      <c r="A11721" s="449">
        <v>39754</v>
      </c>
      <c r="B11721" s="450" t="s">
        <v>12542</v>
      </c>
      <c r="C11721" s="449" t="s">
        <v>683</v>
      </c>
      <c r="D11721" s="451">
        <v>501.92</v>
      </c>
      <c r="E11721" s="210"/>
    </row>
    <row r="11722" spans="1:5" ht="38.25">
      <c r="A11722" s="449">
        <v>39748</v>
      </c>
      <c r="B11722" s="450" t="s">
        <v>12543</v>
      </c>
      <c r="C11722" s="449" t="s">
        <v>683</v>
      </c>
      <c r="D11722" s="451">
        <v>80.06</v>
      </c>
      <c r="E11722" s="210"/>
    </row>
    <row r="11723" spans="1:5" ht="38.25">
      <c r="A11723" s="449">
        <v>39755</v>
      </c>
      <c r="B11723" s="450" t="s">
        <v>12544</v>
      </c>
      <c r="C11723" s="449" t="s">
        <v>683</v>
      </c>
      <c r="D11723" s="451">
        <v>761.03</v>
      </c>
      <c r="E11723" s="210"/>
    </row>
    <row r="11724" spans="1:5" ht="25.5">
      <c r="A11724" s="449">
        <v>12742</v>
      </c>
      <c r="B11724" s="450" t="s">
        <v>12545</v>
      </c>
      <c r="C11724" s="449" t="s">
        <v>683</v>
      </c>
      <c r="D11724" s="451">
        <v>602.61</v>
      </c>
      <c r="E11724" s="210"/>
    </row>
    <row r="11725" spans="1:5" ht="25.5">
      <c r="A11725" s="449">
        <v>12713</v>
      </c>
      <c r="B11725" s="450" t="s">
        <v>12546</v>
      </c>
      <c r="C11725" s="449" t="s">
        <v>683</v>
      </c>
      <c r="D11725" s="451">
        <v>31.96</v>
      </c>
      <c r="E11725" s="210"/>
    </row>
    <row r="11726" spans="1:5" ht="25.5">
      <c r="A11726" s="449">
        <v>12743</v>
      </c>
      <c r="B11726" s="450" t="s">
        <v>12547</v>
      </c>
      <c r="C11726" s="449" t="s">
        <v>683</v>
      </c>
      <c r="D11726" s="451">
        <v>54.98</v>
      </c>
      <c r="E11726" s="210"/>
    </row>
    <row r="11727" spans="1:5" ht="25.5">
      <c r="A11727" s="449">
        <v>12744</v>
      </c>
      <c r="B11727" s="450" t="s">
        <v>12548</v>
      </c>
      <c r="C11727" s="449" t="s">
        <v>683</v>
      </c>
      <c r="D11727" s="451">
        <v>69.77</v>
      </c>
      <c r="E11727" s="210"/>
    </row>
    <row r="11728" spans="1:5" ht="25.5">
      <c r="A11728" s="449">
        <v>12745</v>
      </c>
      <c r="B11728" s="450" t="s">
        <v>12549</v>
      </c>
      <c r="C11728" s="449" t="s">
        <v>683</v>
      </c>
      <c r="D11728" s="451">
        <v>101.33</v>
      </c>
      <c r="E11728" s="210"/>
    </row>
    <row r="11729" spans="1:5" ht="25.5">
      <c r="A11729" s="449">
        <v>12746</v>
      </c>
      <c r="B11729" s="450" t="s">
        <v>12550</v>
      </c>
      <c r="C11729" s="449" t="s">
        <v>683</v>
      </c>
      <c r="D11729" s="451">
        <v>136.83000000000001</v>
      </c>
      <c r="E11729" s="210"/>
    </row>
    <row r="11730" spans="1:5" ht="25.5">
      <c r="A11730" s="449">
        <v>12747</v>
      </c>
      <c r="B11730" s="450" t="s">
        <v>12551</v>
      </c>
      <c r="C11730" s="449" t="s">
        <v>683</v>
      </c>
      <c r="D11730" s="451">
        <v>198.43</v>
      </c>
      <c r="E11730" s="210"/>
    </row>
    <row r="11731" spans="1:5" ht="25.5">
      <c r="A11731" s="449">
        <v>12748</v>
      </c>
      <c r="B11731" s="450" t="s">
        <v>12552</v>
      </c>
      <c r="C11731" s="449" t="s">
        <v>683</v>
      </c>
      <c r="D11731" s="451">
        <v>279.56</v>
      </c>
      <c r="E11731" s="210"/>
    </row>
    <row r="11732" spans="1:5" ht="25.5">
      <c r="A11732" s="449">
        <v>12749</v>
      </c>
      <c r="B11732" s="450" t="s">
        <v>12553</v>
      </c>
      <c r="C11732" s="449" t="s">
        <v>683</v>
      </c>
      <c r="D11732" s="451">
        <v>408.67</v>
      </c>
      <c r="E11732" s="210"/>
    </row>
    <row r="11733" spans="1:5" ht="38.25">
      <c r="A11733" s="449">
        <v>39726</v>
      </c>
      <c r="B11733" s="450" t="s">
        <v>12554</v>
      </c>
      <c r="C11733" s="449" t="s">
        <v>683</v>
      </c>
      <c r="D11733" s="451">
        <v>134.22999999999999</v>
      </c>
      <c r="E11733" s="210"/>
    </row>
    <row r="11734" spans="1:5" ht="38.25">
      <c r="A11734" s="449">
        <v>39728</v>
      </c>
      <c r="B11734" s="450" t="s">
        <v>12555</v>
      </c>
      <c r="C11734" s="449" t="s">
        <v>683</v>
      </c>
      <c r="D11734" s="451">
        <v>235.91</v>
      </c>
      <c r="E11734" s="210"/>
    </row>
    <row r="11735" spans="1:5" ht="38.25">
      <c r="A11735" s="449">
        <v>39727</v>
      </c>
      <c r="B11735" s="450" t="s">
        <v>12556</v>
      </c>
      <c r="C11735" s="449" t="s">
        <v>683</v>
      </c>
      <c r="D11735" s="451">
        <v>194.14</v>
      </c>
      <c r="E11735" s="210"/>
    </row>
    <row r="11736" spans="1:5" ht="38.25">
      <c r="A11736" s="449">
        <v>39724</v>
      </c>
      <c r="B11736" s="450" t="s">
        <v>12557</v>
      </c>
      <c r="C11736" s="449" t="s">
        <v>683</v>
      </c>
      <c r="D11736" s="451">
        <v>59.44</v>
      </c>
      <c r="E11736" s="210"/>
    </row>
    <row r="11737" spans="1:5" ht="38.25">
      <c r="A11737" s="449">
        <v>39729</v>
      </c>
      <c r="B11737" s="450" t="s">
        <v>12558</v>
      </c>
      <c r="C11737" s="449" t="s">
        <v>683</v>
      </c>
      <c r="D11737" s="451">
        <v>326.7</v>
      </c>
      <c r="E11737" s="210"/>
    </row>
    <row r="11738" spans="1:5" ht="38.25">
      <c r="A11738" s="449">
        <v>39730</v>
      </c>
      <c r="B11738" s="450" t="s">
        <v>12559</v>
      </c>
      <c r="C11738" s="449" t="s">
        <v>683</v>
      </c>
      <c r="D11738" s="451">
        <v>423.88</v>
      </c>
      <c r="E11738" s="210"/>
    </row>
    <row r="11739" spans="1:5" ht="38.25">
      <c r="A11739" s="449">
        <v>39731</v>
      </c>
      <c r="B11739" s="450" t="s">
        <v>12560</v>
      </c>
      <c r="C11739" s="449" t="s">
        <v>683</v>
      </c>
      <c r="D11739" s="451">
        <v>627.79</v>
      </c>
      <c r="E11739" s="210"/>
    </row>
    <row r="11740" spans="1:5" ht="38.25">
      <c r="A11740" s="449">
        <v>39725</v>
      </c>
      <c r="B11740" s="450" t="s">
        <v>12561</v>
      </c>
      <c r="C11740" s="449" t="s">
        <v>683</v>
      </c>
      <c r="D11740" s="451">
        <v>96.88</v>
      </c>
      <c r="E11740" s="210"/>
    </row>
    <row r="11741" spans="1:5" ht="38.25">
      <c r="A11741" s="449">
        <v>39732</v>
      </c>
      <c r="B11741" s="450" t="s">
        <v>12562</v>
      </c>
      <c r="C11741" s="449" t="s">
        <v>683</v>
      </c>
      <c r="D11741" s="451">
        <v>924.07</v>
      </c>
      <c r="E11741" s="210"/>
    </row>
    <row r="11742" spans="1:5" ht="38.25">
      <c r="A11742" s="449">
        <v>39660</v>
      </c>
      <c r="B11742" s="450" t="s">
        <v>12563</v>
      </c>
      <c r="C11742" s="449" t="s">
        <v>683</v>
      </c>
      <c r="D11742" s="451">
        <v>42.11</v>
      </c>
      <c r="E11742" s="210"/>
    </row>
    <row r="11743" spans="1:5" ht="38.25">
      <c r="A11743" s="449">
        <v>39662</v>
      </c>
      <c r="B11743" s="450" t="s">
        <v>12564</v>
      </c>
      <c r="C11743" s="449" t="s">
        <v>683</v>
      </c>
      <c r="D11743" s="451">
        <v>20.18</v>
      </c>
      <c r="E11743" s="210"/>
    </row>
    <row r="11744" spans="1:5" ht="38.25">
      <c r="A11744" s="449">
        <v>39661</v>
      </c>
      <c r="B11744" s="450" t="s">
        <v>12565</v>
      </c>
      <c r="C11744" s="449" t="s">
        <v>683</v>
      </c>
      <c r="D11744" s="451">
        <v>13.76</v>
      </c>
      <c r="E11744" s="210"/>
    </row>
    <row r="11745" spans="1:5" ht="38.25">
      <c r="A11745" s="449">
        <v>39666</v>
      </c>
      <c r="B11745" s="450" t="s">
        <v>12566</v>
      </c>
      <c r="C11745" s="449" t="s">
        <v>683</v>
      </c>
      <c r="D11745" s="451">
        <v>63.34</v>
      </c>
      <c r="E11745" s="210"/>
    </row>
    <row r="11746" spans="1:5" ht="38.25">
      <c r="A11746" s="449">
        <v>39664</v>
      </c>
      <c r="B11746" s="450" t="s">
        <v>12567</v>
      </c>
      <c r="C11746" s="449" t="s">
        <v>683</v>
      </c>
      <c r="D11746" s="451">
        <v>31.04</v>
      </c>
      <c r="E11746" s="210"/>
    </row>
    <row r="11747" spans="1:5" ht="38.25">
      <c r="A11747" s="449">
        <v>39663</v>
      </c>
      <c r="B11747" s="450" t="s">
        <v>12568</v>
      </c>
      <c r="C11747" s="449" t="s">
        <v>683</v>
      </c>
      <c r="D11747" s="451">
        <v>24.82</v>
      </c>
      <c r="E11747" s="210"/>
    </row>
    <row r="11748" spans="1:5" ht="38.25">
      <c r="A11748" s="449">
        <v>39665</v>
      </c>
      <c r="B11748" s="450" t="s">
        <v>12569</v>
      </c>
      <c r="C11748" s="449" t="s">
        <v>683</v>
      </c>
      <c r="D11748" s="451">
        <v>52.37</v>
      </c>
      <c r="E11748" s="210"/>
    </row>
    <row r="11749" spans="1:5" ht="38.25">
      <c r="A11749" s="449">
        <v>39752</v>
      </c>
      <c r="B11749" s="450" t="s">
        <v>12570</v>
      </c>
      <c r="C11749" s="449" t="s">
        <v>683</v>
      </c>
      <c r="D11749" s="451">
        <v>263.35000000000002</v>
      </c>
      <c r="E11749" s="210"/>
    </row>
    <row r="11750" spans="1:5" ht="38.25">
      <c r="A11750" s="449">
        <v>7725</v>
      </c>
      <c r="B11750" s="450" t="s">
        <v>12571</v>
      </c>
      <c r="C11750" s="449" t="s">
        <v>683</v>
      </c>
      <c r="D11750" s="451">
        <v>199</v>
      </c>
      <c r="E11750" s="210"/>
    </row>
    <row r="11751" spans="1:5" ht="38.25">
      <c r="A11751" s="449">
        <v>7753</v>
      </c>
      <c r="B11751" s="450" t="s">
        <v>12572</v>
      </c>
      <c r="C11751" s="449" t="s">
        <v>683</v>
      </c>
      <c r="D11751" s="451">
        <v>387.96</v>
      </c>
      <c r="E11751" s="210"/>
    </row>
    <row r="11752" spans="1:5" ht="38.25">
      <c r="A11752" s="449">
        <v>13256</v>
      </c>
      <c r="B11752" s="450" t="s">
        <v>12573</v>
      </c>
      <c r="C11752" s="449" t="s">
        <v>683</v>
      </c>
      <c r="D11752" s="451">
        <v>543.48</v>
      </c>
      <c r="E11752" s="210"/>
    </row>
    <row r="11753" spans="1:5" ht="38.25">
      <c r="A11753" s="449">
        <v>7757</v>
      </c>
      <c r="B11753" s="450" t="s">
        <v>12574</v>
      </c>
      <c r="C11753" s="449" t="s">
        <v>683</v>
      </c>
      <c r="D11753" s="451">
        <v>579.44000000000005</v>
      </c>
      <c r="E11753" s="210"/>
    </row>
    <row r="11754" spans="1:5" ht="38.25">
      <c r="A11754" s="449">
        <v>7758</v>
      </c>
      <c r="B11754" s="450" t="s">
        <v>12575</v>
      </c>
      <c r="C11754" s="449" t="s">
        <v>683</v>
      </c>
      <c r="D11754" s="451">
        <v>839.47</v>
      </c>
      <c r="E11754" s="210"/>
    </row>
    <row r="11755" spans="1:5" ht="38.25">
      <c r="A11755" s="449">
        <v>7759</v>
      </c>
      <c r="B11755" s="450" t="s">
        <v>12576</v>
      </c>
      <c r="C11755" s="449" t="s">
        <v>683</v>
      </c>
      <c r="D11755" s="451">
        <v>2326.19</v>
      </c>
      <c r="E11755" s="210"/>
    </row>
    <row r="11756" spans="1:5" ht="38.25">
      <c r="A11756" s="449">
        <v>40334</v>
      </c>
      <c r="B11756" s="450" t="s">
        <v>12577</v>
      </c>
      <c r="C11756" s="449" t="s">
        <v>683</v>
      </c>
      <c r="D11756" s="451">
        <v>91.13</v>
      </c>
      <c r="E11756" s="210"/>
    </row>
    <row r="11757" spans="1:5" ht="38.25">
      <c r="A11757" s="449">
        <v>7745</v>
      </c>
      <c r="B11757" s="450" t="s">
        <v>12578</v>
      </c>
      <c r="C11757" s="449" t="s">
        <v>683</v>
      </c>
      <c r="D11757" s="451">
        <v>102.84</v>
      </c>
      <c r="E11757" s="210"/>
    </row>
    <row r="11758" spans="1:5" ht="38.25">
      <c r="A11758" s="449">
        <v>7714</v>
      </c>
      <c r="B11758" s="450" t="s">
        <v>12579</v>
      </c>
      <c r="C11758" s="449" t="s">
        <v>683</v>
      </c>
      <c r="D11758" s="451">
        <v>122.91</v>
      </c>
      <c r="E11758" s="210"/>
    </row>
    <row r="11759" spans="1:5" ht="38.25">
      <c r="A11759" s="449">
        <v>7742</v>
      </c>
      <c r="B11759" s="450" t="s">
        <v>12580</v>
      </c>
      <c r="C11759" s="449" t="s">
        <v>683</v>
      </c>
      <c r="D11759" s="451">
        <v>271.24</v>
      </c>
      <c r="E11759" s="210"/>
    </row>
    <row r="11760" spans="1:5" ht="38.25">
      <c r="A11760" s="449">
        <v>7750</v>
      </c>
      <c r="B11760" s="450" t="s">
        <v>12581</v>
      </c>
      <c r="C11760" s="449" t="s">
        <v>683</v>
      </c>
      <c r="D11760" s="451">
        <v>331.1</v>
      </c>
      <c r="E11760" s="210"/>
    </row>
    <row r="11761" spans="1:5" ht="38.25">
      <c r="A11761" s="449">
        <v>7756</v>
      </c>
      <c r="B11761" s="450" t="s">
        <v>12582</v>
      </c>
      <c r="C11761" s="449" t="s">
        <v>683</v>
      </c>
      <c r="D11761" s="451">
        <v>380.44</v>
      </c>
      <c r="E11761" s="210"/>
    </row>
    <row r="11762" spans="1:5" ht="38.25">
      <c r="A11762" s="449">
        <v>7765</v>
      </c>
      <c r="B11762" s="450" t="s">
        <v>12583</v>
      </c>
      <c r="C11762" s="449" t="s">
        <v>683</v>
      </c>
      <c r="D11762" s="451">
        <v>426.42</v>
      </c>
      <c r="E11762" s="210"/>
    </row>
    <row r="11763" spans="1:5" ht="38.25">
      <c r="A11763" s="449">
        <v>12569</v>
      </c>
      <c r="B11763" s="450" t="s">
        <v>12584</v>
      </c>
      <c r="C11763" s="449" t="s">
        <v>683</v>
      </c>
      <c r="D11763" s="451">
        <v>588.63</v>
      </c>
      <c r="E11763" s="210"/>
    </row>
    <row r="11764" spans="1:5" ht="38.25">
      <c r="A11764" s="449">
        <v>7766</v>
      </c>
      <c r="B11764" s="450" t="s">
        <v>12585</v>
      </c>
      <c r="C11764" s="449" t="s">
        <v>683</v>
      </c>
      <c r="D11764" s="451">
        <v>625.41999999999996</v>
      </c>
      <c r="E11764" s="210"/>
    </row>
    <row r="11765" spans="1:5" ht="38.25">
      <c r="A11765" s="449">
        <v>7767</v>
      </c>
      <c r="B11765" s="450" t="s">
        <v>12586</v>
      </c>
      <c r="C11765" s="449" t="s">
        <v>683</v>
      </c>
      <c r="D11765" s="451">
        <v>898</v>
      </c>
      <c r="E11765" s="210"/>
    </row>
    <row r="11766" spans="1:5" ht="38.25">
      <c r="A11766" s="449">
        <v>7727</v>
      </c>
      <c r="B11766" s="450" t="s">
        <v>12587</v>
      </c>
      <c r="C11766" s="449" t="s">
        <v>683</v>
      </c>
      <c r="D11766" s="451">
        <v>2608.73</v>
      </c>
      <c r="E11766" s="210"/>
    </row>
    <row r="11767" spans="1:5" ht="38.25">
      <c r="A11767" s="449">
        <v>7760</v>
      </c>
      <c r="B11767" s="450" t="s">
        <v>12588</v>
      </c>
      <c r="C11767" s="449" t="s">
        <v>683</v>
      </c>
      <c r="D11767" s="451">
        <v>103.68</v>
      </c>
      <c r="E11767" s="210"/>
    </row>
    <row r="11768" spans="1:5" ht="38.25">
      <c r="A11768" s="449">
        <v>7761</v>
      </c>
      <c r="B11768" s="450" t="s">
        <v>12589</v>
      </c>
      <c r="C11768" s="449" t="s">
        <v>683</v>
      </c>
      <c r="D11768" s="451">
        <v>108.69</v>
      </c>
      <c r="E11768" s="210"/>
    </row>
    <row r="11769" spans="1:5" ht="38.25">
      <c r="A11769" s="449">
        <v>7752</v>
      </c>
      <c r="B11769" s="450" t="s">
        <v>12590</v>
      </c>
      <c r="C11769" s="449" t="s">
        <v>683</v>
      </c>
      <c r="D11769" s="451">
        <v>132.1</v>
      </c>
      <c r="E11769" s="210"/>
    </row>
    <row r="11770" spans="1:5" ht="38.25">
      <c r="A11770" s="449">
        <v>7762</v>
      </c>
      <c r="B11770" s="450" t="s">
        <v>12591</v>
      </c>
      <c r="C11770" s="449" t="s">
        <v>683</v>
      </c>
      <c r="D11770" s="451">
        <v>172.66</v>
      </c>
      <c r="E11770" s="210"/>
    </row>
    <row r="11771" spans="1:5" ht="38.25">
      <c r="A11771" s="449">
        <v>7722</v>
      </c>
      <c r="B11771" s="450" t="s">
        <v>12592</v>
      </c>
      <c r="C11771" s="449" t="s">
        <v>683</v>
      </c>
      <c r="D11771" s="451">
        <v>264.20999999999998</v>
      </c>
      <c r="E11771" s="210"/>
    </row>
    <row r="11772" spans="1:5" ht="38.25">
      <c r="A11772" s="449">
        <v>7763</v>
      </c>
      <c r="B11772" s="450" t="s">
        <v>12593</v>
      </c>
      <c r="C11772" s="449" t="s">
        <v>683</v>
      </c>
      <c r="D11772" s="451">
        <v>321.91000000000003</v>
      </c>
      <c r="E11772" s="210"/>
    </row>
    <row r="11773" spans="1:5" ht="38.25">
      <c r="A11773" s="449">
        <v>7764</v>
      </c>
      <c r="B11773" s="450" t="s">
        <v>12594</v>
      </c>
      <c r="C11773" s="449" t="s">
        <v>683</v>
      </c>
      <c r="D11773" s="451">
        <v>384.62</v>
      </c>
      <c r="E11773" s="210"/>
    </row>
    <row r="11774" spans="1:5" ht="38.25">
      <c r="A11774" s="449">
        <v>12572</v>
      </c>
      <c r="B11774" s="450" t="s">
        <v>12595</v>
      </c>
      <c r="C11774" s="449" t="s">
        <v>683</v>
      </c>
      <c r="D11774" s="451">
        <v>543.48</v>
      </c>
      <c r="E11774" s="210"/>
    </row>
    <row r="11775" spans="1:5" ht="38.25">
      <c r="A11775" s="449">
        <v>12573</v>
      </c>
      <c r="B11775" s="450" t="s">
        <v>12596</v>
      </c>
      <c r="C11775" s="449" t="s">
        <v>683</v>
      </c>
      <c r="D11775" s="451">
        <v>714.89</v>
      </c>
      <c r="E11775" s="210"/>
    </row>
    <row r="11776" spans="1:5" ht="38.25">
      <c r="A11776" s="449">
        <v>12574</v>
      </c>
      <c r="B11776" s="450" t="s">
        <v>12597</v>
      </c>
      <c r="C11776" s="449" t="s">
        <v>683</v>
      </c>
      <c r="D11776" s="451">
        <v>864.39</v>
      </c>
      <c r="E11776" s="210"/>
    </row>
    <row r="11777" spans="1:5" ht="38.25">
      <c r="A11777" s="449">
        <v>12575</v>
      </c>
      <c r="B11777" s="450" t="s">
        <v>12598</v>
      </c>
      <c r="C11777" s="449" t="s">
        <v>683</v>
      </c>
      <c r="D11777" s="451">
        <v>1312.73</v>
      </c>
      <c r="E11777" s="210"/>
    </row>
    <row r="11778" spans="1:5" ht="38.25">
      <c r="A11778" s="449">
        <v>12576</v>
      </c>
      <c r="B11778" s="450" t="s">
        <v>12599</v>
      </c>
      <c r="C11778" s="449" t="s">
        <v>683</v>
      </c>
      <c r="D11778" s="451">
        <v>158.86000000000001</v>
      </c>
      <c r="E11778" s="210"/>
    </row>
    <row r="11779" spans="1:5" ht="38.25">
      <c r="A11779" s="449">
        <v>12577</v>
      </c>
      <c r="B11779" s="450" t="s">
        <v>12600</v>
      </c>
      <c r="C11779" s="449" t="s">
        <v>683</v>
      </c>
      <c r="D11779" s="451">
        <v>214.05</v>
      </c>
      <c r="E11779" s="210"/>
    </row>
    <row r="11780" spans="1:5" ht="38.25">
      <c r="A11780" s="449">
        <v>12578</v>
      </c>
      <c r="B11780" s="450" t="s">
        <v>12601</v>
      </c>
      <c r="C11780" s="449" t="s">
        <v>683</v>
      </c>
      <c r="D11780" s="451">
        <v>259.2</v>
      </c>
      <c r="E11780" s="210"/>
    </row>
    <row r="11781" spans="1:5" ht="38.25">
      <c r="A11781" s="449">
        <v>12579</v>
      </c>
      <c r="B11781" s="450" t="s">
        <v>12602</v>
      </c>
      <c r="C11781" s="449" t="s">
        <v>683</v>
      </c>
      <c r="D11781" s="451">
        <v>446.49</v>
      </c>
      <c r="E11781" s="210"/>
    </row>
    <row r="11782" spans="1:5" ht="38.25">
      <c r="A11782" s="449">
        <v>12580</v>
      </c>
      <c r="B11782" s="450" t="s">
        <v>12603</v>
      </c>
      <c r="C11782" s="449" t="s">
        <v>683</v>
      </c>
      <c r="D11782" s="451">
        <v>465.22</v>
      </c>
      <c r="E11782" s="210"/>
    </row>
    <row r="11783" spans="1:5" ht="38.25">
      <c r="A11783" s="449">
        <v>12581</v>
      </c>
      <c r="B11783" s="450" t="s">
        <v>12604</v>
      </c>
      <c r="C11783" s="449" t="s">
        <v>683</v>
      </c>
      <c r="D11783" s="451">
        <v>498.33</v>
      </c>
      <c r="E11783" s="210"/>
    </row>
    <row r="11784" spans="1:5" ht="51">
      <c r="A11784" s="449">
        <v>7720</v>
      </c>
      <c r="B11784" s="450" t="s">
        <v>12605</v>
      </c>
      <c r="C11784" s="449" t="s">
        <v>683</v>
      </c>
      <c r="D11784" s="451">
        <v>779.27</v>
      </c>
      <c r="E11784" s="210"/>
    </row>
    <row r="11785" spans="1:5" ht="51">
      <c r="A11785" s="449">
        <v>40335</v>
      </c>
      <c r="B11785" s="450" t="s">
        <v>12606</v>
      </c>
      <c r="C11785" s="449" t="s">
        <v>683</v>
      </c>
      <c r="D11785" s="451">
        <v>163.04</v>
      </c>
      <c r="E11785" s="210"/>
    </row>
    <row r="11786" spans="1:5" ht="51">
      <c r="A11786" s="449">
        <v>7740</v>
      </c>
      <c r="B11786" s="450" t="s">
        <v>12607</v>
      </c>
      <c r="C11786" s="449" t="s">
        <v>683</v>
      </c>
      <c r="D11786" s="451">
        <v>167.22</v>
      </c>
      <c r="E11786" s="210"/>
    </row>
    <row r="11787" spans="1:5" ht="51">
      <c r="A11787" s="449">
        <v>7741</v>
      </c>
      <c r="B11787" s="450" t="s">
        <v>12608</v>
      </c>
      <c r="C11787" s="449" t="s">
        <v>683</v>
      </c>
      <c r="D11787" s="451">
        <v>309.36</v>
      </c>
      <c r="E11787" s="210"/>
    </row>
    <row r="11788" spans="1:5" ht="51">
      <c r="A11788" s="449">
        <v>7774</v>
      </c>
      <c r="B11788" s="450" t="s">
        <v>12609</v>
      </c>
      <c r="C11788" s="449" t="s">
        <v>683</v>
      </c>
      <c r="D11788" s="451">
        <v>379.6</v>
      </c>
      <c r="E11788" s="210"/>
    </row>
    <row r="11789" spans="1:5" ht="51">
      <c r="A11789" s="449">
        <v>7744</v>
      </c>
      <c r="B11789" s="450" t="s">
        <v>12610</v>
      </c>
      <c r="C11789" s="449" t="s">
        <v>683</v>
      </c>
      <c r="D11789" s="451">
        <v>495.82</v>
      </c>
      <c r="E11789" s="210"/>
    </row>
    <row r="11790" spans="1:5" ht="51">
      <c r="A11790" s="449">
        <v>7773</v>
      </c>
      <c r="B11790" s="450" t="s">
        <v>12611</v>
      </c>
      <c r="C11790" s="449" t="s">
        <v>683</v>
      </c>
      <c r="D11790" s="451">
        <v>506.78</v>
      </c>
      <c r="E11790" s="210"/>
    </row>
    <row r="11791" spans="1:5" ht="51">
      <c r="A11791" s="449">
        <v>7754</v>
      </c>
      <c r="B11791" s="450" t="s">
        <v>12612</v>
      </c>
      <c r="C11791" s="449" t="s">
        <v>683</v>
      </c>
      <c r="D11791" s="451">
        <v>768.4</v>
      </c>
      <c r="E11791" s="210"/>
    </row>
    <row r="11792" spans="1:5" ht="51">
      <c r="A11792" s="449">
        <v>7735</v>
      </c>
      <c r="B11792" s="450" t="s">
        <v>12613</v>
      </c>
      <c r="C11792" s="449" t="s">
        <v>683</v>
      </c>
      <c r="D11792" s="451">
        <v>995</v>
      </c>
      <c r="E11792" s="210"/>
    </row>
    <row r="11793" spans="1:5" ht="51">
      <c r="A11793" s="449">
        <v>7755</v>
      </c>
      <c r="B11793" s="450" t="s">
        <v>12614</v>
      </c>
      <c r="C11793" s="449" t="s">
        <v>683</v>
      </c>
      <c r="D11793" s="451">
        <v>197.32</v>
      </c>
      <c r="E11793" s="210"/>
    </row>
    <row r="11794" spans="1:5" ht="51">
      <c r="A11794" s="449">
        <v>7776</v>
      </c>
      <c r="B11794" s="450" t="s">
        <v>12615</v>
      </c>
      <c r="C11794" s="449" t="s">
        <v>683</v>
      </c>
      <c r="D11794" s="451">
        <v>411.37</v>
      </c>
      <c r="E11794" s="210"/>
    </row>
    <row r="11795" spans="1:5" ht="51">
      <c r="A11795" s="449">
        <v>7743</v>
      </c>
      <c r="B11795" s="450" t="s">
        <v>12616</v>
      </c>
      <c r="C11795" s="449" t="s">
        <v>683</v>
      </c>
      <c r="D11795" s="451">
        <v>435.62</v>
      </c>
      <c r="E11795" s="210"/>
    </row>
    <row r="11796" spans="1:5" ht="51">
      <c r="A11796" s="449">
        <v>7733</v>
      </c>
      <c r="B11796" s="450" t="s">
        <v>12617</v>
      </c>
      <c r="C11796" s="449" t="s">
        <v>683</v>
      </c>
      <c r="D11796" s="451">
        <v>568.57000000000005</v>
      </c>
      <c r="E11796" s="210"/>
    </row>
    <row r="11797" spans="1:5" ht="51">
      <c r="A11797" s="449">
        <v>7775</v>
      </c>
      <c r="B11797" s="450" t="s">
        <v>12618</v>
      </c>
      <c r="C11797" s="449" t="s">
        <v>683</v>
      </c>
      <c r="D11797" s="451">
        <v>622.91999999999996</v>
      </c>
      <c r="E11797" s="210"/>
    </row>
    <row r="11798" spans="1:5" ht="51">
      <c r="A11798" s="449">
        <v>7734</v>
      </c>
      <c r="B11798" s="450" t="s">
        <v>12619</v>
      </c>
      <c r="C11798" s="449" t="s">
        <v>683</v>
      </c>
      <c r="D11798" s="451">
        <v>882.12</v>
      </c>
      <c r="E11798" s="210"/>
    </row>
    <row r="11799" spans="1:5" ht="38.25">
      <c r="A11799" s="449">
        <v>37449</v>
      </c>
      <c r="B11799" s="450" t="s">
        <v>12620</v>
      </c>
      <c r="C11799" s="449" t="s">
        <v>683</v>
      </c>
      <c r="D11799" s="451">
        <v>22.59</v>
      </c>
      <c r="E11799" s="210"/>
    </row>
    <row r="11800" spans="1:5" ht="38.25">
      <c r="A11800" s="449">
        <v>37450</v>
      </c>
      <c r="B11800" s="450" t="s">
        <v>12621</v>
      </c>
      <c r="C11800" s="449" t="s">
        <v>683</v>
      </c>
      <c r="D11800" s="451">
        <v>31.63</v>
      </c>
      <c r="E11800" s="210"/>
    </row>
    <row r="11801" spans="1:5" ht="38.25">
      <c r="A11801" s="449">
        <v>37451</v>
      </c>
      <c r="B11801" s="450" t="s">
        <v>12622</v>
      </c>
      <c r="C11801" s="449" t="s">
        <v>683</v>
      </c>
      <c r="D11801" s="451">
        <v>44.16</v>
      </c>
      <c r="E11801" s="210"/>
    </row>
    <row r="11802" spans="1:5" ht="38.25">
      <c r="A11802" s="449">
        <v>37452</v>
      </c>
      <c r="B11802" s="450" t="s">
        <v>12623</v>
      </c>
      <c r="C11802" s="449" t="s">
        <v>683</v>
      </c>
      <c r="D11802" s="451">
        <v>64.180000000000007</v>
      </c>
      <c r="E11802" s="210"/>
    </row>
    <row r="11803" spans="1:5" ht="38.25">
      <c r="A11803" s="449">
        <v>37453</v>
      </c>
      <c r="B11803" s="450" t="s">
        <v>12624</v>
      </c>
      <c r="C11803" s="449" t="s">
        <v>683</v>
      </c>
      <c r="D11803" s="451">
        <v>73.92</v>
      </c>
      <c r="E11803" s="210"/>
    </row>
    <row r="11804" spans="1:5" ht="38.25">
      <c r="A11804" s="449">
        <v>7778</v>
      </c>
      <c r="B11804" s="450" t="s">
        <v>12625</v>
      </c>
      <c r="C11804" s="449" t="s">
        <v>683</v>
      </c>
      <c r="D11804" s="451">
        <v>27.72</v>
      </c>
      <c r="E11804" s="210"/>
    </row>
    <row r="11805" spans="1:5" ht="38.25">
      <c r="A11805" s="449">
        <v>7796</v>
      </c>
      <c r="B11805" s="450" t="s">
        <v>12626</v>
      </c>
      <c r="C11805" s="449" t="s">
        <v>683</v>
      </c>
      <c r="D11805" s="451">
        <v>38</v>
      </c>
      <c r="E11805" s="210"/>
    </row>
    <row r="11806" spans="1:5" ht="38.25">
      <c r="A11806" s="449">
        <v>7781</v>
      </c>
      <c r="B11806" s="450" t="s">
        <v>12627</v>
      </c>
      <c r="C11806" s="449" t="s">
        <v>683</v>
      </c>
      <c r="D11806" s="451">
        <v>44.9</v>
      </c>
      <c r="E11806" s="210"/>
    </row>
    <row r="11807" spans="1:5" ht="38.25">
      <c r="A11807" s="449">
        <v>7795</v>
      </c>
      <c r="B11807" s="450" t="s">
        <v>12628</v>
      </c>
      <c r="C11807" s="449" t="s">
        <v>683</v>
      </c>
      <c r="D11807" s="451">
        <v>66.83</v>
      </c>
      <c r="E11807" s="210"/>
    </row>
    <row r="11808" spans="1:5" ht="38.25">
      <c r="A11808" s="449">
        <v>7791</v>
      </c>
      <c r="B11808" s="450" t="s">
        <v>12629</v>
      </c>
      <c r="C11808" s="449" t="s">
        <v>683</v>
      </c>
      <c r="D11808" s="451">
        <v>80</v>
      </c>
      <c r="E11808" s="210"/>
    </row>
    <row r="11809" spans="1:5" ht="38.25">
      <c r="A11809" s="449">
        <v>7783</v>
      </c>
      <c r="B11809" s="450" t="s">
        <v>12630</v>
      </c>
      <c r="C11809" s="449" t="s">
        <v>683</v>
      </c>
      <c r="D11809" s="451">
        <v>28.35</v>
      </c>
      <c r="E11809" s="210"/>
    </row>
    <row r="11810" spans="1:5" ht="38.25">
      <c r="A11810" s="449">
        <v>7790</v>
      </c>
      <c r="B11810" s="450" t="s">
        <v>12631</v>
      </c>
      <c r="C11810" s="449" t="s">
        <v>683</v>
      </c>
      <c r="D11810" s="451">
        <v>44.67</v>
      </c>
      <c r="E11810" s="210"/>
    </row>
    <row r="11811" spans="1:5" ht="38.25">
      <c r="A11811" s="449">
        <v>7785</v>
      </c>
      <c r="B11811" s="450" t="s">
        <v>12632</v>
      </c>
      <c r="C11811" s="449" t="s">
        <v>683</v>
      </c>
      <c r="D11811" s="451">
        <v>49.29</v>
      </c>
      <c r="E11811" s="210"/>
    </row>
    <row r="11812" spans="1:5" ht="38.25">
      <c r="A11812" s="449">
        <v>7792</v>
      </c>
      <c r="B11812" s="450" t="s">
        <v>12633</v>
      </c>
      <c r="C11812" s="449" t="s">
        <v>683</v>
      </c>
      <c r="D11812" s="451">
        <v>69.91</v>
      </c>
      <c r="E11812" s="210"/>
    </row>
    <row r="11813" spans="1:5" ht="38.25">
      <c r="A11813" s="449">
        <v>7793</v>
      </c>
      <c r="B11813" s="450" t="s">
        <v>12634</v>
      </c>
      <c r="C11813" s="449" t="s">
        <v>683</v>
      </c>
      <c r="D11813" s="451">
        <v>82.57</v>
      </c>
      <c r="E11813" s="210"/>
    </row>
    <row r="11814" spans="1:5" ht="51">
      <c r="A11814" s="449">
        <v>13159</v>
      </c>
      <c r="B11814" s="450" t="s">
        <v>12635</v>
      </c>
      <c r="C11814" s="449" t="s">
        <v>683</v>
      </c>
      <c r="D11814" s="451">
        <v>71.89</v>
      </c>
      <c r="E11814" s="210"/>
    </row>
    <row r="11815" spans="1:5" ht="51">
      <c r="A11815" s="449">
        <v>13168</v>
      </c>
      <c r="B11815" s="450" t="s">
        <v>12636</v>
      </c>
      <c r="C11815" s="449" t="s">
        <v>683</v>
      </c>
      <c r="D11815" s="451">
        <v>87.29</v>
      </c>
      <c r="E11815" s="210"/>
    </row>
    <row r="11816" spans="1:5" ht="51">
      <c r="A11816" s="449">
        <v>13173</v>
      </c>
      <c r="B11816" s="450" t="s">
        <v>12637</v>
      </c>
      <c r="C11816" s="449" t="s">
        <v>683</v>
      </c>
      <c r="D11816" s="451">
        <v>118.1</v>
      </c>
      <c r="E11816" s="210"/>
    </row>
    <row r="11817" spans="1:5" ht="51">
      <c r="A11817" s="449">
        <v>12583</v>
      </c>
      <c r="B11817" s="450" t="s">
        <v>12638</v>
      </c>
      <c r="C11817" s="449" t="s">
        <v>683</v>
      </c>
      <c r="D11817" s="451">
        <v>23.62</v>
      </c>
      <c r="E11817" s="210"/>
    </row>
    <row r="11818" spans="1:5" ht="51">
      <c r="A11818" s="449">
        <v>12584</v>
      </c>
      <c r="B11818" s="450" t="s">
        <v>12639</v>
      </c>
      <c r="C11818" s="449" t="s">
        <v>683</v>
      </c>
      <c r="D11818" s="451">
        <v>30.81</v>
      </c>
      <c r="E11818" s="210"/>
    </row>
    <row r="11819" spans="1:5" ht="25.5">
      <c r="A11819" s="449">
        <v>12613</v>
      </c>
      <c r="B11819" s="450" t="s">
        <v>12640</v>
      </c>
      <c r="C11819" s="449" t="s">
        <v>679</v>
      </c>
      <c r="D11819" s="451">
        <v>19.11</v>
      </c>
      <c r="E11819" s="210"/>
    </row>
    <row r="11820" spans="1:5" ht="25.5">
      <c r="A11820" s="449">
        <v>1031</v>
      </c>
      <c r="B11820" s="450" t="s">
        <v>12641</v>
      </c>
      <c r="C11820" s="449" t="s">
        <v>679</v>
      </c>
      <c r="D11820" s="451">
        <v>12.12</v>
      </c>
      <c r="E11820" s="210"/>
    </row>
    <row r="11821" spans="1:5" ht="51">
      <c r="A11821" s="449">
        <v>39707</v>
      </c>
      <c r="B11821" s="450" t="s">
        <v>12642</v>
      </c>
      <c r="C11821" s="449" t="s">
        <v>683</v>
      </c>
      <c r="D11821" s="451">
        <v>4.43</v>
      </c>
      <c r="E11821" s="210"/>
    </row>
    <row r="11822" spans="1:5" ht="51">
      <c r="A11822" s="449">
        <v>39708</v>
      </c>
      <c r="B11822" s="450" t="s">
        <v>12643</v>
      </c>
      <c r="C11822" s="449" t="s">
        <v>683</v>
      </c>
      <c r="D11822" s="451">
        <v>4.29</v>
      </c>
      <c r="E11822" s="210"/>
    </row>
    <row r="11823" spans="1:5" ht="51">
      <c r="A11823" s="449">
        <v>39710</v>
      </c>
      <c r="B11823" s="450" t="s">
        <v>12644</v>
      </c>
      <c r="C11823" s="449" t="s">
        <v>683</v>
      </c>
      <c r="D11823" s="451">
        <v>3.02</v>
      </c>
      <c r="E11823" s="210"/>
    </row>
    <row r="11824" spans="1:5" ht="51">
      <c r="A11824" s="449">
        <v>39709</v>
      </c>
      <c r="B11824" s="450" t="s">
        <v>12645</v>
      </c>
      <c r="C11824" s="449" t="s">
        <v>683</v>
      </c>
      <c r="D11824" s="451">
        <v>4.1900000000000004</v>
      </c>
      <c r="E11824" s="210"/>
    </row>
    <row r="11825" spans="1:5" ht="51">
      <c r="A11825" s="449">
        <v>39711</v>
      </c>
      <c r="B11825" s="450" t="s">
        <v>12646</v>
      </c>
      <c r="C11825" s="449" t="s">
        <v>683</v>
      </c>
      <c r="D11825" s="451">
        <v>4.7</v>
      </c>
      <c r="E11825" s="210"/>
    </row>
    <row r="11826" spans="1:5" ht="51">
      <c r="A11826" s="449">
        <v>39712</v>
      </c>
      <c r="B11826" s="450" t="s">
        <v>12647</v>
      </c>
      <c r="C11826" s="449" t="s">
        <v>683</v>
      </c>
      <c r="D11826" s="451">
        <v>1.65</v>
      </c>
      <c r="E11826" s="210"/>
    </row>
    <row r="11827" spans="1:5" ht="51">
      <c r="A11827" s="449">
        <v>39713</v>
      </c>
      <c r="B11827" s="450" t="s">
        <v>12648</v>
      </c>
      <c r="C11827" s="449" t="s">
        <v>683</v>
      </c>
      <c r="D11827" s="451">
        <v>1.3</v>
      </c>
      <c r="E11827" s="210"/>
    </row>
    <row r="11828" spans="1:5" ht="51">
      <c r="A11828" s="449">
        <v>39714</v>
      </c>
      <c r="B11828" s="450" t="s">
        <v>12649</v>
      </c>
      <c r="C11828" s="449" t="s">
        <v>683</v>
      </c>
      <c r="D11828" s="451">
        <v>2.99</v>
      </c>
      <c r="E11828" s="210"/>
    </row>
    <row r="11829" spans="1:5" ht="51">
      <c r="A11829" s="449">
        <v>39715</v>
      </c>
      <c r="B11829" s="450" t="s">
        <v>12650</v>
      </c>
      <c r="C11829" s="449" t="s">
        <v>683</v>
      </c>
      <c r="D11829" s="451">
        <v>2.13</v>
      </c>
      <c r="E11829" s="210"/>
    </row>
    <row r="11830" spans="1:5" ht="51">
      <c r="A11830" s="449">
        <v>39716</v>
      </c>
      <c r="B11830" s="450" t="s">
        <v>12651</v>
      </c>
      <c r="C11830" s="449" t="s">
        <v>683</v>
      </c>
      <c r="D11830" s="451">
        <v>1.61</v>
      </c>
      <c r="E11830" s="210"/>
    </row>
    <row r="11831" spans="1:5" ht="51">
      <c r="A11831" s="449">
        <v>39718</v>
      </c>
      <c r="B11831" s="450" t="s">
        <v>12652</v>
      </c>
      <c r="C11831" s="449" t="s">
        <v>683</v>
      </c>
      <c r="D11831" s="451">
        <v>2.75</v>
      </c>
      <c r="E11831" s="210"/>
    </row>
    <row r="11832" spans="1:5" ht="38.25">
      <c r="A11832" s="449">
        <v>9813</v>
      </c>
      <c r="B11832" s="450" t="s">
        <v>12653</v>
      </c>
      <c r="C11832" s="449" t="s">
        <v>683</v>
      </c>
      <c r="D11832" s="451">
        <v>6.2</v>
      </c>
      <c r="E11832" s="210"/>
    </row>
    <row r="11833" spans="1:5" ht="38.25">
      <c r="A11833" s="449">
        <v>9815</v>
      </c>
      <c r="B11833" s="450" t="s">
        <v>12654</v>
      </c>
      <c r="C11833" s="449" t="s">
        <v>683</v>
      </c>
      <c r="D11833" s="451">
        <v>12.24</v>
      </c>
      <c r="E11833" s="210"/>
    </row>
    <row r="11834" spans="1:5" ht="51">
      <c r="A11834" s="449">
        <v>25876</v>
      </c>
      <c r="B11834" s="450" t="s">
        <v>12655</v>
      </c>
      <c r="C11834" s="449" t="s">
        <v>683</v>
      </c>
      <c r="D11834" s="451">
        <v>6092.53</v>
      </c>
      <c r="E11834" s="210"/>
    </row>
    <row r="11835" spans="1:5" ht="51">
      <c r="A11835" s="449">
        <v>25888</v>
      </c>
      <c r="B11835" s="450" t="s">
        <v>12656</v>
      </c>
      <c r="C11835" s="449" t="s">
        <v>683</v>
      </c>
      <c r="D11835" s="451">
        <v>149.32</v>
      </c>
      <c r="E11835" s="210"/>
    </row>
    <row r="11836" spans="1:5" ht="51">
      <c r="A11836" s="449">
        <v>25874</v>
      </c>
      <c r="B11836" s="450" t="s">
        <v>12657</v>
      </c>
      <c r="C11836" s="449" t="s">
        <v>683</v>
      </c>
      <c r="D11836" s="451">
        <v>10685.38</v>
      </c>
      <c r="E11836" s="210"/>
    </row>
    <row r="11837" spans="1:5" ht="51">
      <c r="A11837" s="449">
        <v>25877</v>
      </c>
      <c r="B11837" s="450" t="s">
        <v>12658</v>
      </c>
      <c r="C11837" s="449" t="s">
        <v>683</v>
      </c>
      <c r="D11837" s="451">
        <v>14580.61</v>
      </c>
      <c r="E11837" s="210"/>
    </row>
    <row r="11838" spans="1:5" ht="51">
      <c r="A11838" s="449">
        <v>25878</v>
      </c>
      <c r="B11838" s="450" t="s">
        <v>12659</v>
      </c>
      <c r="C11838" s="449" t="s">
        <v>683</v>
      </c>
      <c r="D11838" s="451">
        <v>320.52</v>
      </c>
      <c r="E11838" s="210"/>
    </row>
    <row r="11839" spans="1:5" ht="51">
      <c r="A11839" s="449">
        <v>25879</v>
      </c>
      <c r="B11839" s="450" t="s">
        <v>12660</v>
      </c>
      <c r="C11839" s="449" t="s">
        <v>683</v>
      </c>
      <c r="D11839" s="451">
        <v>13831.44</v>
      </c>
      <c r="E11839" s="210"/>
    </row>
    <row r="11840" spans="1:5" ht="51">
      <c r="A11840" s="449">
        <v>25887</v>
      </c>
      <c r="B11840" s="450" t="s">
        <v>12661</v>
      </c>
      <c r="C11840" s="449" t="s">
        <v>683</v>
      </c>
      <c r="D11840" s="451">
        <v>5525.89</v>
      </c>
      <c r="E11840" s="210"/>
    </row>
    <row r="11841" spans="1:5" ht="51">
      <c r="A11841" s="449">
        <v>25880</v>
      </c>
      <c r="B11841" s="450" t="s">
        <v>12662</v>
      </c>
      <c r="C11841" s="449" t="s">
        <v>683</v>
      </c>
      <c r="D11841" s="451">
        <v>499.64</v>
      </c>
      <c r="E11841" s="210"/>
    </row>
    <row r="11842" spans="1:5" ht="51">
      <c r="A11842" s="449">
        <v>25881</v>
      </c>
      <c r="B11842" s="450" t="s">
        <v>12663</v>
      </c>
      <c r="C11842" s="449" t="s">
        <v>683</v>
      </c>
      <c r="D11842" s="451">
        <v>1224.26</v>
      </c>
      <c r="E11842" s="210"/>
    </row>
    <row r="11843" spans="1:5" ht="51">
      <c r="A11843" s="449">
        <v>25882</v>
      </c>
      <c r="B11843" s="450" t="s">
        <v>12664</v>
      </c>
      <c r="C11843" s="449" t="s">
        <v>683</v>
      </c>
      <c r="D11843" s="451">
        <v>1971.84</v>
      </c>
      <c r="E11843" s="210"/>
    </row>
    <row r="11844" spans="1:5" ht="51">
      <c r="A11844" s="449">
        <v>25883</v>
      </c>
      <c r="B11844" s="450" t="s">
        <v>12665</v>
      </c>
      <c r="C11844" s="449" t="s">
        <v>683</v>
      </c>
      <c r="D11844" s="451">
        <v>31.81</v>
      </c>
      <c r="E11844" s="210"/>
    </row>
    <row r="11845" spans="1:5" ht="51">
      <c r="A11845" s="449">
        <v>25884</v>
      </c>
      <c r="B11845" s="450" t="s">
        <v>12666</v>
      </c>
      <c r="C11845" s="449" t="s">
        <v>683</v>
      </c>
      <c r="D11845" s="451">
        <v>3461.82</v>
      </c>
      <c r="E11845" s="210"/>
    </row>
    <row r="11846" spans="1:5" ht="51">
      <c r="A11846" s="449">
        <v>25885</v>
      </c>
      <c r="B11846" s="450" t="s">
        <v>12667</v>
      </c>
      <c r="C11846" s="449" t="s">
        <v>683</v>
      </c>
      <c r="D11846" s="451">
        <v>5148.7</v>
      </c>
      <c r="E11846" s="210"/>
    </row>
    <row r="11847" spans="1:5" ht="51">
      <c r="A11847" s="449">
        <v>25889</v>
      </c>
      <c r="B11847" s="450" t="s">
        <v>12668</v>
      </c>
      <c r="C11847" s="449" t="s">
        <v>683</v>
      </c>
      <c r="D11847" s="451">
        <v>2581.94</v>
      </c>
      <c r="E11847" s="210"/>
    </row>
    <row r="11848" spans="1:5" ht="51">
      <c r="A11848" s="449">
        <v>25886</v>
      </c>
      <c r="B11848" s="450" t="s">
        <v>12669</v>
      </c>
      <c r="C11848" s="449" t="s">
        <v>683</v>
      </c>
      <c r="D11848" s="451">
        <v>71.14</v>
      </c>
      <c r="E11848" s="210"/>
    </row>
    <row r="11849" spans="1:5" ht="51">
      <c r="A11849" s="449">
        <v>25875</v>
      </c>
      <c r="B11849" s="450" t="s">
        <v>12670</v>
      </c>
      <c r="C11849" s="449" t="s">
        <v>683</v>
      </c>
      <c r="D11849" s="451">
        <v>3368.57</v>
      </c>
      <c r="E11849" s="210"/>
    </row>
    <row r="11850" spans="1:5" ht="25.5">
      <c r="A11850" s="449">
        <v>9876</v>
      </c>
      <c r="B11850" s="450" t="s">
        <v>12671</v>
      </c>
      <c r="C11850" s="449" t="s">
        <v>683</v>
      </c>
      <c r="D11850" s="451">
        <v>20.420000000000002</v>
      </c>
      <c r="E11850" s="210"/>
    </row>
    <row r="11851" spans="1:5" ht="25.5">
      <c r="A11851" s="449">
        <v>9877</v>
      </c>
      <c r="B11851" s="450" t="s">
        <v>12672</v>
      </c>
      <c r="C11851" s="449" t="s">
        <v>683</v>
      </c>
      <c r="D11851" s="451">
        <v>71.55</v>
      </c>
      <c r="E11851" s="210"/>
    </row>
    <row r="11852" spans="1:5" ht="25.5">
      <c r="A11852" s="449">
        <v>9878</v>
      </c>
      <c r="B11852" s="450" t="s">
        <v>12673</v>
      </c>
      <c r="C11852" s="449" t="s">
        <v>683</v>
      </c>
      <c r="D11852" s="451">
        <v>93.2</v>
      </c>
      <c r="E11852" s="210"/>
    </row>
    <row r="11853" spans="1:5" ht="25.5">
      <c r="A11853" s="449">
        <v>9879</v>
      </c>
      <c r="B11853" s="450" t="s">
        <v>12674</v>
      </c>
      <c r="C11853" s="449" t="s">
        <v>683</v>
      </c>
      <c r="D11853" s="451">
        <v>222.45</v>
      </c>
      <c r="E11853" s="210"/>
    </row>
    <row r="11854" spans="1:5" ht="51">
      <c r="A11854" s="449">
        <v>41986</v>
      </c>
      <c r="B11854" s="450" t="s">
        <v>12675</v>
      </c>
      <c r="C11854" s="449" t="s">
        <v>683</v>
      </c>
      <c r="D11854" s="451">
        <v>3236.93</v>
      </c>
      <c r="E11854" s="210"/>
    </row>
    <row r="11855" spans="1:5" ht="51">
      <c r="A11855" s="449">
        <v>43422</v>
      </c>
      <c r="B11855" s="450" t="s">
        <v>12676</v>
      </c>
      <c r="C11855" s="449" t="s">
        <v>683</v>
      </c>
      <c r="D11855" s="451">
        <v>3969.78</v>
      </c>
      <c r="E11855" s="210"/>
    </row>
    <row r="11856" spans="1:5" ht="51">
      <c r="A11856" s="449">
        <v>41987</v>
      </c>
      <c r="B11856" s="450" t="s">
        <v>12677</v>
      </c>
      <c r="C11856" s="449" t="s">
        <v>683</v>
      </c>
      <c r="D11856" s="451">
        <v>4601.3</v>
      </c>
      <c r="E11856" s="210"/>
    </row>
    <row r="11857" spans="1:5" ht="51">
      <c r="A11857" s="449">
        <v>41988</v>
      </c>
      <c r="B11857" s="450" t="s">
        <v>12678</v>
      </c>
      <c r="C11857" s="449" t="s">
        <v>683</v>
      </c>
      <c r="D11857" s="451">
        <v>6077.67</v>
      </c>
      <c r="E11857" s="210"/>
    </row>
    <row r="11858" spans="1:5" ht="51">
      <c r="A11858" s="449">
        <v>41697</v>
      </c>
      <c r="B11858" s="450" t="s">
        <v>12679</v>
      </c>
      <c r="C11858" s="449" t="s">
        <v>683</v>
      </c>
      <c r="D11858" s="451">
        <v>1077.25</v>
      </c>
      <c r="E11858" s="210"/>
    </row>
    <row r="11859" spans="1:5" ht="51">
      <c r="A11859" s="449">
        <v>41985</v>
      </c>
      <c r="B11859" s="450" t="s">
        <v>12680</v>
      </c>
      <c r="C11859" s="449" t="s">
        <v>683</v>
      </c>
      <c r="D11859" s="451">
        <v>1500.32</v>
      </c>
      <c r="E11859" s="210"/>
    </row>
    <row r="11860" spans="1:5" ht="51">
      <c r="A11860" s="449">
        <v>41699</v>
      </c>
      <c r="B11860" s="450" t="s">
        <v>12681</v>
      </c>
      <c r="C11860" s="449" t="s">
        <v>683</v>
      </c>
      <c r="D11860" s="451">
        <v>2136.38</v>
      </c>
      <c r="E11860" s="210"/>
    </row>
    <row r="11861" spans="1:5" ht="63.75">
      <c r="A11861" s="449">
        <v>38053</v>
      </c>
      <c r="B11861" s="450" t="s">
        <v>12682</v>
      </c>
      <c r="C11861" s="449" t="s">
        <v>683</v>
      </c>
      <c r="D11861" s="451">
        <v>20.34</v>
      </c>
      <c r="E11861" s="210"/>
    </row>
    <row r="11862" spans="1:5" ht="63.75">
      <c r="A11862" s="449">
        <v>38054</v>
      </c>
      <c r="B11862" s="450" t="s">
        <v>12683</v>
      </c>
      <c r="C11862" s="449" t="s">
        <v>683</v>
      </c>
      <c r="D11862" s="451">
        <v>34.97</v>
      </c>
      <c r="E11862" s="210"/>
    </row>
    <row r="11863" spans="1:5" ht="63.75">
      <c r="A11863" s="449">
        <v>38052</v>
      </c>
      <c r="B11863" s="450" t="s">
        <v>12684</v>
      </c>
      <c r="C11863" s="449" t="s">
        <v>683</v>
      </c>
      <c r="D11863" s="451">
        <v>9.85</v>
      </c>
      <c r="E11863" s="210"/>
    </row>
    <row r="11864" spans="1:5" ht="63.75">
      <c r="A11864" s="449">
        <v>38051</v>
      </c>
      <c r="B11864" s="450" t="s">
        <v>12685</v>
      </c>
      <c r="C11864" s="449" t="s">
        <v>683</v>
      </c>
      <c r="D11864" s="451">
        <v>6.14</v>
      </c>
      <c r="E11864" s="210"/>
    </row>
    <row r="11865" spans="1:5">
      <c r="A11865" s="449">
        <v>38787</v>
      </c>
      <c r="B11865" s="450" t="s">
        <v>12686</v>
      </c>
      <c r="C11865" s="449" t="s">
        <v>683</v>
      </c>
      <c r="D11865" s="451">
        <v>6.32</v>
      </c>
      <c r="E11865" s="210"/>
    </row>
    <row r="11866" spans="1:5">
      <c r="A11866" s="449">
        <v>38825</v>
      </c>
      <c r="B11866" s="450" t="s">
        <v>12687</v>
      </c>
      <c r="C11866" s="449" t="s">
        <v>683</v>
      </c>
      <c r="D11866" s="451">
        <v>8.2799999999999994</v>
      </c>
      <c r="E11866" s="210"/>
    </row>
    <row r="11867" spans="1:5">
      <c r="A11867" s="449">
        <v>38826</v>
      </c>
      <c r="B11867" s="450" t="s">
        <v>12688</v>
      </c>
      <c r="C11867" s="449" t="s">
        <v>683</v>
      </c>
      <c r="D11867" s="451">
        <v>12.27</v>
      </c>
      <c r="E11867" s="210"/>
    </row>
    <row r="11868" spans="1:5">
      <c r="A11868" s="449">
        <v>38827</v>
      </c>
      <c r="B11868" s="450" t="s">
        <v>12689</v>
      </c>
      <c r="C11868" s="449" t="s">
        <v>683</v>
      </c>
      <c r="D11868" s="451">
        <v>19.71</v>
      </c>
      <c r="E11868" s="210"/>
    </row>
    <row r="11869" spans="1:5" ht="25.5">
      <c r="A11869" s="449">
        <v>38830</v>
      </c>
      <c r="B11869" s="450" t="s">
        <v>12690</v>
      </c>
      <c r="C11869" s="449" t="s">
        <v>683</v>
      </c>
      <c r="D11869" s="451">
        <v>27.6</v>
      </c>
      <c r="E11869" s="210"/>
    </row>
    <row r="11870" spans="1:5" ht="25.5">
      <c r="A11870" s="449">
        <v>38828</v>
      </c>
      <c r="B11870" s="450" t="s">
        <v>12691</v>
      </c>
      <c r="C11870" s="449" t="s">
        <v>683</v>
      </c>
      <c r="D11870" s="451">
        <v>12.17</v>
      </c>
      <c r="E11870" s="210"/>
    </row>
    <row r="11871" spans="1:5" ht="25.5">
      <c r="A11871" s="449">
        <v>38829</v>
      </c>
      <c r="B11871" s="450" t="s">
        <v>12692</v>
      </c>
      <c r="C11871" s="449" t="s">
        <v>683</v>
      </c>
      <c r="D11871" s="451">
        <v>19.940000000000001</v>
      </c>
      <c r="E11871" s="210"/>
    </row>
    <row r="11872" spans="1:5" ht="25.5">
      <c r="A11872" s="449">
        <v>38831</v>
      </c>
      <c r="B11872" s="450" t="s">
        <v>12693</v>
      </c>
      <c r="C11872" s="449" t="s">
        <v>683</v>
      </c>
      <c r="D11872" s="451">
        <v>38.5</v>
      </c>
      <c r="E11872" s="210"/>
    </row>
    <row r="11873" spans="1:5" ht="25.5">
      <c r="A11873" s="449">
        <v>36274</v>
      </c>
      <c r="B11873" s="450" t="s">
        <v>12694</v>
      </c>
      <c r="C11873" s="449" t="s">
        <v>683</v>
      </c>
      <c r="D11873" s="451">
        <v>9.24</v>
      </c>
      <c r="E11873" s="210"/>
    </row>
    <row r="11874" spans="1:5" ht="25.5">
      <c r="A11874" s="449">
        <v>36278</v>
      </c>
      <c r="B11874" s="450" t="s">
        <v>12695</v>
      </c>
      <c r="C11874" s="449" t="s">
        <v>683</v>
      </c>
      <c r="D11874" s="451">
        <v>12.54</v>
      </c>
      <c r="E11874" s="210"/>
    </row>
    <row r="11875" spans="1:5">
      <c r="A11875" s="449">
        <v>38977</v>
      </c>
      <c r="B11875" s="450" t="s">
        <v>12696</v>
      </c>
      <c r="C11875" s="449" t="s">
        <v>683</v>
      </c>
      <c r="D11875" s="451">
        <v>190.74</v>
      </c>
      <c r="E11875" s="210"/>
    </row>
    <row r="11876" spans="1:5">
      <c r="A11876" s="449">
        <v>38971</v>
      </c>
      <c r="B11876" s="450" t="s">
        <v>12697</v>
      </c>
      <c r="C11876" s="449" t="s">
        <v>683</v>
      </c>
      <c r="D11876" s="451">
        <v>15.71</v>
      </c>
      <c r="E11876" s="210"/>
    </row>
    <row r="11877" spans="1:5">
      <c r="A11877" s="449">
        <v>38972</v>
      </c>
      <c r="B11877" s="450" t="s">
        <v>12698</v>
      </c>
      <c r="C11877" s="449" t="s">
        <v>683</v>
      </c>
      <c r="D11877" s="451">
        <v>23.93</v>
      </c>
      <c r="E11877" s="210"/>
    </row>
    <row r="11878" spans="1:5">
      <c r="A11878" s="449">
        <v>38973</v>
      </c>
      <c r="B11878" s="450" t="s">
        <v>12699</v>
      </c>
      <c r="C11878" s="449" t="s">
        <v>683</v>
      </c>
      <c r="D11878" s="451">
        <v>31.66</v>
      </c>
      <c r="E11878" s="210"/>
    </row>
    <row r="11879" spans="1:5">
      <c r="A11879" s="449">
        <v>38974</v>
      </c>
      <c r="B11879" s="450" t="s">
        <v>12700</v>
      </c>
      <c r="C11879" s="449" t="s">
        <v>683</v>
      </c>
      <c r="D11879" s="451">
        <v>46.17</v>
      </c>
      <c r="E11879" s="210"/>
    </row>
    <row r="11880" spans="1:5">
      <c r="A11880" s="449">
        <v>38975</v>
      </c>
      <c r="B11880" s="450" t="s">
        <v>12701</v>
      </c>
      <c r="C11880" s="449" t="s">
        <v>683</v>
      </c>
      <c r="D11880" s="451">
        <v>76.94</v>
      </c>
      <c r="E11880" s="210"/>
    </row>
    <row r="11881" spans="1:5">
      <c r="A11881" s="449">
        <v>38976</v>
      </c>
      <c r="B11881" s="450" t="s">
        <v>12702</v>
      </c>
      <c r="C11881" s="449" t="s">
        <v>683</v>
      </c>
      <c r="D11881" s="451">
        <v>107.91</v>
      </c>
      <c r="E11881" s="210"/>
    </row>
    <row r="11882" spans="1:5" ht="25.5">
      <c r="A11882" s="449">
        <v>38986</v>
      </c>
      <c r="B11882" s="450" t="s">
        <v>12703</v>
      </c>
      <c r="C11882" s="449" t="s">
        <v>683</v>
      </c>
      <c r="D11882" s="451">
        <v>217.15</v>
      </c>
      <c r="E11882" s="210"/>
    </row>
    <row r="11883" spans="1:5" ht="25.5">
      <c r="A11883" s="449">
        <v>38978</v>
      </c>
      <c r="B11883" s="450" t="s">
        <v>12704</v>
      </c>
      <c r="C11883" s="449" t="s">
        <v>683</v>
      </c>
      <c r="D11883" s="451">
        <v>9.24</v>
      </c>
      <c r="E11883" s="210"/>
    </row>
    <row r="11884" spans="1:5" ht="25.5">
      <c r="A11884" s="449">
        <v>38979</v>
      </c>
      <c r="B11884" s="450" t="s">
        <v>12705</v>
      </c>
      <c r="C11884" s="449" t="s">
        <v>683</v>
      </c>
      <c r="D11884" s="451">
        <v>12.54</v>
      </c>
      <c r="E11884" s="210"/>
    </row>
    <row r="11885" spans="1:5" ht="25.5">
      <c r="A11885" s="449">
        <v>38980</v>
      </c>
      <c r="B11885" s="450" t="s">
        <v>12706</v>
      </c>
      <c r="C11885" s="449" t="s">
        <v>683</v>
      </c>
      <c r="D11885" s="451">
        <v>20.95</v>
      </c>
      <c r="E11885" s="210"/>
    </row>
    <row r="11886" spans="1:5" ht="25.5">
      <c r="A11886" s="449">
        <v>38981</v>
      </c>
      <c r="B11886" s="450" t="s">
        <v>12707</v>
      </c>
      <c r="C11886" s="449" t="s">
        <v>683</v>
      </c>
      <c r="D11886" s="451">
        <v>29.01</v>
      </c>
      <c r="E11886" s="210"/>
    </row>
    <row r="11887" spans="1:5" ht="25.5">
      <c r="A11887" s="449">
        <v>38982</v>
      </c>
      <c r="B11887" s="450" t="s">
        <v>12708</v>
      </c>
      <c r="C11887" s="449" t="s">
        <v>683</v>
      </c>
      <c r="D11887" s="451">
        <v>42.22</v>
      </c>
      <c r="E11887" s="210"/>
    </row>
    <row r="11888" spans="1:5" ht="25.5">
      <c r="A11888" s="449">
        <v>38983</v>
      </c>
      <c r="B11888" s="450" t="s">
        <v>12709</v>
      </c>
      <c r="C11888" s="449" t="s">
        <v>683</v>
      </c>
      <c r="D11888" s="451">
        <v>55.98</v>
      </c>
      <c r="E11888" s="210"/>
    </row>
    <row r="11889" spans="1:5" ht="25.5">
      <c r="A11889" s="449">
        <v>38984</v>
      </c>
      <c r="B11889" s="450" t="s">
        <v>12710</v>
      </c>
      <c r="C11889" s="449" t="s">
        <v>683</v>
      </c>
      <c r="D11889" s="451">
        <v>107.97</v>
      </c>
      <c r="E11889" s="210"/>
    </row>
    <row r="11890" spans="1:5" ht="25.5">
      <c r="A11890" s="449">
        <v>38985</v>
      </c>
      <c r="B11890" s="450" t="s">
        <v>12711</v>
      </c>
      <c r="C11890" s="449" t="s">
        <v>683</v>
      </c>
      <c r="D11890" s="451">
        <v>159.84</v>
      </c>
      <c r="E11890" s="210"/>
    </row>
    <row r="11891" spans="1:5" ht="25.5">
      <c r="A11891" s="449">
        <v>9836</v>
      </c>
      <c r="B11891" s="450" t="s">
        <v>12712</v>
      </c>
      <c r="C11891" s="449" t="s">
        <v>683</v>
      </c>
      <c r="D11891" s="451">
        <v>13.32</v>
      </c>
      <c r="E11891" s="210"/>
    </row>
    <row r="11892" spans="1:5" ht="25.5">
      <c r="A11892" s="449">
        <v>20065</v>
      </c>
      <c r="B11892" s="450" t="s">
        <v>12713</v>
      </c>
      <c r="C11892" s="449" t="s">
        <v>683</v>
      </c>
      <c r="D11892" s="451">
        <v>34.07</v>
      </c>
      <c r="E11892" s="210"/>
    </row>
    <row r="11893" spans="1:5" ht="25.5">
      <c r="A11893" s="449">
        <v>9835</v>
      </c>
      <c r="B11893" s="450" t="s">
        <v>12714</v>
      </c>
      <c r="C11893" s="449" t="s">
        <v>683</v>
      </c>
      <c r="D11893" s="451">
        <v>4.8</v>
      </c>
      <c r="E11893" s="210"/>
    </row>
    <row r="11894" spans="1:5" ht="25.5">
      <c r="A11894" s="449">
        <v>38032</v>
      </c>
      <c r="B11894" s="450" t="s">
        <v>12715</v>
      </c>
      <c r="C11894" s="449" t="s">
        <v>683</v>
      </c>
      <c r="D11894" s="451">
        <v>65.39</v>
      </c>
      <c r="E11894" s="210"/>
    </row>
    <row r="11895" spans="1:5" ht="25.5">
      <c r="A11895" s="449">
        <v>38033</v>
      </c>
      <c r="B11895" s="450" t="s">
        <v>12716</v>
      </c>
      <c r="C11895" s="449" t="s">
        <v>683</v>
      </c>
      <c r="D11895" s="451">
        <v>107.01</v>
      </c>
      <c r="E11895" s="210"/>
    </row>
    <row r="11896" spans="1:5" ht="25.5">
      <c r="A11896" s="449">
        <v>38034</v>
      </c>
      <c r="B11896" s="450" t="s">
        <v>12717</v>
      </c>
      <c r="C11896" s="449" t="s">
        <v>683</v>
      </c>
      <c r="D11896" s="451">
        <v>177.01</v>
      </c>
      <c r="E11896" s="210"/>
    </row>
    <row r="11897" spans="1:5" ht="25.5">
      <c r="A11897" s="449">
        <v>38035</v>
      </c>
      <c r="B11897" s="450" t="s">
        <v>12718</v>
      </c>
      <c r="C11897" s="449" t="s">
        <v>683</v>
      </c>
      <c r="D11897" s="451">
        <v>246.67</v>
      </c>
      <c r="E11897" s="210"/>
    </row>
    <row r="11898" spans="1:5" ht="25.5">
      <c r="A11898" s="449">
        <v>38036</v>
      </c>
      <c r="B11898" s="450" t="s">
        <v>12719</v>
      </c>
      <c r="C11898" s="449" t="s">
        <v>683</v>
      </c>
      <c r="D11898" s="451">
        <v>348.06</v>
      </c>
      <c r="E11898" s="210"/>
    </row>
    <row r="11899" spans="1:5" ht="25.5">
      <c r="A11899" s="449">
        <v>38037</v>
      </c>
      <c r="B11899" s="450" t="s">
        <v>12720</v>
      </c>
      <c r="C11899" s="449" t="s">
        <v>683</v>
      </c>
      <c r="D11899" s="451">
        <v>403.58</v>
      </c>
      <c r="E11899" s="210"/>
    </row>
    <row r="11900" spans="1:5" ht="38.25">
      <c r="A11900" s="449">
        <v>9850</v>
      </c>
      <c r="B11900" s="450" t="s">
        <v>12721</v>
      </c>
      <c r="C11900" s="449" t="s">
        <v>683</v>
      </c>
      <c r="D11900" s="451">
        <v>142.5</v>
      </c>
      <c r="E11900" s="210"/>
    </row>
    <row r="11901" spans="1:5" ht="38.25">
      <c r="A11901" s="449">
        <v>9853</v>
      </c>
      <c r="B11901" s="450" t="s">
        <v>12722</v>
      </c>
      <c r="C11901" s="449" t="s">
        <v>683</v>
      </c>
      <c r="D11901" s="451">
        <v>253.41</v>
      </c>
      <c r="E11901" s="210"/>
    </row>
    <row r="11902" spans="1:5" ht="38.25">
      <c r="A11902" s="449">
        <v>9854</v>
      </c>
      <c r="B11902" s="450" t="s">
        <v>12723</v>
      </c>
      <c r="C11902" s="449" t="s">
        <v>683</v>
      </c>
      <c r="D11902" s="451">
        <v>111.03</v>
      </c>
      <c r="E11902" s="210"/>
    </row>
    <row r="11903" spans="1:5" ht="38.25">
      <c r="A11903" s="449">
        <v>9851</v>
      </c>
      <c r="B11903" s="450" t="s">
        <v>12724</v>
      </c>
      <c r="C11903" s="449" t="s">
        <v>683</v>
      </c>
      <c r="D11903" s="451">
        <v>192.53</v>
      </c>
      <c r="E11903" s="210"/>
    </row>
    <row r="11904" spans="1:5" ht="38.25">
      <c r="A11904" s="449">
        <v>9855</v>
      </c>
      <c r="B11904" s="450" t="s">
        <v>12725</v>
      </c>
      <c r="C11904" s="449" t="s">
        <v>683</v>
      </c>
      <c r="D11904" s="451">
        <v>322.02</v>
      </c>
      <c r="E11904" s="210"/>
    </row>
    <row r="11905" spans="1:5" ht="25.5">
      <c r="A11905" s="449">
        <v>9825</v>
      </c>
      <c r="B11905" s="450" t="s">
        <v>12726</v>
      </c>
      <c r="C11905" s="449" t="s">
        <v>683</v>
      </c>
      <c r="D11905" s="451">
        <v>52.72</v>
      </c>
      <c r="E11905" s="210"/>
    </row>
    <row r="11906" spans="1:5" ht="25.5">
      <c r="A11906" s="449">
        <v>9828</v>
      </c>
      <c r="B11906" s="450" t="s">
        <v>12727</v>
      </c>
      <c r="C11906" s="449" t="s">
        <v>683</v>
      </c>
      <c r="D11906" s="451">
        <v>141.88</v>
      </c>
      <c r="E11906" s="210"/>
    </row>
    <row r="11907" spans="1:5" ht="25.5">
      <c r="A11907" s="449">
        <v>9829</v>
      </c>
      <c r="B11907" s="450" t="s">
        <v>12728</v>
      </c>
      <c r="C11907" s="449" t="s">
        <v>683</v>
      </c>
      <c r="D11907" s="451">
        <v>240.46</v>
      </c>
      <c r="E11907" s="210"/>
    </row>
    <row r="11908" spans="1:5" ht="25.5">
      <c r="A11908" s="449">
        <v>9826</v>
      </c>
      <c r="B11908" s="450" t="s">
        <v>12729</v>
      </c>
      <c r="C11908" s="449" t="s">
        <v>683</v>
      </c>
      <c r="D11908" s="451">
        <v>366.06</v>
      </c>
      <c r="E11908" s="210"/>
    </row>
    <row r="11909" spans="1:5" ht="25.5">
      <c r="A11909" s="449">
        <v>9827</v>
      </c>
      <c r="B11909" s="450" t="s">
        <v>12730</v>
      </c>
      <c r="C11909" s="449" t="s">
        <v>683</v>
      </c>
      <c r="D11909" s="451">
        <v>519.80999999999995</v>
      </c>
      <c r="E11909" s="210"/>
    </row>
    <row r="11910" spans="1:5" ht="25.5">
      <c r="A11910" s="449">
        <v>36374</v>
      </c>
      <c r="B11910" s="450" t="s">
        <v>12731</v>
      </c>
      <c r="C11910" s="449" t="s">
        <v>683</v>
      </c>
      <c r="D11910" s="451">
        <v>63.19</v>
      </c>
      <c r="E11910" s="210"/>
    </row>
    <row r="11911" spans="1:5" ht="25.5">
      <c r="A11911" s="449">
        <v>36084</v>
      </c>
      <c r="B11911" s="450" t="s">
        <v>12732</v>
      </c>
      <c r="C11911" s="449" t="s">
        <v>683</v>
      </c>
      <c r="D11911" s="451">
        <v>18.72</v>
      </c>
      <c r="E11911" s="210"/>
    </row>
    <row r="11912" spans="1:5" ht="25.5">
      <c r="A11912" s="449">
        <v>36373</v>
      </c>
      <c r="B11912" s="450" t="s">
        <v>12733</v>
      </c>
      <c r="C11912" s="449" t="s">
        <v>683</v>
      </c>
      <c r="D11912" s="451">
        <v>38.869999999999997</v>
      </c>
      <c r="E11912" s="210"/>
    </row>
    <row r="11913" spans="1:5" ht="25.5">
      <c r="A11913" s="449">
        <v>36377</v>
      </c>
      <c r="B11913" s="450" t="s">
        <v>12734</v>
      </c>
      <c r="C11913" s="449" t="s">
        <v>683</v>
      </c>
      <c r="D11913" s="451">
        <v>75.8</v>
      </c>
      <c r="E11913" s="210"/>
    </row>
    <row r="11914" spans="1:5" ht="25.5">
      <c r="A11914" s="449">
        <v>36375</v>
      </c>
      <c r="B11914" s="450" t="s">
        <v>12735</v>
      </c>
      <c r="C11914" s="449" t="s">
        <v>683</v>
      </c>
      <c r="D11914" s="451">
        <v>23.1</v>
      </c>
      <c r="E11914" s="210"/>
    </row>
    <row r="11915" spans="1:5" ht="25.5">
      <c r="A11915" s="449">
        <v>36376</v>
      </c>
      <c r="B11915" s="450" t="s">
        <v>12736</v>
      </c>
      <c r="C11915" s="449" t="s">
        <v>683</v>
      </c>
      <c r="D11915" s="451">
        <v>45.37</v>
      </c>
      <c r="E11915" s="210"/>
    </row>
    <row r="11916" spans="1:5" ht="25.5">
      <c r="A11916" s="449">
        <v>36380</v>
      </c>
      <c r="B11916" s="450" t="s">
        <v>12737</v>
      </c>
      <c r="C11916" s="449" t="s">
        <v>683</v>
      </c>
      <c r="D11916" s="451">
        <v>94.78</v>
      </c>
      <c r="E11916" s="210"/>
    </row>
    <row r="11917" spans="1:5" ht="25.5">
      <c r="A11917" s="449">
        <v>36378</v>
      </c>
      <c r="B11917" s="450" t="s">
        <v>12738</v>
      </c>
      <c r="C11917" s="449" t="s">
        <v>683</v>
      </c>
      <c r="D11917" s="451">
        <v>28.4</v>
      </c>
      <c r="E11917" s="210"/>
    </row>
    <row r="11918" spans="1:5" ht="25.5">
      <c r="A11918" s="449">
        <v>36379</v>
      </c>
      <c r="B11918" s="450" t="s">
        <v>12739</v>
      </c>
      <c r="C11918" s="449" t="s">
        <v>683</v>
      </c>
      <c r="D11918" s="451">
        <v>57.25</v>
      </c>
      <c r="E11918" s="210"/>
    </row>
    <row r="11919" spans="1:5">
      <c r="A11919" s="449">
        <v>9859</v>
      </c>
      <c r="B11919" s="450" t="s">
        <v>12740</v>
      </c>
      <c r="C11919" s="449" t="s">
        <v>683</v>
      </c>
      <c r="D11919" s="451">
        <v>9.84</v>
      </c>
      <c r="E11919" s="210"/>
    </row>
    <row r="11920" spans="1:5" ht="25.5">
      <c r="A11920" s="449">
        <v>9838</v>
      </c>
      <c r="B11920" s="450" t="s">
        <v>12741</v>
      </c>
      <c r="C11920" s="449" t="s">
        <v>683</v>
      </c>
      <c r="D11920" s="451">
        <v>8.18</v>
      </c>
      <c r="E11920" s="210"/>
    </row>
    <row r="11921" spans="1:5" ht="25.5">
      <c r="A11921" s="449">
        <v>9837</v>
      </c>
      <c r="B11921" s="450" t="s">
        <v>12742</v>
      </c>
      <c r="C11921" s="449" t="s">
        <v>683</v>
      </c>
      <c r="D11921" s="451">
        <v>11.8</v>
      </c>
      <c r="E11921" s="210"/>
    </row>
    <row r="11922" spans="1:5" ht="38.25">
      <c r="A11922" s="449">
        <v>9833</v>
      </c>
      <c r="B11922" s="450" t="s">
        <v>12743</v>
      </c>
      <c r="C11922" s="449" t="s">
        <v>683</v>
      </c>
      <c r="D11922" s="451">
        <v>11.44</v>
      </c>
      <c r="E11922" s="210"/>
    </row>
    <row r="11923" spans="1:5" ht="38.25">
      <c r="A11923" s="449">
        <v>9830</v>
      </c>
      <c r="B11923" s="450" t="s">
        <v>12744</v>
      </c>
      <c r="C11923" s="449" t="s">
        <v>683</v>
      </c>
      <c r="D11923" s="451">
        <v>6.12</v>
      </c>
      <c r="E11923" s="210"/>
    </row>
    <row r="11924" spans="1:5" ht="38.25">
      <c r="A11924" s="449">
        <v>9834</v>
      </c>
      <c r="B11924" s="450" t="s">
        <v>12745</v>
      </c>
      <c r="C11924" s="449" t="s">
        <v>683</v>
      </c>
      <c r="D11924" s="451">
        <v>31.83</v>
      </c>
      <c r="E11924" s="210"/>
    </row>
    <row r="11925" spans="1:5" ht="25.5">
      <c r="A11925" s="449">
        <v>9863</v>
      </c>
      <c r="B11925" s="450" t="s">
        <v>12746</v>
      </c>
      <c r="C11925" s="449" t="s">
        <v>683</v>
      </c>
      <c r="D11925" s="451">
        <v>71.010000000000005</v>
      </c>
      <c r="E11925" s="210"/>
    </row>
    <row r="11926" spans="1:5" ht="25.5">
      <c r="A11926" s="449">
        <v>9860</v>
      </c>
      <c r="B11926" s="450" t="s">
        <v>12747</v>
      </c>
      <c r="C11926" s="449" t="s">
        <v>683</v>
      </c>
      <c r="D11926" s="451">
        <v>45.59</v>
      </c>
      <c r="E11926" s="210"/>
    </row>
    <row r="11927" spans="1:5" ht="25.5">
      <c r="A11927" s="449">
        <v>9862</v>
      </c>
      <c r="B11927" s="450" t="s">
        <v>12748</v>
      </c>
      <c r="C11927" s="449" t="s">
        <v>683</v>
      </c>
      <c r="D11927" s="451">
        <v>32.17</v>
      </c>
      <c r="E11927" s="210"/>
    </row>
    <row r="11928" spans="1:5" ht="25.5">
      <c r="A11928" s="449">
        <v>9861</v>
      </c>
      <c r="B11928" s="450" t="s">
        <v>12749</v>
      </c>
      <c r="C11928" s="449" t="s">
        <v>683</v>
      </c>
      <c r="D11928" s="451">
        <v>25.85</v>
      </c>
      <c r="E11928" s="210"/>
    </row>
    <row r="11929" spans="1:5">
      <c r="A11929" s="449">
        <v>9856</v>
      </c>
      <c r="B11929" s="450" t="s">
        <v>12750</v>
      </c>
      <c r="C11929" s="449" t="s">
        <v>683</v>
      </c>
      <c r="D11929" s="451">
        <v>6.95</v>
      </c>
      <c r="E11929" s="210"/>
    </row>
    <row r="11930" spans="1:5">
      <c r="A11930" s="449">
        <v>9866</v>
      </c>
      <c r="B11930" s="450" t="s">
        <v>12751</v>
      </c>
      <c r="C11930" s="449" t="s">
        <v>683</v>
      </c>
      <c r="D11930" s="451">
        <v>19.09</v>
      </c>
      <c r="E11930" s="210"/>
    </row>
    <row r="11931" spans="1:5">
      <c r="A11931" s="449">
        <v>9857</v>
      </c>
      <c r="B11931" s="450" t="s">
        <v>12752</v>
      </c>
      <c r="C11931" s="449" t="s">
        <v>683</v>
      </c>
      <c r="D11931" s="451">
        <v>91.84</v>
      </c>
      <c r="E11931" s="210"/>
    </row>
    <row r="11932" spans="1:5">
      <c r="A11932" s="449">
        <v>9864</v>
      </c>
      <c r="B11932" s="450" t="s">
        <v>12753</v>
      </c>
      <c r="C11932" s="449" t="s">
        <v>683</v>
      </c>
      <c r="D11932" s="451">
        <v>110.88</v>
      </c>
      <c r="E11932" s="210"/>
    </row>
    <row r="11933" spans="1:5">
      <c r="A11933" s="449">
        <v>9865</v>
      </c>
      <c r="B11933" s="450" t="s">
        <v>12754</v>
      </c>
      <c r="C11933" s="449" t="s">
        <v>683</v>
      </c>
      <c r="D11933" s="451">
        <v>159.44999999999999</v>
      </c>
      <c r="E11933" s="210"/>
    </row>
    <row r="11934" spans="1:5">
      <c r="A11934" s="449">
        <v>9858</v>
      </c>
      <c r="B11934" s="450" t="s">
        <v>12755</v>
      </c>
      <c r="C11934" s="449" t="s">
        <v>683</v>
      </c>
      <c r="D11934" s="451">
        <v>167.17</v>
      </c>
      <c r="E11934" s="210"/>
    </row>
    <row r="11935" spans="1:5" ht="25.5">
      <c r="A11935" s="449">
        <v>9841</v>
      </c>
      <c r="B11935" s="450" t="s">
        <v>12756</v>
      </c>
      <c r="C11935" s="449" t="s">
        <v>683</v>
      </c>
      <c r="D11935" s="451">
        <v>32.869999999999997</v>
      </c>
      <c r="E11935" s="210"/>
    </row>
    <row r="11936" spans="1:5" ht="25.5">
      <c r="A11936" s="449">
        <v>9840</v>
      </c>
      <c r="B11936" s="450" t="s">
        <v>12757</v>
      </c>
      <c r="C11936" s="449" t="s">
        <v>683</v>
      </c>
      <c r="D11936" s="451">
        <v>66.81</v>
      </c>
      <c r="E11936" s="210"/>
    </row>
    <row r="11937" spans="1:5" ht="25.5">
      <c r="A11937" s="449">
        <v>20067</v>
      </c>
      <c r="B11937" s="450" t="s">
        <v>12758</v>
      </c>
      <c r="C11937" s="449" t="s">
        <v>683</v>
      </c>
      <c r="D11937" s="451">
        <v>11.48</v>
      </c>
      <c r="E11937" s="210"/>
    </row>
    <row r="11938" spans="1:5" ht="25.5">
      <c r="A11938" s="449">
        <v>20068</v>
      </c>
      <c r="B11938" s="450" t="s">
        <v>12759</v>
      </c>
      <c r="C11938" s="449" t="s">
        <v>683</v>
      </c>
      <c r="D11938" s="451">
        <v>14.32</v>
      </c>
      <c r="E11938" s="210"/>
    </row>
    <row r="11939" spans="1:5" ht="25.5">
      <c r="A11939" s="449">
        <v>9839</v>
      </c>
      <c r="B11939" s="450" t="s">
        <v>12760</v>
      </c>
      <c r="C11939" s="449" t="s">
        <v>683</v>
      </c>
      <c r="D11939" s="451">
        <v>18.760000000000002</v>
      </c>
      <c r="E11939" s="210"/>
    </row>
    <row r="11940" spans="1:5" ht="25.5">
      <c r="A11940" s="449">
        <v>9870</v>
      </c>
      <c r="B11940" s="450" t="s">
        <v>12761</v>
      </c>
      <c r="C11940" s="449" t="s">
        <v>683</v>
      </c>
      <c r="D11940" s="451">
        <v>77.430000000000007</v>
      </c>
      <c r="E11940" s="210"/>
    </row>
    <row r="11941" spans="1:5" ht="25.5">
      <c r="A11941" s="449">
        <v>9867</v>
      </c>
      <c r="B11941" s="450" t="s">
        <v>12762</v>
      </c>
      <c r="C11941" s="449" t="s">
        <v>683</v>
      </c>
      <c r="D11941" s="451">
        <v>2.84</v>
      </c>
      <c r="E11941" s="210"/>
    </row>
    <row r="11942" spans="1:5" ht="25.5">
      <c r="A11942" s="449">
        <v>9868</v>
      </c>
      <c r="B11942" s="450" t="s">
        <v>12763</v>
      </c>
      <c r="C11942" s="449" t="s">
        <v>683</v>
      </c>
      <c r="D11942" s="451">
        <v>3.65</v>
      </c>
      <c r="E11942" s="210"/>
    </row>
    <row r="11943" spans="1:5" ht="25.5">
      <c r="A11943" s="449">
        <v>9869</v>
      </c>
      <c r="B11943" s="450" t="s">
        <v>12764</v>
      </c>
      <c r="C11943" s="449" t="s">
        <v>683</v>
      </c>
      <c r="D11943" s="451">
        <v>8.19</v>
      </c>
      <c r="E11943" s="210"/>
    </row>
    <row r="11944" spans="1:5" ht="25.5">
      <c r="A11944" s="449">
        <v>9874</v>
      </c>
      <c r="B11944" s="450" t="s">
        <v>12765</v>
      </c>
      <c r="C11944" s="449" t="s">
        <v>683</v>
      </c>
      <c r="D11944" s="451">
        <v>11.93</v>
      </c>
      <c r="E11944" s="210"/>
    </row>
    <row r="11945" spans="1:5" ht="25.5">
      <c r="A11945" s="449">
        <v>9875</v>
      </c>
      <c r="B11945" s="450" t="s">
        <v>12766</v>
      </c>
      <c r="C11945" s="449" t="s">
        <v>683</v>
      </c>
      <c r="D11945" s="451">
        <v>13.67</v>
      </c>
      <c r="E11945" s="210"/>
    </row>
    <row r="11946" spans="1:5" ht="25.5">
      <c r="A11946" s="449">
        <v>9873</v>
      </c>
      <c r="B11946" s="450" t="s">
        <v>12767</v>
      </c>
      <c r="C11946" s="449" t="s">
        <v>683</v>
      </c>
      <c r="D11946" s="451">
        <v>23.06</v>
      </c>
      <c r="E11946" s="210"/>
    </row>
    <row r="11947" spans="1:5" ht="25.5">
      <c r="A11947" s="449">
        <v>9871</v>
      </c>
      <c r="B11947" s="450" t="s">
        <v>12768</v>
      </c>
      <c r="C11947" s="449" t="s">
        <v>683</v>
      </c>
      <c r="D11947" s="451">
        <v>38.630000000000003</v>
      </c>
      <c r="E11947" s="210"/>
    </row>
    <row r="11948" spans="1:5" ht="25.5">
      <c r="A11948" s="449">
        <v>9872</v>
      </c>
      <c r="B11948" s="450" t="s">
        <v>12769</v>
      </c>
      <c r="C11948" s="449" t="s">
        <v>683</v>
      </c>
      <c r="D11948" s="451">
        <v>48.27</v>
      </c>
      <c r="E11948" s="210"/>
    </row>
    <row r="11949" spans="1:5">
      <c r="A11949" s="449">
        <v>7667</v>
      </c>
      <c r="B11949" s="450" t="s">
        <v>12770</v>
      </c>
      <c r="C11949" s="449" t="s">
        <v>683</v>
      </c>
      <c r="D11949" s="451">
        <v>3055.05</v>
      </c>
      <c r="E11949" s="210"/>
    </row>
    <row r="11950" spans="1:5">
      <c r="A11950" s="449">
        <v>7660</v>
      </c>
      <c r="B11950" s="450" t="s">
        <v>12771</v>
      </c>
      <c r="C11950" s="449" t="s">
        <v>683</v>
      </c>
      <c r="D11950" s="451">
        <v>3894.46</v>
      </c>
      <c r="E11950" s="210"/>
    </row>
    <row r="11951" spans="1:5">
      <c r="A11951" s="449">
        <v>7676</v>
      </c>
      <c r="B11951" s="450" t="s">
        <v>12772</v>
      </c>
      <c r="C11951" s="449" t="s">
        <v>683</v>
      </c>
      <c r="D11951" s="451">
        <v>3938.97</v>
      </c>
      <c r="E11951" s="210"/>
    </row>
    <row r="11952" spans="1:5" ht="25.5">
      <c r="A11952" s="449">
        <v>12426</v>
      </c>
      <c r="B11952" s="450" t="s">
        <v>12773</v>
      </c>
      <c r="C11952" s="449" t="s">
        <v>679</v>
      </c>
      <c r="D11952" s="451">
        <v>33.99</v>
      </c>
      <c r="E11952" s="210"/>
    </row>
    <row r="11953" spans="1:5" ht="25.5">
      <c r="A11953" s="449">
        <v>12425</v>
      </c>
      <c r="B11953" s="450" t="s">
        <v>12774</v>
      </c>
      <c r="C11953" s="449" t="s">
        <v>679</v>
      </c>
      <c r="D11953" s="451">
        <v>46.7</v>
      </c>
      <c r="E11953" s="210"/>
    </row>
    <row r="11954" spans="1:5" ht="25.5">
      <c r="A11954" s="449">
        <v>12427</v>
      </c>
      <c r="B11954" s="450" t="s">
        <v>12775</v>
      </c>
      <c r="C11954" s="449" t="s">
        <v>679</v>
      </c>
      <c r="D11954" s="451">
        <v>193.86</v>
      </c>
      <c r="E11954" s="210"/>
    </row>
    <row r="11955" spans="1:5" ht="25.5">
      <c r="A11955" s="449">
        <v>12428</v>
      </c>
      <c r="B11955" s="450" t="s">
        <v>12776</v>
      </c>
      <c r="C11955" s="449" t="s">
        <v>679</v>
      </c>
      <c r="D11955" s="451">
        <v>124.43</v>
      </c>
      <c r="E11955" s="210"/>
    </row>
    <row r="11956" spans="1:5" ht="25.5">
      <c r="A11956" s="449">
        <v>12430</v>
      </c>
      <c r="B11956" s="450" t="s">
        <v>12777</v>
      </c>
      <c r="C11956" s="449" t="s">
        <v>679</v>
      </c>
      <c r="D11956" s="451">
        <v>41.68</v>
      </c>
      <c r="E11956" s="210"/>
    </row>
    <row r="11957" spans="1:5" ht="25.5">
      <c r="A11957" s="449">
        <v>12429</v>
      </c>
      <c r="B11957" s="450" t="s">
        <v>12778</v>
      </c>
      <c r="C11957" s="449" t="s">
        <v>679</v>
      </c>
      <c r="D11957" s="451">
        <v>313.48</v>
      </c>
      <c r="E11957" s="210"/>
    </row>
    <row r="11958" spans="1:5" ht="25.5">
      <c r="A11958" s="449">
        <v>12431</v>
      </c>
      <c r="B11958" s="450" t="s">
        <v>12779</v>
      </c>
      <c r="C11958" s="449" t="s">
        <v>679</v>
      </c>
      <c r="D11958" s="451">
        <v>533.49</v>
      </c>
      <c r="E11958" s="210"/>
    </row>
    <row r="11959" spans="1:5" ht="25.5">
      <c r="A11959" s="449">
        <v>12432</v>
      </c>
      <c r="B11959" s="450" t="s">
        <v>12780</v>
      </c>
      <c r="C11959" s="449" t="s">
        <v>679</v>
      </c>
      <c r="D11959" s="451">
        <v>109.72</v>
      </c>
      <c r="E11959" s="210"/>
    </row>
    <row r="11960" spans="1:5" ht="25.5">
      <c r="A11960" s="449">
        <v>12434</v>
      </c>
      <c r="B11960" s="450" t="s">
        <v>12781</v>
      </c>
      <c r="C11960" s="449" t="s">
        <v>679</v>
      </c>
      <c r="D11960" s="451">
        <v>35.75</v>
      </c>
      <c r="E11960" s="210"/>
    </row>
    <row r="11961" spans="1:5" ht="25.5">
      <c r="A11961" s="449">
        <v>12433</v>
      </c>
      <c r="B11961" s="450" t="s">
        <v>12782</v>
      </c>
      <c r="C11961" s="449" t="s">
        <v>679</v>
      </c>
      <c r="D11961" s="451">
        <v>69.849999999999994</v>
      </c>
      <c r="E11961" s="210"/>
    </row>
    <row r="11962" spans="1:5" ht="25.5">
      <c r="A11962" s="449">
        <v>12435</v>
      </c>
      <c r="B11962" s="450" t="s">
        <v>12783</v>
      </c>
      <c r="C11962" s="449" t="s">
        <v>679</v>
      </c>
      <c r="D11962" s="451">
        <v>216.17</v>
      </c>
      <c r="E11962" s="210"/>
    </row>
    <row r="11963" spans="1:5" ht="25.5">
      <c r="A11963" s="449">
        <v>12437</v>
      </c>
      <c r="B11963" s="450" t="s">
        <v>12784</v>
      </c>
      <c r="C11963" s="449" t="s">
        <v>679</v>
      </c>
      <c r="D11963" s="451">
        <v>174.58</v>
      </c>
      <c r="E11963" s="210"/>
    </row>
    <row r="11964" spans="1:5" ht="25.5">
      <c r="A11964" s="449">
        <v>12439</v>
      </c>
      <c r="B11964" s="450" t="s">
        <v>12785</v>
      </c>
      <c r="C11964" s="449" t="s">
        <v>679</v>
      </c>
      <c r="D11964" s="451">
        <v>56.03</v>
      </c>
      <c r="E11964" s="210"/>
    </row>
    <row r="11965" spans="1:5" ht="25.5">
      <c r="A11965" s="449">
        <v>12438</v>
      </c>
      <c r="B11965" s="450" t="s">
        <v>12786</v>
      </c>
      <c r="C11965" s="449" t="s">
        <v>679</v>
      </c>
      <c r="D11965" s="451">
        <v>315.94</v>
      </c>
      <c r="E11965" s="210"/>
    </row>
    <row r="11966" spans="1:5" ht="25.5">
      <c r="A11966" s="449">
        <v>12436</v>
      </c>
      <c r="B11966" s="450" t="s">
        <v>12787</v>
      </c>
      <c r="C11966" s="449" t="s">
        <v>679</v>
      </c>
      <c r="D11966" s="451">
        <v>399.1</v>
      </c>
      <c r="E11966" s="210"/>
    </row>
    <row r="11967" spans="1:5" ht="25.5">
      <c r="A11967" s="449">
        <v>36357</v>
      </c>
      <c r="B11967" s="450" t="s">
        <v>12788</v>
      </c>
      <c r="C11967" s="449" t="s">
        <v>679</v>
      </c>
      <c r="D11967" s="451">
        <v>164.38</v>
      </c>
      <c r="E11967" s="210"/>
    </row>
    <row r="11968" spans="1:5" ht="25.5">
      <c r="A11968" s="449">
        <v>12424</v>
      </c>
      <c r="B11968" s="450" t="s">
        <v>12789</v>
      </c>
      <c r="C11968" s="449" t="s">
        <v>679</v>
      </c>
      <c r="D11968" s="451">
        <v>71.91</v>
      </c>
      <c r="E11968" s="210"/>
    </row>
    <row r="11969" spans="1:5" ht="25.5">
      <c r="A11969" s="449">
        <v>12440</v>
      </c>
      <c r="B11969" s="450" t="s">
        <v>12790</v>
      </c>
      <c r="C11969" s="449" t="s">
        <v>679</v>
      </c>
      <c r="D11969" s="451">
        <v>69.510000000000005</v>
      </c>
      <c r="E11969" s="210"/>
    </row>
    <row r="11970" spans="1:5" ht="25.5">
      <c r="A11970" s="449">
        <v>9884</v>
      </c>
      <c r="B11970" s="450" t="s">
        <v>12791</v>
      </c>
      <c r="C11970" s="449" t="s">
        <v>679</v>
      </c>
      <c r="D11970" s="451">
        <v>51.85</v>
      </c>
      <c r="E11970" s="210"/>
    </row>
    <row r="11971" spans="1:5" ht="25.5">
      <c r="A11971" s="449">
        <v>9888</v>
      </c>
      <c r="B11971" s="450" t="s">
        <v>12792</v>
      </c>
      <c r="C11971" s="449" t="s">
        <v>679</v>
      </c>
      <c r="D11971" s="451">
        <v>41.66</v>
      </c>
      <c r="E11971" s="210"/>
    </row>
    <row r="11972" spans="1:5" ht="25.5">
      <c r="A11972" s="449">
        <v>9883</v>
      </c>
      <c r="B11972" s="450" t="s">
        <v>12793</v>
      </c>
      <c r="C11972" s="449" t="s">
        <v>679</v>
      </c>
      <c r="D11972" s="451">
        <v>18.18</v>
      </c>
      <c r="E11972" s="210"/>
    </row>
    <row r="11973" spans="1:5" ht="25.5">
      <c r="A11973" s="449">
        <v>9886</v>
      </c>
      <c r="B11973" s="450" t="s">
        <v>12794</v>
      </c>
      <c r="C11973" s="449" t="s">
        <v>679</v>
      </c>
      <c r="D11973" s="451">
        <v>24.9</v>
      </c>
      <c r="E11973" s="210"/>
    </row>
    <row r="11974" spans="1:5" ht="25.5">
      <c r="A11974" s="449">
        <v>9889</v>
      </c>
      <c r="B11974" s="450" t="s">
        <v>12795</v>
      </c>
      <c r="C11974" s="449" t="s">
        <v>679</v>
      </c>
      <c r="D11974" s="451">
        <v>126.14</v>
      </c>
      <c r="E11974" s="210"/>
    </row>
    <row r="11975" spans="1:5" ht="25.5">
      <c r="A11975" s="449">
        <v>9887</v>
      </c>
      <c r="B11975" s="450" t="s">
        <v>12796</v>
      </c>
      <c r="C11975" s="449" t="s">
        <v>679</v>
      </c>
      <c r="D11975" s="451">
        <v>76.239999999999995</v>
      </c>
      <c r="E11975" s="210"/>
    </row>
    <row r="11976" spans="1:5" ht="25.5">
      <c r="A11976" s="449">
        <v>9885</v>
      </c>
      <c r="B11976" s="450" t="s">
        <v>12797</v>
      </c>
      <c r="C11976" s="449" t="s">
        <v>679</v>
      </c>
      <c r="D11976" s="451">
        <v>24.07</v>
      </c>
      <c r="E11976" s="210"/>
    </row>
    <row r="11977" spans="1:5" ht="25.5">
      <c r="A11977" s="449">
        <v>9890</v>
      </c>
      <c r="B11977" s="450" t="s">
        <v>12798</v>
      </c>
      <c r="C11977" s="449" t="s">
        <v>679</v>
      </c>
      <c r="D11977" s="451">
        <v>195.43</v>
      </c>
      <c r="E11977" s="210"/>
    </row>
    <row r="11978" spans="1:5" ht="25.5">
      <c r="A11978" s="449">
        <v>9891</v>
      </c>
      <c r="B11978" s="450" t="s">
        <v>12799</v>
      </c>
      <c r="C11978" s="449" t="s">
        <v>679</v>
      </c>
      <c r="D11978" s="451">
        <v>274.35000000000002</v>
      </c>
      <c r="E11978" s="210"/>
    </row>
    <row r="11979" spans="1:5" ht="38.25">
      <c r="A11979" s="449">
        <v>39292</v>
      </c>
      <c r="B11979" s="450" t="s">
        <v>12800</v>
      </c>
      <c r="C11979" s="449" t="s">
        <v>679</v>
      </c>
      <c r="D11979" s="451">
        <v>12.68</v>
      </c>
      <c r="E11979" s="210"/>
    </row>
    <row r="11980" spans="1:5" ht="38.25">
      <c r="A11980" s="449">
        <v>39293</v>
      </c>
      <c r="B11980" s="450" t="s">
        <v>12801</v>
      </c>
      <c r="C11980" s="449" t="s">
        <v>679</v>
      </c>
      <c r="D11980" s="451">
        <v>20.46</v>
      </c>
      <c r="E11980" s="210"/>
    </row>
    <row r="11981" spans="1:5" ht="38.25">
      <c r="A11981" s="449">
        <v>39294</v>
      </c>
      <c r="B11981" s="450" t="s">
        <v>12802</v>
      </c>
      <c r="C11981" s="449" t="s">
        <v>679</v>
      </c>
      <c r="D11981" s="451">
        <v>20.46</v>
      </c>
      <c r="E11981" s="210"/>
    </row>
    <row r="11982" spans="1:5" ht="38.25">
      <c r="A11982" s="449">
        <v>39295</v>
      </c>
      <c r="B11982" s="450" t="s">
        <v>12803</v>
      </c>
      <c r="C11982" s="449" t="s">
        <v>679</v>
      </c>
      <c r="D11982" s="451">
        <v>34.880000000000003</v>
      </c>
      <c r="E11982" s="210"/>
    </row>
    <row r="11983" spans="1:5" ht="25.5">
      <c r="A11983" s="449">
        <v>36313</v>
      </c>
      <c r="B11983" s="450" t="s">
        <v>12804</v>
      </c>
      <c r="C11983" s="449" t="s">
        <v>679</v>
      </c>
      <c r="D11983" s="451">
        <v>38.97</v>
      </c>
      <c r="E11983" s="210"/>
    </row>
    <row r="11984" spans="1:5" ht="25.5">
      <c r="A11984" s="449">
        <v>36316</v>
      </c>
      <c r="B11984" s="450" t="s">
        <v>12805</v>
      </c>
      <c r="C11984" s="449" t="s">
        <v>679</v>
      </c>
      <c r="D11984" s="451">
        <v>47.26</v>
      </c>
      <c r="E11984" s="210"/>
    </row>
    <row r="11985" spans="1:5" ht="25.5">
      <c r="A11985" s="449">
        <v>64</v>
      </c>
      <c r="B11985" s="450" t="s">
        <v>12806</v>
      </c>
      <c r="C11985" s="449" t="s">
        <v>679</v>
      </c>
      <c r="D11985" s="451">
        <v>5.57</v>
      </c>
      <c r="E11985" s="210"/>
    </row>
    <row r="11986" spans="1:5" ht="25.5">
      <c r="A11986" s="449">
        <v>37423</v>
      </c>
      <c r="B11986" s="450" t="s">
        <v>12807</v>
      </c>
      <c r="C11986" s="449" t="s">
        <v>679</v>
      </c>
      <c r="D11986" s="451">
        <v>13.76</v>
      </c>
      <c r="E11986" s="210"/>
    </row>
    <row r="11987" spans="1:5" ht="25.5">
      <c r="A11987" s="449">
        <v>39296</v>
      </c>
      <c r="B11987" s="450" t="s">
        <v>12808</v>
      </c>
      <c r="C11987" s="449" t="s">
        <v>679</v>
      </c>
      <c r="D11987" s="451">
        <v>9.7899999999999991</v>
      </c>
      <c r="E11987" s="210"/>
    </row>
    <row r="11988" spans="1:5" ht="25.5">
      <c r="A11988" s="449">
        <v>39297</v>
      </c>
      <c r="B11988" s="450" t="s">
        <v>12809</v>
      </c>
      <c r="C11988" s="449" t="s">
        <v>679</v>
      </c>
      <c r="D11988" s="451">
        <v>14</v>
      </c>
      <c r="E11988" s="210"/>
    </row>
    <row r="11989" spans="1:5" ht="25.5">
      <c r="A11989" s="449">
        <v>39298</v>
      </c>
      <c r="B11989" s="450" t="s">
        <v>12810</v>
      </c>
      <c r="C11989" s="449" t="s">
        <v>679</v>
      </c>
      <c r="D11989" s="451">
        <v>24.66</v>
      </c>
      <c r="E11989" s="210"/>
    </row>
    <row r="11990" spans="1:5" ht="25.5">
      <c r="A11990" s="449">
        <v>39299</v>
      </c>
      <c r="B11990" s="450" t="s">
        <v>12811</v>
      </c>
      <c r="C11990" s="449" t="s">
        <v>679</v>
      </c>
      <c r="D11990" s="451">
        <v>41.97</v>
      </c>
      <c r="E11990" s="210"/>
    </row>
    <row r="11991" spans="1:5">
      <c r="A11991" s="449">
        <v>9892</v>
      </c>
      <c r="B11991" s="450" t="s">
        <v>12812</v>
      </c>
      <c r="C11991" s="449" t="s">
        <v>679</v>
      </c>
      <c r="D11991" s="451">
        <v>6.2</v>
      </c>
      <c r="E11991" s="210"/>
    </row>
    <row r="11992" spans="1:5">
      <c r="A11992" s="449">
        <v>9893</v>
      </c>
      <c r="B11992" s="450" t="s">
        <v>12813</v>
      </c>
      <c r="C11992" s="449" t="s">
        <v>679</v>
      </c>
      <c r="D11992" s="451">
        <v>84.22</v>
      </c>
      <c r="E11992" s="210"/>
    </row>
    <row r="11993" spans="1:5" ht="25.5">
      <c r="A11993" s="449">
        <v>9901</v>
      </c>
      <c r="B11993" s="450" t="s">
        <v>12814</v>
      </c>
      <c r="C11993" s="449" t="s">
        <v>679</v>
      </c>
      <c r="D11993" s="451">
        <v>37.380000000000003</v>
      </c>
      <c r="E11993" s="210"/>
    </row>
    <row r="11994" spans="1:5" ht="25.5">
      <c r="A11994" s="449">
        <v>9896</v>
      </c>
      <c r="B11994" s="450" t="s">
        <v>12815</v>
      </c>
      <c r="C11994" s="449" t="s">
        <v>679</v>
      </c>
      <c r="D11994" s="451">
        <v>33.68</v>
      </c>
      <c r="E11994" s="210"/>
    </row>
    <row r="11995" spans="1:5">
      <c r="A11995" s="449">
        <v>9900</v>
      </c>
      <c r="B11995" s="450" t="s">
        <v>12816</v>
      </c>
      <c r="C11995" s="449" t="s">
        <v>679</v>
      </c>
      <c r="D11995" s="451">
        <v>20.440000000000001</v>
      </c>
      <c r="E11995" s="210"/>
    </row>
    <row r="11996" spans="1:5" ht="25.5">
      <c r="A11996" s="449">
        <v>9898</v>
      </c>
      <c r="B11996" s="450" t="s">
        <v>12817</v>
      </c>
      <c r="C11996" s="449" t="s">
        <v>679</v>
      </c>
      <c r="D11996" s="451">
        <v>173.19</v>
      </c>
      <c r="E11996" s="210"/>
    </row>
    <row r="11997" spans="1:5" ht="25.5">
      <c r="A11997" s="449">
        <v>9899</v>
      </c>
      <c r="B11997" s="450" t="s">
        <v>12818</v>
      </c>
      <c r="C11997" s="449" t="s">
        <v>679</v>
      </c>
      <c r="D11997" s="451">
        <v>11.16</v>
      </c>
      <c r="E11997" s="210"/>
    </row>
    <row r="11998" spans="1:5">
      <c r="A11998" s="449">
        <v>9902</v>
      </c>
      <c r="B11998" s="450" t="s">
        <v>12819</v>
      </c>
      <c r="C11998" s="449" t="s">
        <v>679</v>
      </c>
      <c r="D11998" s="451">
        <v>219.32</v>
      </c>
      <c r="E11998" s="210"/>
    </row>
    <row r="11999" spans="1:5" ht="25.5">
      <c r="A11999" s="449">
        <v>9908</v>
      </c>
      <c r="B11999" s="450" t="s">
        <v>12820</v>
      </c>
      <c r="C11999" s="449" t="s">
        <v>679</v>
      </c>
      <c r="D11999" s="451">
        <v>437.29</v>
      </c>
      <c r="E11999" s="210"/>
    </row>
    <row r="12000" spans="1:5" ht="25.5">
      <c r="A12000" s="449">
        <v>9905</v>
      </c>
      <c r="B12000" s="450" t="s">
        <v>12821</v>
      </c>
      <c r="C12000" s="449" t="s">
        <v>679</v>
      </c>
      <c r="D12000" s="451">
        <v>7.31</v>
      </c>
      <c r="E12000" s="210"/>
    </row>
    <row r="12001" spans="1:5" ht="25.5">
      <c r="A12001" s="449">
        <v>9906</v>
      </c>
      <c r="B12001" s="450" t="s">
        <v>12822</v>
      </c>
      <c r="C12001" s="449" t="s">
        <v>679</v>
      </c>
      <c r="D12001" s="451">
        <v>8.75</v>
      </c>
      <c r="E12001" s="210"/>
    </row>
    <row r="12002" spans="1:5" ht="25.5">
      <c r="A12002" s="449">
        <v>9895</v>
      </c>
      <c r="B12002" s="450" t="s">
        <v>12823</v>
      </c>
      <c r="C12002" s="449" t="s">
        <v>679</v>
      </c>
      <c r="D12002" s="451">
        <v>14.36</v>
      </c>
      <c r="E12002" s="210"/>
    </row>
    <row r="12003" spans="1:5" ht="25.5">
      <c r="A12003" s="449">
        <v>9894</v>
      </c>
      <c r="B12003" s="450" t="s">
        <v>12824</v>
      </c>
      <c r="C12003" s="449" t="s">
        <v>679</v>
      </c>
      <c r="D12003" s="451">
        <v>27.98</v>
      </c>
    </row>
    <row r="12004" spans="1:5" ht="25.5">
      <c r="A12004" s="449">
        <v>9897</v>
      </c>
      <c r="B12004" s="450" t="s">
        <v>12825</v>
      </c>
      <c r="C12004" s="449" t="s">
        <v>679</v>
      </c>
      <c r="D12004" s="451">
        <v>30.3</v>
      </c>
    </row>
    <row r="12005" spans="1:5" ht="25.5">
      <c r="A12005" s="449">
        <v>9910</v>
      </c>
      <c r="B12005" s="450" t="s">
        <v>12826</v>
      </c>
      <c r="C12005" s="449" t="s">
        <v>679</v>
      </c>
      <c r="D12005" s="451">
        <v>76.260000000000005</v>
      </c>
    </row>
    <row r="12006" spans="1:5" ht="25.5">
      <c r="A12006" s="449">
        <v>9909</v>
      </c>
      <c r="B12006" s="450" t="s">
        <v>12827</v>
      </c>
      <c r="C12006" s="449" t="s">
        <v>679</v>
      </c>
      <c r="D12006" s="451">
        <v>153.88999999999999</v>
      </c>
    </row>
    <row r="12007" spans="1:5" ht="25.5">
      <c r="A12007" s="449">
        <v>9907</v>
      </c>
      <c r="B12007" s="450" t="s">
        <v>12828</v>
      </c>
      <c r="C12007" s="449" t="s">
        <v>679</v>
      </c>
      <c r="D12007" s="451">
        <v>236.62</v>
      </c>
    </row>
    <row r="12008" spans="1:5" ht="51">
      <c r="A12008" s="449">
        <v>20973</v>
      </c>
      <c r="B12008" s="450" t="s">
        <v>12829</v>
      </c>
      <c r="C12008" s="449" t="s">
        <v>679</v>
      </c>
      <c r="D12008" s="451">
        <v>93.39</v>
      </c>
    </row>
    <row r="12009" spans="1:5" ht="51">
      <c r="A12009" s="449">
        <v>20974</v>
      </c>
      <c r="B12009" s="450" t="s">
        <v>12830</v>
      </c>
      <c r="C12009" s="449" t="s">
        <v>679</v>
      </c>
      <c r="D12009" s="451">
        <v>133.61000000000001</v>
      </c>
    </row>
    <row r="12010" spans="1:5" ht="25.5">
      <c r="A12010" s="449">
        <v>37989</v>
      </c>
      <c r="B12010" s="450" t="s">
        <v>12831</v>
      </c>
      <c r="C12010" s="449" t="s">
        <v>679</v>
      </c>
      <c r="D12010" s="451">
        <v>15.84</v>
      </c>
    </row>
    <row r="12011" spans="1:5" ht="25.5">
      <c r="A12011" s="449">
        <v>37990</v>
      </c>
      <c r="B12011" s="450" t="s">
        <v>12832</v>
      </c>
      <c r="C12011" s="449" t="s">
        <v>679</v>
      </c>
      <c r="D12011" s="451">
        <v>18.41</v>
      </c>
    </row>
    <row r="12012" spans="1:5" ht="25.5">
      <c r="A12012" s="449">
        <v>37991</v>
      </c>
      <c r="B12012" s="450" t="s">
        <v>12833</v>
      </c>
      <c r="C12012" s="449" t="s">
        <v>679</v>
      </c>
      <c r="D12012" s="451">
        <v>29.12</v>
      </c>
    </row>
    <row r="12013" spans="1:5" ht="25.5">
      <c r="A12013" s="449">
        <v>37992</v>
      </c>
      <c r="B12013" s="450" t="s">
        <v>12834</v>
      </c>
      <c r="C12013" s="449" t="s">
        <v>679</v>
      </c>
      <c r="D12013" s="451">
        <v>44.48</v>
      </c>
    </row>
    <row r="12014" spans="1:5" ht="25.5">
      <c r="A12014" s="449">
        <v>37993</v>
      </c>
      <c r="B12014" s="450" t="s">
        <v>12835</v>
      </c>
      <c r="C12014" s="449" t="s">
        <v>679</v>
      </c>
      <c r="D12014" s="451">
        <v>66.010000000000005</v>
      </c>
    </row>
    <row r="12015" spans="1:5" ht="25.5">
      <c r="A12015" s="449">
        <v>37994</v>
      </c>
      <c r="B12015" s="450" t="s">
        <v>12836</v>
      </c>
      <c r="C12015" s="449" t="s">
        <v>679</v>
      </c>
      <c r="D12015" s="451">
        <v>158.63</v>
      </c>
    </row>
    <row r="12016" spans="1:5" ht="25.5">
      <c r="A12016" s="449">
        <v>37995</v>
      </c>
      <c r="B12016" s="450" t="s">
        <v>12837</v>
      </c>
      <c r="C12016" s="449" t="s">
        <v>679</v>
      </c>
      <c r="D12016" s="451">
        <v>230.24</v>
      </c>
    </row>
    <row r="12017" spans="1:4" ht="25.5">
      <c r="A12017" s="449">
        <v>37996</v>
      </c>
      <c r="B12017" s="450" t="s">
        <v>12838</v>
      </c>
      <c r="C12017" s="449" t="s">
        <v>679</v>
      </c>
      <c r="D12017" s="451">
        <v>339.47</v>
      </c>
    </row>
    <row r="12018" spans="1:4" ht="25.5">
      <c r="A12018" s="449">
        <v>13883</v>
      </c>
      <c r="B12018" s="450" t="s">
        <v>12839</v>
      </c>
      <c r="C12018" s="449" t="s">
        <v>679</v>
      </c>
      <c r="D12018" s="451">
        <v>111541.1</v>
      </c>
    </row>
    <row r="12019" spans="1:4" ht="25.5">
      <c r="A12019" s="449">
        <v>38604</v>
      </c>
      <c r="B12019" s="450" t="s">
        <v>12840</v>
      </c>
      <c r="C12019" s="449" t="s">
        <v>679</v>
      </c>
      <c r="D12019" s="451">
        <v>138922.96</v>
      </c>
    </row>
    <row r="12020" spans="1:4" ht="51">
      <c r="A12020" s="449">
        <v>10601</v>
      </c>
      <c r="B12020" s="450" t="s">
        <v>12841</v>
      </c>
      <c r="C12020" s="449" t="s">
        <v>679</v>
      </c>
      <c r="D12020" s="451">
        <v>2702328.64</v>
      </c>
    </row>
    <row r="12021" spans="1:4" ht="25.5">
      <c r="A12021" s="449">
        <v>26034</v>
      </c>
      <c r="B12021" s="450" t="s">
        <v>12842</v>
      </c>
      <c r="C12021" s="449" t="s">
        <v>679</v>
      </c>
      <c r="D12021" s="451">
        <v>7115135.9400000004</v>
      </c>
    </row>
    <row r="12022" spans="1:4" ht="25.5">
      <c r="A12022" s="449">
        <v>13894</v>
      </c>
      <c r="B12022" s="450" t="s">
        <v>12843</v>
      </c>
      <c r="C12022" s="449" t="s">
        <v>679</v>
      </c>
      <c r="D12022" s="451">
        <v>392649.25</v>
      </c>
    </row>
    <row r="12023" spans="1:4" ht="25.5">
      <c r="A12023" s="449">
        <v>13895</v>
      </c>
      <c r="B12023" s="450" t="s">
        <v>12844</v>
      </c>
      <c r="C12023" s="449" t="s">
        <v>679</v>
      </c>
      <c r="D12023" s="451">
        <v>527982.35</v>
      </c>
    </row>
    <row r="12024" spans="1:4" ht="25.5">
      <c r="A12024" s="449">
        <v>13892</v>
      </c>
      <c r="B12024" s="450" t="s">
        <v>12845</v>
      </c>
      <c r="C12024" s="449" t="s">
        <v>679</v>
      </c>
      <c r="D12024" s="451">
        <v>647029.46</v>
      </c>
    </row>
    <row r="12025" spans="1:4" ht="25.5">
      <c r="A12025" s="449">
        <v>9914</v>
      </c>
      <c r="B12025" s="450" t="s">
        <v>12846</v>
      </c>
      <c r="C12025" s="449" t="s">
        <v>679</v>
      </c>
      <c r="D12025" s="451">
        <v>700000</v>
      </c>
    </row>
    <row r="12026" spans="1:4" ht="63.75">
      <c r="A12026" s="449">
        <v>36485</v>
      </c>
      <c r="B12026" s="450" t="s">
        <v>12847</v>
      </c>
      <c r="C12026" s="449" t="s">
        <v>679</v>
      </c>
      <c r="D12026" s="451">
        <v>598229.42000000004</v>
      </c>
    </row>
    <row r="12027" spans="1:4" ht="38.25">
      <c r="A12027" s="449">
        <v>9912</v>
      </c>
      <c r="B12027" s="450" t="s">
        <v>12848</v>
      </c>
      <c r="C12027" s="449" t="s">
        <v>679</v>
      </c>
      <c r="D12027" s="451">
        <v>2200000</v>
      </c>
    </row>
    <row r="12028" spans="1:4" ht="38.25">
      <c r="A12028" s="449">
        <v>9921</v>
      </c>
      <c r="B12028" s="450" t="s">
        <v>12849</v>
      </c>
      <c r="C12028" s="449" t="s">
        <v>679</v>
      </c>
      <c r="D12028" s="451">
        <v>1134864.06</v>
      </c>
    </row>
    <row r="12029" spans="1:4" ht="38.25">
      <c r="A12029" s="449">
        <v>21112</v>
      </c>
      <c r="B12029" s="450" t="s">
        <v>12850</v>
      </c>
      <c r="C12029" s="449" t="s">
        <v>679</v>
      </c>
      <c r="D12029" s="451">
        <v>129.97</v>
      </c>
    </row>
    <row r="12030" spans="1:4" ht="25.5">
      <c r="A12030" s="449">
        <v>10228</v>
      </c>
      <c r="B12030" s="450" t="s">
        <v>12851</v>
      </c>
      <c r="C12030" s="449" t="s">
        <v>679</v>
      </c>
      <c r="D12030" s="451">
        <v>150.99</v>
      </c>
    </row>
    <row r="12031" spans="1:4" ht="25.5">
      <c r="A12031" s="449">
        <v>11781</v>
      </c>
      <c r="B12031" s="450" t="s">
        <v>12852</v>
      </c>
      <c r="C12031" s="449" t="s">
        <v>679</v>
      </c>
      <c r="D12031" s="451">
        <v>122.32</v>
      </c>
    </row>
    <row r="12032" spans="1:4" ht="25.5">
      <c r="A12032" s="449">
        <v>11746</v>
      </c>
      <c r="B12032" s="450" t="s">
        <v>12853</v>
      </c>
      <c r="C12032" s="449" t="s">
        <v>679</v>
      </c>
      <c r="D12032" s="451">
        <v>33.979999999999997</v>
      </c>
    </row>
    <row r="12033" spans="1:4" ht="25.5">
      <c r="A12033" s="449">
        <v>11751</v>
      </c>
      <c r="B12033" s="450" t="s">
        <v>12854</v>
      </c>
      <c r="C12033" s="449" t="s">
        <v>679</v>
      </c>
      <c r="D12033" s="451">
        <v>61.04</v>
      </c>
    </row>
    <row r="12034" spans="1:4" ht="25.5">
      <c r="A12034" s="449">
        <v>11750</v>
      </c>
      <c r="B12034" s="450" t="s">
        <v>12855</v>
      </c>
      <c r="C12034" s="449" t="s">
        <v>679</v>
      </c>
      <c r="D12034" s="451">
        <v>50.65</v>
      </c>
    </row>
    <row r="12035" spans="1:4" ht="25.5">
      <c r="A12035" s="449">
        <v>11748</v>
      </c>
      <c r="B12035" s="450" t="s">
        <v>12856</v>
      </c>
      <c r="C12035" s="449" t="s">
        <v>679</v>
      </c>
      <c r="D12035" s="451">
        <v>21.81</v>
      </c>
    </row>
    <row r="12036" spans="1:4" ht="25.5">
      <c r="A12036" s="449">
        <v>11747</v>
      </c>
      <c r="B12036" s="450" t="s">
        <v>12857</v>
      </c>
      <c r="C12036" s="449" t="s">
        <v>679</v>
      </c>
      <c r="D12036" s="451">
        <v>94.12</v>
      </c>
    </row>
    <row r="12037" spans="1:4" ht="25.5">
      <c r="A12037" s="449">
        <v>11749</v>
      </c>
      <c r="B12037" s="450" t="s">
        <v>12858</v>
      </c>
      <c r="C12037" s="449" t="s">
        <v>679</v>
      </c>
      <c r="D12037" s="451">
        <v>25.17</v>
      </c>
    </row>
    <row r="12038" spans="1:4" ht="38.25">
      <c r="A12038" s="449">
        <v>10236</v>
      </c>
      <c r="B12038" s="450" t="s">
        <v>12859</v>
      </c>
      <c r="C12038" s="449" t="s">
        <v>679</v>
      </c>
      <c r="D12038" s="451">
        <v>102.37</v>
      </c>
    </row>
    <row r="12039" spans="1:4" ht="38.25">
      <c r="A12039" s="449">
        <v>10233</v>
      </c>
      <c r="B12039" s="450" t="s">
        <v>12860</v>
      </c>
      <c r="C12039" s="449" t="s">
        <v>679</v>
      </c>
      <c r="D12039" s="451">
        <v>95.93</v>
      </c>
    </row>
    <row r="12040" spans="1:4" ht="38.25">
      <c r="A12040" s="449">
        <v>10234</v>
      </c>
      <c r="B12040" s="450" t="s">
        <v>12861</v>
      </c>
      <c r="C12040" s="449" t="s">
        <v>679</v>
      </c>
      <c r="D12040" s="451">
        <v>60.43</v>
      </c>
    </row>
    <row r="12041" spans="1:4" ht="38.25">
      <c r="A12041" s="449">
        <v>10231</v>
      </c>
      <c r="B12041" s="450" t="s">
        <v>12862</v>
      </c>
      <c r="C12041" s="449" t="s">
        <v>679</v>
      </c>
      <c r="D12041" s="451">
        <v>277.11</v>
      </c>
    </row>
    <row r="12042" spans="1:4" ht="38.25">
      <c r="A12042" s="449">
        <v>10232</v>
      </c>
      <c r="B12042" s="450" t="s">
        <v>12863</v>
      </c>
      <c r="C12042" s="449" t="s">
        <v>679</v>
      </c>
      <c r="D12042" s="451">
        <v>155.06</v>
      </c>
    </row>
    <row r="12043" spans="1:4" ht="38.25">
      <c r="A12043" s="449">
        <v>10229</v>
      </c>
      <c r="B12043" s="450" t="s">
        <v>12864</v>
      </c>
      <c r="C12043" s="449" t="s">
        <v>679</v>
      </c>
      <c r="D12043" s="451">
        <v>54.65</v>
      </c>
    </row>
    <row r="12044" spans="1:4" ht="38.25">
      <c r="A12044" s="449">
        <v>10235</v>
      </c>
      <c r="B12044" s="450" t="s">
        <v>12865</v>
      </c>
      <c r="C12044" s="449" t="s">
        <v>679</v>
      </c>
      <c r="D12044" s="451">
        <v>379.88</v>
      </c>
    </row>
    <row r="12045" spans="1:4" ht="38.25">
      <c r="A12045" s="449">
        <v>10230</v>
      </c>
      <c r="B12045" s="450" t="s">
        <v>12866</v>
      </c>
      <c r="C12045" s="449" t="s">
        <v>679</v>
      </c>
      <c r="D12045" s="451">
        <v>668.56</v>
      </c>
    </row>
    <row r="12046" spans="1:4" ht="38.25">
      <c r="A12046" s="449">
        <v>10409</v>
      </c>
      <c r="B12046" s="450" t="s">
        <v>12867</v>
      </c>
      <c r="C12046" s="449" t="s">
        <v>679</v>
      </c>
      <c r="D12046" s="451">
        <v>198.62</v>
      </c>
    </row>
    <row r="12047" spans="1:4" ht="38.25">
      <c r="A12047" s="449">
        <v>10411</v>
      </c>
      <c r="B12047" s="450" t="s">
        <v>12868</v>
      </c>
      <c r="C12047" s="449" t="s">
        <v>679</v>
      </c>
      <c r="D12047" s="451">
        <v>177.73</v>
      </c>
    </row>
    <row r="12048" spans="1:4" ht="38.25">
      <c r="A12048" s="449">
        <v>10404</v>
      </c>
      <c r="B12048" s="450" t="s">
        <v>12869</v>
      </c>
      <c r="C12048" s="449" t="s">
        <v>679</v>
      </c>
      <c r="D12048" s="451">
        <v>72.08</v>
      </c>
    </row>
    <row r="12049" spans="1:4" ht="38.25">
      <c r="A12049" s="449">
        <v>10410</v>
      </c>
      <c r="B12049" s="450" t="s">
        <v>12870</v>
      </c>
      <c r="C12049" s="449" t="s">
        <v>679</v>
      </c>
      <c r="D12049" s="451">
        <v>118.72</v>
      </c>
    </row>
    <row r="12050" spans="1:4" ht="38.25">
      <c r="A12050" s="449">
        <v>10405</v>
      </c>
      <c r="B12050" s="450" t="s">
        <v>12871</v>
      </c>
      <c r="C12050" s="449" t="s">
        <v>679</v>
      </c>
      <c r="D12050" s="451">
        <v>397.94</v>
      </c>
    </row>
    <row r="12051" spans="1:4" ht="38.25">
      <c r="A12051" s="449">
        <v>10408</v>
      </c>
      <c r="B12051" s="450" t="s">
        <v>12872</v>
      </c>
      <c r="C12051" s="449" t="s">
        <v>679</v>
      </c>
      <c r="D12051" s="451">
        <v>278.27</v>
      </c>
    </row>
    <row r="12052" spans="1:4" ht="38.25">
      <c r="A12052" s="449">
        <v>10412</v>
      </c>
      <c r="B12052" s="450" t="s">
        <v>12873</v>
      </c>
      <c r="C12052" s="449" t="s">
        <v>679</v>
      </c>
      <c r="D12052" s="451">
        <v>87.35</v>
      </c>
    </row>
    <row r="12053" spans="1:4" ht="38.25">
      <c r="A12053" s="449">
        <v>10406</v>
      </c>
      <c r="B12053" s="450" t="s">
        <v>12874</v>
      </c>
      <c r="C12053" s="449" t="s">
        <v>679</v>
      </c>
      <c r="D12053" s="451">
        <v>549.63</v>
      </c>
    </row>
    <row r="12054" spans="1:4" ht="38.25">
      <c r="A12054" s="449">
        <v>10407</v>
      </c>
      <c r="B12054" s="450" t="s">
        <v>12875</v>
      </c>
      <c r="C12054" s="449" t="s">
        <v>679</v>
      </c>
      <c r="D12054" s="451">
        <v>852.48</v>
      </c>
    </row>
    <row r="12055" spans="1:4" ht="38.25">
      <c r="A12055" s="449">
        <v>10416</v>
      </c>
      <c r="B12055" s="450" t="s">
        <v>12876</v>
      </c>
      <c r="C12055" s="449" t="s">
        <v>679</v>
      </c>
      <c r="D12055" s="451">
        <v>105.74</v>
      </c>
    </row>
    <row r="12056" spans="1:4" ht="38.25">
      <c r="A12056" s="449">
        <v>10419</v>
      </c>
      <c r="B12056" s="450" t="s">
        <v>12877</v>
      </c>
      <c r="C12056" s="449" t="s">
        <v>679</v>
      </c>
      <c r="D12056" s="451">
        <v>91.78</v>
      </c>
    </row>
    <row r="12057" spans="1:4" ht="38.25">
      <c r="A12057" s="449">
        <v>21092</v>
      </c>
      <c r="B12057" s="450" t="s">
        <v>12878</v>
      </c>
      <c r="C12057" s="449" t="s">
        <v>679</v>
      </c>
      <c r="D12057" s="451">
        <v>52.47</v>
      </c>
    </row>
    <row r="12058" spans="1:4" ht="25.5">
      <c r="A12058" s="449">
        <v>10418</v>
      </c>
      <c r="B12058" s="450" t="s">
        <v>12879</v>
      </c>
      <c r="C12058" s="449" t="s">
        <v>679</v>
      </c>
      <c r="D12058" s="451">
        <v>61.18</v>
      </c>
    </row>
    <row r="12059" spans="1:4" ht="38.25">
      <c r="A12059" s="449">
        <v>12657</v>
      </c>
      <c r="B12059" s="450" t="s">
        <v>12880</v>
      </c>
      <c r="C12059" s="449" t="s">
        <v>679</v>
      </c>
      <c r="D12059" s="451">
        <v>246.88</v>
      </c>
    </row>
    <row r="12060" spans="1:4" ht="25.5">
      <c r="A12060" s="449">
        <v>10417</v>
      </c>
      <c r="B12060" s="450" t="s">
        <v>12881</v>
      </c>
      <c r="C12060" s="449" t="s">
        <v>679</v>
      </c>
      <c r="D12060" s="451">
        <v>154.07</v>
      </c>
    </row>
    <row r="12061" spans="1:4" ht="38.25">
      <c r="A12061" s="449">
        <v>10413</v>
      </c>
      <c r="B12061" s="450" t="s">
        <v>12882</v>
      </c>
      <c r="C12061" s="449" t="s">
        <v>679</v>
      </c>
      <c r="D12061" s="451">
        <v>55.99</v>
      </c>
    </row>
    <row r="12062" spans="1:4" ht="25.5">
      <c r="A12062" s="449">
        <v>10414</v>
      </c>
      <c r="B12062" s="450" t="s">
        <v>12883</v>
      </c>
      <c r="C12062" s="449" t="s">
        <v>679</v>
      </c>
      <c r="D12062" s="451">
        <v>337.13</v>
      </c>
    </row>
    <row r="12063" spans="1:4" ht="25.5">
      <c r="A12063" s="449">
        <v>10415</v>
      </c>
      <c r="B12063" s="450" t="s">
        <v>12884</v>
      </c>
      <c r="C12063" s="449" t="s">
        <v>679</v>
      </c>
      <c r="D12063" s="451">
        <v>585.11</v>
      </c>
    </row>
    <row r="12064" spans="1:4" ht="25.5">
      <c r="A12064" s="449">
        <v>38643</v>
      </c>
      <c r="B12064" s="450" t="s">
        <v>12885</v>
      </c>
      <c r="C12064" s="449" t="s">
        <v>679</v>
      </c>
      <c r="D12064" s="451">
        <v>37.49</v>
      </c>
    </row>
    <row r="12065" spans="1:4" ht="25.5">
      <c r="A12065" s="449">
        <v>6157</v>
      </c>
      <c r="B12065" s="450" t="s">
        <v>12886</v>
      </c>
      <c r="C12065" s="449" t="s">
        <v>679</v>
      </c>
      <c r="D12065" s="451">
        <v>51.22</v>
      </c>
    </row>
    <row r="12066" spans="1:4" ht="25.5">
      <c r="A12066" s="449">
        <v>37588</v>
      </c>
      <c r="B12066" s="450" t="s">
        <v>12887</v>
      </c>
      <c r="C12066" s="449" t="s">
        <v>679</v>
      </c>
      <c r="D12066" s="451">
        <v>23.5</v>
      </c>
    </row>
    <row r="12067" spans="1:4" ht="25.5">
      <c r="A12067" s="449">
        <v>6152</v>
      </c>
      <c r="B12067" s="450" t="s">
        <v>12888</v>
      </c>
      <c r="C12067" s="449" t="s">
        <v>679</v>
      </c>
      <c r="D12067" s="451">
        <v>3.41</v>
      </c>
    </row>
    <row r="12068" spans="1:4" ht="25.5">
      <c r="A12068" s="449">
        <v>6158</v>
      </c>
      <c r="B12068" s="450" t="s">
        <v>12889</v>
      </c>
      <c r="C12068" s="449" t="s">
        <v>679</v>
      </c>
      <c r="D12068" s="451">
        <v>4.12</v>
      </c>
    </row>
    <row r="12069" spans="1:4" ht="25.5">
      <c r="A12069" s="449">
        <v>6153</v>
      </c>
      <c r="B12069" s="450" t="s">
        <v>12890</v>
      </c>
      <c r="C12069" s="449" t="s">
        <v>679</v>
      </c>
      <c r="D12069" s="451">
        <v>3.21</v>
      </c>
    </row>
    <row r="12070" spans="1:4" ht="25.5">
      <c r="A12070" s="449">
        <v>6156</v>
      </c>
      <c r="B12070" s="450" t="s">
        <v>12891</v>
      </c>
      <c r="C12070" s="449" t="s">
        <v>679</v>
      </c>
      <c r="D12070" s="451">
        <v>4.0599999999999996</v>
      </c>
    </row>
    <row r="12071" spans="1:4" ht="25.5">
      <c r="A12071" s="449">
        <v>6154</v>
      </c>
      <c r="B12071" s="450" t="s">
        <v>12892</v>
      </c>
      <c r="C12071" s="449" t="s">
        <v>679</v>
      </c>
      <c r="D12071" s="451">
        <v>7.65</v>
      </c>
    </row>
    <row r="12072" spans="1:4" ht="38.25">
      <c r="A12072" s="449">
        <v>6155</v>
      </c>
      <c r="B12072" s="450" t="s">
        <v>12893</v>
      </c>
      <c r="C12072" s="449" t="s">
        <v>679</v>
      </c>
      <c r="D12072" s="451">
        <v>15.81</v>
      </c>
    </row>
    <row r="12073" spans="1:4" ht="38.25">
      <c r="A12073" s="449">
        <v>43595</v>
      </c>
      <c r="B12073" s="450" t="s">
        <v>12894</v>
      </c>
      <c r="C12073" s="449" t="s">
        <v>679</v>
      </c>
      <c r="D12073" s="451">
        <v>20</v>
      </c>
    </row>
    <row r="12074" spans="1:4" ht="38.25">
      <c r="A12074" s="449">
        <v>43596</v>
      </c>
      <c r="B12074" s="450" t="s">
        <v>12895</v>
      </c>
      <c r="C12074" s="449" t="s">
        <v>679</v>
      </c>
      <c r="D12074" s="451">
        <v>23.12</v>
      </c>
    </row>
    <row r="12075" spans="1:4" ht="25.5">
      <c r="A12075" s="449">
        <v>38108</v>
      </c>
      <c r="B12075" s="450" t="s">
        <v>12896</v>
      </c>
      <c r="C12075" s="449" t="s">
        <v>679</v>
      </c>
      <c r="D12075" s="451">
        <v>38.85</v>
      </c>
    </row>
    <row r="12076" spans="1:4" ht="51">
      <c r="A12076" s="449">
        <v>38087</v>
      </c>
      <c r="B12076" s="450" t="s">
        <v>12897</v>
      </c>
      <c r="C12076" s="449" t="s">
        <v>679</v>
      </c>
      <c r="D12076" s="451">
        <v>49.97</v>
      </c>
    </row>
    <row r="12077" spans="1:4" ht="25.5">
      <c r="A12077" s="449">
        <v>38109</v>
      </c>
      <c r="B12077" s="450" t="s">
        <v>12898</v>
      </c>
      <c r="C12077" s="449" t="s">
        <v>679</v>
      </c>
      <c r="D12077" s="451">
        <v>62.09</v>
      </c>
    </row>
    <row r="12078" spans="1:4" ht="51">
      <c r="A12078" s="449">
        <v>38088</v>
      </c>
      <c r="B12078" s="450" t="s">
        <v>12899</v>
      </c>
      <c r="C12078" s="449" t="s">
        <v>679</v>
      </c>
      <c r="D12078" s="451">
        <v>65.290000000000006</v>
      </c>
    </row>
    <row r="12079" spans="1:4" ht="25.5">
      <c r="A12079" s="449">
        <v>38110</v>
      </c>
      <c r="B12079" s="450" t="s">
        <v>12900</v>
      </c>
      <c r="C12079" s="449" t="s">
        <v>679</v>
      </c>
      <c r="D12079" s="451">
        <v>23.88</v>
      </c>
    </row>
    <row r="12080" spans="1:4" ht="63.75">
      <c r="A12080" s="449">
        <v>38089</v>
      </c>
      <c r="B12080" s="450" t="s">
        <v>12901</v>
      </c>
      <c r="C12080" s="449" t="s">
        <v>679</v>
      </c>
      <c r="D12080" s="451">
        <v>41.62</v>
      </c>
    </row>
    <row r="12081" spans="1:4" ht="25.5">
      <c r="A12081" s="449">
        <v>38111</v>
      </c>
      <c r="B12081" s="450" t="s">
        <v>12902</v>
      </c>
      <c r="C12081" s="449" t="s">
        <v>679</v>
      </c>
      <c r="D12081" s="451">
        <v>26.71</v>
      </c>
    </row>
    <row r="12082" spans="1:4" ht="63.75">
      <c r="A12082" s="449">
        <v>38090</v>
      </c>
      <c r="B12082" s="450" t="s">
        <v>12903</v>
      </c>
      <c r="C12082" s="449" t="s">
        <v>679</v>
      </c>
      <c r="D12082" s="451">
        <v>43.02</v>
      </c>
    </row>
    <row r="12083" spans="1:4" ht="38.25">
      <c r="A12083" s="449">
        <v>13726</v>
      </c>
      <c r="B12083" s="450" t="s">
        <v>12904</v>
      </c>
      <c r="C12083" s="449" t="s">
        <v>679</v>
      </c>
      <c r="D12083" s="451">
        <v>68305.100000000006</v>
      </c>
    </row>
    <row r="12084" spans="1:4">
      <c r="A12084" s="449">
        <v>38400</v>
      </c>
      <c r="B12084" s="450" t="s">
        <v>12905</v>
      </c>
      <c r="C12084" s="449" t="s">
        <v>679</v>
      </c>
      <c r="D12084" s="451">
        <v>22.55</v>
      </c>
    </row>
    <row r="12085" spans="1:4" ht="38.25">
      <c r="A12085" s="449">
        <v>12627</v>
      </c>
      <c r="B12085" s="450" t="s">
        <v>12906</v>
      </c>
      <c r="C12085" s="449" t="s">
        <v>679</v>
      </c>
      <c r="D12085" s="451">
        <v>0.46</v>
      </c>
    </row>
    <row r="12086" spans="1:4" ht="25.5">
      <c r="A12086" s="449">
        <v>6138</v>
      </c>
      <c r="B12086" s="450" t="s">
        <v>12907</v>
      </c>
      <c r="C12086" s="449" t="s">
        <v>679</v>
      </c>
      <c r="D12086" s="451">
        <v>2.37</v>
      </c>
    </row>
    <row r="12087" spans="1:4" ht="25.5">
      <c r="A12087" s="449">
        <v>39996</v>
      </c>
      <c r="B12087" s="450" t="s">
        <v>12908</v>
      </c>
      <c r="C12087" s="449" t="s">
        <v>683</v>
      </c>
      <c r="D12087" s="451">
        <v>3.69</v>
      </c>
    </row>
    <row r="12088" spans="1:4" ht="38.25">
      <c r="A12088" s="449">
        <v>10478</v>
      </c>
      <c r="B12088" s="450" t="s">
        <v>12909</v>
      </c>
      <c r="C12088" s="449" t="s">
        <v>678</v>
      </c>
      <c r="D12088" s="451">
        <v>27.41</v>
      </c>
    </row>
    <row r="12089" spans="1:4" ht="25.5">
      <c r="A12089" s="449">
        <v>10475</v>
      </c>
      <c r="B12089" s="450" t="s">
        <v>12910</v>
      </c>
      <c r="C12089" s="449" t="s">
        <v>678</v>
      </c>
      <c r="D12089" s="451">
        <v>24.11</v>
      </c>
    </row>
    <row r="12090" spans="1:4" ht="38.25">
      <c r="A12090" s="449">
        <v>10481</v>
      </c>
      <c r="B12090" s="450" t="s">
        <v>12911</v>
      </c>
      <c r="C12090" s="449" t="s">
        <v>678</v>
      </c>
      <c r="D12090" s="451">
        <v>26.3</v>
      </c>
    </row>
    <row r="12091" spans="1:4">
      <c r="A12091" s="449">
        <v>4031</v>
      </c>
      <c r="B12091" s="450" t="s">
        <v>12912</v>
      </c>
      <c r="C12091" s="449" t="s">
        <v>684</v>
      </c>
      <c r="D12091" s="451">
        <v>31.42</v>
      </c>
    </row>
    <row r="12092" spans="1:4">
      <c r="A12092" s="449">
        <v>4030</v>
      </c>
      <c r="B12092" s="450" t="s">
        <v>12913</v>
      </c>
      <c r="C12092" s="449" t="s">
        <v>684</v>
      </c>
      <c r="D12092" s="451">
        <v>6.68</v>
      </c>
    </row>
    <row r="12093" spans="1:4" ht="25.5">
      <c r="A12093" s="449">
        <v>39399</v>
      </c>
      <c r="B12093" s="450" t="s">
        <v>12914</v>
      </c>
      <c r="C12093" s="449" t="s">
        <v>679</v>
      </c>
      <c r="D12093" s="451">
        <v>1284.69</v>
      </c>
    </row>
    <row r="12094" spans="1:4" ht="25.5">
      <c r="A12094" s="449">
        <v>39400</v>
      </c>
      <c r="B12094" s="450" t="s">
        <v>12915</v>
      </c>
      <c r="C12094" s="449" t="s">
        <v>679</v>
      </c>
      <c r="D12094" s="451">
        <v>1396.4</v>
      </c>
    </row>
    <row r="12095" spans="1:4" ht="25.5">
      <c r="A12095" s="449">
        <v>39401</v>
      </c>
      <c r="B12095" s="450" t="s">
        <v>12916</v>
      </c>
      <c r="C12095" s="449" t="s">
        <v>679</v>
      </c>
      <c r="D12095" s="451">
        <v>1566.43</v>
      </c>
    </row>
    <row r="12096" spans="1:4" ht="38.25">
      <c r="A12096" s="449">
        <v>11652</v>
      </c>
      <c r="B12096" s="450" t="s">
        <v>12917</v>
      </c>
      <c r="C12096" s="449" t="s">
        <v>679</v>
      </c>
      <c r="D12096" s="451">
        <v>3370</v>
      </c>
    </row>
    <row r="12097" spans="1:4" ht="38.25">
      <c r="A12097" s="449">
        <v>13896</v>
      </c>
      <c r="B12097" s="450" t="s">
        <v>12918</v>
      </c>
      <c r="C12097" s="449" t="s">
        <v>679</v>
      </c>
      <c r="D12097" s="451">
        <v>3023.18</v>
      </c>
    </row>
    <row r="12098" spans="1:4" ht="38.25">
      <c r="A12098" s="449">
        <v>13475</v>
      </c>
      <c r="B12098" s="450" t="s">
        <v>12919</v>
      </c>
      <c r="C12098" s="449" t="s">
        <v>679</v>
      </c>
      <c r="D12098" s="451">
        <v>3682.6</v>
      </c>
    </row>
    <row r="12099" spans="1:4" ht="38.25">
      <c r="A12099" s="449">
        <v>25971</v>
      </c>
      <c r="B12099" s="450" t="s">
        <v>12920</v>
      </c>
      <c r="C12099" s="449" t="s">
        <v>679</v>
      </c>
      <c r="D12099" s="451">
        <v>4087767.18</v>
      </c>
    </row>
    <row r="12100" spans="1:4" ht="38.25">
      <c r="A12100" s="449">
        <v>25970</v>
      </c>
      <c r="B12100" s="450" t="s">
        <v>12921</v>
      </c>
      <c r="C12100" s="449" t="s">
        <v>679</v>
      </c>
      <c r="D12100" s="451">
        <v>1720902.54</v>
      </c>
    </row>
    <row r="12101" spans="1:4" ht="38.25">
      <c r="A12101" s="449">
        <v>13476</v>
      </c>
      <c r="B12101" s="450" t="s">
        <v>12922</v>
      </c>
      <c r="C12101" s="449" t="s">
        <v>679</v>
      </c>
      <c r="D12101" s="451">
        <v>1733372.97</v>
      </c>
    </row>
    <row r="12102" spans="1:4" ht="38.25">
      <c r="A12102" s="449">
        <v>10488</v>
      </c>
      <c r="B12102" s="450" t="s">
        <v>12923</v>
      </c>
      <c r="C12102" s="449" t="s">
        <v>679</v>
      </c>
      <c r="D12102" s="451">
        <v>2100000</v>
      </c>
    </row>
    <row r="12103" spans="1:4" ht="38.25">
      <c r="A12103" s="449">
        <v>13606</v>
      </c>
      <c r="B12103" s="450" t="s">
        <v>12924</v>
      </c>
      <c r="C12103" s="449" t="s">
        <v>679</v>
      </c>
      <c r="D12103" s="451">
        <v>1860569.97</v>
      </c>
    </row>
    <row r="12104" spans="1:4">
      <c r="A12104" s="449">
        <v>10489</v>
      </c>
      <c r="B12104" s="450" t="s">
        <v>12925</v>
      </c>
      <c r="C12104" s="449" t="s">
        <v>682</v>
      </c>
      <c r="D12104" s="451">
        <v>13.07</v>
      </c>
    </row>
    <row r="12105" spans="1:4">
      <c r="A12105" s="449">
        <v>41073</v>
      </c>
      <c r="B12105" s="450" t="s">
        <v>12926</v>
      </c>
      <c r="C12105" s="449" t="s">
        <v>797</v>
      </c>
      <c r="D12105" s="451">
        <v>2319.69</v>
      </c>
    </row>
    <row r="12106" spans="1:4" ht="38.25">
      <c r="A12106" s="449">
        <v>34391</v>
      </c>
      <c r="B12106" s="450" t="s">
        <v>12927</v>
      </c>
      <c r="C12106" s="449" t="s">
        <v>684</v>
      </c>
      <c r="D12106" s="451">
        <v>798.08</v>
      </c>
    </row>
    <row r="12107" spans="1:4" ht="38.25">
      <c r="A12107" s="449">
        <v>10496</v>
      </c>
      <c r="B12107" s="450" t="s">
        <v>12928</v>
      </c>
      <c r="C12107" s="449" t="s">
        <v>684</v>
      </c>
      <c r="D12107" s="451">
        <v>694.72</v>
      </c>
    </row>
    <row r="12108" spans="1:4" ht="38.25">
      <c r="A12108" s="449">
        <v>10497</v>
      </c>
      <c r="B12108" s="450" t="s">
        <v>12929</v>
      </c>
      <c r="C12108" s="449" t="s">
        <v>684</v>
      </c>
      <c r="D12108" s="451">
        <v>1806.27</v>
      </c>
    </row>
    <row r="12109" spans="1:4" ht="38.25">
      <c r="A12109" s="449">
        <v>10504</v>
      </c>
      <c r="B12109" s="450" t="s">
        <v>12930</v>
      </c>
      <c r="C12109" s="449" t="s">
        <v>684</v>
      </c>
      <c r="D12109" s="451">
        <v>2111.9499999999998</v>
      </c>
    </row>
    <row r="12110" spans="1:4" ht="25.5">
      <c r="A12110" s="449">
        <v>34390</v>
      </c>
      <c r="B12110" s="450" t="s">
        <v>12931</v>
      </c>
      <c r="C12110" s="449" t="s">
        <v>684</v>
      </c>
      <c r="D12110" s="451">
        <v>622.47</v>
      </c>
    </row>
    <row r="12111" spans="1:4" ht="25.5">
      <c r="A12111" s="449">
        <v>34389</v>
      </c>
      <c r="B12111" s="450" t="s">
        <v>12932</v>
      </c>
      <c r="C12111" s="449" t="s">
        <v>684</v>
      </c>
      <c r="D12111" s="451">
        <v>194.52</v>
      </c>
    </row>
    <row r="12112" spans="1:4" ht="25.5">
      <c r="A12112" s="449">
        <v>34388</v>
      </c>
      <c r="B12112" s="450" t="s">
        <v>12933</v>
      </c>
      <c r="C12112" s="449" t="s">
        <v>684</v>
      </c>
      <c r="D12112" s="451">
        <v>276.45</v>
      </c>
    </row>
    <row r="12113" spans="1:4" ht="25.5">
      <c r="A12113" s="449">
        <v>34387</v>
      </c>
      <c r="B12113" s="450" t="s">
        <v>12934</v>
      </c>
      <c r="C12113" s="449" t="s">
        <v>684</v>
      </c>
      <c r="D12113" s="451">
        <v>448.79</v>
      </c>
    </row>
    <row r="12114" spans="1:4">
      <c r="A12114" s="449">
        <v>11188</v>
      </c>
      <c r="B12114" s="450" t="s">
        <v>12935</v>
      </c>
      <c r="C12114" s="449" t="s">
        <v>684</v>
      </c>
      <c r="D12114" s="451">
        <v>222.31</v>
      </c>
    </row>
    <row r="12115" spans="1:4">
      <c r="A12115" s="449">
        <v>11189</v>
      </c>
      <c r="B12115" s="450" t="s">
        <v>12936</v>
      </c>
      <c r="C12115" s="449" t="s">
        <v>684</v>
      </c>
      <c r="D12115" s="451">
        <v>333.46</v>
      </c>
    </row>
    <row r="12116" spans="1:4">
      <c r="A12116" s="449">
        <v>21107</v>
      </c>
      <c r="B12116" s="450" t="s">
        <v>12937</v>
      </c>
      <c r="C12116" s="449" t="s">
        <v>684</v>
      </c>
      <c r="D12116" s="451">
        <v>239.97</v>
      </c>
    </row>
    <row r="12117" spans="1:4">
      <c r="A12117" s="449">
        <v>34386</v>
      </c>
      <c r="B12117" s="450" t="s">
        <v>12938</v>
      </c>
      <c r="C12117" s="449" t="s">
        <v>684</v>
      </c>
      <c r="D12117" s="451">
        <v>416.83</v>
      </c>
    </row>
    <row r="12118" spans="1:4" ht="25.5">
      <c r="A12118" s="449">
        <v>10490</v>
      </c>
      <c r="B12118" s="450" t="s">
        <v>12939</v>
      </c>
      <c r="C12118" s="449" t="s">
        <v>684</v>
      </c>
      <c r="D12118" s="451">
        <v>125.05</v>
      </c>
    </row>
    <row r="12119" spans="1:4">
      <c r="A12119" s="449">
        <v>10492</v>
      </c>
      <c r="B12119" s="450" t="s">
        <v>12940</v>
      </c>
      <c r="C12119" s="449" t="s">
        <v>684</v>
      </c>
      <c r="D12119" s="451">
        <v>166.73</v>
      </c>
    </row>
    <row r="12120" spans="1:4">
      <c r="A12120" s="449">
        <v>10493</v>
      </c>
      <c r="B12120" s="450" t="s">
        <v>12941</v>
      </c>
      <c r="C12120" s="449" t="s">
        <v>684</v>
      </c>
      <c r="D12120" s="451">
        <v>194.52</v>
      </c>
    </row>
    <row r="12121" spans="1:4">
      <c r="A12121" s="449">
        <v>10491</v>
      </c>
      <c r="B12121" s="450" t="s">
        <v>12942</v>
      </c>
      <c r="C12121" s="449" t="s">
        <v>684</v>
      </c>
      <c r="D12121" s="451">
        <v>236.2</v>
      </c>
    </row>
    <row r="12122" spans="1:4">
      <c r="A12122" s="449">
        <v>34385</v>
      </c>
      <c r="B12122" s="450" t="s">
        <v>12943</v>
      </c>
      <c r="C12122" s="449" t="s">
        <v>684</v>
      </c>
      <c r="D12122" s="451">
        <v>344.58</v>
      </c>
    </row>
    <row r="12123" spans="1:4" ht="25.5">
      <c r="A12123" s="449">
        <v>10499</v>
      </c>
      <c r="B12123" s="450" t="s">
        <v>12944</v>
      </c>
      <c r="C12123" s="449" t="s">
        <v>684</v>
      </c>
      <c r="D12123" s="451">
        <v>138.94</v>
      </c>
    </row>
    <row r="12124" spans="1:4" ht="25.5">
      <c r="A12124" s="449">
        <v>34384</v>
      </c>
      <c r="B12124" s="450" t="s">
        <v>12945</v>
      </c>
      <c r="C12124" s="449" t="s">
        <v>684</v>
      </c>
      <c r="D12124" s="451">
        <v>416.83</v>
      </c>
    </row>
    <row r="12125" spans="1:4" ht="25.5">
      <c r="A12125" s="449">
        <v>11185</v>
      </c>
      <c r="B12125" s="450" t="s">
        <v>12946</v>
      </c>
      <c r="C12125" s="449" t="s">
        <v>684</v>
      </c>
      <c r="D12125" s="451">
        <v>430.72</v>
      </c>
    </row>
    <row r="12126" spans="1:4" ht="25.5">
      <c r="A12126" s="449">
        <v>10507</v>
      </c>
      <c r="B12126" s="450" t="s">
        <v>12947</v>
      </c>
      <c r="C12126" s="449" t="s">
        <v>684</v>
      </c>
      <c r="D12126" s="451">
        <v>360.57</v>
      </c>
    </row>
    <row r="12127" spans="1:4" ht="25.5">
      <c r="A12127" s="449">
        <v>10505</v>
      </c>
      <c r="B12127" s="450" t="s">
        <v>12948</v>
      </c>
      <c r="C12127" s="449" t="s">
        <v>684</v>
      </c>
      <c r="D12127" s="451">
        <v>212.76</v>
      </c>
    </row>
    <row r="12128" spans="1:4" ht="25.5">
      <c r="A12128" s="449">
        <v>10506</v>
      </c>
      <c r="B12128" s="450" t="s">
        <v>12949</v>
      </c>
      <c r="C12128" s="449" t="s">
        <v>684</v>
      </c>
      <c r="D12128" s="451">
        <v>277.74</v>
      </c>
    </row>
    <row r="12129" spans="1:4" ht="38.25">
      <c r="A12129" s="449">
        <v>5031</v>
      </c>
      <c r="B12129" s="450" t="s">
        <v>12950</v>
      </c>
      <c r="C12129" s="449" t="s">
        <v>684</v>
      </c>
      <c r="D12129" s="451">
        <v>390</v>
      </c>
    </row>
    <row r="12130" spans="1:4" ht="25.5">
      <c r="A12130" s="449">
        <v>10502</v>
      </c>
      <c r="B12130" s="450" t="s">
        <v>12951</v>
      </c>
      <c r="C12130" s="449" t="s">
        <v>684</v>
      </c>
      <c r="D12130" s="451">
        <v>454.44</v>
      </c>
    </row>
    <row r="12131" spans="1:4" ht="25.5">
      <c r="A12131" s="449">
        <v>10501</v>
      </c>
      <c r="B12131" s="450" t="s">
        <v>12952</v>
      </c>
      <c r="C12131" s="449" t="s">
        <v>684</v>
      </c>
      <c r="D12131" s="451">
        <v>256.74</v>
      </c>
    </row>
    <row r="12132" spans="1:4" ht="25.5">
      <c r="A12132" s="449">
        <v>10503</v>
      </c>
      <c r="B12132" s="450" t="s">
        <v>12953</v>
      </c>
      <c r="C12132" s="449" t="s">
        <v>684</v>
      </c>
      <c r="D12132" s="451">
        <v>346.86</v>
      </c>
    </row>
    <row r="12133" spans="1:4" ht="25.5">
      <c r="A12133" s="449">
        <v>4500</v>
      </c>
      <c r="B12133" s="450" t="s">
        <v>12954</v>
      </c>
      <c r="C12133" s="449" t="s">
        <v>683</v>
      </c>
      <c r="D12133" s="451">
        <v>15.69</v>
      </c>
    </row>
    <row r="12134" spans="1:4" ht="25.5">
      <c r="A12134" s="449">
        <v>4448</v>
      </c>
      <c r="B12134" s="450" t="s">
        <v>12955</v>
      </c>
      <c r="C12134" s="449" t="s">
        <v>683</v>
      </c>
      <c r="D12134" s="451">
        <v>21.56</v>
      </c>
    </row>
    <row r="12135" spans="1:4" ht="38.25">
      <c r="A12135" s="449">
        <v>20213</v>
      </c>
      <c r="B12135" s="450" t="s">
        <v>12956</v>
      </c>
      <c r="C12135" s="449" t="s">
        <v>683</v>
      </c>
      <c r="D12135" s="451">
        <v>14.59</v>
      </c>
    </row>
    <row r="12136" spans="1:4" ht="38.25">
      <c r="A12136" s="449">
        <v>20211</v>
      </c>
      <c r="B12136" s="450" t="s">
        <v>12957</v>
      </c>
      <c r="C12136" s="449" t="s">
        <v>683</v>
      </c>
      <c r="D12136" s="451">
        <v>19.32</v>
      </c>
    </row>
    <row r="12137" spans="1:4" ht="38.25">
      <c r="A12137" s="449">
        <v>40270</v>
      </c>
      <c r="B12137" s="450" t="s">
        <v>12958</v>
      </c>
      <c r="C12137" s="449" t="s">
        <v>683</v>
      </c>
      <c r="D12137" s="451">
        <v>80.430000000000007</v>
      </c>
    </row>
    <row r="12138" spans="1:4" ht="38.25">
      <c r="A12138" s="449">
        <v>4425</v>
      </c>
      <c r="B12138" s="450" t="s">
        <v>12959</v>
      </c>
      <c r="C12138" s="449" t="s">
        <v>683</v>
      </c>
      <c r="D12138" s="451">
        <v>15.97</v>
      </c>
    </row>
    <row r="12139" spans="1:4" ht="38.25">
      <c r="A12139" s="449">
        <v>4472</v>
      </c>
      <c r="B12139" s="450" t="s">
        <v>12960</v>
      </c>
      <c r="C12139" s="449" t="s">
        <v>683</v>
      </c>
      <c r="D12139" s="451">
        <v>19.95</v>
      </c>
    </row>
    <row r="12140" spans="1:4" ht="38.25">
      <c r="A12140" s="449">
        <v>35272</v>
      </c>
      <c r="B12140" s="450" t="s">
        <v>12961</v>
      </c>
      <c r="C12140" s="449" t="s">
        <v>683</v>
      </c>
      <c r="D12140" s="451">
        <v>28.83</v>
      </c>
    </row>
    <row r="12141" spans="1:4" ht="38.25">
      <c r="A12141" s="449">
        <v>4481</v>
      </c>
      <c r="B12141" s="450" t="s">
        <v>12962</v>
      </c>
      <c r="C12141" s="449" t="s">
        <v>683</v>
      </c>
      <c r="D12141" s="451">
        <v>30.86</v>
      </c>
    </row>
    <row r="12142" spans="1:4">
      <c r="A12142" s="449">
        <v>34345</v>
      </c>
      <c r="B12142" s="450" t="s">
        <v>12963</v>
      </c>
      <c r="C12142" s="449" t="s">
        <v>682</v>
      </c>
      <c r="D12142" s="451">
        <v>10.59</v>
      </c>
    </row>
    <row r="12143" spans="1:4">
      <c r="A12143" s="449">
        <v>41096</v>
      </c>
      <c r="B12143" s="450" t="s">
        <v>12964</v>
      </c>
      <c r="C12143" s="449" t="s">
        <v>797</v>
      </c>
      <c r="D12143" s="451">
        <v>1878.45</v>
      </c>
    </row>
    <row r="12144" spans="1:4" ht="38.25">
      <c r="A12144" s="449">
        <v>41776</v>
      </c>
      <c r="B12144" s="450" t="s">
        <v>12965</v>
      </c>
      <c r="C12144" s="449" t="s">
        <v>682</v>
      </c>
      <c r="D12144" s="451">
        <v>14.51</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sheetPr codeName="Plan2"/>
  <dimension ref="A1:U1046"/>
  <sheetViews>
    <sheetView zoomScale="85" zoomScaleNormal="85" zoomScaleSheetLayoutView="80" workbookViewId="0">
      <pane ySplit="4" topLeftCell="A5" activePane="bottomLeft" state="frozen"/>
      <selection activeCell="B1" sqref="B1"/>
      <selection pane="bottomLeft" activeCell="P22" sqref="P22"/>
    </sheetView>
  </sheetViews>
  <sheetFormatPr defaultColWidth="13.85546875" defaultRowHeight="12.75"/>
  <cols>
    <col min="1" max="1" width="6.85546875" style="3" customWidth="1"/>
    <col min="2" max="2" width="49" style="231" customWidth="1"/>
    <col min="3" max="3" width="15" style="45" bestFit="1" customWidth="1"/>
    <col min="4" max="4" width="12.5703125" style="45" customWidth="1"/>
    <col min="5" max="5" width="18.140625" style="50" customWidth="1"/>
    <col min="6" max="7" width="14.7109375" style="30" customWidth="1"/>
    <col min="8" max="8" width="18.7109375" style="30" customWidth="1"/>
    <col min="9" max="9" width="14.28515625" style="30" customWidth="1"/>
    <col min="10" max="10" width="9.5703125" style="30" bestFit="1" customWidth="1"/>
    <col min="11" max="11" width="14.42578125" style="170" customWidth="1"/>
    <col min="12" max="12" width="9.85546875" style="465" bestFit="1" customWidth="1"/>
    <col min="13" max="13" width="18.5703125" style="60" customWidth="1"/>
    <col min="14" max="14" width="14.85546875" style="3" bestFit="1" customWidth="1"/>
    <col min="15" max="15" width="6.7109375" style="340" customWidth="1"/>
    <col min="16" max="16" width="11.140625" style="340" bestFit="1" customWidth="1"/>
    <col min="17" max="17" width="13.85546875" style="340"/>
    <col min="18" max="18" width="17.85546875" style="340" customWidth="1"/>
    <col min="19" max="19" width="25.42578125" style="340" customWidth="1"/>
    <col min="20" max="16384" width="13.85546875" style="340"/>
  </cols>
  <sheetData>
    <row r="1" spans="2:17" ht="13.5" thickBot="1"/>
    <row r="2" spans="2:17" ht="18.75" thickBot="1">
      <c r="B2" s="722" t="str">
        <f>'2-ORÇAMENTO'!B3:K3</f>
        <v xml:space="preserve">OBRA:  FINALIZAÇÃO DO SALDO REMANESCENTE DA CONSTRUÇÃO DA ESCOLA MUNICIPAL DE EDUCAÇÃO BASICA </v>
      </c>
      <c r="C2" s="723"/>
      <c r="D2" s="723"/>
      <c r="E2" s="723"/>
      <c r="F2" s="723"/>
      <c r="G2" s="723"/>
      <c r="H2" s="723"/>
      <c r="I2" s="723"/>
      <c r="J2" s="723"/>
      <c r="K2" s="723"/>
      <c r="L2" s="723"/>
      <c r="M2" s="723"/>
      <c r="N2" s="724"/>
    </row>
    <row r="3" spans="2:17" ht="13.5" customHeight="1" thickBot="1">
      <c r="B3" s="725" t="str">
        <f>'2-ORÇAMENTO'!B4:K4</f>
        <v>LOCAL: EMEB ALINO FERREIRA DE MAGALHÃES</v>
      </c>
      <c r="C3" s="726"/>
      <c r="D3" s="726"/>
      <c r="E3" s="726"/>
      <c r="F3" s="726"/>
      <c r="G3" s="726"/>
      <c r="H3" s="726"/>
      <c r="I3" s="726"/>
      <c r="J3" s="726"/>
      <c r="K3" s="726"/>
      <c r="L3" s="726"/>
      <c r="M3" s="726"/>
      <c r="N3" s="727"/>
    </row>
    <row r="4" spans="2:17" ht="36" customHeight="1" thickBot="1">
      <c r="B4" s="34" t="s">
        <v>641</v>
      </c>
      <c r="C4" s="237" t="s">
        <v>652</v>
      </c>
      <c r="D4" s="39" t="s">
        <v>639</v>
      </c>
      <c r="E4" s="728" t="s">
        <v>640</v>
      </c>
      <c r="F4" s="729"/>
      <c r="G4" s="729"/>
      <c r="H4" s="729"/>
      <c r="I4" s="729"/>
      <c r="J4" s="730"/>
      <c r="K4" s="263" t="s">
        <v>667</v>
      </c>
      <c r="L4" s="49" t="s">
        <v>553</v>
      </c>
      <c r="M4" s="49" t="s">
        <v>666</v>
      </c>
      <c r="N4" s="102" t="s">
        <v>553</v>
      </c>
    </row>
    <row r="5" spans="2:17" ht="16.5" thickBot="1">
      <c r="B5" s="232"/>
      <c r="D5" s="71"/>
      <c r="E5" s="72"/>
      <c r="F5" s="73"/>
      <c r="G5" s="73"/>
      <c r="H5" s="73"/>
      <c r="I5" s="73"/>
      <c r="J5" s="74"/>
      <c r="K5" s="264"/>
      <c r="L5" s="466"/>
      <c r="M5" s="73"/>
      <c r="N5" s="74"/>
    </row>
    <row r="6" spans="2:17" ht="13.5" thickBot="1">
      <c r="B6" s="233"/>
      <c r="D6" s="46"/>
      <c r="E6" s="701" t="s">
        <v>6988</v>
      </c>
      <c r="F6" s="702"/>
      <c r="G6" s="702"/>
      <c r="H6" s="702"/>
      <c r="I6" s="702"/>
      <c r="J6" s="703"/>
      <c r="K6" s="265"/>
      <c r="L6" s="467"/>
      <c r="M6" s="117"/>
      <c r="N6" s="54"/>
    </row>
    <row r="7" spans="2:17">
      <c r="B7" s="207"/>
      <c r="D7" s="17"/>
      <c r="E7" s="58"/>
      <c r="F7" s="101"/>
      <c r="G7" s="101"/>
      <c r="H7" s="101"/>
      <c r="I7" s="101"/>
      <c r="J7" s="52"/>
      <c r="K7" s="266"/>
      <c r="L7" s="33"/>
      <c r="M7" s="106"/>
      <c r="N7" s="53"/>
    </row>
    <row r="8" spans="2:17" ht="15" customHeight="1">
      <c r="B8" s="207"/>
      <c r="C8" s="45">
        <v>90777</v>
      </c>
      <c r="D8" s="137" t="s">
        <v>7</v>
      </c>
      <c r="E8" s="689" t="str">
        <f>IFERROR(VLOOKUP($C8,'SINAPI JULHO 2021'!$1:$1048576,2,0),IFERROR(VLOOKUP($C8,'5-COMP. PROPRIA'!$B$4:$I$7999,4,0),""))</f>
        <v>ENGENHEIRO CIVIL DE OBRA JUNIOR COM ENCARGOS COMPLEMENTARES</v>
      </c>
      <c r="F8" s="690"/>
      <c r="G8" s="690"/>
      <c r="H8" s="690"/>
      <c r="I8" s="690"/>
      <c r="J8" s="691"/>
      <c r="K8" s="267">
        <f>SUM(K10)</f>
        <v>176</v>
      </c>
      <c r="L8" s="468" t="str">
        <f>IFERROR(VLOOKUP($C8,'SINAPI JULHO 2021'!$1:$1048576,3,0),IFERROR(VLOOKUP($C8,'5-COMP. PROPRIA'!$B$4:$I$7999,5,0),""))</f>
        <v>H</v>
      </c>
      <c r="M8" s="119"/>
      <c r="N8" s="53"/>
      <c r="O8" s="349"/>
      <c r="P8" s="349"/>
      <c r="Q8" s="349"/>
    </row>
    <row r="9" spans="2:17" ht="25.5">
      <c r="B9" s="207" t="s">
        <v>643</v>
      </c>
      <c r="D9" s="17"/>
      <c r="E9" s="42" t="s">
        <v>644</v>
      </c>
      <c r="F9" s="101"/>
      <c r="G9" s="103" t="s">
        <v>645</v>
      </c>
      <c r="H9" s="99" t="s">
        <v>673</v>
      </c>
      <c r="I9" s="101"/>
      <c r="J9" s="52"/>
      <c r="K9" s="266"/>
      <c r="L9" s="33"/>
      <c r="M9" s="106"/>
      <c r="N9" s="53"/>
    </row>
    <row r="10" spans="2:17">
      <c r="B10" s="207"/>
      <c r="D10" s="17"/>
      <c r="E10" s="57">
        <v>8</v>
      </c>
      <c r="F10" s="101"/>
      <c r="G10" s="37">
        <v>1</v>
      </c>
      <c r="H10" s="101">
        <v>22</v>
      </c>
      <c r="I10" s="101"/>
      <c r="J10" s="52"/>
      <c r="K10" s="266">
        <f>E10*G10*H10</f>
        <v>176</v>
      </c>
      <c r="L10" s="33"/>
      <c r="M10" s="106"/>
      <c r="N10" s="53"/>
    </row>
    <row r="11" spans="2:17" ht="13.5" customHeight="1">
      <c r="B11" s="207"/>
      <c r="D11" s="17"/>
      <c r="E11" s="58"/>
      <c r="F11" s="101"/>
      <c r="G11" s="101"/>
      <c r="H11" s="101"/>
      <c r="I11" s="101"/>
      <c r="J11" s="52"/>
      <c r="K11" s="266"/>
      <c r="L11" s="33"/>
      <c r="M11" s="106"/>
      <c r="N11" s="53"/>
    </row>
    <row r="12" spans="2:17" ht="13.5" customHeight="1">
      <c r="B12" s="207"/>
      <c r="C12" s="45">
        <v>91677</v>
      </c>
      <c r="D12" s="137" t="s">
        <v>7</v>
      </c>
      <c r="E12" s="689" t="str">
        <f>IFERROR(VLOOKUP($C12,'SINAPI JULHO 2021'!$1:$1048576,2,0),IFERROR(VLOOKUP($C12,'5-COMP. PROPRIA'!$B$4:$I$7999,4,0),""))</f>
        <v>ENGENHEIRO ELETRICISTA COM ENCARGOS COMPLEMENTARES</v>
      </c>
      <c r="F12" s="690"/>
      <c r="G12" s="690"/>
      <c r="H12" s="690"/>
      <c r="I12" s="690"/>
      <c r="J12" s="691"/>
      <c r="K12" s="267">
        <f>K8</f>
        <v>176</v>
      </c>
      <c r="L12" s="468" t="str">
        <f>IFERROR(VLOOKUP($C12,'SINAPI JULHO 2021'!$1:$1048576,3,0),IFERROR(VLOOKUP($C12,'5-COMP. PROPRIA'!$B$4:$I$7999,5,0),""))</f>
        <v>H</v>
      </c>
      <c r="M12" s="106"/>
      <c r="N12" s="53"/>
    </row>
    <row r="13" spans="2:17" ht="13.5" customHeight="1">
      <c r="B13" s="207"/>
      <c r="D13" s="17"/>
      <c r="E13" s="58"/>
      <c r="F13" s="108"/>
      <c r="G13" s="108"/>
      <c r="H13" s="108"/>
      <c r="I13" s="108"/>
      <c r="J13" s="52"/>
      <c r="K13" s="266"/>
      <c r="L13" s="33"/>
      <c r="M13" s="106"/>
      <c r="N13" s="53"/>
    </row>
    <row r="14" spans="2:17" ht="13.5" customHeight="1">
      <c r="B14" s="207"/>
      <c r="C14" s="45">
        <v>90776</v>
      </c>
      <c r="D14" s="68" t="s">
        <v>7</v>
      </c>
      <c r="E14" s="689" t="str">
        <f>IFERROR(VLOOKUP($C14,'SINAPI JULHO 2021'!$1:$1048576,2,0),IFERROR(VLOOKUP($C14,'5-COMP. PROPRIA'!$B$4:$I$7999,4,0),""))</f>
        <v>ENCARREGADO GERAL COM ENCARGOS COMPLEMENTARES</v>
      </c>
      <c r="F14" s="690"/>
      <c r="G14" s="690"/>
      <c r="H14" s="690"/>
      <c r="I14" s="690"/>
      <c r="J14" s="691"/>
      <c r="K14" s="267">
        <f>SUM(K16)</f>
        <v>1280</v>
      </c>
      <c r="L14" s="468" t="str">
        <f>IFERROR(VLOOKUP($C14,'SINAPI JULHO 2021'!$1:$1048576,3,0),IFERROR(VLOOKUP($C14,'5-COMP. PROPRIA'!$B$4:$I$7999,5,0),""))</f>
        <v>H</v>
      </c>
      <c r="M14" s="106"/>
      <c r="N14" s="53"/>
    </row>
    <row r="15" spans="2:17" ht="33.75" customHeight="1">
      <c r="B15" s="207"/>
      <c r="E15" s="42" t="s">
        <v>644</v>
      </c>
      <c r="F15" s="108"/>
      <c r="G15" s="143" t="s">
        <v>645</v>
      </c>
      <c r="H15" s="110" t="s">
        <v>673</v>
      </c>
      <c r="J15" s="52"/>
      <c r="M15" s="106"/>
      <c r="N15" s="53"/>
    </row>
    <row r="16" spans="2:17" ht="13.5" customHeight="1">
      <c r="B16" s="207"/>
      <c r="E16" s="57">
        <f>E10</f>
        <v>8</v>
      </c>
      <c r="F16" s="108"/>
      <c r="G16" s="37">
        <v>1</v>
      </c>
      <c r="H16" s="108">
        <f>8*5*4</f>
        <v>160</v>
      </c>
      <c r="J16" s="52"/>
      <c r="K16" s="266">
        <f>E16*G16*H16</f>
        <v>1280</v>
      </c>
      <c r="M16" s="106"/>
      <c r="N16" s="53"/>
    </row>
    <row r="17" spans="2:17" ht="13.5" customHeight="1">
      <c r="B17" s="207"/>
      <c r="E17" s="149"/>
      <c r="J17" s="52"/>
      <c r="M17" s="106"/>
      <c r="N17" s="53"/>
    </row>
    <row r="18" spans="2:17" ht="13.5" customHeight="1">
      <c r="B18" s="207"/>
      <c r="C18" s="45">
        <v>101460</v>
      </c>
      <c r="D18" s="68" t="s">
        <v>7</v>
      </c>
      <c r="E18" s="689" t="str">
        <f>IFERROR(VLOOKUP($C18,'SINAPI JULHO 2021'!$1:$1048576,2,0),IFERROR(VLOOKUP($C18,'5-COMP. PROPRIA'!$B$4:$I$7999,4,0),""))</f>
        <v>VIGIA DIURNO COM ENCARGOS COMPLEMENTARES</v>
      </c>
      <c r="F18" s="690"/>
      <c r="G18" s="690"/>
      <c r="H18" s="690"/>
      <c r="I18" s="690"/>
      <c r="J18" s="691"/>
      <c r="K18" s="267">
        <f>E10</f>
        <v>8</v>
      </c>
      <c r="L18" s="468" t="str">
        <f>IFERROR(VLOOKUP($C18,'SINAPI JULHO 2021'!$1:$1048576,3,0),IFERROR(VLOOKUP($C18,'5-COMP. PROPRIA'!$B$4:$I$7999,5,0),""))</f>
        <v>MES</v>
      </c>
      <c r="M18" s="119"/>
      <c r="N18" s="53"/>
      <c r="O18" s="349"/>
      <c r="P18" s="349"/>
      <c r="Q18" s="349"/>
    </row>
    <row r="19" spans="2:17" ht="13.5" customHeight="1">
      <c r="B19" s="207"/>
      <c r="E19" s="149"/>
      <c r="J19" s="52"/>
      <c r="M19" s="106"/>
      <c r="N19" s="53"/>
    </row>
    <row r="20" spans="2:17" ht="13.5" customHeight="1">
      <c r="B20" s="207"/>
      <c r="E20" s="149"/>
      <c r="J20" s="52"/>
      <c r="M20" s="106"/>
      <c r="N20" s="53"/>
    </row>
    <row r="21" spans="2:17" ht="13.5" customHeight="1">
      <c r="B21" s="207"/>
      <c r="C21" s="45">
        <v>88326</v>
      </c>
      <c r="D21" s="68" t="s">
        <v>7</v>
      </c>
      <c r="E21" s="689" t="str">
        <f>IFERROR(VLOOKUP($C21,'SINAPI JULHO 2021'!$1:$1048576,2,0),IFERROR(VLOOKUP($C21,'5-COMP. PROPRIA'!$B$4:$I$7999,4,0),""))</f>
        <v>VIGIA NOTURNO COM ENCARGOS COMPLEMENTARES</v>
      </c>
      <c r="F21" s="690"/>
      <c r="G21" s="690"/>
      <c r="H21" s="690"/>
      <c r="I21" s="690"/>
      <c r="J21" s="691"/>
      <c r="K21" s="267">
        <f>SUM(K23:K24)</f>
        <v>1440</v>
      </c>
      <c r="L21" s="468" t="str">
        <f>IFERROR(VLOOKUP($C21,'SINAPI JULHO 2021'!$1:$1048576,3,0),IFERROR(VLOOKUP($C21,'5-COMP. PROPRIA'!$B$4:$I$7999,5,0),""))</f>
        <v>H</v>
      </c>
      <c r="M21" s="106"/>
      <c r="N21" s="53"/>
    </row>
    <row r="22" spans="2:17" ht="51.75" customHeight="1">
      <c r="B22" s="207" t="s">
        <v>4300</v>
      </c>
      <c r="E22" s="144" t="s">
        <v>644</v>
      </c>
      <c r="F22" s="146" t="s">
        <v>4301</v>
      </c>
      <c r="G22" s="146" t="s">
        <v>4302</v>
      </c>
      <c r="H22" s="146" t="s">
        <v>4303</v>
      </c>
      <c r="I22" s="145" t="s">
        <v>645</v>
      </c>
      <c r="J22" s="52"/>
      <c r="M22" s="106"/>
      <c r="N22" s="53"/>
    </row>
    <row r="23" spans="2:17" ht="13.5" customHeight="1">
      <c r="B23" s="207" t="s">
        <v>4304</v>
      </c>
      <c r="E23" s="147">
        <f>E16</f>
        <v>8</v>
      </c>
      <c r="F23" s="30">
        <v>6</v>
      </c>
      <c r="G23" s="148">
        <v>22</v>
      </c>
      <c r="H23" s="30">
        <f>F23*G23</f>
        <v>132</v>
      </c>
      <c r="I23" s="148">
        <v>1</v>
      </c>
      <c r="J23" s="52"/>
      <c r="K23" s="170">
        <f>E23*I23*H23</f>
        <v>1056</v>
      </c>
      <c r="M23" s="106"/>
      <c r="N23" s="53"/>
    </row>
    <row r="24" spans="2:17" ht="13.5" customHeight="1">
      <c r="B24" s="207" t="s">
        <v>4305</v>
      </c>
      <c r="E24" s="147">
        <f>E23</f>
        <v>8</v>
      </c>
      <c r="F24" s="30">
        <v>6</v>
      </c>
      <c r="G24" s="148">
        <v>8</v>
      </c>
      <c r="H24" s="30">
        <f>F24*G24</f>
        <v>48</v>
      </c>
      <c r="I24" s="148">
        <v>1</v>
      </c>
      <c r="J24" s="52"/>
      <c r="K24" s="170">
        <f>E24*I24*H24</f>
        <v>384</v>
      </c>
      <c r="M24" s="106"/>
      <c r="N24" s="53"/>
    </row>
    <row r="25" spans="2:17" ht="13.5" customHeight="1" thickBot="1">
      <c r="B25" s="207"/>
      <c r="E25" s="149"/>
      <c r="J25" s="52"/>
      <c r="M25" s="106"/>
      <c r="N25" s="53"/>
    </row>
    <row r="26" spans="2:17" ht="13.5" thickBot="1">
      <c r="B26" s="392"/>
      <c r="C26" s="385"/>
      <c r="D26" s="393"/>
      <c r="E26" s="701" t="s">
        <v>651</v>
      </c>
      <c r="F26" s="702"/>
      <c r="G26" s="702"/>
      <c r="H26" s="702"/>
      <c r="I26" s="702"/>
      <c r="J26" s="703"/>
      <c r="K26" s="265"/>
      <c r="L26" s="467"/>
      <c r="M26" s="394"/>
      <c r="N26" s="395"/>
    </row>
    <row r="27" spans="2:17">
      <c r="B27" s="207"/>
      <c r="D27" s="17"/>
      <c r="E27" s="98"/>
      <c r="F27" s="108"/>
      <c r="G27" s="108"/>
      <c r="H27" s="108"/>
      <c r="I27" s="108"/>
      <c r="J27" s="52"/>
      <c r="K27" s="266"/>
      <c r="L27" s="33"/>
      <c r="M27" s="106"/>
      <c r="N27" s="53"/>
    </row>
    <row r="28" spans="2:17" ht="15">
      <c r="B28" s="207" t="s">
        <v>3505</v>
      </c>
      <c r="C28" s="239" t="str">
        <f>'5-COMP. PROPRIA'!B13</f>
        <v>CP-IP-01</v>
      </c>
      <c r="D28" s="137" t="s">
        <v>4271</v>
      </c>
      <c r="E28" s="689" t="str">
        <f>IFERROR(VLOOKUP($C28,'SINAPI JULHO 2021'!$1:$1048576,2,0),IFERROR(VLOOKUP($C28,'5-COMP. PROPRIA'!$B$4:$I$7999,4,0),""))</f>
        <v>PLACA DE OBRA EM CHAPA DE AÇO GALVANIZADO</v>
      </c>
      <c r="F28" s="690"/>
      <c r="G28" s="690"/>
      <c r="H28" s="690"/>
      <c r="I28" s="690"/>
      <c r="J28" s="691"/>
      <c r="K28" s="267">
        <f>SUM(K30:K30)</f>
        <v>6</v>
      </c>
      <c r="L28" s="468" t="str">
        <f>IFERROR(VLOOKUP($C28,'SINAPI JULHO 2021'!$1:$1048576,3,0),IFERROR(VLOOKUP($C28,'5-COMP. PROPRIA'!$B$4:$I$7999,5,0),""))</f>
        <v xml:space="preserve">M2    </v>
      </c>
      <c r="M28" s="106"/>
      <c r="N28" s="53"/>
      <c r="O28" s="350"/>
    </row>
    <row r="29" spans="2:17" ht="12.75" customHeight="1">
      <c r="B29" s="234"/>
      <c r="D29" s="17"/>
      <c r="E29" s="40" t="s">
        <v>637</v>
      </c>
      <c r="F29" s="100" t="s">
        <v>638</v>
      </c>
      <c r="G29" s="100" t="s">
        <v>636</v>
      </c>
      <c r="H29" s="101"/>
      <c r="I29" s="101"/>
      <c r="J29" s="43"/>
      <c r="K29" s="266"/>
      <c r="L29" s="33"/>
      <c r="M29" s="106"/>
      <c r="N29" s="53"/>
      <c r="O29" s="350"/>
    </row>
    <row r="30" spans="2:17" ht="15" customHeight="1">
      <c r="B30" s="207"/>
      <c r="C30" s="238"/>
      <c r="D30" s="29"/>
      <c r="E30" s="41">
        <v>3</v>
      </c>
      <c r="F30" s="37">
        <v>2</v>
      </c>
      <c r="G30" s="37">
        <v>1</v>
      </c>
      <c r="H30" s="101"/>
      <c r="I30" s="101"/>
      <c r="J30" s="55"/>
      <c r="K30" s="266">
        <f>E30*F30*G30-J30</f>
        <v>6</v>
      </c>
      <c r="L30" s="33"/>
      <c r="M30" s="106"/>
      <c r="N30" s="53"/>
      <c r="O30" s="350"/>
    </row>
    <row r="31" spans="2:17" ht="15" customHeight="1">
      <c r="B31" s="207"/>
      <c r="C31" s="238"/>
      <c r="D31" s="29"/>
      <c r="E31" s="98"/>
      <c r="F31" s="108"/>
      <c r="G31" s="108"/>
      <c r="H31" s="108"/>
      <c r="I31" s="108"/>
      <c r="J31" s="52"/>
      <c r="K31" s="266"/>
      <c r="L31" s="33"/>
      <c r="M31" s="106"/>
      <c r="N31" s="53"/>
      <c r="O31" s="350"/>
    </row>
    <row r="32" spans="2:17" ht="15">
      <c r="B32" s="207" t="s">
        <v>7134</v>
      </c>
      <c r="C32" s="45">
        <v>98459</v>
      </c>
      <c r="D32" s="68" t="s">
        <v>7</v>
      </c>
      <c r="E32" s="689" t="str">
        <f>IFERROR(VLOOKUP($C32,'SINAPI JULHO 2021'!$1:$1048576,2,0),IFERROR(VLOOKUP($C32,'5-COMP. PROPRIA'!$B$4:$I$7999,4,0),""))</f>
        <v>TAPUME COM TELHA METÁLICA. AF_05/2018</v>
      </c>
      <c r="F32" s="690"/>
      <c r="G32" s="690"/>
      <c r="H32" s="690"/>
      <c r="I32" s="690"/>
      <c r="J32" s="691"/>
      <c r="K32" s="267">
        <f>E268*2</f>
        <v>408.5</v>
      </c>
      <c r="L32" s="468" t="str">
        <f>IFERROR(VLOOKUP($C32,'SINAPI JULHO 2021'!$1:$1048576,3,0),IFERROR(VLOOKUP($C32,'5-COMP. PROPRIA'!$B$4:$I$7999,5,0),""))</f>
        <v>M2</v>
      </c>
      <c r="M32" s="274"/>
      <c r="N32" s="282"/>
      <c r="O32" s="350"/>
    </row>
    <row r="33" spans="2:14" ht="28.5" customHeight="1">
      <c r="B33" s="207"/>
      <c r="C33" s="45">
        <v>93243</v>
      </c>
      <c r="D33" s="68" t="s">
        <v>7</v>
      </c>
      <c r="E33" s="689" t="str">
        <f>IFERROR(VLOOKUP($C33,'SINAPI JULHO 2021'!$1:$1048576,2,0),IFERROR(VLOOKUP($C33,'5-COMP. PROPRIA'!$B$4:$I$7999,4,0),""))</f>
        <v>EXECUÇÃO DE RESERVATÓRIO ELEVADO DE ÁGUA (2000 LITROS) EM CANTEIRO DE OBRA, APOIADO EM ESTRUTURA DE MADEIRA. AF_02/2016</v>
      </c>
      <c r="F33" s="690"/>
      <c r="G33" s="690"/>
      <c r="H33" s="690"/>
      <c r="I33" s="690"/>
      <c r="J33" s="691"/>
      <c r="K33" s="267">
        <v>1</v>
      </c>
      <c r="L33" s="468" t="str">
        <f>IFERROR(VLOOKUP($C33,'SINAPI JULHO 2021'!$1:$1048576,3,0),IFERROR(VLOOKUP($C33,'5-COMP. PROPRIA'!$B$4:$I$7999,5,0),""))</f>
        <v>UN</v>
      </c>
      <c r="M33" s="106"/>
      <c r="N33" s="53"/>
    </row>
    <row r="34" spans="2:14" ht="15">
      <c r="B34" s="207"/>
      <c r="C34" s="239" t="str">
        <f>'5-COMP. PROPRIA'!B22</f>
        <v>CP-IP-02</v>
      </c>
      <c r="D34" s="68" t="s">
        <v>4271</v>
      </c>
      <c r="E34" s="689" t="str">
        <f>IFERROR(VLOOKUP($C34,'SINAPI JULHO 2021'!$1:$1048576,2,0),IFERROR(VLOOKUP($C34,'5-COMP. PROPRIA'!$B$4:$I$7999,4,0),""))</f>
        <v>ENTRADA PROVISÓRIA DE ENERGIA - FORNECIMENTO E INSTALAÇÃO</v>
      </c>
      <c r="F34" s="690"/>
      <c r="G34" s="690"/>
      <c r="H34" s="690"/>
      <c r="I34" s="690"/>
      <c r="J34" s="691"/>
      <c r="K34" s="267">
        <v>1</v>
      </c>
      <c r="L34" s="468" t="str">
        <f>IFERROR(VLOOKUP($C34,'SINAPI JULHO 2021'!$1:$1048576,3,0),IFERROR(VLOOKUP($C34,'5-COMP. PROPRIA'!$B$4:$I$7999,5,0),""))</f>
        <v>UN</v>
      </c>
      <c r="M34" s="106"/>
      <c r="N34" s="53"/>
    </row>
    <row r="35" spans="2:14" ht="33" customHeight="1" thickBot="1">
      <c r="B35" s="207"/>
      <c r="C35" s="239" t="str">
        <f>'5-COMP. PROPRIA'!B26</f>
        <v>CP-IP-03</v>
      </c>
      <c r="D35" s="68" t="s">
        <v>4271</v>
      </c>
      <c r="E35" s="689" t="str">
        <f>IFERROR(VLOOKUP($C35,'SINAPI JULHO 2021'!$1:$1048576,2,0),IFERROR(VLOOKUP($C35,'5-COMP. PROPRIA'!$B$4:$I$7999,4,0),""))</f>
        <v>LOCAÇÃO DE 3 CONTAINERS - 1 CONTAINER PARA ESCRITÓRIO COM SANITÁRIO, 1 CONTAINER PARA ALMOXARIFE E 1 CONTAINER PARA BANHEIRO COM BACIAS E LAVATORIOS</v>
      </c>
      <c r="F35" s="690"/>
      <c r="G35" s="690"/>
      <c r="H35" s="690"/>
      <c r="I35" s="690"/>
      <c r="J35" s="691"/>
      <c r="K35" s="267">
        <f>E24</f>
        <v>8</v>
      </c>
      <c r="L35" s="468" t="str">
        <f>IFERROR(VLOOKUP($C35,'SINAPI JULHO 2021'!$1:$1048576,3,0),IFERROR(VLOOKUP($C35,'5-COMP. PROPRIA'!$B$4:$I$7999,5,0),""))</f>
        <v>MÊS</v>
      </c>
      <c r="M35" s="106"/>
      <c r="N35" s="53"/>
    </row>
    <row r="36" spans="2:14" ht="13.5" thickBot="1">
      <c r="B36" s="207"/>
      <c r="D36" s="17"/>
      <c r="E36" s="701" t="s">
        <v>675</v>
      </c>
      <c r="F36" s="702"/>
      <c r="G36" s="702"/>
      <c r="H36" s="702"/>
      <c r="I36" s="702"/>
      <c r="J36" s="703"/>
      <c r="K36" s="154"/>
      <c r="L36" s="33"/>
      <c r="M36" s="106"/>
      <c r="N36" s="53"/>
    </row>
    <row r="37" spans="2:14">
      <c r="B37" s="207"/>
      <c r="D37" s="17"/>
      <c r="E37" s="98"/>
      <c r="F37" s="108"/>
      <c r="G37" s="108"/>
      <c r="H37" s="108"/>
      <c r="I37" s="108"/>
      <c r="J37" s="52"/>
      <c r="K37" s="154"/>
      <c r="L37" s="33"/>
      <c r="M37" s="106"/>
      <c r="N37" s="53"/>
    </row>
    <row r="38" spans="2:14" ht="25.5">
      <c r="B38" s="207" t="s">
        <v>6750</v>
      </c>
      <c r="C38" s="45">
        <v>97637</v>
      </c>
      <c r="D38" s="68" t="s">
        <v>7</v>
      </c>
      <c r="E38" s="689" t="str">
        <f>IFERROR(VLOOKUP($C38,'SINAPI JULHO 2021'!$1:$1048576,2,0),IFERROR(VLOOKUP($C38,'5-COMP. PROPRIA'!$B$4:$I$7999,4,0),""))</f>
        <v>REMOÇÃO DE TAPUME/ CHAPAS METÁLICAS E DE MADEIRA, DE FORMA MANUAL, SEM REAPROVEITAMENTO. AF_12/2017</v>
      </c>
      <c r="F38" s="690"/>
      <c r="G38" s="690"/>
      <c r="H38" s="690"/>
      <c r="I38" s="690"/>
      <c r="J38" s="691"/>
      <c r="K38" s="267">
        <f>K32</f>
        <v>408.5</v>
      </c>
      <c r="L38" s="468" t="str">
        <f>IFERROR(VLOOKUP($C38,'SINAPI JULHO 2021'!$1:$1048576,3,0),IFERROR(VLOOKUP($C38,'5-COMP. PROPRIA'!$B$4:$I$7999,5,0),""))</f>
        <v>M2</v>
      </c>
      <c r="M38" s="106"/>
      <c r="N38" s="53"/>
    </row>
    <row r="39" spans="2:14">
      <c r="B39" s="207"/>
      <c r="D39" s="17"/>
      <c r="E39" s="98"/>
      <c r="F39" s="108"/>
      <c r="G39" s="108"/>
      <c r="H39" s="108"/>
      <c r="I39" s="108"/>
      <c r="J39" s="52"/>
      <c r="K39" s="154"/>
      <c r="L39" s="33"/>
      <c r="M39" s="106"/>
      <c r="N39" s="53"/>
    </row>
    <row r="40" spans="2:14" ht="15">
      <c r="B40" s="207"/>
      <c r="C40" s="239" t="s">
        <v>4272</v>
      </c>
      <c r="D40" s="48" t="s">
        <v>4271</v>
      </c>
      <c r="E40" s="719" t="str">
        <f>IFERROR(VLOOKUP($C40,'SINAPI JULHO 2021'!$1:$1048576,2,0),IFERROR(VLOOKUP($C40,'5-COMP. PROPRIA'!$B$4:$I$7999,4,0),""))</f>
        <v>DEMOLIÇÃO DE CONCRETO SIMPLES</v>
      </c>
      <c r="F40" s="720"/>
      <c r="G40" s="720"/>
      <c r="H40" s="720"/>
      <c r="I40" s="720"/>
      <c r="J40" s="721"/>
      <c r="K40" s="267">
        <f>SUM(K42:K45)</f>
        <v>132.10499999999999</v>
      </c>
      <c r="L40" s="468" t="str">
        <f>IFERROR(VLOOKUP($C40,'SINAPI JULHO 2021'!$1:$1048576,3,0),IFERROR(VLOOKUP($C40,'5-COMP. PROPRIA'!$B$4:$I$7999,5,0),""))</f>
        <v>M3</v>
      </c>
      <c r="M40" s="226"/>
      <c r="N40" s="53"/>
    </row>
    <row r="41" spans="2:14" ht="27.75" customHeight="1">
      <c r="B41" s="207"/>
      <c r="D41" s="17"/>
      <c r="E41" s="44" t="s">
        <v>668</v>
      </c>
      <c r="F41" s="33" t="s">
        <v>669</v>
      </c>
      <c r="G41" s="108" t="s">
        <v>650</v>
      </c>
      <c r="H41" s="33" t="s">
        <v>646</v>
      </c>
      <c r="I41" s="108"/>
      <c r="J41" s="52"/>
      <c r="K41" s="154"/>
      <c r="L41" s="33"/>
      <c r="M41" s="106"/>
      <c r="N41" s="53"/>
    </row>
    <row r="42" spans="2:14">
      <c r="B42" s="489" t="s">
        <v>7359</v>
      </c>
      <c r="D42" s="17"/>
      <c r="E42" s="51">
        <v>238.9</v>
      </c>
      <c r="F42" s="37">
        <v>3</v>
      </c>
      <c r="G42" s="37">
        <v>0.15</v>
      </c>
      <c r="H42" s="37">
        <v>1</v>
      </c>
      <c r="I42" s="108"/>
      <c r="J42" s="52"/>
      <c r="K42" s="154">
        <f>H42*G42*F42*E42</f>
        <v>107.505</v>
      </c>
      <c r="L42" s="33"/>
      <c r="M42" s="106"/>
      <c r="N42" s="53"/>
    </row>
    <row r="43" spans="2:14">
      <c r="B43" s="489" t="s">
        <v>7365</v>
      </c>
      <c r="D43" s="17"/>
      <c r="E43" s="51">
        <v>50</v>
      </c>
      <c r="F43" s="383">
        <v>3</v>
      </c>
      <c r="G43" s="383">
        <v>0.08</v>
      </c>
      <c r="H43" s="383">
        <v>1</v>
      </c>
      <c r="I43" s="108"/>
      <c r="J43" s="52"/>
      <c r="K43" s="154">
        <f>H43*G43*F43*E43</f>
        <v>12</v>
      </c>
      <c r="L43" s="33"/>
      <c r="M43" s="106"/>
      <c r="N43" s="53"/>
    </row>
    <row r="44" spans="2:14">
      <c r="B44" s="489" t="s">
        <v>7366</v>
      </c>
      <c r="D44" s="17"/>
      <c r="E44" s="51">
        <v>70</v>
      </c>
      <c r="F44" s="383">
        <v>1.3</v>
      </c>
      <c r="G44" s="383">
        <v>0.08</v>
      </c>
      <c r="H44" s="383">
        <v>1</v>
      </c>
      <c r="I44" s="108"/>
      <c r="J44" s="52"/>
      <c r="K44" s="154">
        <f>H44*G44*F44*E44</f>
        <v>7.28</v>
      </c>
      <c r="L44" s="33"/>
      <c r="M44" s="106"/>
      <c r="N44" s="53"/>
    </row>
    <row r="45" spans="2:14" ht="30" customHeight="1">
      <c r="B45" s="489" t="s">
        <v>7360</v>
      </c>
      <c r="D45" s="17"/>
      <c r="E45" s="51">
        <f>53.2</f>
        <v>53.2</v>
      </c>
      <c r="F45" s="383">
        <v>1</v>
      </c>
      <c r="G45" s="383">
        <v>0.1</v>
      </c>
      <c r="H45" s="383">
        <v>1</v>
      </c>
      <c r="I45" s="108"/>
      <c r="J45" s="52"/>
      <c r="K45" s="154">
        <f>H45*G45*F45*E45</f>
        <v>5.32</v>
      </c>
      <c r="L45" s="33"/>
      <c r="M45" s="106"/>
      <c r="N45" s="53"/>
    </row>
    <row r="46" spans="2:14">
      <c r="B46" s="207"/>
      <c r="D46" s="17"/>
      <c r="E46" s="59"/>
      <c r="F46" s="31"/>
      <c r="G46" s="31"/>
      <c r="H46" s="31"/>
      <c r="I46" s="108"/>
      <c r="J46" s="52"/>
      <c r="K46" s="154"/>
      <c r="L46" s="33"/>
      <c r="M46" s="106"/>
      <c r="N46" s="53"/>
    </row>
    <row r="47" spans="2:14" ht="15">
      <c r="B47" s="207"/>
      <c r="C47" s="45">
        <v>98524</v>
      </c>
      <c r="D47" s="48" t="s">
        <v>7</v>
      </c>
      <c r="E47" s="689" t="str">
        <f>IFERROR(VLOOKUP($C47,'SINAPI JULHO 2021'!$1:$1048576,2,0),IFERROR(VLOOKUP($C47,'5-COMP. PROPRIA'!$B$4:$I$7999,4,0),""))</f>
        <v>LIMPEZA MANUAL DE VEGETAÇÃO EM TERRENO COM ENXADA.AF_05/2018</v>
      </c>
      <c r="F47" s="690"/>
      <c r="G47" s="690"/>
      <c r="H47" s="690"/>
      <c r="I47" s="690"/>
      <c r="J47" s="691"/>
      <c r="K47" s="267">
        <v>3200</v>
      </c>
      <c r="L47" s="468" t="str">
        <f>IFERROR(VLOOKUP($C47,'SINAPI JULHO 2021'!$1:$1048576,3,0),IFERROR(VLOOKUP($C47,'5-COMP. PROPRIA'!$B$4:$I$7999,5,0),""))</f>
        <v>M2</v>
      </c>
      <c r="M47" s="116">
        <f>K47*0.01</f>
        <v>32</v>
      </c>
      <c r="N47" s="53"/>
    </row>
    <row r="48" spans="2:14">
      <c r="B48" s="207"/>
      <c r="D48" s="17"/>
      <c r="E48" s="59"/>
      <c r="F48" s="31"/>
      <c r="G48" s="31"/>
      <c r="H48" s="31"/>
      <c r="I48" s="108"/>
      <c r="J48" s="52"/>
      <c r="K48" s="154"/>
      <c r="L48" s="33"/>
      <c r="M48" s="106"/>
      <c r="N48" s="53"/>
    </row>
    <row r="49" spans="2:14" ht="36.75" customHeight="1">
      <c r="B49" s="207"/>
      <c r="C49" s="239">
        <v>100981</v>
      </c>
      <c r="D49" s="48" t="s">
        <v>7</v>
      </c>
      <c r="E49" s="689" t="str">
        <f>IFERROR(VLOOKUP($C49,'SINAPI JULHO 2021'!$1:$1048576,2,0),IFERROR(VLOOKUP($C49,'5-COMP. PROPRIA'!$B$4:$I$7999,4,0),""))</f>
        <v>CARGA, MANOBRA E DESCARGA DE ENTULHO EM CAMINHÃO BASCULANTE 6 M³ - CARGA COM ESCAVADEIRA HIDRÁULICA  (CAÇAMBA DE 0,80 M³ / 111 HP) E DESCARGA LIVRE (UNIDADE: M3). AF_07/2020</v>
      </c>
      <c r="F49" s="690"/>
      <c r="G49" s="690"/>
      <c r="H49" s="690"/>
      <c r="I49" s="690"/>
      <c r="J49" s="691"/>
      <c r="K49" s="267">
        <f>E51*H51</f>
        <v>213.3365</v>
      </c>
      <c r="L49" s="468" t="str">
        <f>IFERROR(VLOOKUP($C49,'SINAPI JULHO 2021'!$1:$1048576,3,0),IFERROR(VLOOKUP($C49,'5-COMP. PROPRIA'!$B$4:$I$7999,5,0),""))</f>
        <v>M3</v>
      </c>
      <c r="M49" s="106"/>
      <c r="N49" s="53"/>
    </row>
    <row r="50" spans="2:14" ht="54" customHeight="1">
      <c r="B50" s="207" t="s">
        <v>4276</v>
      </c>
      <c r="D50" s="17"/>
      <c r="E50" s="115" t="s">
        <v>4274</v>
      </c>
      <c r="F50" s="13"/>
      <c r="G50" s="13"/>
      <c r="H50" s="35" t="s">
        <v>4275</v>
      </c>
      <c r="I50" s="100"/>
      <c r="J50" s="43"/>
      <c r="K50" s="180"/>
      <c r="L50" s="441"/>
      <c r="M50" s="106"/>
      <c r="N50" s="53"/>
    </row>
    <row r="51" spans="2:14" ht="28.5" customHeight="1">
      <c r="B51" s="207" t="s">
        <v>4277</v>
      </c>
      <c r="D51" s="17"/>
      <c r="E51" s="57">
        <f>K40+M47</f>
        <v>164.10499999999999</v>
      </c>
      <c r="F51" s="107"/>
      <c r="G51" s="107"/>
      <c r="H51" s="38">
        <v>1.3</v>
      </c>
      <c r="I51" s="107"/>
      <c r="J51" s="104"/>
      <c r="K51" s="180"/>
      <c r="L51" s="441"/>
      <c r="M51" s="106"/>
      <c r="N51" s="53"/>
    </row>
    <row r="52" spans="2:14" ht="12.75" customHeight="1">
      <c r="B52" s="207"/>
      <c r="D52" s="17"/>
      <c r="E52" s="58"/>
      <c r="F52" s="107"/>
      <c r="G52" s="107"/>
      <c r="H52" s="107"/>
      <c r="I52" s="107"/>
      <c r="J52" s="104"/>
      <c r="K52" s="180"/>
      <c r="L52" s="441"/>
      <c r="M52" s="106"/>
      <c r="N52" s="53"/>
    </row>
    <row r="53" spans="2:14" ht="35.25" customHeight="1">
      <c r="B53" s="207"/>
      <c r="C53" s="239">
        <v>97914</v>
      </c>
      <c r="D53" s="48" t="s">
        <v>7</v>
      </c>
      <c r="E53" s="689" t="str">
        <f>IFERROR(VLOOKUP($C53,'SINAPI JULHO 2021'!$1:$1048576,2,0),IFERROR(VLOOKUP($C53,'5-COMP. PROPRIA'!$B$4:$I$7999,4,0),""))</f>
        <v>TRANSPORTE COM CAMINHÃO BASCULANTE DE 6 M³, EM VIA URBANA PAVIMENTADA, DMT ATÉ 30 KM (UNIDADE: M3XKM). AF_07/2020</v>
      </c>
      <c r="F53" s="690"/>
      <c r="G53" s="690"/>
      <c r="H53" s="690"/>
      <c r="I53" s="690"/>
      <c r="J53" s="691"/>
      <c r="K53" s="267">
        <f>K55</f>
        <v>2133.3649999999998</v>
      </c>
      <c r="L53" s="468" t="str">
        <f>IFERROR(VLOOKUP($C53,'SINAPI JULHO 2021'!$1:$1048576,3,0),IFERROR(VLOOKUP($C53,'5-COMP. PROPRIA'!$B$4:$I$7999,5,0),""))</f>
        <v>M3XKM</v>
      </c>
      <c r="M53" s="106"/>
      <c r="N53" s="53"/>
    </row>
    <row r="54" spans="2:14" ht="12.75" customHeight="1">
      <c r="B54" s="207"/>
      <c r="D54" s="17"/>
      <c r="E54" s="58" t="s">
        <v>647</v>
      </c>
      <c r="F54" s="107"/>
      <c r="G54" s="107"/>
      <c r="H54" s="107" t="s">
        <v>648</v>
      </c>
      <c r="I54" s="107"/>
      <c r="J54" s="104"/>
      <c r="K54" s="180"/>
      <c r="L54" s="441"/>
      <c r="M54" s="106"/>
      <c r="N54" s="53"/>
    </row>
    <row r="55" spans="2:14" ht="33.75" customHeight="1">
      <c r="B55" s="207" t="s">
        <v>4278</v>
      </c>
      <c r="D55" s="17"/>
      <c r="E55" s="57">
        <f>K49</f>
        <v>213.3365</v>
      </c>
      <c r="F55" s="107"/>
      <c r="G55" s="107"/>
      <c r="H55" s="38">
        <v>10</v>
      </c>
      <c r="I55" s="107"/>
      <c r="J55" s="104"/>
      <c r="K55" s="180">
        <f>H55*E55</f>
        <v>2133.3649999999998</v>
      </c>
      <c r="L55" s="441"/>
      <c r="M55" s="106"/>
      <c r="N55" s="53"/>
    </row>
    <row r="56" spans="2:14" ht="12.75" customHeight="1" thickBot="1">
      <c r="B56" s="207"/>
      <c r="D56" s="17"/>
      <c r="E56" s="58"/>
      <c r="F56" s="107"/>
      <c r="G56" s="107"/>
      <c r="H56" s="107"/>
      <c r="I56" s="107"/>
      <c r="J56" s="104"/>
      <c r="K56" s="180"/>
      <c r="L56" s="441"/>
      <c r="M56" s="106"/>
      <c r="N56" s="53"/>
    </row>
    <row r="57" spans="2:14" ht="12.75" customHeight="1" thickBot="1">
      <c r="B57" s="207" t="s">
        <v>4470</v>
      </c>
      <c r="D57" s="137"/>
      <c r="E57" s="710" t="s">
        <v>4453</v>
      </c>
      <c r="F57" s="711"/>
      <c r="G57" s="711"/>
      <c r="H57" s="711"/>
      <c r="I57" s="711"/>
      <c r="J57" s="712"/>
      <c r="K57" s="180"/>
      <c r="L57" s="441"/>
      <c r="M57" s="106"/>
      <c r="N57" s="53"/>
    </row>
    <row r="58" spans="2:14" ht="13.5" thickBot="1">
      <c r="B58" s="207"/>
      <c r="D58" s="137"/>
      <c r="E58" s="710" t="s">
        <v>4282</v>
      </c>
      <c r="F58" s="711"/>
      <c r="G58" s="711"/>
      <c r="H58" s="711"/>
      <c r="I58" s="711"/>
      <c r="J58" s="712"/>
      <c r="K58" s="180"/>
      <c r="L58" s="441"/>
      <c r="M58" s="106"/>
      <c r="N58" s="53"/>
    </row>
    <row r="59" spans="2:14" ht="13.5" thickBot="1">
      <c r="B59" s="207"/>
      <c r="D59" s="137"/>
      <c r="E59" s="713" t="s">
        <v>13036</v>
      </c>
      <c r="F59" s="714"/>
      <c r="G59" s="714"/>
      <c r="H59" s="714"/>
      <c r="I59" s="714"/>
      <c r="J59" s="715"/>
      <c r="K59" s="180"/>
      <c r="L59" s="441"/>
      <c r="M59" s="106"/>
      <c r="N59" s="53"/>
    </row>
    <row r="60" spans="2:14" ht="27.75" customHeight="1">
      <c r="B60" s="207"/>
      <c r="C60" s="45">
        <v>96521</v>
      </c>
      <c r="D60" s="48" t="s">
        <v>7</v>
      </c>
      <c r="E60" s="689" t="str">
        <f>IFERROR(VLOOKUP($C60,'SINAPI JULHO 2021'!$1:$1048576,2,0),IFERROR(VLOOKUP($C60,'5-COMP. PROPRIA'!$B$4:$I$7999,4,0),""))</f>
        <v>ESCAVAÇÃO MECANIZADA PARA BLOCO DE COROAMENTO OU SAPATA, COM PREVISÃO DE FÔRMA, COM RETROESCAVADEIRA. AF_06/2017</v>
      </c>
      <c r="F60" s="690"/>
      <c r="G60" s="690"/>
      <c r="H60" s="690"/>
      <c r="I60" s="690"/>
      <c r="J60" s="691"/>
      <c r="K60" s="267">
        <f>SUM(K62:K63)</f>
        <v>34.755000000000003</v>
      </c>
      <c r="L60" s="468" t="str">
        <f>IFERROR(VLOOKUP($C60,'SINAPI JULHO 2021'!$1:$1048576,3,0),IFERROR(VLOOKUP($C60,'5-COMP. PROPRIA'!$B$4:$I$7999,5,0),""))</f>
        <v>M3</v>
      </c>
      <c r="M60" s="106"/>
      <c r="N60" s="53"/>
    </row>
    <row r="61" spans="2:14" ht="25.5">
      <c r="B61" s="207"/>
      <c r="D61" s="17"/>
      <c r="E61" s="155" t="s">
        <v>4454</v>
      </c>
      <c r="F61" s="156" t="s">
        <v>4455</v>
      </c>
      <c r="G61" s="156" t="s">
        <v>4456</v>
      </c>
      <c r="H61" s="156" t="s">
        <v>4457</v>
      </c>
      <c r="I61" s="156"/>
      <c r="J61" s="157"/>
      <c r="K61" s="154"/>
      <c r="L61" s="441"/>
      <c r="M61" s="106"/>
      <c r="N61" s="53"/>
    </row>
    <row r="62" spans="2:14" ht="12.75" customHeight="1">
      <c r="B62" s="207"/>
      <c r="D62" s="17"/>
      <c r="E62" s="158">
        <f>0.75+0.4</f>
        <v>1.1499999999999999</v>
      </c>
      <c r="F62" s="159">
        <f>0.65+0.4</f>
        <v>1.05</v>
      </c>
      <c r="G62" s="159">
        <v>2</v>
      </c>
      <c r="H62" s="159">
        <v>1</v>
      </c>
      <c r="I62" s="159"/>
      <c r="J62" s="160"/>
      <c r="K62" s="154">
        <f>E62*F62*G62*H62</f>
        <v>2.415</v>
      </c>
      <c r="L62" s="441"/>
      <c r="M62" s="106"/>
      <c r="N62" s="53"/>
    </row>
    <row r="63" spans="2:14" ht="12.75" customHeight="1">
      <c r="B63" s="207"/>
      <c r="D63" s="17"/>
      <c r="E63" s="158">
        <f>0.7+0.4</f>
        <v>1.1000000000000001</v>
      </c>
      <c r="F63" s="333">
        <f>0.65+0.4</f>
        <v>1.05</v>
      </c>
      <c r="G63" s="333">
        <v>2</v>
      </c>
      <c r="H63" s="333">
        <v>14</v>
      </c>
      <c r="I63" s="333"/>
      <c r="J63" s="160"/>
      <c r="K63" s="154">
        <f>E63*F63*G63*H63</f>
        <v>32.340000000000003</v>
      </c>
      <c r="L63" s="441"/>
      <c r="M63" s="106"/>
      <c r="N63" s="53"/>
    </row>
    <row r="64" spans="2:14" ht="12.75" customHeight="1">
      <c r="B64" s="207"/>
      <c r="D64" s="17"/>
      <c r="E64" s="161"/>
      <c r="F64" s="162"/>
      <c r="G64" s="162"/>
      <c r="H64" s="162"/>
      <c r="I64" s="162"/>
      <c r="J64" s="163"/>
      <c r="K64" s="154"/>
      <c r="L64" s="441"/>
      <c r="M64" s="106"/>
      <c r="N64" s="53"/>
    </row>
    <row r="65" spans="2:14" ht="30" customHeight="1">
      <c r="B65" s="207"/>
      <c r="C65" s="45">
        <v>96535</v>
      </c>
      <c r="D65" s="48" t="s">
        <v>7</v>
      </c>
      <c r="E65" s="689" t="str">
        <f>IFERROR(VLOOKUP($C65,'SINAPI JULHO 2021'!$1:$1048576,2,0),IFERROR(VLOOKUP($C65,'5-COMP. PROPRIA'!$B$4:$I$7999,4,0),""))</f>
        <v>FABRICAÇÃO, MONTAGEM E DESMONTAGEM DE FÔRMA PARA SAPATA, EM MADEIRA SERRADA, E=25 MM, 4 UTILIZAÇÕES. AF_06/2017</v>
      </c>
      <c r="F65" s="690"/>
      <c r="G65" s="690"/>
      <c r="H65" s="690"/>
      <c r="I65" s="690"/>
      <c r="J65" s="691"/>
      <c r="K65" s="267">
        <f>SUM(K67:K68)</f>
        <v>16.240000000000002</v>
      </c>
      <c r="L65" s="468" t="str">
        <f>IFERROR(VLOOKUP($C65,'SINAPI JULHO 2021'!$1:$1048576,3,0),IFERROR(VLOOKUP($C65,'5-COMP. PROPRIA'!$B$4:$I$7999,5,0),""))</f>
        <v>M2</v>
      </c>
      <c r="M65" s="66"/>
      <c r="N65" s="56"/>
    </row>
    <row r="66" spans="2:14" ht="29.25" customHeight="1">
      <c r="B66" s="207"/>
      <c r="D66" s="17"/>
      <c r="E66" s="161" t="s">
        <v>4454</v>
      </c>
      <c r="F66" s="162" t="s">
        <v>4455</v>
      </c>
      <c r="G66" s="156" t="s">
        <v>4456</v>
      </c>
      <c r="H66" s="156" t="s">
        <v>4457</v>
      </c>
      <c r="I66" s="162"/>
      <c r="J66" s="163"/>
      <c r="K66" s="154"/>
      <c r="L66" s="441"/>
      <c r="M66" s="106"/>
      <c r="N66" s="53"/>
    </row>
    <row r="67" spans="2:14" ht="12.75" customHeight="1">
      <c r="B67" s="207"/>
      <c r="D67" s="17"/>
      <c r="E67" s="158">
        <v>0.75</v>
      </c>
      <c r="F67" s="159">
        <v>0.65</v>
      </c>
      <c r="G67" s="159">
        <v>0.4</v>
      </c>
      <c r="H67" s="159">
        <f>H62</f>
        <v>1</v>
      </c>
      <c r="I67" s="159"/>
      <c r="J67" s="160"/>
      <c r="K67" s="154">
        <f>((E67+F67)*2)*G67*H67</f>
        <v>1.1199999999999999</v>
      </c>
      <c r="L67" s="441"/>
      <c r="M67" s="106"/>
      <c r="N67" s="53"/>
    </row>
    <row r="68" spans="2:14" ht="12.75" customHeight="1">
      <c r="B68" s="207"/>
      <c r="D68" s="17"/>
      <c r="E68" s="158">
        <v>0.7</v>
      </c>
      <c r="F68" s="284">
        <v>0.65</v>
      </c>
      <c r="G68" s="284">
        <v>0.4</v>
      </c>
      <c r="H68" s="333">
        <f>H63</f>
        <v>14</v>
      </c>
      <c r="I68" s="284"/>
      <c r="J68" s="160"/>
      <c r="K68" s="154">
        <f>((E68+F68)*2)*G68*H68</f>
        <v>15.120000000000001</v>
      </c>
      <c r="L68" s="441"/>
      <c r="M68" s="106"/>
      <c r="N68" s="53"/>
    </row>
    <row r="69" spans="2:14" ht="12.75" customHeight="1">
      <c r="B69" s="207"/>
      <c r="D69" s="17"/>
      <c r="E69" s="161"/>
      <c r="F69" s="162"/>
      <c r="G69" s="162"/>
      <c r="H69" s="162"/>
      <c r="I69" s="162"/>
      <c r="J69" s="163"/>
      <c r="K69" s="154"/>
      <c r="L69" s="441"/>
      <c r="M69" s="106"/>
      <c r="N69" s="53"/>
    </row>
    <row r="70" spans="2:14" ht="28.5" customHeight="1">
      <c r="B70" s="207"/>
      <c r="C70" s="45">
        <v>96619</v>
      </c>
      <c r="D70" s="48" t="s">
        <v>7</v>
      </c>
      <c r="E70" s="689" t="str">
        <f>IFERROR(VLOOKUP($C70,'SINAPI JULHO 2021'!$1:$1048576,2,0),IFERROR(VLOOKUP($C70,'5-COMP. PROPRIA'!$B$4:$I$7999,4,0),""))</f>
        <v>LASTRO DE CONCRETO MAGRO, APLICADO EM BLOCOS DE COROAMENTO OU SAPATAS, ESPESSURA DE 5 CM. AF_08/2017</v>
      </c>
      <c r="F70" s="690"/>
      <c r="G70" s="690"/>
      <c r="H70" s="690"/>
      <c r="I70" s="690"/>
      <c r="J70" s="691"/>
      <c r="K70" s="267">
        <f>SUM(K72:K73)</f>
        <v>6.857499999999999</v>
      </c>
      <c r="L70" s="468" t="str">
        <f>IFERROR(VLOOKUP($C70,'SINAPI JULHO 2021'!$1:$1048576,3,0),IFERROR(VLOOKUP($C70,'5-COMP. PROPRIA'!$B$4:$I$7999,5,0),""))</f>
        <v>M2</v>
      </c>
      <c r="M70" s="106"/>
      <c r="N70" s="53"/>
    </row>
    <row r="71" spans="2:14" ht="25.5" customHeight="1">
      <c r="B71" s="207"/>
      <c r="D71" s="17"/>
      <c r="E71" s="164" t="s">
        <v>4454</v>
      </c>
      <c r="F71" s="145" t="s">
        <v>4455</v>
      </c>
      <c r="G71" s="145"/>
      <c r="H71" s="146" t="s">
        <v>4457</v>
      </c>
      <c r="J71" s="163"/>
      <c r="K71" s="154"/>
      <c r="L71" s="441"/>
      <c r="M71" s="106"/>
      <c r="N71" s="53"/>
    </row>
    <row r="72" spans="2:14" ht="12.75" customHeight="1">
      <c r="B72" s="207"/>
      <c r="D72" s="17"/>
      <c r="E72" s="165">
        <f>E67</f>
        <v>0.75</v>
      </c>
      <c r="F72" s="166">
        <f>F67</f>
        <v>0.65</v>
      </c>
      <c r="G72" s="333"/>
      <c r="H72" s="166">
        <f>H67</f>
        <v>1</v>
      </c>
      <c r="J72" s="163"/>
      <c r="K72" s="154">
        <f>E72*F72*H72</f>
        <v>0.48750000000000004</v>
      </c>
      <c r="L72" s="441"/>
      <c r="M72" s="106"/>
      <c r="N72" s="53"/>
    </row>
    <row r="73" spans="2:14" ht="12.75" customHeight="1">
      <c r="B73" s="207"/>
      <c r="D73" s="17"/>
      <c r="E73" s="165">
        <f>E68</f>
        <v>0.7</v>
      </c>
      <c r="F73" s="166">
        <f>F68</f>
        <v>0.65</v>
      </c>
      <c r="G73" s="333"/>
      <c r="H73" s="166">
        <f>H68</f>
        <v>14</v>
      </c>
      <c r="J73" s="163"/>
      <c r="K73" s="154">
        <f>E73*F73*H73</f>
        <v>6.3699999999999992</v>
      </c>
      <c r="L73" s="441"/>
      <c r="M73" s="106"/>
      <c r="N73" s="53"/>
    </row>
    <row r="74" spans="2:14" ht="12.75" customHeight="1">
      <c r="B74" s="207"/>
      <c r="D74" s="17"/>
      <c r="E74" s="161"/>
      <c r="F74" s="162"/>
      <c r="G74" s="162"/>
      <c r="H74" s="162"/>
      <c r="I74" s="162"/>
      <c r="J74" s="163"/>
      <c r="K74" s="154"/>
      <c r="L74" s="441"/>
      <c r="M74" s="106"/>
      <c r="N74" s="53"/>
    </row>
    <row r="75" spans="2:14" ht="33" customHeight="1">
      <c r="B75" s="207"/>
      <c r="C75" s="45">
        <v>96546</v>
      </c>
      <c r="D75" s="48" t="s">
        <v>7</v>
      </c>
      <c r="E75" s="689" t="str">
        <f>IFERROR(VLOOKUP($C75,'SINAPI JULHO 2021'!$1:$1048576,2,0),IFERROR(VLOOKUP($C75,'5-COMP. PROPRIA'!$B$4:$I$7999,4,0),""))</f>
        <v>ARMAÇÃO DE BLOCO, VIGA BALDRAME OU SAPATA UTILIZANDO AÇO CA-50 DE 10 MM - MONTAGEM. AF_06/2017</v>
      </c>
      <c r="F75" s="690"/>
      <c r="G75" s="690"/>
      <c r="H75" s="690"/>
      <c r="I75" s="690"/>
      <c r="J75" s="691"/>
      <c r="K75" s="268">
        <f>129.68+100.89</f>
        <v>230.57</v>
      </c>
      <c r="L75" s="468" t="str">
        <f>IFERROR(VLOOKUP($C75,'SINAPI JULHO 2021'!$1:$1048576,3,0),IFERROR(VLOOKUP($C75,'5-COMP. PROPRIA'!$B$4:$I$7999,5,0),""))</f>
        <v>KG</v>
      </c>
      <c r="M75" s="106"/>
      <c r="N75" s="53"/>
    </row>
    <row r="76" spans="2:14" ht="34.5" customHeight="1">
      <c r="B76" s="207"/>
      <c r="C76" s="45">
        <v>96543</v>
      </c>
      <c r="D76" s="48" t="s">
        <v>7</v>
      </c>
      <c r="E76" s="689" t="str">
        <f>IFERROR(VLOOKUP($C76,'SINAPI JULHO 2021'!$1:$1048576,2,0),IFERROR(VLOOKUP($C76,'5-COMP. PROPRIA'!$B$4:$I$7999,4,0),""))</f>
        <v>ARMAÇÃO DE BLOCO, VIGA BALDRAME E SAPATA UTILIZANDO AÇO CA-60 DE 5 MM - MONTAGEM. AF_06/2017</v>
      </c>
      <c r="F76" s="690"/>
      <c r="G76" s="690"/>
      <c r="H76" s="690"/>
      <c r="I76" s="690"/>
      <c r="J76" s="691"/>
      <c r="K76" s="268">
        <f>35.35</f>
        <v>35.35</v>
      </c>
      <c r="L76" s="468" t="str">
        <f>IFERROR(VLOOKUP($C76,'SINAPI JULHO 2021'!$1:$1048576,3,0),IFERROR(VLOOKUP($C76,'5-COMP. PROPRIA'!$B$4:$I$7999,5,0),""))</f>
        <v>KG</v>
      </c>
      <c r="M76" s="106"/>
      <c r="N76" s="53"/>
    </row>
    <row r="77" spans="2:14" ht="38.25" customHeight="1">
      <c r="B77" s="207"/>
      <c r="C77" s="45">
        <v>94971</v>
      </c>
      <c r="D77" s="48" t="s">
        <v>7</v>
      </c>
      <c r="E77" s="689" t="str">
        <f>IFERROR(VLOOKUP($C77,'SINAPI JULHO 2021'!$1:$1048576,2,0),IFERROR(VLOOKUP($C77,'5-COMP. PROPRIA'!$B$4:$I$7999,4,0),""))</f>
        <v>CONCRETO FCK = 25MPA, TRAÇO 1:2,3:2,7 (EM MASSA SECA DE CIMENTO/ AREIA MÉDIA/ BRITA 1) - PREPARO MECÂNICO COM BETONEIRA 600 L. AF_05/2021</v>
      </c>
      <c r="F77" s="690"/>
      <c r="G77" s="690"/>
      <c r="H77" s="690"/>
      <c r="I77" s="690"/>
      <c r="J77" s="691"/>
      <c r="K77" s="268">
        <f>(E67*F67*G67*H67)+(E68*F68*G68*H68)</f>
        <v>2.7429999999999999</v>
      </c>
      <c r="L77" s="468" t="str">
        <f>IFERROR(VLOOKUP($C77,'SINAPI JULHO 2021'!$1:$1048576,3,0),IFERROR(VLOOKUP($C77,'5-COMP. PROPRIA'!$B$4:$I$7999,5,0),""))</f>
        <v>M3</v>
      </c>
      <c r="M77" s="106"/>
      <c r="N77" s="53"/>
    </row>
    <row r="78" spans="2:14" ht="38.25" customHeight="1">
      <c r="B78" s="207"/>
      <c r="C78" s="45">
        <v>92873</v>
      </c>
      <c r="D78" s="48" t="s">
        <v>7</v>
      </c>
      <c r="E78" s="689" t="str">
        <f>IFERROR(VLOOKUP($C78,'SINAPI JULHO 2021'!$1:$1048576,2,0),IFERROR(VLOOKUP($C78,'5-COMP. PROPRIA'!$B$4:$I$7999,4,0),""))</f>
        <v>LANÇAMENTO COM USO DE BALDES, ADENSAMENTO E ACABAMENTO DE CONCRETO EM ESTRUTURAS. AF_12/2015</v>
      </c>
      <c r="F78" s="690"/>
      <c r="G78" s="690"/>
      <c r="H78" s="690"/>
      <c r="I78" s="690"/>
      <c r="J78" s="691"/>
      <c r="K78" s="268">
        <f>K77</f>
        <v>2.7429999999999999</v>
      </c>
      <c r="L78" s="468" t="str">
        <f>IFERROR(VLOOKUP($C78,'SINAPI JULHO 2021'!$1:$1048576,3,0),IFERROR(VLOOKUP($C78,'5-COMP. PROPRIA'!$B$4:$I$7999,5,0),""))</f>
        <v>M3</v>
      </c>
      <c r="M78" s="106"/>
      <c r="N78" s="53"/>
    </row>
    <row r="79" spans="2:14" ht="38.25" customHeight="1">
      <c r="B79" s="207"/>
      <c r="C79" s="45">
        <v>101176</v>
      </c>
      <c r="D79" s="48" t="s">
        <v>7</v>
      </c>
      <c r="E79" s="689" t="str">
        <f>IFERROR(VLOOKUP($C79,'SINAPI JULHO 2021'!$1:$1048576,2,0),IFERROR(VLOOKUP($C79,'5-COMP. PROPRIA'!$B$4:$I$7999,4,0),""))</f>
        <v>ESTACA BROCA DE CONCRETO, DIÂMETRO DE 30CM, ESCAVAÇÃO MANUAL COM TRADO CONCHA, INTEIRAMENTE ARMADA. AF_05/2020</v>
      </c>
      <c r="F79" s="690"/>
      <c r="G79" s="690"/>
      <c r="H79" s="690"/>
      <c r="I79" s="690"/>
      <c r="J79" s="691"/>
      <c r="K79" s="268">
        <f>2*53</f>
        <v>106</v>
      </c>
      <c r="L79" s="468" t="str">
        <f>IFERROR(VLOOKUP($C79,'SINAPI JULHO 2021'!$1:$1048576,3,0),IFERROR(VLOOKUP($C79,'5-COMP. PROPRIA'!$B$4:$I$7999,5,0),""))</f>
        <v>M</v>
      </c>
      <c r="M79" s="106">
        <v>9.11</v>
      </c>
      <c r="N79" s="53" t="s">
        <v>7394</v>
      </c>
    </row>
    <row r="80" spans="2:14" ht="22.5" customHeight="1">
      <c r="B80" s="207"/>
      <c r="C80" s="45">
        <v>93382</v>
      </c>
      <c r="D80" s="48" t="s">
        <v>7</v>
      </c>
      <c r="E80" s="689" t="str">
        <f>IFERROR(VLOOKUP($C80,'SINAPI JULHO 2021'!$1:$1048576,2,0),IFERROR(VLOOKUP($C80,'5-COMP. PROPRIA'!$B$4:$I$7999,4,0),""))</f>
        <v>REATERRO MANUAL DE VALAS COM COMPACTAÇÃO MECANIZADA. AF_04/2016</v>
      </c>
      <c r="F80" s="690"/>
      <c r="G80" s="690"/>
      <c r="H80" s="690"/>
      <c r="I80" s="690"/>
      <c r="J80" s="691"/>
      <c r="K80" s="268">
        <f>SUM(E82)</f>
        <v>32.012</v>
      </c>
      <c r="L80" s="468" t="str">
        <f>IFERROR(VLOOKUP($C80,'SINAPI JULHO 2021'!$1:$1048576,3,0),IFERROR(VLOOKUP($C80,'5-COMP. PROPRIA'!$B$4:$I$7999,5,0),""))</f>
        <v>M3</v>
      </c>
      <c r="M80" s="106"/>
      <c r="N80" s="53"/>
    </row>
    <row r="81" spans="2:14" ht="12.75" customHeight="1">
      <c r="B81" s="207"/>
      <c r="E81" s="144" t="s">
        <v>4461</v>
      </c>
      <c r="F81" s="146"/>
      <c r="J81" s="52"/>
      <c r="K81" s="268"/>
      <c r="M81" s="106"/>
      <c r="N81" s="53"/>
    </row>
    <row r="82" spans="2:14" ht="12.75" customHeight="1">
      <c r="B82" s="207"/>
      <c r="E82" s="147">
        <f>K60-K77</f>
        <v>32.012</v>
      </c>
      <c r="F82" s="146"/>
      <c r="J82" s="52"/>
      <c r="K82" s="269"/>
      <c r="M82" s="106"/>
      <c r="N82" s="53"/>
    </row>
    <row r="83" spans="2:14" ht="12.75" customHeight="1">
      <c r="B83" s="207"/>
      <c r="D83" s="17"/>
      <c r="E83" s="161"/>
      <c r="F83" s="162"/>
      <c r="G83" s="162"/>
      <c r="H83" s="162"/>
      <c r="I83" s="162"/>
      <c r="J83" s="163"/>
      <c r="K83" s="154"/>
      <c r="L83" s="441"/>
      <c r="M83" s="106"/>
      <c r="N83" s="53"/>
    </row>
    <row r="84" spans="2:14" ht="54.75" customHeight="1">
      <c r="B84" s="207"/>
      <c r="C84" s="239">
        <v>100981</v>
      </c>
      <c r="D84" s="48" t="s">
        <v>7</v>
      </c>
      <c r="E84" s="689" t="str">
        <f>IFERROR(VLOOKUP($C84,'SINAPI JULHO 2021'!$1:$1048576,2,0),IFERROR(VLOOKUP($C84,'5-COMP. PROPRIA'!$B$4:$I$7999,4,0),""))</f>
        <v>CARGA, MANOBRA E DESCARGA DE ENTULHO EM CAMINHÃO BASCULANTE 6 M³ - CARGA COM ESCAVADEIRA HIDRÁULICA  (CAÇAMBA DE 0,80 M³ / 111 HP) E DESCARGA LIVRE (UNIDADE: M3). AF_07/2020</v>
      </c>
      <c r="F84" s="690"/>
      <c r="G84" s="690"/>
      <c r="H84" s="690"/>
      <c r="I84" s="690"/>
      <c r="J84" s="691"/>
      <c r="K84" s="268">
        <f>SUM(E86*H86)</f>
        <v>15.408900000000001</v>
      </c>
      <c r="L84" s="468" t="str">
        <f>IFERROR(VLOOKUP($C84,'SINAPI JULHO 2021'!$1:$1048576,3,0),IFERROR(VLOOKUP($C84,'5-COMP. PROPRIA'!$B$4:$I$7999,5,0),""))</f>
        <v>M3</v>
      </c>
      <c r="M84" s="106"/>
      <c r="N84" s="53"/>
    </row>
    <row r="85" spans="2:14" ht="12.75" customHeight="1">
      <c r="B85" s="207"/>
      <c r="E85" s="144" t="s">
        <v>647</v>
      </c>
      <c r="H85" s="146" t="s">
        <v>6864</v>
      </c>
      <c r="J85" s="52"/>
      <c r="M85" s="106"/>
      <c r="N85" s="53"/>
    </row>
    <row r="86" spans="2:14" ht="12.75" customHeight="1">
      <c r="B86" s="207"/>
      <c r="E86" s="144">
        <f>K77+M79</f>
        <v>11.853</v>
      </c>
      <c r="H86" s="146">
        <v>1.3</v>
      </c>
      <c r="J86" s="52"/>
      <c r="M86" s="106"/>
      <c r="N86" s="53"/>
    </row>
    <row r="87" spans="2:14" ht="30.75" customHeight="1">
      <c r="B87" s="207"/>
      <c r="C87" s="239">
        <v>97914</v>
      </c>
      <c r="D87" s="48" t="s">
        <v>7</v>
      </c>
      <c r="E87" s="689" t="str">
        <f>IFERROR(VLOOKUP($C87,'SINAPI JULHO 2021'!$1:$1048576,2,0),IFERROR(VLOOKUP($C87,'5-COMP. PROPRIA'!$B$4:$I$7999,4,0),""))</f>
        <v>TRANSPORTE COM CAMINHÃO BASCULANTE DE 6 M³, EM VIA URBANA PAVIMENTADA, DMT ATÉ 30 KM (UNIDADE: M3XKM). AF_07/2020</v>
      </c>
      <c r="F87" s="690"/>
      <c r="G87" s="690"/>
      <c r="H87" s="690"/>
      <c r="I87" s="690"/>
      <c r="J87" s="691"/>
      <c r="K87" s="268">
        <f>SUM(E89*H89)</f>
        <v>115.56675000000001</v>
      </c>
      <c r="L87" s="468" t="str">
        <f>IFERROR(VLOOKUP($C87,'SINAPI JULHO 2021'!$1:$1048576,3,0),IFERROR(VLOOKUP($C87,'5-COMP. PROPRIA'!$B$4:$I$7999,5,0),""))</f>
        <v>M3XKM</v>
      </c>
      <c r="M87" s="106"/>
      <c r="N87" s="53"/>
    </row>
    <row r="88" spans="2:14" ht="12.75" customHeight="1">
      <c r="B88" s="207"/>
      <c r="E88" s="144" t="s">
        <v>647</v>
      </c>
      <c r="H88" s="146" t="s">
        <v>7395</v>
      </c>
      <c r="J88" s="52"/>
      <c r="M88" s="106"/>
      <c r="N88" s="53"/>
    </row>
    <row r="89" spans="2:14" ht="12.75" customHeight="1" thickBot="1">
      <c r="B89" s="207"/>
      <c r="D89" s="17"/>
      <c r="E89" s="161">
        <f>K84</f>
        <v>15.408900000000001</v>
      </c>
      <c r="F89" s="283"/>
      <c r="G89" s="283"/>
      <c r="H89" s="283">
        <v>7.5</v>
      </c>
      <c r="I89" s="283"/>
      <c r="J89" s="163"/>
      <c r="K89" s="154"/>
      <c r="L89" s="441"/>
      <c r="M89" s="106"/>
      <c r="N89" s="53"/>
    </row>
    <row r="90" spans="2:14" ht="12.75" customHeight="1" thickBot="1">
      <c r="B90" s="207"/>
      <c r="D90" s="17"/>
      <c r="E90" s="713" t="s">
        <v>7135</v>
      </c>
      <c r="F90" s="714"/>
      <c r="G90" s="714"/>
      <c r="H90" s="714"/>
      <c r="I90" s="714"/>
      <c r="J90" s="715"/>
      <c r="K90" s="154"/>
      <c r="L90" s="441"/>
      <c r="M90" s="106"/>
      <c r="N90" s="53"/>
    </row>
    <row r="91" spans="2:14" ht="12.75" customHeight="1">
      <c r="B91" s="207"/>
      <c r="D91" s="17"/>
      <c r="E91" s="161"/>
      <c r="F91" s="283"/>
      <c r="G91" s="283"/>
      <c r="H91" s="283"/>
      <c r="I91" s="283"/>
      <c r="J91" s="163"/>
      <c r="K91" s="154"/>
      <c r="L91" s="441"/>
      <c r="M91" s="106"/>
      <c r="N91" s="53"/>
    </row>
    <row r="92" spans="2:14" ht="29.25" customHeight="1">
      <c r="B92" s="207"/>
      <c r="C92" s="45">
        <v>96521</v>
      </c>
      <c r="D92" s="48" t="s">
        <v>7</v>
      </c>
      <c r="E92" s="689" t="str">
        <f>IFERROR(VLOOKUP($C92,'SINAPI JULHO 2021'!$1:$1048576,2,0),IFERROR(VLOOKUP($C92,'5-COMP. PROPRIA'!$B$4:$I$7999,4,0),""))</f>
        <v>ESCAVAÇÃO MECANIZADA PARA BLOCO DE COROAMENTO OU SAPATA, COM PREVISÃO DE FÔRMA, COM RETROESCAVADEIRA. AF_06/2017</v>
      </c>
      <c r="F92" s="690"/>
      <c r="G92" s="690"/>
      <c r="H92" s="690"/>
      <c r="I92" s="690"/>
      <c r="J92" s="691"/>
      <c r="K92" s="267">
        <f>SUM(K94:K95)</f>
        <v>41.681174999999996</v>
      </c>
      <c r="L92" s="468" t="str">
        <f>IFERROR(VLOOKUP($C92,'SINAPI JULHO 2021'!$1:$1048576,3,0),IFERROR(VLOOKUP($C92,'5-COMP. PROPRIA'!$B$4:$I$7999,5,0),""))</f>
        <v>M3</v>
      </c>
      <c r="M92" s="106"/>
      <c r="N92" s="53"/>
    </row>
    <row r="93" spans="2:14" ht="12.75" customHeight="1">
      <c r="B93" s="207"/>
      <c r="D93" s="17"/>
      <c r="E93" s="155" t="s">
        <v>4454</v>
      </c>
      <c r="F93" s="156" t="s">
        <v>4455</v>
      </c>
      <c r="G93" s="156" t="s">
        <v>4456</v>
      </c>
      <c r="H93" s="156" t="s">
        <v>4457</v>
      </c>
      <c r="I93" s="334"/>
      <c r="J93" s="163"/>
      <c r="K93" s="154"/>
      <c r="L93" s="441"/>
      <c r="M93" s="106"/>
      <c r="N93" s="53"/>
    </row>
    <row r="94" spans="2:14" ht="12.75" customHeight="1">
      <c r="B94" s="207"/>
      <c r="D94" s="17"/>
      <c r="E94" s="158">
        <v>188.6</v>
      </c>
      <c r="F94" s="333">
        <v>0.15</v>
      </c>
      <c r="G94" s="333">
        <v>0.3</v>
      </c>
      <c r="H94" s="333">
        <v>1</v>
      </c>
      <c r="I94" s="334"/>
      <c r="J94" s="163"/>
      <c r="K94" s="154">
        <f>(F94+0.45)*(G94+0.03)*E94</f>
        <v>37.342799999999997</v>
      </c>
      <c r="L94" s="441"/>
      <c r="M94" s="106"/>
      <c r="N94" s="53"/>
    </row>
    <row r="95" spans="2:14" ht="12.75" customHeight="1">
      <c r="B95" s="207"/>
      <c r="D95" s="17"/>
      <c r="E95" s="158">
        <v>25.15</v>
      </c>
      <c r="F95" s="333">
        <v>0.3</v>
      </c>
      <c r="G95" s="333">
        <v>0.2</v>
      </c>
      <c r="H95" s="333">
        <v>1</v>
      </c>
      <c r="I95" s="334"/>
      <c r="J95" s="163"/>
      <c r="K95" s="154">
        <f>(F95+0.45)*(G95+0.03)*E95</f>
        <v>4.3383750000000001</v>
      </c>
      <c r="L95" s="441"/>
      <c r="M95" s="106"/>
      <c r="N95" s="53"/>
    </row>
    <row r="96" spans="2:14" ht="12.75" customHeight="1">
      <c r="B96" s="207"/>
      <c r="D96" s="17"/>
      <c r="E96" s="161"/>
      <c r="F96" s="334"/>
      <c r="G96" s="334"/>
      <c r="H96" s="334"/>
      <c r="I96" s="334"/>
      <c r="J96" s="163"/>
      <c r="K96" s="154"/>
      <c r="L96" s="441"/>
      <c r="M96" s="106"/>
      <c r="N96" s="53"/>
    </row>
    <row r="97" spans="2:14" ht="32.25" customHeight="1">
      <c r="B97" s="207"/>
      <c r="C97" s="45">
        <v>96617</v>
      </c>
      <c r="D97" s="48" t="s">
        <v>7</v>
      </c>
      <c r="E97" s="689" t="str">
        <f>IFERROR(VLOOKUP($C97,'SINAPI JULHO 2021'!$1:$1048576,2,0),IFERROR(VLOOKUP($C97,'5-COMP. PROPRIA'!$B$4:$I$7999,4,0),""))</f>
        <v>LASTRO DE CONCRETO MAGRO, APLICADO EM BLOCOS DE COROAMENTO OU SAPATAS, ESPESSURA DE 3 CM. AF_08/2017</v>
      </c>
      <c r="F97" s="690"/>
      <c r="G97" s="690"/>
      <c r="H97" s="690"/>
      <c r="I97" s="690"/>
      <c r="J97" s="691"/>
      <c r="K97" s="267">
        <f>SUM(K99:K100)</f>
        <v>35.835000000000001</v>
      </c>
      <c r="L97" s="468" t="str">
        <f>IFERROR(VLOOKUP($C97,'SINAPI JULHO 2021'!$1:$1048576,3,0),IFERROR(VLOOKUP($C97,'5-COMP. PROPRIA'!$B$4:$I$7999,5,0),""))</f>
        <v>M2</v>
      </c>
      <c r="M97" s="106"/>
      <c r="N97" s="53"/>
    </row>
    <row r="98" spans="2:14" ht="25.5">
      <c r="B98" s="207"/>
      <c r="D98" s="48"/>
      <c r="E98" s="155" t="s">
        <v>4454</v>
      </c>
      <c r="F98" s="156" t="s">
        <v>4455</v>
      </c>
      <c r="G98" s="156"/>
      <c r="H98" s="156" t="s">
        <v>4457</v>
      </c>
      <c r="I98" s="156"/>
      <c r="J98" s="157"/>
      <c r="K98" s="154"/>
      <c r="L98" s="468"/>
      <c r="M98" s="106"/>
      <c r="N98" s="53"/>
    </row>
    <row r="99" spans="2:14">
      <c r="B99" s="207"/>
      <c r="D99" s="48"/>
      <c r="E99" s="158">
        <f>E94</f>
        <v>188.6</v>
      </c>
      <c r="F99" s="333">
        <v>0.15</v>
      </c>
      <c r="G99" s="156"/>
      <c r="H99" s="333">
        <v>1</v>
      </c>
      <c r="I99" s="156"/>
      <c r="J99" s="157"/>
      <c r="K99" s="154">
        <f>E99*F99*H99</f>
        <v>28.29</v>
      </c>
      <c r="L99" s="468"/>
      <c r="M99" s="106"/>
      <c r="N99" s="53"/>
    </row>
    <row r="100" spans="2:14">
      <c r="B100" s="207"/>
      <c r="D100" s="48"/>
      <c r="E100" s="158">
        <f>E95</f>
        <v>25.15</v>
      </c>
      <c r="F100" s="333">
        <v>0.3</v>
      </c>
      <c r="G100" s="156"/>
      <c r="H100" s="333">
        <v>1</v>
      </c>
      <c r="I100" s="156"/>
      <c r="J100" s="157"/>
      <c r="K100" s="154">
        <f>E100*F100*H100</f>
        <v>7.544999999999999</v>
      </c>
      <c r="L100" s="468"/>
      <c r="M100" s="106"/>
      <c r="N100" s="53"/>
    </row>
    <row r="101" spans="2:14" ht="29.25" customHeight="1">
      <c r="B101" s="207"/>
      <c r="C101" s="45">
        <v>96536</v>
      </c>
      <c r="D101" s="48" t="s">
        <v>7</v>
      </c>
      <c r="E101" s="689" t="str">
        <f>IFERROR(VLOOKUP($C101,'SINAPI JULHO 2021'!$1:$1048576,2,0),IFERROR(VLOOKUP($C101,'5-COMP. PROPRIA'!$B$4:$I$7999,4,0),""))</f>
        <v>FABRICAÇÃO, MONTAGEM E DESMONTAGEM DE FÔRMA PARA VIGA BALDRAME, EM MADEIRA SERRADA, E=25 MM, 4 UTILIZAÇÕES. AF_06/2017</v>
      </c>
      <c r="F101" s="690"/>
      <c r="G101" s="690"/>
      <c r="H101" s="690"/>
      <c r="I101" s="690"/>
      <c r="J101" s="691"/>
      <c r="K101" s="267">
        <v>143.05000000000001</v>
      </c>
      <c r="L101" s="468" t="str">
        <f>IFERROR(VLOOKUP($C101,'SINAPI JULHO 2021'!$1:$1048576,3,0),IFERROR(VLOOKUP($C101,'5-COMP. PROPRIA'!$B$4:$I$7999,5,0),""))</f>
        <v>M2</v>
      </c>
      <c r="M101" s="403"/>
      <c r="N101" s="56"/>
    </row>
    <row r="102" spans="2:14" ht="29.25" customHeight="1">
      <c r="B102" s="207"/>
      <c r="C102" s="45">
        <v>96543</v>
      </c>
      <c r="D102" s="48" t="s">
        <v>7</v>
      </c>
      <c r="E102" s="689" t="str">
        <f>IFERROR(VLOOKUP($C102,'SINAPI JULHO 2021'!$1:$1048576,2,0),IFERROR(VLOOKUP($C102,'5-COMP. PROPRIA'!$B$4:$I$7999,4,0),""))</f>
        <v>ARMAÇÃO DE BLOCO, VIGA BALDRAME E SAPATA UTILIZANDO AÇO CA-60 DE 5 MM - MONTAGEM. AF_06/2017</v>
      </c>
      <c r="F102" s="690"/>
      <c r="G102" s="690"/>
      <c r="H102" s="690"/>
      <c r="I102" s="690"/>
      <c r="J102" s="691"/>
      <c r="K102" s="268">
        <v>303.3</v>
      </c>
      <c r="L102" s="468" t="str">
        <f>IFERROR(VLOOKUP($C102,'SINAPI JULHO 2021'!$1:$1048576,3,0),IFERROR(VLOOKUP($C102,'5-COMP. PROPRIA'!$B$4:$I$7999,5,0),""))</f>
        <v>KG</v>
      </c>
      <c r="M102" s="106"/>
      <c r="N102" s="53"/>
    </row>
    <row r="103" spans="2:14" ht="23.25" customHeight="1">
      <c r="B103" s="207"/>
      <c r="C103" s="45">
        <v>96545</v>
      </c>
      <c r="D103" s="48" t="s">
        <v>7</v>
      </c>
      <c r="E103" s="689" t="str">
        <f>IFERROR(VLOOKUP($C103,'SINAPI JULHO 2021'!$1:$1048576,2,0),IFERROR(VLOOKUP($C103,'5-COMP. PROPRIA'!$B$4:$I$7999,4,0),""))</f>
        <v>ARMAÇÃO DE BLOCO, VIGA BALDRAME OU SAPATA UTILIZANDO AÇO CA-50 DE 8 MM - MONTAGEM. AF_06/2017</v>
      </c>
      <c r="F103" s="690"/>
      <c r="G103" s="690"/>
      <c r="H103" s="690"/>
      <c r="I103" s="690"/>
      <c r="J103" s="691"/>
      <c r="K103" s="268">
        <v>246.6</v>
      </c>
      <c r="L103" s="468" t="str">
        <f>IFERROR(VLOOKUP($C103,'SINAPI JULHO 2021'!$1:$1048576,3,0),IFERROR(VLOOKUP($C103,'5-COMP. PROPRIA'!$B$4:$I$7999,5,0),""))</f>
        <v>KG</v>
      </c>
      <c r="M103" s="106"/>
      <c r="N103" s="53"/>
    </row>
    <row r="104" spans="2:14" ht="36" customHeight="1">
      <c r="B104" s="207"/>
      <c r="C104" s="45">
        <v>96546</v>
      </c>
      <c r="D104" s="48" t="s">
        <v>7</v>
      </c>
      <c r="E104" s="689" t="str">
        <f>IFERROR(VLOOKUP($C104,'SINAPI JULHO 2021'!$1:$1048576,2,0),IFERROR(VLOOKUP($C104,'5-COMP. PROPRIA'!$B$4:$I$7999,4,0),""))</f>
        <v>ARMAÇÃO DE BLOCO, VIGA BALDRAME OU SAPATA UTILIZANDO AÇO CA-50 DE 10 MM - MONTAGEM. AF_06/2017</v>
      </c>
      <c r="F104" s="690"/>
      <c r="G104" s="690"/>
      <c r="H104" s="690"/>
      <c r="I104" s="690"/>
      <c r="J104" s="691"/>
      <c r="K104" s="268">
        <v>53</v>
      </c>
      <c r="L104" s="468" t="str">
        <f>IFERROR(VLOOKUP($C104,'SINAPI JULHO 2021'!$1:$1048576,3,0),IFERROR(VLOOKUP($C104,'5-COMP. PROPRIA'!$B$4:$I$7999,5,0),""))</f>
        <v>KG</v>
      </c>
      <c r="M104" s="106"/>
      <c r="N104" s="53"/>
    </row>
    <row r="105" spans="2:14" ht="27.75" customHeight="1">
      <c r="B105" s="207"/>
      <c r="C105" s="45">
        <v>98557</v>
      </c>
      <c r="D105" s="48" t="s">
        <v>7</v>
      </c>
      <c r="E105" s="689" t="str">
        <f>IFERROR(VLOOKUP($C105,'SINAPI JULHO 2021'!$1:$1048576,2,0),IFERROR(VLOOKUP($C105,'5-COMP. PROPRIA'!$B$4:$I$7999,4,0),""))</f>
        <v>IMPERMEABILIZAÇÃO DE SUPERFÍCIE COM EMULSÃO ASFÁLTICA, 2 DEMÃOS AF_06/2018</v>
      </c>
      <c r="F105" s="690"/>
      <c r="G105" s="690"/>
      <c r="H105" s="690"/>
      <c r="I105" s="690"/>
      <c r="J105" s="691"/>
      <c r="K105" s="267">
        <f>K101+K97</f>
        <v>178.88500000000002</v>
      </c>
      <c r="L105" s="468" t="str">
        <f>IFERROR(VLOOKUP($C105,'SINAPI JULHO 2021'!$1:$1048576,3,0),IFERROR(VLOOKUP($C105,'5-COMP. PROPRIA'!$B$4:$I$7999,5,0),""))</f>
        <v>M2</v>
      </c>
      <c r="M105" s="106"/>
      <c r="N105" s="53"/>
    </row>
    <row r="106" spans="2:14" ht="27" customHeight="1" thickBot="1">
      <c r="B106" s="207"/>
      <c r="C106" s="45">
        <v>96557</v>
      </c>
      <c r="D106" s="48" t="s">
        <v>7</v>
      </c>
      <c r="E106" s="689" t="str">
        <f>IFERROR(VLOOKUP($C106,'SINAPI JULHO 2021'!$1:$1048576,2,0),IFERROR(VLOOKUP($C106,'5-COMP. PROPRIA'!$B$4:$I$7999,4,0),""))</f>
        <v>CONCRETAGEM DE BLOCOS DE COROAMENTO E VIGAS BALDRAMES, FCK 30 MPA, COM USO DE BOMBA  LANÇAMENTO, ADENSAMENTO E ACABAMENTO. AF_06/2017</v>
      </c>
      <c r="F106" s="690"/>
      <c r="G106" s="690"/>
      <c r="H106" s="690"/>
      <c r="I106" s="690"/>
      <c r="J106" s="691"/>
      <c r="K106" s="268">
        <f>(E94*F94*G94)+(E95*F95*G95)</f>
        <v>9.9960000000000004</v>
      </c>
      <c r="L106" s="468" t="str">
        <f>IFERROR(VLOOKUP($C106,'SINAPI JULHO 2021'!$1:$1048576,3,0),IFERROR(VLOOKUP($C106,'5-COMP. PROPRIA'!$B$4:$I$7999,5,0),""))</f>
        <v>M3</v>
      </c>
      <c r="M106" s="106"/>
      <c r="N106" s="53"/>
    </row>
    <row r="107" spans="2:14" ht="12.75" customHeight="1" thickBot="1">
      <c r="B107" s="207"/>
      <c r="E107" s="757" t="s">
        <v>7246</v>
      </c>
      <c r="F107" s="758"/>
      <c r="G107" s="758"/>
      <c r="H107" s="758"/>
      <c r="I107" s="758"/>
      <c r="J107" s="759"/>
      <c r="M107" s="106"/>
      <c r="N107" s="53"/>
    </row>
    <row r="108" spans="2:14" ht="12.75" customHeight="1" thickBot="1">
      <c r="B108" s="207"/>
      <c r="E108" s="713" t="s">
        <v>4290</v>
      </c>
      <c r="F108" s="714"/>
      <c r="G108" s="714"/>
      <c r="H108" s="714"/>
      <c r="I108" s="714"/>
      <c r="J108" s="715"/>
      <c r="M108" s="106"/>
      <c r="N108" s="53"/>
    </row>
    <row r="109" spans="2:14" ht="24.75" customHeight="1" thickBot="1">
      <c r="B109" s="207" t="s">
        <v>7358</v>
      </c>
      <c r="C109" s="45">
        <v>97101</v>
      </c>
      <c r="D109" s="48" t="s">
        <v>7</v>
      </c>
      <c r="E109" s="689" t="str">
        <f>IFERROR(VLOOKUP($C109,'SINAPI JULHO 2021'!$1:$1048576,2,0),IFERROR(VLOOKUP($C109,'5-COMP. PROPRIA'!$B$4:$I$7999,4,0),""))</f>
        <v>EXECUÇÃO DE RADIER, ESPESSURA DE 10 CM, FCK = 30 MPA, COM USO DE FORMAS EM MADEIRA SERRADA. AF_09/2017</v>
      </c>
      <c r="F109" s="690"/>
      <c r="G109" s="690"/>
      <c r="H109" s="690"/>
      <c r="I109" s="690"/>
      <c r="J109" s="691"/>
      <c r="K109" s="268">
        <f>53.2*0.75</f>
        <v>39.900000000000006</v>
      </c>
      <c r="L109" s="468" t="str">
        <f>IFERROR(VLOOKUP($C109,'SINAPI JULHO 2021'!$1:$1048576,3,0),IFERROR(VLOOKUP($C109,'5-COMP. PROPRIA'!$B$4:$I$7999,5,0),""))</f>
        <v>M2</v>
      </c>
      <c r="M109" s="106"/>
      <c r="N109" s="53"/>
    </row>
    <row r="110" spans="2:14" ht="12.75" customHeight="1" thickBot="1">
      <c r="B110" s="207"/>
      <c r="E110" s="710" t="s">
        <v>4462</v>
      </c>
      <c r="F110" s="711"/>
      <c r="G110" s="711"/>
      <c r="H110" s="711"/>
      <c r="I110" s="711"/>
      <c r="J110" s="712"/>
      <c r="M110" s="106"/>
      <c r="N110" s="53"/>
    </row>
    <row r="111" spans="2:14" ht="12.75" customHeight="1" thickBot="1">
      <c r="B111" s="207"/>
      <c r="E111" s="710" t="s">
        <v>4282</v>
      </c>
      <c r="F111" s="711"/>
      <c r="G111" s="711"/>
      <c r="H111" s="711"/>
      <c r="I111" s="711"/>
      <c r="J111" s="712"/>
      <c r="M111" s="106"/>
      <c r="N111" s="53"/>
    </row>
    <row r="112" spans="2:14" ht="13.5" thickBot="1">
      <c r="B112" s="207"/>
      <c r="E112" s="713" t="s">
        <v>7146</v>
      </c>
      <c r="F112" s="714"/>
      <c r="G112" s="714"/>
      <c r="H112" s="714"/>
      <c r="I112" s="714"/>
      <c r="J112" s="715"/>
      <c r="M112" s="106"/>
      <c r="N112" s="53"/>
    </row>
    <row r="113" spans="2:14" ht="46.5" customHeight="1">
      <c r="B113" s="207"/>
      <c r="C113" s="45">
        <v>92415</v>
      </c>
      <c r="D113" s="48" t="s">
        <v>7</v>
      </c>
      <c r="E113" s="689" t="str">
        <f>IFERROR(VLOOKUP($C113,'SINAPI JULHO 2021'!$1:$1048576,2,0),IFERROR(VLOOKUP($C113,'5-COMP. PROPRIA'!$B$4:$I$7999,4,0),""))</f>
        <v>MONTAGEM E DESMONTAGEM DE FÔRMA DE PILARES RETANGULARES E ESTRUTURAS SIMILARES, PÉ-DIREITO SIMPLES, EM CHAPA DE MADEIRA COMPENSADA RESINADA, 2 UTILIZAÇÕES. AF_09/2020</v>
      </c>
      <c r="F113" s="690"/>
      <c r="G113" s="690"/>
      <c r="H113" s="690"/>
      <c r="I113" s="690"/>
      <c r="J113" s="691"/>
      <c r="K113" s="267">
        <f>SUM(K115:K116)</f>
        <v>190.49999999999997</v>
      </c>
      <c r="L113" s="468" t="str">
        <f>IFERROR(VLOOKUP($C113,'SINAPI JULHO 2021'!$1:$1048576,3,0),IFERROR(VLOOKUP($C113,'5-COMP. PROPRIA'!$B$4:$I$7999,5,0),""))</f>
        <v>M2</v>
      </c>
      <c r="M113" s="106"/>
      <c r="N113" s="53"/>
    </row>
    <row r="114" spans="2:14" ht="12.75" customHeight="1">
      <c r="B114" s="207"/>
      <c r="E114" s="161" t="s">
        <v>4454</v>
      </c>
      <c r="F114" s="167" t="s">
        <v>4455</v>
      </c>
      <c r="G114" s="167" t="s">
        <v>4456</v>
      </c>
      <c r="H114" s="168" t="s">
        <v>4457</v>
      </c>
      <c r="I114" s="167"/>
      <c r="J114" s="169"/>
      <c r="L114" s="469"/>
      <c r="M114" s="106"/>
      <c r="N114" s="53"/>
    </row>
    <row r="115" spans="2:14" ht="12.75" customHeight="1">
      <c r="B115" s="207"/>
      <c r="E115" s="171">
        <v>0.2</v>
      </c>
      <c r="F115" s="166">
        <v>0.3</v>
      </c>
      <c r="G115" s="166">
        <v>3</v>
      </c>
      <c r="H115" s="172">
        <v>14</v>
      </c>
      <c r="I115" s="167"/>
      <c r="J115" s="169"/>
      <c r="K115" s="154">
        <f>(((E115+F115)*2)*G115*H115)</f>
        <v>42</v>
      </c>
      <c r="L115" s="469"/>
      <c r="M115" s="106"/>
      <c r="N115" s="53"/>
    </row>
    <row r="116" spans="2:14" ht="12.75" customHeight="1">
      <c r="B116" s="207"/>
      <c r="D116" s="17"/>
      <c r="E116" s="171">
        <v>0.15</v>
      </c>
      <c r="F116" s="166">
        <v>0.3</v>
      </c>
      <c r="G116" s="166">
        <v>3</v>
      </c>
      <c r="H116" s="172">
        <v>55</v>
      </c>
      <c r="I116" s="162"/>
      <c r="J116" s="163"/>
      <c r="K116" s="154">
        <f>(((E116+F116)*2)*G116*H116)</f>
        <v>148.49999999999997</v>
      </c>
      <c r="L116" s="441"/>
      <c r="M116" s="106"/>
      <c r="N116" s="53"/>
    </row>
    <row r="117" spans="2:14" ht="12.75" customHeight="1">
      <c r="B117" s="207"/>
      <c r="D117" s="68"/>
      <c r="E117" s="689" t="str">
        <f>IFERROR(VLOOKUP($C117,'SINAPI JULHO 2021'!$1:$1048576,2,0),IFERROR(VLOOKUP($C117,'5-COMP. PROPRIA'!$B$4:$I$7999,4,0),""))</f>
        <v/>
      </c>
      <c r="F117" s="690"/>
      <c r="G117" s="690"/>
      <c r="H117" s="690"/>
      <c r="I117" s="690"/>
      <c r="J117" s="691"/>
      <c r="K117" s="268"/>
      <c r="L117" s="468" t="str">
        <f>IFERROR(VLOOKUP($C117,'SINAPI JULHO 2021'!$1:$1048576,3,0),IFERROR(VLOOKUP($C117,'5-COMP. PROPRIA'!$B$4:$I$7999,5,0),""))</f>
        <v/>
      </c>
      <c r="M117" s="106"/>
      <c r="N117" s="53"/>
    </row>
    <row r="118" spans="2:14" ht="12.75" customHeight="1">
      <c r="B118" s="207"/>
      <c r="D118" s="17"/>
      <c r="E118" s="161"/>
      <c r="F118" s="162"/>
      <c r="G118" s="162"/>
      <c r="H118" s="162"/>
      <c r="I118" s="162"/>
      <c r="J118" s="163"/>
      <c r="K118" s="154"/>
      <c r="L118" s="441"/>
      <c r="M118" s="106"/>
      <c r="N118" s="53"/>
    </row>
    <row r="119" spans="2:14" ht="46.5" customHeight="1">
      <c r="B119" s="207" t="s">
        <v>6865</v>
      </c>
      <c r="C119" s="45">
        <v>92775</v>
      </c>
      <c r="D119" s="48" t="s">
        <v>7</v>
      </c>
      <c r="E119" s="689" t="str">
        <f>IFERROR(VLOOKUP($C119,'SINAPI JULHO 2021'!$1:$1048576,2,0),IFERROR(VLOOKUP($C119,'5-COMP. PROPRIA'!$B$4:$I$7999,4,0),""))</f>
        <v>ARMAÇÃO DE PILAR OU VIGA DE UMA ESTRUTURA CONVENCIONAL DE CONCRETO ARMADO EM UMA EDIFICAÇÃO TÉRREA OU SOBRADO UTILIZANDO AÇO CA-60 DE 5,0 MM - MONTAGEM. AF_12/2015</v>
      </c>
      <c r="F119" s="690"/>
      <c r="G119" s="690"/>
      <c r="H119" s="690"/>
      <c r="I119" s="690"/>
      <c r="J119" s="691"/>
      <c r="K119" s="267">
        <v>437.6</v>
      </c>
      <c r="L119" s="468" t="str">
        <f>IFERROR(VLOOKUP($C119,'SINAPI JULHO 2021'!$1:$1048576,3,0),IFERROR(VLOOKUP($C119,'5-COMP. PROPRIA'!$B$4:$I$7999,5,0),""))</f>
        <v>KG</v>
      </c>
      <c r="M119" s="106"/>
      <c r="N119" s="53"/>
    </row>
    <row r="120" spans="2:14" ht="54.75" customHeight="1">
      <c r="B120" s="207"/>
      <c r="C120" s="45">
        <v>92778</v>
      </c>
      <c r="D120" s="48" t="s">
        <v>7</v>
      </c>
      <c r="E120" s="689" t="str">
        <f>IFERROR(VLOOKUP($C120,'SINAPI JULHO 2021'!$1:$1048576,2,0),IFERROR(VLOOKUP($C120,'5-COMP. PROPRIA'!$B$4:$I$7999,4,0),""))</f>
        <v>ARMAÇÃO DE PILAR OU VIGA DE UMA ESTRUTURA CONVENCIONAL DE CONCRETO ARMADO EM UMA EDIFICAÇÃO TÉRREA OU SOBRADO UTILIZANDO AÇO CA-50 DE 10,0 MM - MONTAGEM. AF_12/2015</v>
      </c>
      <c r="F120" s="690"/>
      <c r="G120" s="690"/>
      <c r="H120" s="690"/>
      <c r="I120" s="690"/>
      <c r="J120" s="691"/>
      <c r="K120" s="267">
        <v>222.3</v>
      </c>
      <c r="L120" s="468" t="str">
        <f>IFERROR(VLOOKUP($C120,'SINAPI JULHO 2021'!$1:$1048576,3,0),IFERROR(VLOOKUP($C120,'5-COMP. PROPRIA'!$B$4:$I$7999,5,0),""))</f>
        <v>KG</v>
      </c>
      <c r="M120" s="106"/>
      <c r="N120" s="53"/>
    </row>
    <row r="121" spans="2:14" ht="41.25" customHeight="1" thickBot="1">
      <c r="B121" s="207"/>
      <c r="C121" s="45">
        <v>92720</v>
      </c>
      <c r="D121" s="48" t="s">
        <v>7</v>
      </c>
      <c r="E121" s="689" t="str">
        <f>IFERROR(VLOOKUP($C121,'SINAPI JULHO 2021'!$1:$1048576,2,0),IFERROR(VLOOKUP($C121,'5-COMP. PROPRIA'!$B$4:$I$7999,4,0),""))</f>
        <v>CONCRETAGEM DE PILARES, FCK = 25 MPA, COM USO DE BOMBA EM EDIFICAÇÃO COM SEÇÃO MÉDIA DE PILARES MENOR OU IGUAL A 0,25 M² - LANÇAMENTO, ADENSAMENTO E ACABAMENTO. AF_12/2015</v>
      </c>
      <c r="F121" s="690"/>
      <c r="G121" s="690"/>
      <c r="H121" s="690"/>
      <c r="I121" s="690"/>
      <c r="J121" s="691"/>
      <c r="K121" s="268">
        <f>(E115*F115*G115*H115)+(E116*F116*G116*H116)</f>
        <v>9.9450000000000003</v>
      </c>
      <c r="L121" s="468" t="str">
        <f>IFERROR(VLOOKUP($C121,'SINAPI JULHO 2021'!$1:$1048576,3,0),IFERROR(VLOOKUP($C121,'5-COMP. PROPRIA'!$B$4:$I$7999,5,0),""))</f>
        <v>M3</v>
      </c>
      <c r="M121" s="106"/>
      <c r="N121" s="53"/>
    </row>
    <row r="122" spans="2:14" ht="13.5" thickBot="1">
      <c r="B122" s="207"/>
      <c r="D122" s="17"/>
      <c r="E122" s="713" t="s">
        <v>7147</v>
      </c>
      <c r="F122" s="714"/>
      <c r="G122" s="714"/>
      <c r="H122" s="714"/>
      <c r="I122" s="714"/>
      <c r="J122" s="715"/>
      <c r="K122" s="154"/>
      <c r="L122" s="441"/>
      <c r="M122" s="106"/>
      <c r="N122" s="53"/>
    </row>
    <row r="123" spans="2:14" ht="44.25" customHeight="1">
      <c r="B123" s="207"/>
      <c r="C123" s="45">
        <v>92463</v>
      </c>
      <c r="D123" s="48" t="s">
        <v>7</v>
      </c>
      <c r="E123" s="689" t="str">
        <f>IFERROR(VLOOKUP($C123,'SINAPI JULHO 2021'!$1:$1048576,2,0),IFERROR(VLOOKUP($C123,'5-COMP. PROPRIA'!$B$4:$I$7999,4,0),""))</f>
        <v>MONTAGEM E DESMONTAGEM DE FÔRMA DE VIGA, ESCORAMENTO COM GARFO DE MADEIRA, PÉ-DIREITO SIMPLES, EM CHAPA DE MADEIRA RESINADA, 8 UTILIZAÇÕES. AF_09/2020</v>
      </c>
      <c r="F123" s="690"/>
      <c r="G123" s="690"/>
      <c r="H123" s="690"/>
      <c r="I123" s="690"/>
      <c r="J123" s="691"/>
      <c r="K123" s="267">
        <f>K101+K97</f>
        <v>178.88500000000002</v>
      </c>
      <c r="L123" s="468" t="str">
        <f>IFERROR(VLOOKUP($C123,'SINAPI JULHO 2021'!$1:$1048576,3,0),IFERROR(VLOOKUP($C123,'5-COMP. PROPRIA'!$B$4:$I$7999,5,0),""))</f>
        <v>M2</v>
      </c>
      <c r="M123" s="106"/>
      <c r="N123" s="53"/>
    </row>
    <row r="124" spans="2:14" ht="50.25" customHeight="1">
      <c r="B124" s="207" t="s">
        <v>6866</v>
      </c>
      <c r="C124" s="45">
        <f>C119</f>
        <v>92775</v>
      </c>
      <c r="D124" s="48" t="s">
        <v>7</v>
      </c>
      <c r="E124" s="689" t="str">
        <f>IFERROR(VLOOKUP($C124,'SINAPI JULHO 2021'!$1:$1048576,2,0),IFERROR(VLOOKUP($C124,'5-COMP. PROPRIA'!$B$4:$I$7999,4,0),""))</f>
        <v>ARMAÇÃO DE PILAR OU VIGA DE UMA ESTRUTURA CONVENCIONAL DE CONCRETO ARMADO EM UMA EDIFICAÇÃO TÉRREA OU SOBRADO UTILIZANDO AÇO CA-60 DE 5,0 MM - MONTAGEM. AF_12/2015</v>
      </c>
      <c r="F124" s="690"/>
      <c r="G124" s="690"/>
      <c r="H124" s="690"/>
      <c r="I124" s="690"/>
      <c r="J124" s="691"/>
      <c r="K124" s="267">
        <v>244.6</v>
      </c>
      <c r="L124" s="468" t="str">
        <f>IFERROR(VLOOKUP($C124,'SINAPI JULHO 2021'!$1:$1048576,3,0),IFERROR(VLOOKUP($C124,'5-COMP. PROPRIA'!$B$4:$I$7999,5,0),""))</f>
        <v>KG</v>
      </c>
      <c r="M124" s="106"/>
      <c r="N124" s="53"/>
    </row>
    <row r="125" spans="2:14" ht="38.25" customHeight="1">
      <c r="B125" s="207"/>
      <c r="C125" s="45">
        <v>92777</v>
      </c>
      <c r="D125" s="48" t="s">
        <v>7</v>
      </c>
      <c r="E125" s="689" t="str">
        <f>IFERROR(VLOOKUP($C125,'SINAPI JULHO 2021'!$1:$1048576,2,0),IFERROR(VLOOKUP($C125,'5-COMP. PROPRIA'!$B$4:$I$7999,4,0),""))</f>
        <v>ARMAÇÃO DE PILAR OU VIGA DE UMA ESTRUTURA CONVENCIONAL DE CONCRETO ARMADO EM UMA EDIFICAÇÃO TÉRREA OU SOBRADO UTILIZANDO AÇO CA-50 DE 8,0 MM - MONTAGEM. AF_12/2015</v>
      </c>
      <c r="F125" s="690"/>
      <c r="G125" s="690"/>
      <c r="H125" s="690"/>
      <c r="I125" s="690"/>
      <c r="J125" s="691"/>
      <c r="K125" s="267">
        <v>311.10000000000002</v>
      </c>
      <c r="L125" s="468" t="str">
        <f>IFERROR(VLOOKUP($C125,'SINAPI JULHO 2021'!$1:$1048576,3,0),IFERROR(VLOOKUP($C125,'5-COMP. PROPRIA'!$B$4:$I$7999,5,0),""))</f>
        <v>KG</v>
      </c>
      <c r="M125" s="106"/>
      <c r="N125" s="53"/>
    </row>
    <row r="126" spans="2:14" ht="36.75" customHeight="1">
      <c r="B126" s="207"/>
      <c r="C126" s="45">
        <v>92778</v>
      </c>
      <c r="D126" s="48" t="s">
        <v>7</v>
      </c>
      <c r="E126" s="689" t="str">
        <f>IFERROR(VLOOKUP($C126,'SINAPI JULHO 2021'!$1:$1048576,2,0),IFERROR(VLOOKUP($C126,'5-COMP. PROPRIA'!$B$4:$I$7999,4,0),""))</f>
        <v>ARMAÇÃO DE PILAR OU VIGA DE UMA ESTRUTURA CONVENCIONAL DE CONCRETO ARMADO EM UMA EDIFICAÇÃO TÉRREA OU SOBRADO UTILIZANDO AÇO CA-50 DE 10,0 MM - MONTAGEM. AF_12/2015</v>
      </c>
      <c r="F126" s="690"/>
      <c r="G126" s="690"/>
      <c r="H126" s="690"/>
      <c r="I126" s="690"/>
      <c r="J126" s="691"/>
      <c r="K126" s="267">
        <v>44.2</v>
      </c>
      <c r="L126" s="468" t="str">
        <f>IFERROR(VLOOKUP($C126,'SINAPI JULHO 2021'!$1:$1048576,3,0),IFERROR(VLOOKUP($C126,'5-COMP. PROPRIA'!$B$4:$I$7999,5,0),""))</f>
        <v>KG</v>
      </c>
      <c r="M126" s="106"/>
      <c r="N126" s="53"/>
    </row>
    <row r="127" spans="2:14" ht="60.75" customHeight="1" thickBot="1">
      <c r="B127" s="207"/>
      <c r="C127" s="45">
        <v>92725</v>
      </c>
      <c r="D127" s="48" t="s">
        <v>7</v>
      </c>
      <c r="E127" s="689" t="str">
        <f>IFERROR(VLOOKUP($C127,'SINAPI JULHO 2021'!$1:$1048576,2,0),IFERROR(VLOOKUP($C127,'5-COMP. PROPRIA'!$B$4:$I$7999,4,0),""))</f>
        <v>CONCRETAGEM DE VIGAS E LAJES, FCK=20 MPA, PARA LAJES MACIÇAS OU NERVURADAS COM USO DE BOMBA EM EDIFICAÇÃO COM ÁREA MÉDIA DE LAJES MENOR OU IGUAL A 20 M² - LANÇAMENTO, ADENSAMENTO E ACABAMENTO. AF_12/2015</v>
      </c>
      <c r="F127" s="690"/>
      <c r="G127" s="690"/>
      <c r="H127" s="690"/>
      <c r="I127" s="690"/>
      <c r="J127" s="691"/>
      <c r="K127" s="267">
        <f>K106</f>
        <v>9.9960000000000004</v>
      </c>
      <c r="L127" s="468" t="str">
        <f>IFERROR(VLOOKUP($C127,'SINAPI JULHO 2021'!$1:$1048576,3,0),IFERROR(VLOOKUP($C127,'5-COMP. PROPRIA'!$B$4:$I$7999,5,0),""))</f>
        <v>M3</v>
      </c>
      <c r="M127" s="106"/>
      <c r="N127" s="53"/>
    </row>
    <row r="128" spans="2:14" ht="13.5" thickBot="1">
      <c r="B128" s="207"/>
      <c r="D128" s="17"/>
      <c r="E128" s="710" t="s">
        <v>7148</v>
      </c>
      <c r="F128" s="711"/>
      <c r="G128" s="711"/>
      <c r="H128" s="711"/>
      <c r="I128" s="711"/>
      <c r="J128" s="712"/>
      <c r="K128" s="180"/>
      <c r="L128" s="441"/>
      <c r="M128" s="106"/>
      <c r="N128" s="53"/>
    </row>
    <row r="129" spans="2:14" ht="12.75" customHeight="1" thickBot="1">
      <c r="B129" s="207"/>
      <c r="D129" s="17"/>
      <c r="E129" s="713" t="s">
        <v>7150</v>
      </c>
      <c r="F129" s="714"/>
      <c r="G129" s="714"/>
      <c r="H129" s="714"/>
      <c r="I129" s="714"/>
      <c r="J129" s="715"/>
      <c r="K129" s="180"/>
      <c r="L129" s="441"/>
      <c r="M129" s="106"/>
      <c r="N129" s="53"/>
    </row>
    <row r="130" spans="2:14">
      <c r="B130" s="207"/>
      <c r="D130" s="17"/>
      <c r="E130" s="173"/>
      <c r="F130" s="110"/>
      <c r="G130" s="110"/>
      <c r="H130" s="110"/>
      <c r="I130" s="110"/>
      <c r="J130" s="174"/>
      <c r="K130" s="180"/>
      <c r="L130" s="441"/>
      <c r="M130" s="106"/>
      <c r="N130" s="53"/>
    </row>
    <row r="131" spans="2:14" ht="32.25" customHeight="1">
      <c r="B131" s="339" t="s">
        <v>7149</v>
      </c>
      <c r="C131" s="45">
        <v>92269</v>
      </c>
      <c r="D131" s="48" t="s">
        <v>7</v>
      </c>
      <c r="E131" s="689" t="str">
        <f>IFERROR(VLOOKUP($C131,'SINAPI JULHO 2021'!$1:$1048576,2,0),IFERROR(VLOOKUP($C131,'5-COMP. PROPRIA'!$B$4:$I$7999,4,0),""))</f>
        <v>FABRICAÇÃO DE FÔRMA PARA PILARES E ESTRUTURAS SIMILARES, EM MADEIRA SERRADA, E=25 MM. AF_09/2020</v>
      </c>
      <c r="F131" s="690"/>
      <c r="G131" s="690"/>
      <c r="H131" s="690"/>
      <c r="I131" s="690"/>
      <c r="J131" s="691"/>
      <c r="K131" s="267">
        <v>20.399999999999999</v>
      </c>
      <c r="L131" s="468" t="str">
        <f>IFERROR(VLOOKUP($C131,'SINAPI JULHO 2021'!$1:$1048576,3,0),IFERROR(VLOOKUP($C131,'5-COMP. PROPRIA'!$B$4:$I$7999,5,0),""))</f>
        <v>M2</v>
      </c>
      <c r="M131" s="372"/>
      <c r="N131" s="282"/>
    </row>
    <row r="132" spans="2:14" ht="35.25" customHeight="1">
      <c r="B132" s="207"/>
      <c r="C132" s="45">
        <v>92775</v>
      </c>
      <c r="D132" s="48" t="s">
        <v>7</v>
      </c>
      <c r="E132" s="689" t="str">
        <f>IFERROR(VLOOKUP($C132,'SINAPI JULHO 2021'!$1:$1048576,2,0),IFERROR(VLOOKUP($C132,'5-COMP. PROPRIA'!$B$4:$I$7999,4,0),""))</f>
        <v>ARMAÇÃO DE PILAR OU VIGA DE UMA ESTRUTURA CONVENCIONAL DE CONCRETO ARMADO EM UMA EDIFICAÇÃO TÉRREA OU SOBRADO UTILIZANDO AÇO CA-60 DE 5,0 MM - MONTAGEM. AF_12/2015</v>
      </c>
      <c r="F132" s="690"/>
      <c r="G132" s="690"/>
      <c r="H132" s="690"/>
      <c r="I132" s="690"/>
      <c r="J132" s="691"/>
      <c r="K132" s="267">
        <f>SUM(K134)</f>
        <v>29.424743750000005</v>
      </c>
      <c r="L132" s="468" t="str">
        <f>IFERROR(VLOOKUP($C132,'SINAPI JULHO 2021'!$1:$1048576,3,0),IFERROR(VLOOKUP($C132,'5-COMP. PROPRIA'!$B$4:$I$7999,5,0),""))</f>
        <v>KG</v>
      </c>
      <c r="M132" s="372"/>
      <c r="N132" s="282"/>
    </row>
    <row r="133" spans="2:14">
      <c r="B133" s="207"/>
      <c r="D133" s="17"/>
      <c r="E133" s="161" t="s">
        <v>4458</v>
      </c>
      <c r="F133" s="334" t="s">
        <v>4454</v>
      </c>
      <c r="G133" s="334" t="s">
        <v>4459</v>
      </c>
      <c r="H133" s="334" t="s">
        <v>4460</v>
      </c>
      <c r="I133" s="334"/>
      <c r="J133" s="163"/>
      <c r="K133" s="154"/>
      <c r="L133" s="334"/>
      <c r="M133" s="106"/>
      <c r="N133" s="53"/>
    </row>
    <row r="134" spans="2:14">
      <c r="B134" s="207"/>
      <c r="D134" s="17"/>
      <c r="E134" s="158">
        <v>5</v>
      </c>
      <c r="F134" s="333">
        <v>191</v>
      </c>
      <c r="G134" s="333">
        <v>1</v>
      </c>
      <c r="H134" s="338">
        <f>((E134/1000)*(E134/1000)*3.14*0.25)*7850</f>
        <v>0.15405625000000003</v>
      </c>
      <c r="I134" s="334"/>
      <c r="J134" s="163"/>
      <c r="K134" s="154">
        <f>F134*G134*H134</f>
        <v>29.424743750000005</v>
      </c>
      <c r="L134" s="334"/>
      <c r="M134" s="372"/>
      <c r="N134" s="282"/>
    </row>
    <row r="135" spans="2:14" ht="41.25" customHeight="1">
      <c r="B135" s="207"/>
      <c r="C135" s="45">
        <v>92776</v>
      </c>
      <c r="D135" s="48" t="s">
        <v>7</v>
      </c>
      <c r="E135" s="689" t="str">
        <f>IFERROR(VLOOKUP($C135,'SINAPI JULHO 2021'!$1:$1048576,2,0),IFERROR(VLOOKUP($C135,'5-COMP. PROPRIA'!$B$4:$I$7999,4,0),""))</f>
        <v>ARMAÇÃO DE PILAR OU VIGA DE UMA ESTRUTURA CONVENCIONAL DE CONCRETO ARMADO EM UMA EDIFICAÇÃO TÉRREA OU SOBRADO UTILIZANDO AÇO CA-50 DE 6,3 MM - MONTAGEM. AF_12/2015</v>
      </c>
      <c r="F135" s="690"/>
      <c r="G135" s="690"/>
      <c r="H135" s="690"/>
      <c r="I135" s="690"/>
      <c r="J135" s="691"/>
      <c r="K135" s="267">
        <f>SUM(K137)</f>
        <v>7.3373910750000011</v>
      </c>
      <c r="L135" s="468" t="str">
        <f>IFERROR(VLOOKUP($C135,'SINAPI JULHO 2021'!$1:$1048576,3,0),IFERROR(VLOOKUP($C135,'5-COMP. PROPRIA'!$B$4:$I$7999,5,0),""))</f>
        <v>KG</v>
      </c>
      <c r="M135" s="372"/>
      <c r="N135" s="282"/>
    </row>
    <row r="136" spans="2:14">
      <c r="B136" s="207"/>
      <c r="D136" s="17"/>
      <c r="E136" s="161" t="s">
        <v>4458</v>
      </c>
      <c r="F136" s="334" t="s">
        <v>4454</v>
      </c>
      <c r="G136" s="334" t="s">
        <v>4459</v>
      </c>
      <c r="H136" s="334" t="s">
        <v>4460</v>
      </c>
      <c r="I136" s="334"/>
      <c r="J136" s="163"/>
      <c r="K136" s="154"/>
      <c r="L136" s="334"/>
      <c r="M136" s="106"/>
      <c r="N136" s="53"/>
    </row>
    <row r="137" spans="2:14">
      <c r="B137" s="207"/>
      <c r="D137" s="17"/>
      <c r="E137" s="158">
        <v>6.3</v>
      </c>
      <c r="F137" s="333">
        <v>30</v>
      </c>
      <c r="G137" s="333">
        <v>1</v>
      </c>
      <c r="H137" s="338">
        <f>((E137/1000)*(E137/1000)*3.14*0.25)*7850</f>
        <v>0.24457970250000002</v>
      </c>
      <c r="I137" s="334"/>
      <c r="J137" s="163"/>
      <c r="K137" s="154">
        <f>F137*G137*H137</f>
        <v>7.3373910750000011</v>
      </c>
      <c r="L137" s="334"/>
      <c r="M137" s="106"/>
      <c r="N137" s="53"/>
    </row>
    <row r="138" spans="2:14" ht="33.75" customHeight="1">
      <c r="B138" s="207"/>
      <c r="C138" s="45">
        <v>92778</v>
      </c>
      <c r="D138" s="48" t="s">
        <v>7</v>
      </c>
      <c r="E138" s="689" t="str">
        <f>IFERROR(VLOOKUP($C138,'SINAPI JULHO 2021'!$1:$1048576,2,0),IFERROR(VLOOKUP($C138,'5-COMP. PROPRIA'!$B$4:$I$7999,4,0),""))</f>
        <v>ARMAÇÃO DE PILAR OU VIGA DE UMA ESTRUTURA CONVENCIONAL DE CONCRETO ARMADO EM UMA EDIFICAÇÃO TÉRREA OU SOBRADO UTILIZANDO AÇO CA-50 DE 10,0 MM - MONTAGEM. AF_12/2015</v>
      </c>
      <c r="F138" s="690"/>
      <c r="G138" s="690"/>
      <c r="H138" s="690"/>
      <c r="I138" s="690"/>
      <c r="J138" s="691"/>
      <c r="K138" s="267">
        <f>SUM(K140)</f>
        <v>41.84167750000001</v>
      </c>
      <c r="L138" s="468" t="str">
        <f>IFERROR(VLOOKUP($C138,'SINAPI JULHO 2021'!$1:$1048576,3,0),IFERROR(VLOOKUP($C138,'5-COMP. PROPRIA'!$B$4:$I$7999,5,0),""))</f>
        <v>KG</v>
      </c>
      <c r="M138" s="372"/>
      <c r="N138" s="282"/>
    </row>
    <row r="139" spans="2:14">
      <c r="B139" s="207"/>
      <c r="D139" s="17"/>
      <c r="E139" s="161" t="s">
        <v>4458</v>
      </c>
      <c r="F139" s="334" t="s">
        <v>4454</v>
      </c>
      <c r="G139" s="334" t="s">
        <v>4459</v>
      </c>
      <c r="H139" s="334" t="s">
        <v>4460</v>
      </c>
      <c r="I139" s="334"/>
      <c r="J139" s="163"/>
      <c r="K139" s="154"/>
      <c r="L139" s="334"/>
      <c r="M139" s="106"/>
      <c r="N139" s="53"/>
    </row>
    <row r="140" spans="2:14">
      <c r="B140" s="207"/>
      <c r="D140" s="17"/>
      <c r="E140" s="158">
        <v>10</v>
      </c>
      <c r="F140" s="333">
        <v>67.900000000000006</v>
      </c>
      <c r="G140" s="333">
        <v>1</v>
      </c>
      <c r="H140" s="338">
        <f>((E140/1000)*(E140/1000)*3.14*0.25)*7850</f>
        <v>0.61622500000000013</v>
      </c>
      <c r="I140" s="334"/>
      <c r="J140" s="163"/>
      <c r="K140" s="154">
        <f>F140*G140*H140</f>
        <v>41.84167750000001</v>
      </c>
      <c r="L140" s="334"/>
      <c r="M140" s="106"/>
      <c r="N140" s="53"/>
    </row>
    <row r="141" spans="2:14" ht="36" customHeight="1">
      <c r="B141" s="207"/>
      <c r="C141" s="45">
        <v>92779</v>
      </c>
      <c r="D141" s="48" t="s">
        <v>7</v>
      </c>
      <c r="E141" s="689" t="str">
        <f>IFERROR(VLOOKUP($C141,'SINAPI JULHO 2021'!$1:$1048576,2,0),IFERROR(VLOOKUP($C141,'5-COMP. PROPRIA'!$B$4:$I$7999,4,0),""))</f>
        <v>ARMAÇÃO DE PILAR OU VIGA DE UMA ESTRUTURA CONVENCIONAL DE CONCRETO ARMADO EM UMA EDIFICAÇÃO TÉRREA OU SOBRADO UTILIZANDO AÇO CA-50 DE 12,5 MM - MONTAGEM. AF_12/2015</v>
      </c>
      <c r="F141" s="690"/>
      <c r="G141" s="690"/>
      <c r="H141" s="690"/>
      <c r="I141" s="690"/>
      <c r="J141" s="691"/>
      <c r="K141" s="267">
        <f>SUM(K143)</f>
        <v>17.042472656250002</v>
      </c>
      <c r="L141" s="468" t="str">
        <f>IFERROR(VLOOKUP($C141,'SINAPI JULHO 2021'!$1:$1048576,3,0),IFERROR(VLOOKUP($C141,'5-COMP. PROPRIA'!$B$4:$I$7999,5,0),""))</f>
        <v>KG</v>
      </c>
      <c r="M141" s="372"/>
      <c r="N141" s="282"/>
    </row>
    <row r="142" spans="2:14">
      <c r="B142" s="207"/>
      <c r="D142" s="17"/>
      <c r="E142" s="161" t="s">
        <v>4458</v>
      </c>
      <c r="F142" s="334" t="s">
        <v>4454</v>
      </c>
      <c r="G142" s="334" t="s">
        <v>4459</v>
      </c>
      <c r="H142" s="334" t="s">
        <v>4460</v>
      </c>
      <c r="I142" s="334"/>
      <c r="J142" s="163"/>
      <c r="K142" s="154"/>
      <c r="L142" s="334"/>
      <c r="M142" s="106"/>
      <c r="N142" s="53"/>
    </row>
    <row r="143" spans="2:14">
      <c r="B143" s="207"/>
      <c r="D143" s="17"/>
      <c r="E143" s="158">
        <v>12.5</v>
      </c>
      <c r="F143" s="333">
        <v>17.7</v>
      </c>
      <c r="G143" s="333">
        <v>1</v>
      </c>
      <c r="H143" s="338">
        <f>((E143/1000)*(E143/1000)*3.14*0.25)*7850</f>
        <v>0.96285156250000015</v>
      </c>
      <c r="I143" s="334"/>
      <c r="J143" s="163"/>
      <c r="K143" s="154">
        <f>F143*G143*H143</f>
        <v>17.042472656250002</v>
      </c>
      <c r="L143" s="334"/>
      <c r="M143" s="106"/>
      <c r="N143" s="53"/>
    </row>
    <row r="144" spans="2:14" ht="64.5" customHeight="1" thickBot="1">
      <c r="B144" s="339" t="s">
        <v>7149</v>
      </c>
      <c r="C144" s="45">
        <v>92720</v>
      </c>
      <c r="D144" s="48" t="s">
        <v>7</v>
      </c>
      <c r="E144" s="689" t="str">
        <f>IFERROR(VLOOKUP($C144,'SINAPI JULHO 2021'!$1:$1048576,2,0),IFERROR(VLOOKUP($C144,'5-COMP. PROPRIA'!$B$4:$I$7999,4,0),""))</f>
        <v>CONCRETAGEM DE PILARES, FCK = 25 MPA, COM USO DE BOMBA EM EDIFICAÇÃO COM SEÇÃO MÉDIA DE PILARES MENOR OU IGUAL A 0,25 M² - LANÇAMENTO, ADENSAMENTO E ACABAMENTO. AF_12/2015</v>
      </c>
      <c r="F144" s="690"/>
      <c r="G144" s="690"/>
      <c r="H144" s="690"/>
      <c r="I144" s="690"/>
      <c r="J144" s="691"/>
      <c r="K144" s="267">
        <v>1.26</v>
      </c>
      <c r="L144" s="468" t="str">
        <f>IFERROR(VLOOKUP($C144,'SINAPI JULHO 2021'!$1:$1048576,3,0),IFERROR(VLOOKUP($C144,'5-COMP. PROPRIA'!$B$4:$I$7999,5,0),""))</f>
        <v>M3</v>
      </c>
      <c r="M144" s="372"/>
      <c r="N144" s="282"/>
    </row>
    <row r="145" spans="2:14" ht="13.5" thickBot="1">
      <c r="B145" s="207"/>
      <c r="D145" s="17"/>
      <c r="E145" s="704" t="s">
        <v>13455</v>
      </c>
      <c r="F145" s="705"/>
      <c r="G145" s="705"/>
      <c r="H145" s="705"/>
      <c r="I145" s="705"/>
      <c r="J145" s="706"/>
      <c r="K145" s="180"/>
      <c r="L145" s="441"/>
      <c r="M145" s="106"/>
      <c r="N145" s="53"/>
    </row>
    <row r="146" spans="2:14" ht="47.25" customHeight="1">
      <c r="B146" s="207"/>
      <c r="C146" s="45">
        <v>92452</v>
      </c>
      <c r="D146" s="48" t="s">
        <v>7</v>
      </c>
      <c r="E146" s="689" t="str">
        <f>IFERROR(VLOOKUP($C146,'SINAPI JULHO 2021'!$1:$1048576,2,0),IFERROR(VLOOKUP($C146,'5-COMP. PROPRIA'!$B$4:$I$7999,4,0),""))</f>
        <v>MONTAGEM E DESMONTAGEM DE FÔRMA DE VIGA, ESCORAMENTO METÁLICO, PÉ-DIREITO SIMPLES, EM CHAPA DE MADEIRA RESINADA, 2 UTILIZAÇÕES. AF_09/2020</v>
      </c>
      <c r="F146" s="690"/>
      <c r="G146" s="690"/>
      <c r="H146" s="690"/>
      <c r="I146" s="690"/>
      <c r="J146" s="691"/>
      <c r="K146" s="267">
        <v>207.9</v>
      </c>
      <c r="L146" s="468" t="str">
        <f>IFERROR(VLOOKUP($C146,'SINAPI JULHO 2021'!$1:$1048576,3,0),IFERROR(VLOOKUP($C146,'5-COMP. PROPRIA'!$B$4:$I$7999,5,0),""))</f>
        <v>M2</v>
      </c>
      <c r="M146" s="372"/>
      <c r="N146" s="282"/>
    </row>
    <row r="147" spans="2:14" ht="39" customHeight="1">
      <c r="B147" s="207"/>
      <c r="C147" s="45">
        <v>92783</v>
      </c>
      <c r="D147" s="48" t="s">
        <v>7</v>
      </c>
      <c r="E147" s="689" t="str">
        <f>IFERROR(VLOOKUP($C147,'SINAPI JULHO 2021'!$1:$1048576,2,0),IFERROR(VLOOKUP($C147,'5-COMP. PROPRIA'!$B$4:$I$7999,4,0),""))</f>
        <v>ARMAÇÃO DE LAJE DE UMA ESTRUTURA CONVENCIONAL DE CONCRETO ARMADO EM UMA EDIFICAÇÃO TÉRREA OU SOBRADO UTILIZANDO AÇO CA-60 DE 4,2 MM - MONTAGEM. AF_12/2015</v>
      </c>
      <c r="F147" s="690"/>
      <c r="G147" s="690"/>
      <c r="H147" s="690"/>
      <c r="I147" s="690"/>
      <c r="J147" s="691"/>
      <c r="K147" s="267">
        <v>233.3</v>
      </c>
      <c r="L147" s="468" t="str">
        <f>IFERROR(VLOOKUP($C147,'SINAPI JULHO 2021'!$1:$1048576,3,0),IFERROR(VLOOKUP($C147,'5-COMP. PROPRIA'!$B$4:$I$7999,5,0),""))</f>
        <v>KG</v>
      </c>
      <c r="M147" s="372"/>
      <c r="N147" s="282"/>
    </row>
    <row r="148" spans="2:14" ht="44.25" customHeight="1">
      <c r="B148" s="207"/>
      <c r="C148" s="45">
        <v>92775</v>
      </c>
      <c r="D148" s="48" t="s">
        <v>7</v>
      </c>
      <c r="E148" s="689" t="str">
        <f>IFERROR(VLOOKUP($C148,'SINAPI JULHO 2021'!$1:$1048576,2,0),IFERROR(VLOOKUP($C148,'5-COMP. PROPRIA'!$B$4:$I$7999,4,0),""))</f>
        <v>ARMAÇÃO DE PILAR OU VIGA DE UMA ESTRUTURA CONVENCIONAL DE CONCRETO ARMADO EM UMA EDIFICAÇÃO TÉRREA OU SOBRADO UTILIZANDO AÇO CA-60 DE 5,0 MM - MONTAGEM. AF_12/2015</v>
      </c>
      <c r="F148" s="690"/>
      <c r="G148" s="690"/>
      <c r="H148" s="690"/>
      <c r="I148" s="690"/>
      <c r="J148" s="691"/>
      <c r="K148" s="267">
        <v>30.4</v>
      </c>
      <c r="L148" s="468" t="str">
        <f>IFERROR(VLOOKUP($C148,'SINAPI JULHO 2021'!$1:$1048576,3,0),IFERROR(VLOOKUP($C148,'5-COMP. PROPRIA'!$B$4:$I$7999,5,0),""))</f>
        <v>KG</v>
      </c>
      <c r="M148" s="372"/>
      <c r="N148" s="282"/>
    </row>
    <row r="149" spans="2:14" ht="44.25" customHeight="1">
      <c r="B149" s="207"/>
      <c r="C149" s="45">
        <v>92776</v>
      </c>
      <c r="D149" s="48" t="s">
        <v>7</v>
      </c>
      <c r="E149" s="689" t="str">
        <f>IFERROR(VLOOKUP($C149,'SINAPI JULHO 2021'!$1:$1048576,2,0),IFERROR(VLOOKUP($C149,'5-COMP. PROPRIA'!$B$4:$I$7999,4,0),""))</f>
        <v>ARMAÇÃO DE PILAR OU VIGA DE UMA ESTRUTURA CONVENCIONAL DE CONCRETO ARMADO EM UMA EDIFICAÇÃO TÉRREA OU SOBRADO UTILIZANDO AÇO CA-50 DE 6,3 MM - MONTAGEM. AF_12/2015</v>
      </c>
      <c r="F149" s="690"/>
      <c r="G149" s="690"/>
      <c r="H149" s="690"/>
      <c r="I149" s="690"/>
      <c r="J149" s="691"/>
      <c r="K149" s="267">
        <v>308.3</v>
      </c>
      <c r="L149" s="468" t="str">
        <f>IFERROR(VLOOKUP($C149,'SINAPI JULHO 2021'!$1:$1048576,3,0),IFERROR(VLOOKUP($C149,'5-COMP. PROPRIA'!$B$4:$I$7999,5,0),""))</f>
        <v>KG</v>
      </c>
      <c r="M149" s="372"/>
      <c r="N149" s="282"/>
    </row>
    <row r="150" spans="2:14" ht="44.25" customHeight="1">
      <c r="B150" s="207"/>
      <c r="C150" s="45">
        <v>92777</v>
      </c>
      <c r="D150" s="48" t="s">
        <v>7</v>
      </c>
      <c r="E150" s="689" t="str">
        <f>IFERROR(VLOOKUP($C150,'SINAPI JULHO 2021'!$1:$1048576,2,0),IFERROR(VLOOKUP($C150,'5-COMP. PROPRIA'!$B$4:$I$7999,4,0),""))</f>
        <v>ARMAÇÃO DE PILAR OU VIGA DE UMA ESTRUTURA CONVENCIONAL DE CONCRETO ARMADO EM UMA EDIFICAÇÃO TÉRREA OU SOBRADO UTILIZANDO AÇO CA-50 DE 8,0 MM - MONTAGEM. AF_12/2015</v>
      </c>
      <c r="F150" s="690"/>
      <c r="G150" s="690"/>
      <c r="H150" s="690"/>
      <c r="I150" s="690"/>
      <c r="J150" s="691"/>
      <c r="K150" s="267">
        <v>2.1</v>
      </c>
      <c r="L150" s="468" t="str">
        <f>IFERROR(VLOOKUP($C150,'SINAPI JULHO 2021'!$1:$1048576,3,0),IFERROR(VLOOKUP($C150,'5-COMP. PROPRIA'!$B$4:$I$7999,5,0),""))</f>
        <v>KG</v>
      </c>
      <c r="M150" s="372"/>
      <c r="N150" s="282"/>
    </row>
    <row r="151" spans="2:14" ht="44.25" customHeight="1">
      <c r="B151" s="207"/>
      <c r="C151" s="45">
        <v>92778</v>
      </c>
      <c r="D151" s="48" t="s">
        <v>7</v>
      </c>
      <c r="E151" s="689" t="str">
        <f>IFERROR(VLOOKUP($C151,'SINAPI JULHO 2021'!$1:$1048576,2,0),IFERROR(VLOOKUP($C151,'5-COMP. PROPRIA'!$B$4:$I$7999,4,0),""))</f>
        <v>ARMAÇÃO DE PILAR OU VIGA DE UMA ESTRUTURA CONVENCIONAL DE CONCRETO ARMADO EM UMA EDIFICAÇÃO TÉRREA OU SOBRADO UTILIZANDO AÇO CA-50 DE 10,0 MM - MONTAGEM. AF_12/2015</v>
      </c>
      <c r="F151" s="690"/>
      <c r="G151" s="690"/>
      <c r="H151" s="690"/>
      <c r="I151" s="690"/>
      <c r="J151" s="691"/>
      <c r="K151" s="267">
        <v>550.20000000000005</v>
      </c>
      <c r="L151" s="468" t="str">
        <f>IFERROR(VLOOKUP($C151,'SINAPI JULHO 2021'!$1:$1048576,3,0),IFERROR(VLOOKUP($C151,'5-COMP. PROPRIA'!$B$4:$I$7999,5,0),""))</f>
        <v>KG</v>
      </c>
      <c r="M151" s="372"/>
      <c r="N151" s="282"/>
    </row>
    <row r="152" spans="2:14" ht="44.25" customHeight="1">
      <c r="B152" s="207"/>
      <c r="C152" s="45">
        <v>92779</v>
      </c>
      <c r="D152" s="48" t="s">
        <v>7</v>
      </c>
      <c r="E152" s="689" t="str">
        <f>IFERROR(VLOOKUP($C152,'SINAPI JULHO 2021'!$1:$1048576,2,0),IFERROR(VLOOKUP($C152,'5-COMP. PROPRIA'!$B$4:$I$7999,4,0),""))</f>
        <v>ARMAÇÃO DE PILAR OU VIGA DE UMA ESTRUTURA CONVENCIONAL DE CONCRETO ARMADO EM UMA EDIFICAÇÃO TÉRREA OU SOBRADO UTILIZANDO AÇO CA-50 DE 12,5 MM - MONTAGEM. AF_12/2015</v>
      </c>
      <c r="F152" s="690"/>
      <c r="G152" s="690"/>
      <c r="H152" s="690"/>
      <c r="I152" s="690"/>
      <c r="J152" s="691"/>
      <c r="K152" s="267">
        <v>46.2</v>
      </c>
      <c r="L152" s="468" t="str">
        <f>IFERROR(VLOOKUP($C152,'SINAPI JULHO 2021'!$1:$1048576,3,0),IFERROR(VLOOKUP($C152,'5-COMP. PROPRIA'!$B$4:$I$7999,5,0),""))</f>
        <v>KG</v>
      </c>
      <c r="M152" s="372"/>
      <c r="N152" s="282"/>
    </row>
    <row r="153" spans="2:14" ht="44.25" customHeight="1">
      <c r="B153" s="207"/>
      <c r="C153" s="45">
        <v>92780</v>
      </c>
      <c r="D153" s="48" t="s">
        <v>7</v>
      </c>
      <c r="E153" s="689" t="str">
        <f>IFERROR(VLOOKUP($C153,'SINAPI JULHO 2021'!$1:$1048576,2,0),IFERROR(VLOOKUP($C153,'5-COMP. PROPRIA'!$B$4:$I$7999,4,0),""))</f>
        <v>ARMAÇÃO DE PILAR OU VIGA DE UMA ESTRUTURA CONVENCIONAL DE CONCRETO ARMADO EM UMA EDIFICAÇÃO TÉRREA OU SOBRADO UTILIZANDO AÇO CA-50 DE 16,0 MM - MONTAGEM. AF_12/2015</v>
      </c>
      <c r="F153" s="690"/>
      <c r="G153" s="690"/>
      <c r="H153" s="690"/>
      <c r="I153" s="690"/>
      <c r="J153" s="691"/>
      <c r="K153" s="267">
        <v>292.45</v>
      </c>
      <c r="L153" s="468" t="str">
        <f>IFERROR(VLOOKUP($C153,'SINAPI JULHO 2021'!$1:$1048576,3,0),IFERROR(VLOOKUP($C153,'5-COMP. PROPRIA'!$B$4:$I$7999,5,0),""))</f>
        <v>KG</v>
      </c>
      <c r="M153" s="372"/>
      <c r="N153" s="282"/>
    </row>
    <row r="154" spans="2:14" ht="39" customHeight="1" thickBot="1">
      <c r="B154" s="207"/>
      <c r="C154" s="45">
        <v>96557</v>
      </c>
      <c r="D154" s="48" t="s">
        <v>7</v>
      </c>
      <c r="E154" s="689" t="str">
        <f>IFERROR(VLOOKUP($C154,'SINAPI JULHO 2021'!$1:$1048576,2,0),IFERROR(VLOOKUP($C154,'5-COMP. PROPRIA'!$B$4:$I$7999,4,0),""))</f>
        <v>CONCRETAGEM DE BLOCOS DE COROAMENTO E VIGAS BALDRAMES, FCK 30 MPA, COM USO DE BOMBA  LANÇAMENTO, ADENSAMENTO E ACABAMENTO. AF_06/2017</v>
      </c>
      <c r="F154" s="690"/>
      <c r="G154" s="690"/>
      <c r="H154" s="690"/>
      <c r="I154" s="690"/>
      <c r="J154" s="691"/>
      <c r="K154" s="267">
        <v>21.5</v>
      </c>
      <c r="L154" s="468" t="str">
        <f>IFERROR(VLOOKUP($C154,'SINAPI JULHO 2021'!$1:$1048576,3,0),IFERROR(VLOOKUP($C154,'5-COMP. PROPRIA'!$B$4:$I$7999,5,0),""))</f>
        <v>M3</v>
      </c>
      <c r="M154" s="372"/>
      <c r="N154" s="282"/>
    </row>
    <row r="155" spans="2:14" ht="12.75" customHeight="1" thickBot="1">
      <c r="B155" s="207"/>
      <c r="D155" s="17"/>
      <c r="E155" s="704" t="s">
        <v>13456</v>
      </c>
      <c r="F155" s="705"/>
      <c r="G155" s="705"/>
      <c r="H155" s="705"/>
      <c r="I155" s="705"/>
      <c r="J155" s="706"/>
      <c r="K155" s="180"/>
      <c r="L155" s="441"/>
      <c r="M155" s="106"/>
      <c r="N155" s="53"/>
    </row>
    <row r="156" spans="2:14" ht="34.5" customHeight="1">
      <c r="B156" s="207"/>
      <c r="C156" s="45">
        <v>92265</v>
      </c>
      <c r="D156" s="48" t="s">
        <v>7</v>
      </c>
      <c r="E156" s="689" t="str">
        <f>IFERROR(VLOOKUP($C156,'SINAPI JULHO 2021'!$1:$1048576,2,0),IFERROR(VLOOKUP($C156,'5-COMP. PROPRIA'!$B$4:$I$7999,4,0),""))</f>
        <v>FABRICAÇÃO DE FÔRMA PARA VIGAS, EM CHAPA DE MADEIRA COMPENSADA RESINADA, E = 17 MM. AF_09/2020</v>
      </c>
      <c r="F156" s="690"/>
      <c r="G156" s="690"/>
      <c r="H156" s="690"/>
      <c r="I156" s="690"/>
      <c r="J156" s="691"/>
      <c r="K156" s="267">
        <v>99.8</v>
      </c>
      <c r="L156" s="468" t="str">
        <f>IFERROR(VLOOKUP($C156,'SINAPI JULHO 2021'!$1:$1048576,3,0),IFERROR(VLOOKUP($C156,'5-COMP. PROPRIA'!$B$4:$I$7999,5,0),""))</f>
        <v>M2</v>
      </c>
      <c r="M156" s="372"/>
      <c r="N156" s="282"/>
    </row>
    <row r="157" spans="2:14" ht="34.5" customHeight="1">
      <c r="B157" s="207"/>
      <c r="C157" s="45">
        <v>92775</v>
      </c>
      <c r="D157" s="48" t="s">
        <v>7</v>
      </c>
      <c r="E157" s="689" t="str">
        <f>IFERROR(VLOOKUP($C157,'SINAPI JULHO 2021'!$1:$1048576,2,0),IFERROR(VLOOKUP($C157,'5-COMP. PROPRIA'!$B$4:$I$7999,4,0),""))</f>
        <v>ARMAÇÃO DE PILAR OU VIGA DE UMA ESTRUTURA CONVENCIONAL DE CONCRETO ARMADO EM UMA EDIFICAÇÃO TÉRREA OU SOBRADO UTILIZANDO AÇO CA-60 DE 5,0 MM - MONTAGEM. AF_12/2015</v>
      </c>
      <c r="F157" s="690"/>
      <c r="G157" s="690"/>
      <c r="H157" s="690"/>
      <c r="I157" s="690"/>
      <c r="J157" s="691"/>
      <c r="K157" s="267">
        <v>70.3</v>
      </c>
      <c r="L157" s="468" t="str">
        <f>IFERROR(VLOOKUP($C157,'SINAPI JULHO 2021'!$1:$1048576,3,0),IFERROR(VLOOKUP($C157,'5-COMP. PROPRIA'!$B$4:$I$7999,5,0),""))</f>
        <v>KG</v>
      </c>
      <c r="M157" s="372"/>
      <c r="N157" s="282"/>
    </row>
    <row r="158" spans="2:14" ht="34.5" customHeight="1">
      <c r="B158" s="207"/>
      <c r="C158" s="45">
        <v>92776</v>
      </c>
      <c r="D158" s="48" t="s">
        <v>7</v>
      </c>
      <c r="E158" s="689" t="str">
        <f>IFERROR(VLOOKUP($C158,'SINAPI JULHO 2021'!$1:$1048576,2,0),IFERROR(VLOOKUP($C158,'5-COMP. PROPRIA'!$B$4:$I$7999,4,0),""))</f>
        <v>ARMAÇÃO DE PILAR OU VIGA DE UMA ESTRUTURA CONVENCIONAL DE CONCRETO ARMADO EM UMA EDIFICAÇÃO TÉRREA OU SOBRADO UTILIZANDO AÇO CA-50 DE 6,3 MM - MONTAGEM. AF_12/2015</v>
      </c>
      <c r="F158" s="690"/>
      <c r="G158" s="690"/>
      <c r="H158" s="690"/>
      <c r="I158" s="690"/>
      <c r="J158" s="691"/>
      <c r="K158" s="267">
        <v>108.6</v>
      </c>
      <c r="L158" s="468" t="str">
        <f>IFERROR(VLOOKUP($C158,'SINAPI JULHO 2021'!$1:$1048576,3,0),IFERROR(VLOOKUP($C158,'5-COMP. PROPRIA'!$B$4:$I$7999,5,0),""))</f>
        <v>KG</v>
      </c>
      <c r="M158" s="372"/>
      <c r="N158" s="282"/>
    </row>
    <row r="159" spans="2:14" ht="34.5" customHeight="1">
      <c r="B159" s="207"/>
      <c r="C159" s="45">
        <v>92777</v>
      </c>
      <c r="D159" s="48" t="s">
        <v>7</v>
      </c>
      <c r="E159" s="689" t="str">
        <f>IFERROR(VLOOKUP($C159,'SINAPI JULHO 2021'!$1:$1048576,2,0),IFERROR(VLOOKUP($C159,'5-COMP. PROPRIA'!$B$4:$I$7999,4,0),""))</f>
        <v>ARMAÇÃO DE PILAR OU VIGA DE UMA ESTRUTURA CONVENCIONAL DE CONCRETO ARMADO EM UMA EDIFICAÇÃO TÉRREA OU SOBRADO UTILIZANDO AÇO CA-50 DE 8,0 MM - MONTAGEM. AF_12/2015</v>
      </c>
      <c r="F159" s="690"/>
      <c r="G159" s="690"/>
      <c r="H159" s="690"/>
      <c r="I159" s="690"/>
      <c r="J159" s="691"/>
      <c r="K159" s="267">
        <v>67.150000000000006</v>
      </c>
      <c r="L159" s="468" t="str">
        <f>IFERROR(VLOOKUP($C159,'SINAPI JULHO 2021'!$1:$1048576,3,0),IFERROR(VLOOKUP($C159,'5-COMP. PROPRIA'!$B$4:$I$7999,5,0),""))</f>
        <v>KG</v>
      </c>
      <c r="M159" s="372"/>
      <c r="N159" s="282"/>
    </row>
    <row r="160" spans="2:14" ht="41.25" customHeight="1">
      <c r="B160" s="207"/>
      <c r="C160" s="45">
        <v>92778</v>
      </c>
      <c r="D160" s="48" t="s">
        <v>7</v>
      </c>
      <c r="E160" s="689" t="str">
        <f>IFERROR(VLOOKUP($C160,'SINAPI JULHO 2021'!$1:$1048576,2,0),IFERROR(VLOOKUP($C160,'5-COMP. PROPRIA'!$B$4:$I$7999,4,0),""))</f>
        <v>ARMAÇÃO DE PILAR OU VIGA DE UMA ESTRUTURA CONVENCIONAL DE CONCRETO ARMADO EM UMA EDIFICAÇÃO TÉRREA OU SOBRADO UTILIZANDO AÇO CA-50 DE 10,0 MM - MONTAGEM. AF_12/2015</v>
      </c>
      <c r="F160" s="690"/>
      <c r="G160" s="690"/>
      <c r="H160" s="690"/>
      <c r="I160" s="690"/>
      <c r="J160" s="691"/>
      <c r="K160" s="267">
        <v>96.15</v>
      </c>
      <c r="L160" s="468" t="str">
        <f>IFERROR(VLOOKUP($C160,'SINAPI JULHO 2021'!$1:$1048576,3,0),IFERROR(VLOOKUP($C160,'5-COMP. PROPRIA'!$B$4:$I$7999,5,0),""))</f>
        <v>KG</v>
      </c>
      <c r="M160" s="372"/>
      <c r="N160" s="282"/>
    </row>
    <row r="161" spans="1:14" ht="39.75" customHeight="1" thickBot="1">
      <c r="B161" s="207"/>
      <c r="C161" s="45">
        <v>96557</v>
      </c>
      <c r="D161" s="48" t="s">
        <v>7</v>
      </c>
      <c r="E161" s="689" t="str">
        <f>IFERROR(VLOOKUP($C161,'SINAPI JULHO 2021'!$1:$1048576,2,0),IFERROR(VLOOKUP($C161,'5-COMP. PROPRIA'!$B$4:$I$7999,4,0),""))</f>
        <v>CONCRETAGEM DE BLOCOS DE COROAMENTO E VIGAS BALDRAMES, FCK 30 MPA, COM USO DE BOMBA  LANÇAMENTO, ADENSAMENTO E ACABAMENTO. AF_06/2017</v>
      </c>
      <c r="F161" s="690"/>
      <c r="G161" s="690"/>
      <c r="H161" s="690"/>
      <c r="I161" s="690"/>
      <c r="J161" s="691"/>
      <c r="K161" s="267">
        <v>6.65</v>
      </c>
      <c r="L161" s="468" t="str">
        <f>IFERROR(VLOOKUP($C161,'SINAPI JULHO 2021'!$1:$1048576,3,0),IFERROR(VLOOKUP($C161,'5-COMP. PROPRIA'!$B$4:$I$7999,5,0),""))</f>
        <v>M3</v>
      </c>
      <c r="M161" s="372"/>
      <c r="N161" s="282"/>
    </row>
    <row r="162" spans="1:14" ht="13.5" thickBot="1">
      <c r="B162" s="207"/>
      <c r="D162" s="17"/>
      <c r="E162" s="704" t="s">
        <v>13457</v>
      </c>
      <c r="F162" s="705"/>
      <c r="G162" s="705"/>
      <c r="H162" s="705"/>
      <c r="I162" s="705"/>
      <c r="J162" s="706"/>
      <c r="K162" s="180"/>
      <c r="L162" s="441"/>
      <c r="M162" s="106"/>
      <c r="N162" s="53"/>
    </row>
    <row r="163" spans="1:14" ht="35.25" customHeight="1">
      <c r="B163" s="207"/>
      <c r="C163" s="45">
        <v>92776</v>
      </c>
      <c r="D163" s="48" t="s">
        <v>7</v>
      </c>
      <c r="E163" s="689" t="str">
        <f>IFERROR(VLOOKUP($C163,'SINAPI JULHO 2021'!$1:$1048576,2,0),IFERROR(VLOOKUP($C163,'5-COMP. PROPRIA'!$B$4:$I$7999,4,0),""))</f>
        <v>ARMAÇÃO DE PILAR OU VIGA DE UMA ESTRUTURA CONVENCIONAL DE CONCRETO ARMADO EM UMA EDIFICAÇÃO TÉRREA OU SOBRADO UTILIZANDO AÇO CA-50 DE 6,3 MM - MONTAGEM. AF_12/2015</v>
      </c>
      <c r="F163" s="690"/>
      <c r="G163" s="690"/>
      <c r="H163" s="690"/>
      <c r="I163" s="690"/>
      <c r="J163" s="691"/>
      <c r="K163" s="267">
        <v>404.7</v>
      </c>
      <c r="L163" s="468" t="str">
        <f>IFERROR(VLOOKUP($C163,'SINAPI JULHO 2021'!$1:$1048576,3,0),IFERROR(VLOOKUP($C163,'5-COMP. PROPRIA'!$B$4:$I$7999,5,0),""))</f>
        <v>KG</v>
      </c>
      <c r="M163" s="372"/>
      <c r="N163" s="282"/>
    </row>
    <row r="164" spans="1:14" ht="35.25" customHeight="1">
      <c r="B164" s="207"/>
      <c r="C164" s="45">
        <v>92777</v>
      </c>
      <c r="D164" s="48" t="s">
        <v>7</v>
      </c>
      <c r="E164" s="689" t="str">
        <f>IFERROR(VLOOKUP($C164,'SINAPI JULHO 2021'!$1:$1048576,2,0),IFERROR(VLOOKUP($C164,'5-COMP. PROPRIA'!$B$4:$I$7999,4,0),""))</f>
        <v>ARMAÇÃO DE PILAR OU VIGA DE UMA ESTRUTURA CONVENCIONAL DE CONCRETO ARMADO EM UMA EDIFICAÇÃO TÉRREA OU SOBRADO UTILIZANDO AÇO CA-50 DE 8,0 MM - MONTAGEM. AF_12/2015</v>
      </c>
      <c r="F164" s="690"/>
      <c r="G164" s="690"/>
      <c r="H164" s="690"/>
      <c r="I164" s="690"/>
      <c r="J164" s="691"/>
      <c r="K164" s="267">
        <v>7.5</v>
      </c>
      <c r="L164" s="468" t="str">
        <f>IFERROR(VLOOKUP($C164,'SINAPI JULHO 2021'!$1:$1048576,3,0),IFERROR(VLOOKUP($C164,'5-COMP. PROPRIA'!$B$4:$I$7999,5,0),""))</f>
        <v>KG</v>
      </c>
      <c r="M164" s="372"/>
      <c r="N164" s="282"/>
    </row>
    <row r="165" spans="1:14" ht="35.25" customHeight="1">
      <c r="B165" s="207"/>
      <c r="C165" s="45">
        <v>92778</v>
      </c>
      <c r="D165" s="48" t="s">
        <v>7</v>
      </c>
      <c r="E165" s="689" t="str">
        <f>IFERROR(VLOOKUP($C165,'SINAPI JULHO 2021'!$1:$1048576,2,0),IFERROR(VLOOKUP($C165,'5-COMP. PROPRIA'!$B$4:$I$7999,4,0),""))</f>
        <v>ARMAÇÃO DE PILAR OU VIGA DE UMA ESTRUTURA CONVENCIONAL DE CONCRETO ARMADO EM UMA EDIFICAÇÃO TÉRREA OU SOBRADO UTILIZANDO AÇO CA-50 DE 10,0 MM - MONTAGEM. AF_12/2015</v>
      </c>
      <c r="F165" s="690"/>
      <c r="G165" s="690"/>
      <c r="H165" s="690"/>
      <c r="I165" s="690"/>
      <c r="J165" s="691"/>
      <c r="K165" s="267">
        <v>15.15</v>
      </c>
      <c r="L165" s="468" t="str">
        <f>IFERROR(VLOOKUP($C165,'SINAPI JULHO 2021'!$1:$1048576,3,0),IFERROR(VLOOKUP($C165,'5-COMP. PROPRIA'!$B$4:$I$7999,5,0),""))</f>
        <v>KG</v>
      </c>
      <c r="M165" s="372"/>
      <c r="N165" s="282"/>
    </row>
    <row r="166" spans="1:14" ht="35.25" customHeight="1">
      <c r="B166" s="207"/>
      <c r="C166" s="45">
        <v>92779</v>
      </c>
      <c r="D166" s="48" t="s">
        <v>7</v>
      </c>
      <c r="E166" s="689" t="str">
        <f>IFERROR(VLOOKUP($C166,'SINAPI JULHO 2021'!$1:$1048576,2,0),IFERROR(VLOOKUP($C166,'5-COMP. PROPRIA'!$B$4:$I$7999,4,0),""))</f>
        <v>ARMAÇÃO DE PILAR OU VIGA DE UMA ESTRUTURA CONVENCIONAL DE CONCRETO ARMADO EM UMA EDIFICAÇÃO TÉRREA OU SOBRADO UTILIZANDO AÇO CA-50 DE 12,5 MM - MONTAGEM. AF_12/2015</v>
      </c>
      <c r="F166" s="690"/>
      <c r="G166" s="690"/>
      <c r="H166" s="690"/>
      <c r="I166" s="690"/>
      <c r="J166" s="691"/>
      <c r="K166" s="267">
        <v>3.45</v>
      </c>
      <c r="L166" s="468" t="str">
        <f>IFERROR(VLOOKUP($C166,'SINAPI JULHO 2021'!$1:$1048576,3,0),IFERROR(VLOOKUP($C166,'5-COMP. PROPRIA'!$B$4:$I$7999,5,0),""))</f>
        <v>KG</v>
      </c>
      <c r="M166" s="372"/>
      <c r="N166" s="282"/>
    </row>
    <row r="167" spans="1:14" ht="46.5" customHeight="1" thickBot="1">
      <c r="B167" s="207"/>
      <c r="C167" s="239" t="str">
        <f>'5-COMP. PROPRIA'!B49</f>
        <v>CP-LAJ-01</v>
      </c>
      <c r="D167" s="390" t="s">
        <v>4271</v>
      </c>
      <c r="E167" s="689" t="str">
        <f>IFERROR(VLOOKUP($C167,'SINAPI JULHO 2021'!$1:$1048576,2,0),IFERROR(VLOOKUP($C167,'5-COMP. PROPRIA'!$B$4:$I$7999,4,0),""))</f>
        <v xml:space="preserve">LAJE PRÉ-MOLDADA UNIDIRECIONAL, BIAPOIADA, PARA PISO, ENCHIMENTO EM CERÂMICA, VIGOTA CONVENCIONAL, ALTURA TOTAL DA LAJE (ENCHIMENTO+CAPA) = (8+4) VÃO ATÉ 6,00 M </v>
      </c>
      <c r="F167" s="690"/>
      <c r="G167" s="690"/>
      <c r="H167" s="690"/>
      <c r="I167" s="690"/>
      <c r="J167" s="691"/>
      <c r="K167" s="267">
        <v>360</v>
      </c>
      <c r="L167" s="468" t="str">
        <f>IFERROR(VLOOKUP($C167,'SINAPI JULHO 2021'!$1:$1048576,3,0),IFERROR(VLOOKUP($C167,'5-COMP. PROPRIA'!$B$4:$I$7999,5,0),""))</f>
        <v>M2</v>
      </c>
      <c r="M167" s="372"/>
      <c r="N167" s="282"/>
    </row>
    <row r="168" spans="1:14" ht="13.5" customHeight="1" thickBot="1">
      <c r="A168" s="340"/>
      <c r="B168" s="341"/>
      <c r="C168" s="385"/>
      <c r="D168" s="342"/>
      <c r="E168" s="710" t="s">
        <v>13458</v>
      </c>
      <c r="F168" s="711"/>
      <c r="G168" s="711"/>
      <c r="H168" s="711"/>
      <c r="I168" s="711"/>
      <c r="J168" s="712"/>
      <c r="K168" s="343"/>
      <c r="L168" s="35"/>
      <c r="M168" s="345"/>
      <c r="N168" s="346"/>
    </row>
    <row r="169" spans="1:14" ht="27" customHeight="1" thickBot="1">
      <c r="A169" s="340"/>
      <c r="B169" s="341"/>
      <c r="C169" s="45">
        <v>101963</v>
      </c>
      <c r="D169" s="390" t="s">
        <v>7</v>
      </c>
      <c r="E169" s="689" t="str">
        <f>IFERROR(VLOOKUP($C169,'SINAPI JULHO 2021'!$1:$1048576,2,0),IFERROR(VLOOKUP($C169,'5-COMP. PROPRIA'!$B$4:$I$7999,4,0),""))</f>
        <v>LAJE PRÉ-MOLDADA UNIDIRECIONAL, BIAPOIADA, PARA PISO, ENCHIMENTO EM CERÂMICA, VIGOTA CONVENCIONAL, ALTURA TOTAL DA LAJE (ENCHIMENTO+CAPA) = (8+4). AF_11/2020</v>
      </c>
      <c r="F169" s="690"/>
      <c r="G169" s="690"/>
      <c r="H169" s="690"/>
      <c r="I169" s="690"/>
      <c r="J169" s="691"/>
      <c r="K169" s="267">
        <f>53.2*0.55</f>
        <v>29.260000000000005</v>
      </c>
      <c r="L169" s="468" t="str">
        <f>IFERROR(VLOOKUP($C169,'SINAPI JULHO 2021'!$1:$1048576,3,0),IFERROR(VLOOKUP($C169,'5-COMP. PROPRIA'!$B$4:$I$7999,5,0),""))</f>
        <v>M2</v>
      </c>
      <c r="M169" s="345"/>
      <c r="N169" s="346"/>
    </row>
    <row r="170" spans="1:14" ht="13.5" thickBot="1">
      <c r="B170" s="377" t="s">
        <v>6868</v>
      </c>
      <c r="D170" s="17"/>
      <c r="E170" s="701" t="s">
        <v>6867</v>
      </c>
      <c r="F170" s="702"/>
      <c r="G170" s="702"/>
      <c r="H170" s="702"/>
      <c r="I170" s="702"/>
      <c r="J170" s="703"/>
      <c r="K170" s="154"/>
      <c r="L170" s="441"/>
      <c r="M170" s="106"/>
      <c r="N170" s="53"/>
    </row>
    <row r="171" spans="1:14" ht="13.5" thickBot="1">
      <c r="B171" s="207"/>
      <c r="D171" s="17"/>
      <c r="E171" s="704" t="s">
        <v>13067</v>
      </c>
      <c r="F171" s="705"/>
      <c r="G171" s="705"/>
      <c r="H171" s="705"/>
      <c r="I171" s="705"/>
      <c r="J171" s="706"/>
      <c r="K171" s="154"/>
      <c r="L171" s="445"/>
      <c r="M171" s="106"/>
      <c r="N171" s="53"/>
    </row>
    <row r="172" spans="1:14" ht="15">
      <c r="B172" s="207"/>
      <c r="C172" s="45">
        <v>93358</v>
      </c>
      <c r="D172" s="48" t="s">
        <v>7</v>
      </c>
      <c r="E172" s="689" t="str">
        <f>IFERROR(VLOOKUP($C172,'SINAPI JULHO 2021'!$1:$1048576,2,0),IFERROR(VLOOKUP($C172,'5-COMP. PROPRIA'!$B$4:$I$7999,4,0),""))</f>
        <v>ESCAVAÇÃO MANUAL DE VALA COM PROFUNDIDADE MENOR OU IGUAL A 1,30 M. AF_02/2021</v>
      </c>
      <c r="F172" s="690"/>
      <c r="G172" s="690"/>
      <c r="H172" s="690"/>
      <c r="I172" s="690"/>
      <c r="J172" s="691"/>
      <c r="K172" s="267">
        <f>SUM(K174:K181)</f>
        <v>89.237000000000009</v>
      </c>
      <c r="L172" s="468" t="str">
        <f>IFERROR(VLOOKUP($C172,'SINAPI JULHO 2021'!$1:$1048576,3,0),IFERROR(VLOOKUP($C172,'5-COMP. PROPRIA'!$B$4:$I$7999,5,0),""))</f>
        <v>M3</v>
      </c>
      <c r="M172" s="106"/>
      <c r="N172" s="53"/>
    </row>
    <row r="173" spans="1:14" ht="76.5">
      <c r="B173" s="207"/>
      <c r="D173" s="17"/>
      <c r="E173" s="155" t="s">
        <v>4454</v>
      </c>
      <c r="F173" s="156" t="s">
        <v>4455</v>
      </c>
      <c r="G173" s="156" t="s">
        <v>4456</v>
      </c>
      <c r="H173" s="156" t="s">
        <v>4457</v>
      </c>
      <c r="I173" s="156" t="s">
        <v>7159</v>
      </c>
      <c r="J173" s="157"/>
      <c r="K173" s="154"/>
      <c r="L173" s="441"/>
      <c r="M173" s="106"/>
      <c r="N173" s="53"/>
    </row>
    <row r="174" spans="1:14" ht="21" customHeight="1">
      <c r="B174" s="207" t="s">
        <v>7153</v>
      </c>
      <c r="D174" s="17"/>
      <c r="E174" s="158">
        <v>1</v>
      </c>
      <c r="F174" s="285">
        <v>0.7</v>
      </c>
      <c r="G174" s="285">
        <v>0.75</v>
      </c>
      <c r="H174" s="285">
        <v>4</v>
      </c>
      <c r="I174" s="285">
        <v>2</v>
      </c>
      <c r="J174" s="160"/>
      <c r="K174" s="154">
        <f t="shared" ref="K174:K181" si="0">E174*F174*G174*H174</f>
        <v>2.0999999999999996</v>
      </c>
      <c r="L174" s="441"/>
      <c r="M174" s="106"/>
      <c r="N174" s="53"/>
    </row>
    <row r="175" spans="1:14" ht="21" customHeight="1">
      <c r="B175" s="207" t="s">
        <v>7151</v>
      </c>
      <c r="D175" s="17"/>
      <c r="E175" s="158">
        <v>1</v>
      </c>
      <c r="F175" s="285">
        <v>1</v>
      </c>
      <c r="G175" s="285">
        <v>0.85</v>
      </c>
      <c r="H175" s="285">
        <v>1</v>
      </c>
      <c r="I175" s="285">
        <v>2</v>
      </c>
      <c r="J175" s="160"/>
      <c r="K175" s="154">
        <f t="shared" si="0"/>
        <v>0.85</v>
      </c>
      <c r="L175" s="441"/>
      <c r="M175" s="106"/>
      <c r="N175" s="53"/>
    </row>
    <row r="176" spans="1:14" ht="21" customHeight="1">
      <c r="B176" s="207" t="s">
        <v>7152</v>
      </c>
      <c r="D176" s="17"/>
      <c r="E176" s="158">
        <v>0.8</v>
      </c>
      <c r="F176" s="285">
        <v>0.8</v>
      </c>
      <c r="G176" s="285">
        <v>0.65</v>
      </c>
      <c r="H176" s="285">
        <v>2</v>
      </c>
      <c r="I176" s="285"/>
      <c r="J176" s="160"/>
      <c r="K176" s="154">
        <f t="shared" si="0"/>
        <v>0.83200000000000018</v>
      </c>
      <c r="L176" s="441"/>
      <c r="M176" s="106"/>
      <c r="N176" s="53"/>
    </row>
    <row r="177" spans="2:14" ht="21" customHeight="1">
      <c r="B177" s="207" t="s">
        <v>7154</v>
      </c>
      <c r="D177" s="17"/>
      <c r="E177" s="158">
        <v>1</v>
      </c>
      <c r="F177" s="333">
        <v>1</v>
      </c>
      <c r="G177" s="333">
        <v>0.95</v>
      </c>
      <c r="H177" s="333">
        <v>1</v>
      </c>
      <c r="I177" s="333">
        <v>2</v>
      </c>
      <c r="J177" s="160"/>
      <c r="K177" s="154">
        <f t="shared" si="0"/>
        <v>0.95</v>
      </c>
      <c r="L177" s="441"/>
      <c r="M177" s="106"/>
      <c r="N177" s="53"/>
    </row>
    <row r="178" spans="2:14" ht="21" customHeight="1">
      <c r="B178" s="207" t="s">
        <v>7155</v>
      </c>
      <c r="D178" s="17"/>
      <c r="E178" s="158">
        <v>1</v>
      </c>
      <c r="F178" s="333">
        <v>1</v>
      </c>
      <c r="G178" s="333">
        <v>1.05</v>
      </c>
      <c r="H178" s="333">
        <v>1</v>
      </c>
      <c r="I178" s="333">
        <v>2</v>
      </c>
      <c r="J178" s="160"/>
      <c r="K178" s="154">
        <f t="shared" si="0"/>
        <v>1.05</v>
      </c>
      <c r="L178" s="441"/>
      <c r="M178" s="106"/>
      <c r="N178" s="53"/>
    </row>
    <row r="179" spans="2:14" ht="21" customHeight="1">
      <c r="B179" s="207" t="s">
        <v>7156</v>
      </c>
      <c r="D179" s="17"/>
      <c r="E179" s="158">
        <v>1</v>
      </c>
      <c r="F179" s="333">
        <v>1</v>
      </c>
      <c r="G179" s="333">
        <v>1.2</v>
      </c>
      <c r="H179" s="333">
        <v>1</v>
      </c>
      <c r="I179" s="333">
        <v>3</v>
      </c>
      <c r="J179" s="160"/>
      <c r="K179" s="154">
        <f t="shared" si="0"/>
        <v>1.2</v>
      </c>
      <c r="L179" s="441"/>
      <c r="M179" s="106"/>
      <c r="N179" s="53"/>
    </row>
    <row r="180" spans="2:14" ht="21" customHeight="1">
      <c r="B180" s="207" t="s">
        <v>7157</v>
      </c>
      <c r="D180" s="17"/>
      <c r="E180" s="158">
        <v>1</v>
      </c>
      <c r="F180" s="333">
        <v>1</v>
      </c>
      <c r="G180" s="333">
        <v>1.45</v>
      </c>
      <c r="H180" s="333">
        <v>1</v>
      </c>
      <c r="I180" s="333">
        <v>3</v>
      </c>
      <c r="J180" s="160"/>
      <c r="K180" s="154">
        <f t="shared" si="0"/>
        <v>1.45</v>
      </c>
      <c r="L180" s="441"/>
      <c r="M180" s="106"/>
      <c r="N180" s="53"/>
    </row>
    <row r="181" spans="2:14" ht="25.5">
      <c r="B181" s="207" t="s">
        <v>7161</v>
      </c>
      <c r="D181" s="17"/>
      <c r="E181" s="158">
        <f>22+22+21+21+3.27+3.79+3.29+3.03+11.6+14.13+23.5+13</f>
        <v>161.61000000000001</v>
      </c>
      <c r="F181" s="285">
        <v>0.5</v>
      </c>
      <c r="G181" s="285">
        <v>1</v>
      </c>
      <c r="H181" s="285">
        <v>1</v>
      </c>
      <c r="I181" s="285"/>
      <c r="J181" s="160"/>
      <c r="K181" s="154">
        <f t="shared" si="0"/>
        <v>80.805000000000007</v>
      </c>
      <c r="L181" s="441"/>
      <c r="M181" s="106"/>
      <c r="N181" s="53"/>
    </row>
    <row r="182" spans="2:14" ht="32.25" customHeight="1">
      <c r="B182" s="745" t="s">
        <v>7158</v>
      </c>
      <c r="C182" s="746"/>
      <c r="D182" s="747"/>
      <c r="E182" s="173"/>
      <c r="F182" s="110"/>
      <c r="G182" s="110"/>
      <c r="H182" s="110"/>
      <c r="I182" s="110"/>
      <c r="J182" s="174"/>
      <c r="K182" s="180"/>
      <c r="L182" s="441"/>
      <c r="M182" s="106"/>
      <c r="N182" s="53"/>
    </row>
    <row r="183" spans="2:14" ht="41.25" customHeight="1">
      <c r="B183" s="472" t="s">
        <v>7160</v>
      </c>
      <c r="C183" s="45">
        <v>97898</v>
      </c>
      <c r="D183" s="48" t="s">
        <v>7</v>
      </c>
      <c r="E183" s="689" t="str">
        <f>IFERROR(VLOOKUP($C183,'SINAPI JULHO 2021'!$1:$1048576,2,0),IFERROR(VLOOKUP($C183,'5-COMP. PROPRIA'!$B$4:$I$7999,4,0),""))</f>
        <v>CAIXA ENTERRADA HIDRÁULICA RETANGULAR, EM CONCRETO PRÉ-MOLDADO, DIMENSÕES INTERNAS: 0,8X0,8X0,5 M. AF_12/2020</v>
      </c>
      <c r="F183" s="690"/>
      <c r="G183" s="690"/>
      <c r="H183" s="690"/>
      <c r="I183" s="690"/>
      <c r="J183" s="691"/>
      <c r="K183" s="267">
        <f>H174+I175+I177+I178+I179+I180</f>
        <v>16</v>
      </c>
      <c r="L183" s="468" t="str">
        <f>IFERROR(VLOOKUP($C183,'SINAPI JULHO 2021'!$1:$1048576,3,0),IFERROR(VLOOKUP($C183,'5-COMP. PROPRIA'!$B$4:$I$7999,5,0),""))</f>
        <v>UN</v>
      </c>
      <c r="M183" s="372"/>
      <c r="N183" s="347"/>
    </row>
    <row r="184" spans="2:14" ht="26.25" customHeight="1">
      <c r="B184" s="472" t="str">
        <f>B176</f>
        <v>CX03 0,60x0,60x0,60</v>
      </c>
      <c r="C184" s="45">
        <v>99260</v>
      </c>
      <c r="D184" s="48" t="s">
        <v>7</v>
      </c>
      <c r="E184" s="689" t="str">
        <f>IFERROR(VLOOKUP($C184,'SINAPI JULHO 2021'!$1:$1048576,2,0),IFERROR(VLOOKUP($C184,'5-COMP. PROPRIA'!$B$4:$I$7999,4,0),""))</f>
        <v>CAIXA ENTERRADA HIDRÁULICA RETANGULAR, EM ALVENARIA COM BLOCOS DE CONCRETO, DIMENSÕES INTERNAS: 0,6X0,6X0,6 M PARA REDE DE DRENAGEM. AF_12/2020</v>
      </c>
      <c r="F184" s="690"/>
      <c r="G184" s="690"/>
      <c r="H184" s="690"/>
      <c r="I184" s="690"/>
      <c r="J184" s="691"/>
      <c r="K184" s="267">
        <f>H176</f>
        <v>2</v>
      </c>
      <c r="L184" s="468" t="str">
        <f>IFERROR(VLOOKUP($C184,'SINAPI JULHO 2021'!$1:$1048576,3,0),IFERROR(VLOOKUP($C184,'5-COMP. PROPRIA'!$B$4:$I$7999,5,0),""))</f>
        <v>UN</v>
      </c>
      <c r="M184" s="372"/>
      <c r="N184" s="347"/>
    </row>
    <row r="185" spans="2:14" ht="30.75" customHeight="1">
      <c r="B185" s="207"/>
      <c r="C185" s="239" t="str">
        <f>'5-COMP. PROPRIA'!B174</f>
        <v>CP-GRE-01</v>
      </c>
      <c r="D185" s="137" t="s">
        <v>4271</v>
      </c>
      <c r="E185" s="689" t="str">
        <f>IFERROR(VLOOKUP($C185,'SINAPI JULHO 2021'!$1:$1048576,2,0),IFERROR(VLOOKUP($C185,'5-COMP. PROPRIA'!$B$4:$I$7999,4,0),""))</f>
        <v>CANALETA TIPO MEIA CANA D= 80CM COM GRELHA EM CONCRETO ARMADO PERFURADO PARA DRENAGEM DE ÁGUA, FORNECIMENTO E INSTALAÇÃO.</v>
      </c>
      <c r="F185" s="690"/>
      <c r="G185" s="690"/>
      <c r="H185" s="690"/>
      <c r="I185" s="690"/>
      <c r="J185" s="691"/>
      <c r="K185" s="348">
        <f>23*2</f>
        <v>46</v>
      </c>
      <c r="L185" s="468" t="str">
        <f>IFERROR(VLOOKUP($C185,'SINAPI JULHO 2021'!$1:$1048576,3,0),IFERROR(VLOOKUP($C185,'5-COMP. PROPRIA'!$B$4:$I$7999,5,0),""))</f>
        <v>M</v>
      </c>
      <c r="M185" s="372"/>
      <c r="N185" s="347"/>
    </row>
    <row r="186" spans="2:14" ht="30" customHeight="1">
      <c r="B186" s="280" t="s">
        <v>7247</v>
      </c>
      <c r="C186" s="45">
        <v>94228</v>
      </c>
      <c r="D186" s="48" t="s">
        <v>7</v>
      </c>
      <c r="E186" s="689" t="str">
        <f>IFERROR(VLOOKUP($C186,'SINAPI JULHO 2021'!$1:$1048576,2,0),IFERROR(VLOOKUP($C186,'5-COMP. PROPRIA'!$B$4:$I$7999,4,0),""))</f>
        <v>CALHA EM CHAPA DE AÇO GALVANIZADO NÚMERO 24, DESENVOLVIMENTO DE 50 CM, INCLUSO TRANSPORTE VERTICAL. AF_07/2019</v>
      </c>
      <c r="F186" s="690"/>
      <c r="G186" s="690"/>
      <c r="H186" s="690"/>
      <c r="I186" s="690"/>
      <c r="J186" s="691"/>
      <c r="K186" s="267">
        <f>(18*2)+37+30.3+30.3</f>
        <v>133.6</v>
      </c>
      <c r="L186" s="468" t="str">
        <f>IFERROR(VLOOKUP($C186,'SINAPI JULHO 2021'!$1:$1048576,3,0),IFERROR(VLOOKUP($C186,'5-COMP. PROPRIA'!$B$4:$I$7999,5,0),""))</f>
        <v>M</v>
      </c>
      <c r="M186" s="372"/>
      <c r="N186" s="347"/>
    </row>
    <row r="187" spans="2:14" ht="30" customHeight="1">
      <c r="B187" s="207"/>
      <c r="C187" s="45">
        <v>100327</v>
      </c>
      <c r="D187" s="48" t="s">
        <v>7</v>
      </c>
      <c r="E187" s="689" t="str">
        <f>IFERROR(VLOOKUP($C187,'SINAPI JULHO 2021'!$1:$1048576,2,0),IFERROR(VLOOKUP($C187,'5-COMP. PROPRIA'!$B$4:$I$7999,4,0),""))</f>
        <v>RUFO EXTERNO/INTERNO EM CHAPA DE AÇO GALVANIZADO NÚMERO 26, CORTE DE 33 CM, INCLUSO IÇAMENTO. AF_07/2019</v>
      </c>
      <c r="F187" s="690"/>
      <c r="G187" s="690"/>
      <c r="H187" s="690"/>
      <c r="I187" s="690"/>
      <c r="J187" s="691"/>
      <c r="K187" s="267">
        <f>15+20+22.8+37</f>
        <v>94.8</v>
      </c>
      <c r="L187" s="468" t="str">
        <f>IFERROR(VLOOKUP($C187,'SINAPI JULHO 2021'!$1:$1048576,3,0),IFERROR(VLOOKUP($C187,'5-COMP. PROPRIA'!$B$4:$I$7999,5,0),""))</f>
        <v>M</v>
      </c>
      <c r="M187" s="372"/>
      <c r="N187" s="347"/>
    </row>
    <row r="188" spans="2:14" ht="36.75" customHeight="1">
      <c r="B188" s="280" t="s">
        <v>7247</v>
      </c>
      <c r="C188" s="45">
        <v>89578</v>
      </c>
      <c r="D188" s="48" t="s">
        <v>7</v>
      </c>
      <c r="E188" s="689" t="str">
        <f>IFERROR(VLOOKUP($C188,'SINAPI JULHO 2021'!$1:$1048576,2,0),IFERROR(VLOOKUP($C188,'5-COMP. PROPRIA'!$B$4:$I$7999,4,0),""))</f>
        <v>TUBO PVC, SÉRIE R, ÁGUA PLUVIAL, DN 100 MM, FORNECIDO E INSTALADO EM CONDUTORES VERTICAIS DE ÁGUAS PLUVIAIS. AF_12/2014</v>
      </c>
      <c r="F188" s="690"/>
      <c r="G188" s="690"/>
      <c r="H188" s="690"/>
      <c r="I188" s="690"/>
      <c r="J188" s="691"/>
      <c r="K188" s="267">
        <f>(8*10)+22+22+21+21+4+4+4+4+4+13+13+(3*14)</f>
        <v>254</v>
      </c>
      <c r="L188" s="468" t="str">
        <f>IFERROR(VLOOKUP($C188,'SINAPI JULHO 2021'!$1:$1048576,3,0),IFERROR(VLOOKUP($C188,'5-COMP. PROPRIA'!$B$4:$I$7999,5,0),""))</f>
        <v>M</v>
      </c>
      <c r="M188" s="372"/>
      <c r="N188" s="347"/>
    </row>
    <row r="189" spans="2:14" ht="30" customHeight="1">
      <c r="B189" s="207"/>
      <c r="C189" s="45">
        <v>89585</v>
      </c>
      <c r="D189" s="48" t="s">
        <v>7</v>
      </c>
      <c r="E189" s="689" t="str">
        <f>IFERROR(VLOOKUP($C189,'SINAPI JULHO 2021'!$1:$1048576,2,0),IFERROR(VLOOKUP($C189,'5-COMP. PROPRIA'!$B$4:$I$7999,4,0),""))</f>
        <v>JOELHO 45 GRAUS, PVC, SERIE R, ÁGUA PLUVIAL, DN 100 MM, JUNTA ELÁSTICA, FORNECIDO E INSTALADO EM CONDUTORES VERTICAIS DE ÁGUAS PLUVIAIS. AF_12/2014</v>
      </c>
      <c r="F189" s="690"/>
      <c r="G189" s="690"/>
      <c r="H189" s="690"/>
      <c r="I189" s="690"/>
      <c r="J189" s="691"/>
      <c r="K189" s="267">
        <v>16</v>
      </c>
      <c r="L189" s="468" t="str">
        <f>IFERROR(VLOOKUP($C189,'SINAPI JULHO 2021'!$1:$1048576,3,0),IFERROR(VLOOKUP($C189,'5-COMP. PROPRIA'!$B$4:$I$7999,5,0),""))</f>
        <v>UN</v>
      </c>
      <c r="M189" s="372"/>
      <c r="N189" s="347"/>
    </row>
    <row r="190" spans="2:14" ht="32.25" customHeight="1">
      <c r="B190" s="280" t="s">
        <v>7247</v>
      </c>
      <c r="C190" s="45">
        <v>89584</v>
      </c>
      <c r="D190" s="48" t="s">
        <v>7</v>
      </c>
      <c r="E190" s="689" t="str">
        <f>IFERROR(VLOOKUP($C190,'SINAPI JULHO 2021'!$1:$1048576,2,0),IFERROR(VLOOKUP($C190,'5-COMP. PROPRIA'!$B$4:$I$7999,4,0),""))</f>
        <v>JOELHO 90 GRAUS, PVC, SERIE R, ÁGUA PLUVIAL, DN 100 MM, JUNTA ELÁSTICA, FORNECIDO E INSTALADO EM CONDUTORES VERTICAIS DE ÁGUAS PLUVIAIS. AF_12/2014</v>
      </c>
      <c r="F190" s="690"/>
      <c r="G190" s="690"/>
      <c r="H190" s="690"/>
      <c r="I190" s="690"/>
      <c r="J190" s="691"/>
      <c r="K190" s="267">
        <f>8+14</f>
        <v>22</v>
      </c>
      <c r="L190" s="468" t="str">
        <f>IFERROR(VLOOKUP($C190,'SINAPI JULHO 2021'!$1:$1048576,3,0),IFERROR(VLOOKUP($C190,'5-COMP. PROPRIA'!$B$4:$I$7999,5,0),""))</f>
        <v>UN</v>
      </c>
      <c r="M190" s="372"/>
      <c r="N190" s="347"/>
    </row>
    <row r="191" spans="2:14" ht="32.25" customHeight="1" thickBot="1">
      <c r="B191" s="207"/>
      <c r="C191" s="45">
        <v>90702</v>
      </c>
      <c r="D191" s="48" t="s">
        <v>7</v>
      </c>
      <c r="E191" s="748" t="str">
        <f>IFERROR(VLOOKUP($C191,'SINAPI JULHO 2021'!$1:$1048576,2,0),IFERROR(VLOOKUP($C191,'5-COMP. PROPRIA'!$B$4:$I$7999,4,0),""))</f>
        <v>TUBO DE PVC CORRUGADO DE DUPLA PAREDE PARA REDE COLETORA DE ESGOTO, DN 200 MM, JUNTA ELÁSTICA - FORNECIMENTO E ASSENTAMENTO. AF_01/2021</v>
      </c>
      <c r="F191" s="749"/>
      <c r="G191" s="749"/>
      <c r="H191" s="749"/>
      <c r="I191" s="749"/>
      <c r="J191" s="750"/>
      <c r="K191" s="267">
        <f>12+12+14.5+14.5+23.5+23.5</f>
        <v>100</v>
      </c>
      <c r="L191" s="468" t="str">
        <f>IFERROR(VLOOKUP($C191,'SINAPI JULHO 2021'!$1:$1048576,3,0),IFERROR(VLOOKUP($C191,'5-COMP. PROPRIA'!$B$4:$I$7999,5,0),""))</f>
        <v>M</v>
      </c>
      <c r="M191" s="372"/>
      <c r="N191" s="347"/>
    </row>
    <row r="192" spans="2:14" ht="13.5" thickBot="1">
      <c r="B192" s="745" t="s">
        <v>7237</v>
      </c>
      <c r="C192" s="746"/>
      <c r="D192" s="747"/>
      <c r="E192" s="704" t="s">
        <v>7162</v>
      </c>
      <c r="F192" s="705"/>
      <c r="G192" s="705"/>
      <c r="H192" s="705"/>
      <c r="I192" s="705"/>
      <c r="J192" s="706"/>
      <c r="K192" s="180"/>
      <c r="L192" s="441"/>
      <c r="M192" s="372"/>
      <c r="N192" s="347"/>
    </row>
    <row r="193" spans="2:14" ht="25.5" customHeight="1">
      <c r="B193" s="472" t="s">
        <v>7163</v>
      </c>
      <c r="C193" s="45">
        <v>97886</v>
      </c>
      <c r="D193" s="48" t="s">
        <v>7</v>
      </c>
      <c r="E193" s="689" t="str">
        <f>IFERROR(VLOOKUP($C193,'SINAPI JULHO 2021'!$1:$1048576,2,0),IFERROR(VLOOKUP($C193,'5-COMP. PROPRIA'!$B$4:$I$7999,4,0),""))</f>
        <v>CAIXA ENTERRADA ELÉTRICA RETANGULAR, EM ALVENARIA COM TIJOLOS CERÂMICOS MACIÇOS, FUNDO COM BRITA, DIMENSÕES INTERNAS: 0,3X0,3X0,3 M. AF_12/2020</v>
      </c>
      <c r="F193" s="690"/>
      <c r="G193" s="690"/>
      <c r="H193" s="690"/>
      <c r="I193" s="690"/>
      <c r="J193" s="691"/>
      <c r="K193" s="267">
        <v>7</v>
      </c>
      <c r="L193" s="468" t="str">
        <f>IFERROR(VLOOKUP($C193,'SINAPI JULHO 2021'!$1:$1048576,3,0),IFERROR(VLOOKUP($C193,'5-COMP. PROPRIA'!$B$4:$I$7999,5,0),""))</f>
        <v>UN</v>
      </c>
      <c r="M193" s="372"/>
      <c r="N193" s="347"/>
    </row>
    <row r="194" spans="2:14" ht="27" customHeight="1">
      <c r="B194" s="207"/>
      <c r="C194" s="45">
        <v>89576</v>
      </c>
      <c r="D194" s="48" t="s">
        <v>7</v>
      </c>
      <c r="E194" s="689" t="str">
        <f>IFERROR(VLOOKUP($C194,'SINAPI JULHO 2021'!$1:$1048576,2,0),IFERROR(VLOOKUP($C194,'5-COMP. PROPRIA'!$B$4:$I$7999,4,0),""))</f>
        <v>TUBO PVC, SÉRIE R, ÁGUA PLUVIAL, DN 75 MM, FORNECIDO E INSTALADO EM CONDUTORES VERTICAIS DE ÁGUAS PLUVIAIS. AF_12/2014</v>
      </c>
      <c r="F194" s="690"/>
      <c r="G194" s="690"/>
      <c r="H194" s="690"/>
      <c r="I194" s="690"/>
      <c r="J194" s="691"/>
      <c r="K194" s="267">
        <v>53</v>
      </c>
      <c r="L194" s="468" t="str">
        <f>IFERROR(VLOOKUP($C194,'SINAPI JULHO 2021'!$1:$1048576,3,0),IFERROR(VLOOKUP($C194,'5-COMP. PROPRIA'!$B$4:$I$7999,5,0),""))</f>
        <v>M</v>
      </c>
      <c r="M194" s="372"/>
      <c r="N194" s="347"/>
    </row>
    <row r="195" spans="2:14" ht="27" customHeight="1">
      <c r="B195" s="207"/>
      <c r="C195" s="45">
        <v>89599</v>
      </c>
      <c r="D195" s="48" t="s">
        <v>7</v>
      </c>
      <c r="E195" s="689" t="str">
        <f>IFERROR(VLOOKUP($C195,'SINAPI JULHO 2021'!$1:$1048576,2,0),IFERROR(VLOOKUP($C195,'5-COMP. PROPRIA'!$B$4:$I$7999,4,0),""))</f>
        <v>LUVA SIMPLES, PVC, SERIE R, ÁGUA PLUVIAL, DN 75 MM, JUNTA ELÁSTICA, FORNECIDO E INSTALADO EM CONDUTORES VERTICAIS DE ÁGUAS PLUVIAIS. AF_12/2014</v>
      </c>
      <c r="F195" s="690"/>
      <c r="G195" s="690"/>
      <c r="H195" s="690"/>
      <c r="I195" s="690"/>
      <c r="J195" s="691"/>
      <c r="K195" s="267">
        <v>33</v>
      </c>
      <c r="L195" s="468" t="str">
        <f>IFERROR(VLOOKUP($C195,'SINAPI JULHO 2021'!$1:$1048576,3,0),IFERROR(VLOOKUP($C195,'5-COMP. PROPRIA'!$B$4:$I$7999,5,0),""))</f>
        <v>UN</v>
      </c>
      <c r="M195" s="372"/>
      <c r="N195" s="347"/>
    </row>
    <row r="196" spans="2:14" ht="27" customHeight="1">
      <c r="B196" s="207"/>
      <c r="C196" s="45">
        <v>89582</v>
      </c>
      <c r="D196" s="48" t="s">
        <v>7</v>
      </c>
      <c r="E196" s="689" t="str">
        <f>IFERROR(VLOOKUP($C196,'SINAPI JULHO 2021'!$1:$1048576,2,0),IFERROR(VLOOKUP($C196,'5-COMP. PROPRIA'!$B$4:$I$7999,4,0),""))</f>
        <v>JOELHO 45 GRAUS, PVC, SERIE R, ÁGUA PLUVIAL, DN 75 MM, JUNTA ELÁSTICA, FORNECIDO E INSTALADO EM CONDUTORES VERTICAIS DE ÁGUAS PLUVIAIS. AF_12/2014</v>
      </c>
      <c r="F196" s="690"/>
      <c r="G196" s="690"/>
      <c r="H196" s="690"/>
      <c r="I196" s="690"/>
      <c r="J196" s="691"/>
      <c r="K196" s="267">
        <v>46</v>
      </c>
      <c r="L196" s="468" t="str">
        <f>IFERROR(VLOOKUP($C196,'SINAPI JULHO 2021'!$1:$1048576,3,0),IFERROR(VLOOKUP($C196,'5-COMP. PROPRIA'!$B$4:$I$7999,5,0),""))</f>
        <v>UN</v>
      </c>
      <c r="M196" s="372"/>
      <c r="N196" s="347"/>
    </row>
    <row r="197" spans="2:14" ht="27" customHeight="1">
      <c r="B197" s="207"/>
      <c r="C197" s="45">
        <v>89865</v>
      </c>
      <c r="D197" s="48" t="s">
        <v>7</v>
      </c>
      <c r="E197" s="689" t="str">
        <f>IFERROR(VLOOKUP($C197,'SINAPI JULHO 2021'!$1:$1048576,2,0),IFERROR(VLOOKUP($C197,'5-COMP. PROPRIA'!$B$4:$I$7999,4,0),""))</f>
        <v>TUBO, PVC, SOLDÁVEL, DN 25MM, INSTALADO EM DRENO DE AR-CONDICIONADO - FORNECIMENTO E INSTALAÇÃO. AF_12/2014</v>
      </c>
      <c r="F197" s="690"/>
      <c r="G197" s="690"/>
      <c r="H197" s="690"/>
      <c r="I197" s="690"/>
      <c r="J197" s="691"/>
      <c r="K197" s="267">
        <v>112.25000000000001</v>
      </c>
      <c r="L197" s="468" t="str">
        <f>IFERROR(VLOOKUP($C197,'SINAPI JULHO 2021'!$1:$1048576,3,0),IFERROR(VLOOKUP($C197,'5-COMP. PROPRIA'!$B$4:$I$7999,5,0),""))</f>
        <v>M</v>
      </c>
      <c r="M197" s="372"/>
      <c r="N197" s="347"/>
    </row>
    <row r="198" spans="2:14" ht="27" customHeight="1">
      <c r="B198" s="207"/>
      <c r="C198" s="45">
        <v>89866</v>
      </c>
      <c r="D198" s="48" t="s">
        <v>7</v>
      </c>
      <c r="E198" s="689" t="str">
        <f>IFERROR(VLOOKUP($C198,'SINAPI JULHO 2021'!$1:$1048576,2,0),IFERROR(VLOOKUP($C198,'5-COMP. PROPRIA'!$B$4:$I$7999,4,0),""))</f>
        <v>JOELHO 90 GRAUS, PVC, SOLDÁVEL, DN 25MM, INSTALADO EM DRENO DE AR-CONDICIONADO - FORNECIMENTO E INSTALAÇÃO. AF_12/2014</v>
      </c>
      <c r="F198" s="690"/>
      <c r="G198" s="690"/>
      <c r="H198" s="690"/>
      <c r="I198" s="690"/>
      <c r="J198" s="691"/>
      <c r="K198" s="267">
        <v>31</v>
      </c>
      <c r="L198" s="468" t="str">
        <f>IFERROR(VLOOKUP($C198,'SINAPI JULHO 2021'!$1:$1048576,3,0),IFERROR(VLOOKUP($C198,'5-COMP. PROPRIA'!$B$4:$I$7999,5,0),""))</f>
        <v>UN</v>
      </c>
      <c r="M198" s="372"/>
      <c r="N198" s="347"/>
    </row>
    <row r="199" spans="2:14" ht="27" customHeight="1">
      <c r="B199" s="207"/>
      <c r="C199" s="45">
        <v>89869</v>
      </c>
      <c r="D199" s="48" t="s">
        <v>7</v>
      </c>
      <c r="E199" s="689" t="str">
        <f>IFERROR(VLOOKUP($C199,'SINAPI JULHO 2021'!$1:$1048576,2,0),IFERROR(VLOOKUP($C199,'5-COMP. PROPRIA'!$B$4:$I$7999,4,0),""))</f>
        <v>TE, PVC, SOLDÁVEL, DN 25MM, INSTALADO EM DRENO DE AR-CONDICIONADO - FORNECIMENTO E INSTALAÇÃO. AF_12/2014</v>
      </c>
      <c r="F199" s="690"/>
      <c r="G199" s="690"/>
      <c r="H199" s="690"/>
      <c r="I199" s="690"/>
      <c r="J199" s="691"/>
      <c r="K199" s="267">
        <v>15</v>
      </c>
      <c r="L199" s="468" t="str">
        <f>IFERROR(VLOOKUP($C199,'SINAPI JULHO 2021'!$1:$1048576,3,0),IFERROR(VLOOKUP($C199,'5-COMP. PROPRIA'!$B$4:$I$7999,5,0),""))</f>
        <v>UN</v>
      </c>
      <c r="M199" s="372"/>
      <c r="N199" s="347"/>
    </row>
    <row r="200" spans="2:14" ht="27" customHeight="1" thickBot="1">
      <c r="B200" s="207"/>
      <c r="C200" s="45">
        <v>89868</v>
      </c>
      <c r="D200" s="48" t="s">
        <v>7</v>
      </c>
      <c r="E200" s="689" t="str">
        <f>IFERROR(VLOOKUP($C200,'SINAPI JULHO 2021'!$1:$1048576,2,0),IFERROR(VLOOKUP($C200,'5-COMP. PROPRIA'!$B$4:$I$7999,4,0),""))</f>
        <v>LUVA, PVC, SOLDÁVEL, DN 25MM, INSTALADO EM DRENO DE AR-CONDICIONADO - FORNECIMENTO E INSTALAÇÃO. AF_12/2014</v>
      </c>
      <c r="F200" s="690"/>
      <c r="G200" s="690"/>
      <c r="H200" s="690"/>
      <c r="I200" s="690"/>
      <c r="J200" s="691"/>
      <c r="K200" s="267">
        <v>19</v>
      </c>
      <c r="L200" s="468" t="str">
        <f>IFERROR(VLOOKUP($C200,'SINAPI JULHO 2021'!$1:$1048576,3,0),IFERROR(VLOOKUP($C200,'5-COMP. PROPRIA'!$B$4:$I$7999,5,0),""))</f>
        <v>UN</v>
      </c>
      <c r="M200" s="372"/>
      <c r="N200" s="347"/>
    </row>
    <row r="201" spans="2:14" ht="13.5" thickBot="1">
      <c r="B201" s="341"/>
      <c r="C201" s="376"/>
      <c r="D201" s="342"/>
      <c r="E201" s="701" t="s">
        <v>7229</v>
      </c>
      <c r="F201" s="702"/>
      <c r="G201" s="702"/>
      <c r="H201" s="702"/>
      <c r="I201" s="702"/>
      <c r="J201" s="703"/>
      <c r="K201" s="343"/>
      <c r="L201" s="35"/>
      <c r="M201" s="345"/>
      <c r="N201" s="346"/>
    </row>
    <row r="202" spans="2:14">
      <c r="B202" s="207"/>
      <c r="D202" s="17"/>
      <c r="E202" s="173"/>
      <c r="F202" s="110"/>
      <c r="G202" s="110"/>
      <c r="H202" s="110"/>
      <c r="I202" s="110"/>
      <c r="J202" s="174"/>
      <c r="K202" s="180"/>
      <c r="L202" s="441"/>
      <c r="M202" s="106"/>
      <c r="N202" s="53"/>
    </row>
    <row r="203" spans="2:14" ht="51">
      <c r="B203" s="352" t="s">
        <v>7230</v>
      </c>
      <c r="C203" s="45">
        <v>98557</v>
      </c>
      <c r="D203" s="48" t="s">
        <v>7</v>
      </c>
      <c r="E203" s="689" t="str">
        <f>IFERROR(VLOOKUP($C203,'SINAPI JULHO 2021'!$1:$1048576,2,0),IFERROR(VLOOKUP($C203,'5-COMP. PROPRIA'!$B$4:$I$7999,4,0),""))</f>
        <v>IMPERMEABILIZAÇÃO DE SUPERFÍCIE COM EMULSÃO ASFÁLTICA, 2 DEMÃOS AF_06/2018</v>
      </c>
      <c r="F203" s="690"/>
      <c r="G203" s="690"/>
      <c r="H203" s="690"/>
      <c r="I203" s="690"/>
      <c r="J203" s="691"/>
      <c r="K203" s="267">
        <f>135.1+1000+8</f>
        <v>1143.0999999999999</v>
      </c>
      <c r="L203" s="468" t="str">
        <f>IFERROR(VLOOKUP($C203,'SINAPI JULHO 2021'!$1:$1048576,3,0),IFERROR(VLOOKUP($C203,'5-COMP. PROPRIA'!$B$4:$I$7999,5,0),""))</f>
        <v>M2</v>
      </c>
      <c r="M203" s="364" t="s">
        <v>7235</v>
      </c>
      <c r="N203" s="53"/>
    </row>
    <row r="204" spans="2:14" ht="13.5" thickBot="1">
      <c r="B204" s="207"/>
      <c r="D204" s="17"/>
      <c r="E204" s="173"/>
      <c r="F204" s="110"/>
      <c r="G204" s="110"/>
      <c r="H204" s="110"/>
      <c r="I204" s="110"/>
      <c r="J204" s="174"/>
      <c r="K204" s="180"/>
      <c r="L204" s="441"/>
      <c r="M204" s="106"/>
      <c r="N204" s="53"/>
    </row>
    <row r="205" spans="2:14" ht="13.5" thickBot="1">
      <c r="B205" s="341"/>
      <c r="C205" s="376"/>
      <c r="D205" s="342"/>
      <c r="E205" s="701" t="s">
        <v>6749</v>
      </c>
      <c r="F205" s="702"/>
      <c r="G205" s="702"/>
      <c r="H205" s="702"/>
      <c r="I205" s="702"/>
      <c r="J205" s="703"/>
      <c r="K205" s="265"/>
      <c r="L205" s="35"/>
      <c r="M205" s="345"/>
      <c r="N205" s="346"/>
    </row>
    <row r="206" spans="2:14" ht="48.75" customHeight="1">
      <c r="B206" s="280"/>
      <c r="C206" s="239">
        <v>87480</v>
      </c>
      <c r="D206" s="137" t="s">
        <v>7</v>
      </c>
      <c r="E206" s="689" t="str">
        <f>IFERROR(VLOOKUP($C206,'SINAPI JULHO 2021'!$1:$1048576,2,0),IFERROR(VLOOKUP($C206,'5-COMP. PROPRIA'!$B$4:$I$7999,4,0),""))</f>
        <v>ALVENARIA DE VEDAÇÃO DE BLOCOS CERÂMICOS FURADOS NA VERTICAL DE 14X19X39CM (ESPESSURA 14CM) DE PAREDES COM ÁREA LÍQUIDA MAIOR OU IGUAL A 6M² SEM VÃOS E ARGAMASSA DE ASSENTAMENTO COM PREPARO MANUAL. AF_06/2014</v>
      </c>
      <c r="F206" s="690"/>
      <c r="G206" s="690"/>
      <c r="H206" s="690"/>
      <c r="I206" s="690"/>
      <c r="J206" s="691"/>
      <c r="K206" s="270">
        <f>SUM(K208+K233+K252)</f>
        <v>1899.2695000000006</v>
      </c>
      <c r="L206" s="468" t="str">
        <f>IFERROR(VLOOKUP($C206,'SINAPI JULHO 2021'!$1:$1048576,3,0),IFERROR(VLOOKUP($C206,'5-COMP. PROPRIA'!$B$4:$I$7999,5,0),""))</f>
        <v>M2</v>
      </c>
      <c r="M206" s="372"/>
      <c r="N206" s="282"/>
    </row>
    <row r="207" spans="2:14" ht="27" customHeight="1">
      <c r="B207" s="351" t="s">
        <v>7218</v>
      </c>
      <c r="D207" s="17"/>
      <c r="E207" s="357" t="s">
        <v>7166</v>
      </c>
      <c r="F207" s="358" t="s">
        <v>7167</v>
      </c>
      <c r="G207" s="358" t="s">
        <v>7196</v>
      </c>
      <c r="H207" s="358" t="s">
        <v>7168</v>
      </c>
      <c r="I207" s="358" t="s">
        <v>7169</v>
      </c>
      <c r="J207" s="157" t="s">
        <v>7170</v>
      </c>
      <c r="K207" s="359" t="s">
        <v>7195</v>
      </c>
      <c r="M207" s="106"/>
      <c r="N207" s="53"/>
    </row>
    <row r="208" spans="2:14">
      <c r="B208" s="353" t="s">
        <v>7171</v>
      </c>
      <c r="D208" s="17"/>
      <c r="E208" s="354">
        <v>14.3</v>
      </c>
      <c r="F208" s="38">
        <v>2.5</v>
      </c>
      <c r="G208" s="38">
        <f>F208*E208</f>
        <v>35.75</v>
      </c>
      <c r="H208" s="38">
        <f>(0.9*2.1)</f>
        <v>1.8900000000000001</v>
      </c>
      <c r="I208" s="38">
        <f>(1*0.5)*2</f>
        <v>1</v>
      </c>
      <c r="J208" s="356">
        <f>(H208)+(I208)</f>
        <v>2.89</v>
      </c>
      <c r="K208" s="360">
        <f>SUM(G208:G231)-SUM(J208:J231)</f>
        <v>811.80100000000016</v>
      </c>
      <c r="L208" s="441"/>
      <c r="M208" s="106"/>
      <c r="N208" s="53"/>
    </row>
    <row r="209" spans="2:14">
      <c r="B209" s="353" t="s">
        <v>7172</v>
      </c>
      <c r="D209" s="17"/>
      <c r="E209" s="355">
        <v>11.35</v>
      </c>
      <c r="F209" s="38">
        <v>2.5</v>
      </c>
      <c r="G209" s="38">
        <f t="shared" ref="G209:G231" si="1">F209*E209</f>
        <v>28.375</v>
      </c>
      <c r="H209" s="38">
        <f>(0.9*2.1)</f>
        <v>1.8900000000000001</v>
      </c>
      <c r="I209" s="38">
        <f>(1*0.5)*2</f>
        <v>1</v>
      </c>
      <c r="J209" s="356">
        <f t="shared" ref="J209:J231" si="2">(H209)+(I209)</f>
        <v>2.89</v>
      </c>
      <c r="K209" s="154"/>
      <c r="L209" s="441"/>
      <c r="M209" s="106"/>
      <c r="N209" s="53"/>
    </row>
    <row r="210" spans="2:14">
      <c r="B210" s="353" t="s">
        <v>7173</v>
      </c>
      <c r="D210" s="17"/>
      <c r="E210" s="355">
        <v>18.2</v>
      </c>
      <c r="F210" s="38">
        <v>2.5</v>
      </c>
      <c r="G210" s="38">
        <f t="shared" si="1"/>
        <v>45.5</v>
      </c>
      <c r="H210" s="38">
        <f t="shared" ref="H210:H217" si="3">(0.9*2.1)</f>
        <v>1.8900000000000001</v>
      </c>
      <c r="I210" s="38">
        <f>(1*0.5)</f>
        <v>0.5</v>
      </c>
      <c r="J210" s="356">
        <f t="shared" si="2"/>
        <v>2.39</v>
      </c>
      <c r="K210" s="154"/>
      <c r="L210" s="441"/>
      <c r="M210" s="106"/>
      <c r="N210" s="53"/>
    </row>
    <row r="211" spans="2:14">
      <c r="B211" s="353" t="s">
        <v>7174</v>
      </c>
      <c r="D211" s="17"/>
      <c r="E211" s="355">
        <v>28</v>
      </c>
      <c r="F211" s="38">
        <v>2.7</v>
      </c>
      <c r="G211" s="38">
        <f t="shared" si="1"/>
        <v>75.600000000000009</v>
      </c>
      <c r="H211" s="38">
        <f t="shared" si="3"/>
        <v>1.8900000000000001</v>
      </c>
      <c r="I211" s="38">
        <f>(2*1*2)+(1*0.5*4)</f>
        <v>6</v>
      </c>
      <c r="J211" s="356">
        <f t="shared" si="2"/>
        <v>7.8900000000000006</v>
      </c>
      <c r="K211" s="154"/>
      <c r="L211" s="441"/>
      <c r="M211" s="106"/>
      <c r="N211" s="53"/>
    </row>
    <row r="212" spans="2:14">
      <c r="B212" s="353" t="s">
        <v>7175</v>
      </c>
      <c r="D212" s="17"/>
      <c r="E212" s="355">
        <v>22</v>
      </c>
      <c r="F212" s="38">
        <v>2.7</v>
      </c>
      <c r="G212" s="38">
        <f t="shared" si="1"/>
        <v>59.400000000000006</v>
      </c>
      <c r="H212" s="38">
        <f t="shared" si="3"/>
        <v>1.8900000000000001</v>
      </c>
      <c r="I212" s="38">
        <f>(2*1*2)+(1*0.5*4)</f>
        <v>6</v>
      </c>
      <c r="J212" s="356">
        <f t="shared" si="2"/>
        <v>7.8900000000000006</v>
      </c>
      <c r="K212" s="154"/>
      <c r="L212" s="441"/>
      <c r="M212" s="106"/>
      <c r="N212" s="53"/>
    </row>
    <row r="213" spans="2:14">
      <c r="B213" s="353" t="s">
        <v>7176</v>
      </c>
      <c r="D213" s="17"/>
      <c r="E213" s="355">
        <v>21.64</v>
      </c>
      <c r="F213" s="38">
        <v>2.7</v>
      </c>
      <c r="G213" s="38">
        <f t="shared" si="1"/>
        <v>58.428000000000004</v>
      </c>
      <c r="H213" s="38">
        <f t="shared" si="3"/>
        <v>1.8900000000000001</v>
      </c>
      <c r="I213" s="38">
        <f>(2*1*2)+(1*0.5*4)</f>
        <v>6</v>
      </c>
      <c r="J213" s="356">
        <f t="shared" si="2"/>
        <v>7.8900000000000006</v>
      </c>
      <c r="K213" s="154"/>
      <c r="L213" s="441"/>
      <c r="M213" s="106"/>
      <c r="N213" s="53"/>
    </row>
    <row r="214" spans="2:14">
      <c r="B214" s="353" t="s">
        <v>7177</v>
      </c>
      <c r="D214" s="17"/>
      <c r="E214" s="355">
        <v>22</v>
      </c>
      <c r="F214" s="38">
        <v>2.7</v>
      </c>
      <c r="G214" s="38">
        <f t="shared" si="1"/>
        <v>59.400000000000006</v>
      </c>
      <c r="H214" s="38">
        <f t="shared" si="3"/>
        <v>1.8900000000000001</v>
      </c>
      <c r="I214" s="38">
        <f>(2*1*2)+(1*0.5*4)</f>
        <v>6</v>
      </c>
      <c r="J214" s="356">
        <f t="shared" si="2"/>
        <v>7.8900000000000006</v>
      </c>
      <c r="K214" s="154"/>
      <c r="L214" s="441"/>
      <c r="M214" s="106"/>
      <c r="N214" s="53"/>
    </row>
    <row r="215" spans="2:14">
      <c r="B215" s="353" t="s">
        <v>7178</v>
      </c>
      <c r="D215" s="17"/>
      <c r="E215" s="355">
        <v>22.4</v>
      </c>
      <c r="F215" s="38">
        <v>2.7</v>
      </c>
      <c r="G215" s="38">
        <f t="shared" si="1"/>
        <v>60.48</v>
      </c>
      <c r="H215" s="38">
        <f t="shared" si="3"/>
        <v>1.8900000000000001</v>
      </c>
      <c r="I215" s="38">
        <f>(2*1*2)+(0.8*0.5*1)</f>
        <v>4.4000000000000004</v>
      </c>
      <c r="J215" s="356">
        <f t="shared" si="2"/>
        <v>6.2900000000000009</v>
      </c>
      <c r="K215" s="154"/>
      <c r="L215" s="441"/>
      <c r="M215" s="106"/>
      <c r="N215" s="53"/>
    </row>
    <row r="216" spans="2:14">
      <c r="B216" s="353" t="s">
        <v>7179</v>
      </c>
      <c r="D216" s="17"/>
      <c r="E216" s="355">
        <v>11.9</v>
      </c>
      <c r="F216" s="38">
        <v>2.7</v>
      </c>
      <c r="G216" s="38">
        <f t="shared" si="1"/>
        <v>32.130000000000003</v>
      </c>
      <c r="H216" s="38">
        <f t="shared" si="3"/>
        <v>1.8900000000000001</v>
      </c>
      <c r="I216" s="38">
        <f>(2*1*2)+(1.5*1*1)</f>
        <v>5.5</v>
      </c>
      <c r="J216" s="356">
        <f t="shared" si="2"/>
        <v>7.3900000000000006</v>
      </c>
      <c r="K216" s="154"/>
      <c r="L216" s="441"/>
      <c r="M216" s="106"/>
      <c r="N216" s="53"/>
    </row>
    <row r="217" spans="2:14">
      <c r="B217" s="353" t="s">
        <v>7180</v>
      </c>
      <c r="D217" s="17"/>
      <c r="E217" s="355">
        <v>4.5</v>
      </c>
      <c r="F217" s="38">
        <v>2.7</v>
      </c>
      <c r="G217" s="38">
        <f t="shared" si="1"/>
        <v>12.15</v>
      </c>
      <c r="H217" s="38">
        <f t="shared" si="3"/>
        <v>1.8900000000000001</v>
      </c>
      <c r="I217" s="38">
        <f>(2*1.2*1)</f>
        <v>2.4</v>
      </c>
      <c r="J217" s="356">
        <f t="shared" si="2"/>
        <v>4.29</v>
      </c>
      <c r="K217" s="154"/>
      <c r="L217" s="441"/>
      <c r="M217" s="106"/>
      <c r="N217" s="53"/>
    </row>
    <row r="218" spans="2:14">
      <c r="B218" s="353" t="s">
        <v>7181</v>
      </c>
      <c r="D218" s="17"/>
      <c r="E218" s="355">
        <v>11</v>
      </c>
      <c r="F218" s="38">
        <v>2.7</v>
      </c>
      <c r="G218" s="38">
        <f t="shared" si="1"/>
        <v>29.700000000000003</v>
      </c>
      <c r="H218" s="38">
        <f>(0.9*2.1*2)</f>
        <v>3.7800000000000002</v>
      </c>
      <c r="I218" s="38">
        <f>(2*1.2*1)+(2*1*1)</f>
        <v>4.4000000000000004</v>
      </c>
      <c r="J218" s="356">
        <f t="shared" si="2"/>
        <v>8.18</v>
      </c>
      <c r="K218" s="154"/>
      <c r="L218" s="441"/>
      <c r="M218" s="106"/>
      <c r="N218" s="53"/>
    </row>
    <row r="219" spans="2:14">
      <c r="B219" s="353" t="s">
        <v>7182</v>
      </c>
      <c r="D219" s="17"/>
      <c r="E219" s="355">
        <v>16.5</v>
      </c>
      <c r="F219" s="38">
        <v>2.7</v>
      </c>
      <c r="G219" s="38">
        <f t="shared" si="1"/>
        <v>44.550000000000004</v>
      </c>
      <c r="H219" s="38">
        <f t="shared" ref="H219:H224" si="4">(0.9*2.1*1)</f>
        <v>1.8900000000000001</v>
      </c>
      <c r="I219" s="38">
        <f>(2*1*2)</f>
        <v>4</v>
      </c>
      <c r="J219" s="356">
        <f t="shared" si="2"/>
        <v>5.8900000000000006</v>
      </c>
      <c r="K219" s="154"/>
      <c r="L219" s="441"/>
      <c r="M219" s="106"/>
      <c r="N219" s="53"/>
    </row>
    <row r="220" spans="2:14">
      <c r="B220" s="353" t="s">
        <v>7183</v>
      </c>
      <c r="D220" s="17"/>
      <c r="E220" s="355">
        <v>8.75</v>
      </c>
      <c r="F220" s="38">
        <v>2.7</v>
      </c>
      <c r="G220" s="38">
        <f t="shared" si="1"/>
        <v>23.625</v>
      </c>
      <c r="H220" s="38">
        <f t="shared" si="4"/>
        <v>1.8900000000000001</v>
      </c>
      <c r="I220" s="38">
        <f>0.8*0.5*1</f>
        <v>0.4</v>
      </c>
      <c r="J220" s="356">
        <f t="shared" si="2"/>
        <v>2.29</v>
      </c>
      <c r="K220" s="154"/>
      <c r="L220" s="441"/>
      <c r="M220" s="106"/>
      <c r="N220" s="53"/>
    </row>
    <row r="221" spans="2:14">
      <c r="B221" s="353" t="s">
        <v>7184</v>
      </c>
      <c r="D221" s="17"/>
      <c r="E221" s="355">
        <v>5.37</v>
      </c>
      <c r="F221" s="38">
        <v>2.7</v>
      </c>
      <c r="G221" s="38">
        <f t="shared" si="1"/>
        <v>14.499000000000001</v>
      </c>
      <c r="H221" s="38">
        <f t="shared" si="4"/>
        <v>1.8900000000000001</v>
      </c>
      <c r="I221" s="38">
        <v>0</v>
      </c>
      <c r="J221" s="356">
        <f t="shared" si="2"/>
        <v>1.8900000000000001</v>
      </c>
      <c r="K221" s="154"/>
      <c r="L221" s="441"/>
      <c r="M221" s="106"/>
      <c r="N221" s="53"/>
    </row>
    <row r="222" spans="2:14">
      <c r="B222" s="353" t="s">
        <v>7185</v>
      </c>
      <c r="D222" s="17"/>
      <c r="E222" s="355">
        <v>11.75</v>
      </c>
      <c r="F222" s="38">
        <v>2.7</v>
      </c>
      <c r="G222" s="38">
        <f t="shared" si="1"/>
        <v>31.725000000000001</v>
      </c>
      <c r="H222" s="38">
        <f t="shared" si="4"/>
        <v>1.8900000000000001</v>
      </c>
      <c r="I222" s="38">
        <f>1.5*1*2</f>
        <v>3</v>
      </c>
      <c r="J222" s="356">
        <f t="shared" si="2"/>
        <v>4.8900000000000006</v>
      </c>
      <c r="K222" s="154"/>
      <c r="L222" s="441"/>
      <c r="M222" s="106"/>
      <c r="N222" s="53"/>
    </row>
    <row r="223" spans="2:14">
      <c r="B223" s="353" t="s">
        <v>7186</v>
      </c>
      <c r="D223" s="17"/>
      <c r="E223" s="355">
        <v>12.13</v>
      </c>
      <c r="F223" s="38">
        <v>2.7</v>
      </c>
      <c r="G223" s="38">
        <f t="shared" si="1"/>
        <v>32.751000000000005</v>
      </c>
      <c r="H223" s="38">
        <f t="shared" si="4"/>
        <v>1.8900000000000001</v>
      </c>
      <c r="I223" s="38">
        <f>1*0.5*2</f>
        <v>1</v>
      </c>
      <c r="J223" s="356">
        <f t="shared" si="2"/>
        <v>2.89</v>
      </c>
      <c r="K223" s="154"/>
      <c r="L223" s="441"/>
      <c r="M223" s="106"/>
      <c r="N223" s="53"/>
    </row>
    <row r="224" spans="2:14">
      <c r="B224" s="353" t="s">
        <v>7187</v>
      </c>
      <c r="D224" s="17"/>
      <c r="E224" s="355">
        <v>8.59</v>
      </c>
      <c r="F224" s="38">
        <v>2.7</v>
      </c>
      <c r="G224" s="38">
        <f t="shared" si="1"/>
        <v>23.193000000000001</v>
      </c>
      <c r="H224" s="38">
        <f t="shared" si="4"/>
        <v>1.8900000000000001</v>
      </c>
      <c r="I224" s="38">
        <f>1*0.5*2</f>
        <v>1</v>
      </c>
      <c r="J224" s="356">
        <f t="shared" si="2"/>
        <v>2.89</v>
      </c>
      <c r="K224" s="154"/>
      <c r="L224" s="441"/>
      <c r="M224" s="106"/>
      <c r="N224" s="53"/>
    </row>
    <row r="225" spans="2:14">
      <c r="B225" s="353" t="s">
        <v>7188</v>
      </c>
      <c r="D225" s="17"/>
      <c r="E225" s="355">
        <v>12.43</v>
      </c>
      <c r="F225" s="38">
        <v>2.7</v>
      </c>
      <c r="G225" s="38">
        <f t="shared" si="1"/>
        <v>33.561</v>
      </c>
      <c r="H225" s="38">
        <f>(0.9*2.1*2)</f>
        <v>3.7800000000000002</v>
      </c>
      <c r="I225" s="38">
        <f>2.5*1.2*1</f>
        <v>3</v>
      </c>
      <c r="J225" s="356">
        <f t="shared" si="2"/>
        <v>6.78</v>
      </c>
      <c r="K225" s="154"/>
      <c r="L225" s="441"/>
      <c r="M225" s="106"/>
      <c r="N225" s="53"/>
    </row>
    <row r="226" spans="2:14">
      <c r="B226" s="353" t="s">
        <v>7274</v>
      </c>
      <c r="D226" s="17"/>
      <c r="E226" s="355">
        <v>21.48</v>
      </c>
      <c r="F226" s="38">
        <v>2.7</v>
      </c>
      <c r="G226" s="38">
        <f>(F226*E226)+8.5+(0.9*7)</f>
        <v>72.796000000000006</v>
      </c>
      <c r="H226" s="38">
        <f t="shared" ref="H226:H231" si="5">(0.9*2.1*1)</f>
        <v>1.8900000000000001</v>
      </c>
      <c r="I226" s="38">
        <f>(1*0.5*6)+(1.08*1.2*1)</f>
        <v>4.2960000000000003</v>
      </c>
      <c r="J226" s="356">
        <f t="shared" si="2"/>
        <v>6.1859999999999999</v>
      </c>
      <c r="K226" s="154"/>
      <c r="L226" s="441"/>
      <c r="M226" s="106"/>
      <c r="N226" s="53"/>
    </row>
    <row r="227" spans="2:14">
      <c r="B227" s="353" t="s">
        <v>7190</v>
      </c>
      <c r="D227" s="17"/>
      <c r="E227" s="355">
        <v>8.4499999999999993</v>
      </c>
      <c r="F227" s="38">
        <v>2.7</v>
      </c>
      <c r="G227" s="38">
        <f t="shared" si="1"/>
        <v>22.815000000000001</v>
      </c>
      <c r="H227" s="38">
        <f t="shared" si="5"/>
        <v>1.8900000000000001</v>
      </c>
      <c r="I227" s="38">
        <f>(1*0.5*2)</f>
        <v>1</v>
      </c>
      <c r="J227" s="356">
        <f t="shared" si="2"/>
        <v>2.89</v>
      </c>
      <c r="K227" s="154"/>
      <c r="L227" s="441"/>
      <c r="M227" s="106"/>
      <c r="N227" s="53"/>
    </row>
    <row r="228" spans="2:14">
      <c r="B228" s="353" t="s">
        <v>7191</v>
      </c>
      <c r="D228" s="17"/>
      <c r="E228" s="355">
        <v>23.05</v>
      </c>
      <c r="F228" s="38">
        <v>2.7</v>
      </c>
      <c r="G228" s="38">
        <f t="shared" si="1"/>
        <v>62.235000000000007</v>
      </c>
      <c r="H228" s="38">
        <f t="shared" si="5"/>
        <v>1.8900000000000001</v>
      </c>
      <c r="I228" s="38">
        <f>(1*0.5*5)</f>
        <v>2.5</v>
      </c>
      <c r="J228" s="356">
        <f t="shared" si="2"/>
        <v>4.3900000000000006</v>
      </c>
      <c r="K228" s="154"/>
      <c r="L228" s="441"/>
      <c r="M228" s="106"/>
      <c r="N228" s="53"/>
    </row>
    <row r="229" spans="2:14">
      <c r="B229" s="353" t="s">
        <v>7192</v>
      </c>
      <c r="D229" s="17"/>
      <c r="E229" s="355">
        <v>3.28</v>
      </c>
      <c r="F229" s="38">
        <v>2.7</v>
      </c>
      <c r="G229" s="38">
        <f t="shared" si="1"/>
        <v>8.8559999999999999</v>
      </c>
      <c r="H229" s="38">
        <f t="shared" si="5"/>
        <v>1.8900000000000001</v>
      </c>
      <c r="I229" s="38">
        <f>(1*0.5*1)</f>
        <v>0.5</v>
      </c>
      <c r="J229" s="356">
        <f t="shared" si="2"/>
        <v>2.39</v>
      </c>
      <c r="K229" s="154"/>
      <c r="L229" s="441"/>
      <c r="M229" s="106"/>
      <c r="N229" s="53"/>
    </row>
    <row r="230" spans="2:14">
      <c r="B230" s="353" t="s">
        <v>7193</v>
      </c>
      <c r="D230" s="17"/>
      <c r="E230" s="355">
        <f>7.82+11.22</f>
        <v>19.04</v>
      </c>
      <c r="F230" s="38">
        <v>2.7</v>
      </c>
      <c r="G230" s="38">
        <f t="shared" si="1"/>
        <v>51.408000000000001</v>
      </c>
      <c r="H230" s="38">
        <f t="shared" si="5"/>
        <v>1.8900000000000001</v>
      </c>
      <c r="I230" s="38">
        <f>(1*0.5*5)</f>
        <v>2.5</v>
      </c>
      <c r="J230" s="356">
        <f t="shared" si="2"/>
        <v>4.3900000000000006</v>
      </c>
      <c r="K230" s="154"/>
      <c r="L230" s="441"/>
      <c r="M230" s="106"/>
      <c r="N230" s="53"/>
    </row>
    <row r="231" spans="2:14">
      <c r="B231" s="353" t="s">
        <v>7194</v>
      </c>
      <c r="D231" s="17"/>
      <c r="E231" s="355">
        <v>3.3</v>
      </c>
      <c r="F231" s="38">
        <v>2.7</v>
      </c>
      <c r="G231" s="38">
        <f t="shared" si="1"/>
        <v>8.91</v>
      </c>
      <c r="H231" s="38">
        <f t="shared" si="5"/>
        <v>1.8900000000000001</v>
      </c>
      <c r="I231" s="38">
        <f>(1*0.5*1)</f>
        <v>0.5</v>
      </c>
      <c r="J231" s="356">
        <f t="shared" si="2"/>
        <v>2.39</v>
      </c>
      <c r="K231" s="154"/>
      <c r="L231" s="441"/>
      <c r="M231" s="106"/>
      <c r="N231" s="53"/>
    </row>
    <row r="232" spans="2:14" ht="25.5">
      <c r="B232" s="351" t="s">
        <v>7217</v>
      </c>
      <c r="D232" s="17"/>
      <c r="E232" s="361"/>
      <c r="F232" s="362"/>
      <c r="G232" s="362"/>
      <c r="H232" s="362"/>
      <c r="I232" s="362"/>
      <c r="J232" s="363"/>
      <c r="K232" s="359" t="s">
        <v>7215</v>
      </c>
      <c r="L232" s="470"/>
      <c r="M232" s="106"/>
      <c r="N232" s="53"/>
    </row>
    <row r="233" spans="2:14" ht="12.75" customHeight="1">
      <c r="B233" s="353" t="s">
        <v>7197</v>
      </c>
      <c r="D233" s="17"/>
      <c r="E233" s="355">
        <v>25.35</v>
      </c>
      <c r="F233" s="38">
        <v>2.7</v>
      </c>
      <c r="G233" s="38">
        <f t="shared" ref="G233:G250" si="6">F233*E233</f>
        <v>68.445000000000007</v>
      </c>
      <c r="H233" s="38">
        <f>(0.9*2.1*1)</f>
        <v>1.8900000000000001</v>
      </c>
      <c r="I233" s="38">
        <f>(2*1*2)+(1*0.5*2)</f>
        <v>5</v>
      </c>
      <c r="J233" s="356">
        <f t="shared" ref="J233:J250" si="7">(H233)+(I233)</f>
        <v>6.8900000000000006</v>
      </c>
      <c r="K233" s="360">
        <f>SUM(G233:G250)-SUM(J233:J250)</f>
        <v>713.6500000000002</v>
      </c>
      <c r="L233" s="441"/>
      <c r="M233" s="106"/>
      <c r="N233" s="53"/>
    </row>
    <row r="234" spans="2:14" ht="12.75" customHeight="1">
      <c r="B234" s="353" t="s">
        <v>7198</v>
      </c>
      <c r="D234" s="17"/>
      <c r="E234" s="355">
        <v>22</v>
      </c>
      <c r="F234" s="38">
        <v>2.7</v>
      </c>
      <c r="G234" s="38">
        <f t="shared" si="6"/>
        <v>59.400000000000006</v>
      </c>
      <c r="H234" s="38">
        <f>(0.9*2.1*1)</f>
        <v>1.8900000000000001</v>
      </c>
      <c r="I234" s="38">
        <f>(2*1*2)+(1*0.5*4)</f>
        <v>6</v>
      </c>
      <c r="J234" s="356">
        <f t="shared" si="7"/>
        <v>7.8900000000000006</v>
      </c>
      <c r="K234" s="154"/>
      <c r="L234" s="441"/>
      <c r="M234" s="106"/>
      <c r="N234" s="53"/>
    </row>
    <row r="235" spans="2:14" ht="12.75" customHeight="1">
      <c r="B235" s="353" t="s">
        <v>7199</v>
      </c>
      <c r="D235" s="17"/>
      <c r="E235" s="355">
        <v>21.64</v>
      </c>
      <c r="F235" s="38">
        <v>2.7</v>
      </c>
      <c r="G235" s="38">
        <f t="shared" si="6"/>
        <v>58.428000000000004</v>
      </c>
      <c r="H235" s="38">
        <f t="shared" ref="H235:H250" si="8">(0.9*2.1*1)</f>
        <v>1.8900000000000001</v>
      </c>
      <c r="I235" s="38">
        <f>(2*1*2)+(1*0.5*4)</f>
        <v>6</v>
      </c>
      <c r="J235" s="356">
        <f t="shared" si="7"/>
        <v>7.8900000000000006</v>
      </c>
      <c r="K235" s="154"/>
      <c r="L235" s="441"/>
      <c r="M235" s="106"/>
      <c r="N235" s="53"/>
    </row>
    <row r="236" spans="2:14" ht="12.75" customHeight="1">
      <c r="B236" s="353" t="s">
        <v>7200</v>
      </c>
      <c r="D236" s="17"/>
      <c r="E236" s="355">
        <v>22</v>
      </c>
      <c r="F236" s="38">
        <v>2.7</v>
      </c>
      <c r="G236" s="38">
        <f t="shared" si="6"/>
        <v>59.400000000000006</v>
      </c>
      <c r="H236" s="38">
        <f t="shared" si="8"/>
        <v>1.8900000000000001</v>
      </c>
      <c r="I236" s="38">
        <f>(2*1*2)+(1*0.5*4)</f>
        <v>6</v>
      </c>
      <c r="J236" s="356">
        <f t="shared" si="7"/>
        <v>7.8900000000000006</v>
      </c>
      <c r="K236" s="154"/>
      <c r="L236" s="441"/>
      <c r="M236" s="106"/>
      <c r="N236" s="53"/>
    </row>
    <row r="237" spans="2:14" ht="12.75" customHeight="1">
      <c r="B237" s="353" t="s">
        <v>7201</v>
      </c>
      <c r="D237" s="17"/>
      <c r="E237" s="355">
        <v>22.25</v>
      </c>
      <c r="F237" s="38">
        <v>2.7</v>
      </c>
      <c r="G237" s="38">
        <f t="shared" si="6"/>
        <v>60.075000000000003</v>
      </c>
      <c r="H237" s="38">
        <f t="shared" si="8"/>
        <v>1.8900000000000001</v>
      </c>
      <c r="I237" s="38">
        <f>(2*1*2)+(1*0.5*1)</f>
        <v>4.5</v>
      </c>
      <c r="J237" s="356">
        <f t="shared" si="7"/>
        <v>6.3900000000000006</v>
      </c>
      <c r="K237" s="154"/>
      <c r="L237" s="441"/>
      <c r="M237" s="106"/>
      <c r="N237" s="53"/>
    </row>
    <row r="238" spans="2:14" ht="12.75" customHeight="1">
      <c r="B238" s="353" t="s">
        <v>7202</v>
      </c>
      <c r="D238" s="17"/>
      <c r="E238" s="355">
        <v>12.01</v>
      </c>
      <c r="F238" s="38">
        <v>2.7</v>
      </c>
      <c r="G238" s="38">
        <f t="shared" si="6"/>
        <v>32.427</v>
      </c>
      <c r="H238" s="38">
        <f t="shared" si="8"/>
        <v>1.8900000000000001</v>
      </c>
      <c r="I238" s="38">
        <f>(2*1*1)</f>
        <v>2</v>
      </c>
      <c r="J238" s="356">
        <f t="shared" si="7"/>
        <v>3.89</v>
      </c>
      <c r="K238" s="154"/>
      <c r="L238" s="441"/>
      <c r="M238" s="106"/>
      <c r="N238" s="53"/>
    </row>
    <row r="239" spans="2:14" ht="12.75" customHeight="1">
      <c r="B239" s="353" t="s">
        <v>7203</v>
      </c>
      <c r="D239" s="17"/>
      <c r="E239" s="355">
        <v>15.9</v>
      </c>
      <c r="F239" s="38">
        <v>2.7</v>
      </c>
      <c r="G239" s="38">
        <f t="shared" si="6"/>
        <v>42.930000000000007</v>
      </c>
      <c r="H239" s="38">
        <f t="shared" si="8"/>
        <v>1.8900000000000001</v>
      </c>
      <c r="I239" s="38">
        <f>(2*1*2)</f>
        <v>4</v>
      </c>
      <c r="J239" s="356">
        <f t="shared" si="7"/>
        <v>5.8900000000000006</v>
      </c>
      <c r="K239" s="154"/>
      <c r="L239" s="441"/>
      <c r="M239" s="106"/>
      <c r="N239" s="53"/>
    </row>
    <row r="240" spans="2:14" ht="12.75" customHeight="1">
      <c r="B240" s="353" t="s">
        <v>7204</v>
      </c>
      <c r="D240" s="17"/>
      <c r="E240" s="355">
        <v>22.4</v>
      </c>
      <c r="F240" s="38">
        <v>2.7</v>
      </c>
      <c r="G240" s="38">
        <f t="shared" si="6"/>
        <v>60.48</v>
      </c>
      <c r="H240" s="38">
        <f t="shared" si="8"/>
        <v>1.8900000000000001</v>
      </c>
      <c r="I240" s="38">
        <f>(2*1*2)+(1*0.5*1)</f>
        <v>4.5</v>
      </c>
      <c r="J240" s="356">
        <f t="shared" si="7"/>
        <v>6.3900000000000006</v>
      </c>
      <c r="K240" s="154"/>
      <c r="L240" s="441"/>
      <c r="M240" s="106"/>
      <c r="N240" s="53"/>
    </row>
    <row r="241" spans="2:14" ht="12.75" customHeight="1">
      <c r="B241" s="353" t="s">
        <v>7205</v>
      </c>
      <c r="D241" s="17"/>
      <c r="E241" s="355">
        <v>22</v>
      </c>
      <c r="F241" s="38">
        <v>2.7</v>
      </c>
      <c r="G241" s="38">
        <f t="shared" si="6"/>
        <v>59.400000000000006</v>
      </c>
      <c r="H241" s="38">
        <f t="shared" si="8"/>
        <v>1.8900000000000001</v>
      </c>
      <c r="I241" s="38">
        <f>(2*1*2)+(1*0.5*4)</f>
        <v>6</v>
      </c>
      <c r="J241" s="356">
        <f t="shared" si="7"/>
        <v>7.8900000000000006</v>
      </c>
      <c r="K241" s="154"/>
      <c r="L241" s="441"/>
      <c r="M241" s="106"/>
      <c r="N241" s="53"/>
    </row>
    <row r="242" spans="2:14" ht="12.75" customHeight="1">
      <c r="B242" s="353" t="s">
        <v>7206</v>
      </c>
      <c r="D242" s="17"/>
      <c r="E242" s="355">
        <v>21.9</v>
      </c>
      <c r="F242" s="38">
        <v>2.7</v>
      </c>
      <c r="G242" s="38">
        <f t="shared" si="6"/>
        <v>59.13</v>
      </c>
      <c r="H242" s="38">
        <f t="shared" si="8"/>
        <v>1.8900000000000001</v>
      </c>
      <c r="I242" s="38">
        <f>(2*1*2)+(1*0.5*4)</f>
        <v>6</v>
      </c>
      <c r="J242" s="356">
        <f t="shared" si="7"/>
        <v>7.8900000000000006</v>
      </c>
      <c r="K242" s="154"/>
      <c r="L242" s="441"/>
      <c r="M242" s="106"/>
      <c r="N242" s="53"/>
    </row>
    <row r="243" spans="2:14" ht="12.75" customHeight="1">
      <c r="B243" s="353" t="s">
        <v>7207</v>
      </c>
      <c r="D243" s="17"/>
      <c r="E243" s="355">
        <v>21.89</v>
      </c>
      <c r="F243" s="38">
        <v>2.7</v>
      </c>
      <c r="G243" s="38">
        <f t="shared" si="6"/>
        <v>59.103000000000009</v>
      </c>
      <c r="H243" s="38">
        <f t="shared" si="8"/>
        <v>1.8900000000000001</v>
      </c>
      <c r="I243" s="38">
        <f>(2*1*2)+(1*0.5*4)</f>
        <v>6</v>
      </c>
      <c r="J243" s="356">
        <f t="shared" si="7"/>
        <v>7.8900000000000006</v>
      </c>
      <c r="K243" s="154"/>
      <c r="L243" s="441"/>
      <c r="M243" s="106"/>
      <c r="N243" s="53"/>
    </row>
    <row r="244" spans="2:14" ht="12.75" customHeight="1">
      <c r="B244" s="353" t="s">
        <v>7208</v>
      </c>
      <c r="D244" s="17"/>
      <c r="E244" s="355">
        <v>22.01</v>
      </c>
      <c r="F244" s="38">
        <v>2.7</v>
      </c>
      <c r="G244" s="38">
        <f t="shared" si="6"/>
        <v>59.427000000000007</v>
      </c>
      <c r="H244" s="38">
        <f t="shared" si="8"/>
        <v>1.8900000000000001</v>
      </c>
      <c r="I244" s="38">
        <f>(2*1*2)+(1*0.5*3)</f>
        <v>5.5</v>
      </c>
      <c r="J244" s="356">
        <f t="shared" si="7"/>
        <v>7.3900000000000006</v>
      </c>
      <c r="K244" s="154"/>
      <c r="L244" s="441"/>
      <c r="M244" s="106"/>
      <c r="N244" s="53"/>
    </row>
    <row r="245" spans="2:14" ht="12.75" customHeight="1">
      <c r="B245" s="353" t="s">
        <v>7209</v>
      </c>
      <c r="D245" s="17"/>
      <c r="E245" s="355">
        <v>9.5</v>
      </c>
      <c r="F245" s="38">
        <v>2.7</v>
      </c>
      <c r="G245" s="38">
        <f t="shared" si="6"/>
        <v>25.650000000000002</v>
      </c>
      <c r="H245" s="38">
        <f t="shared" si="8"/>
        <v>1.8900000000000001</v>
      </c>
      <c r="I245" s="38">
        <f>(1*0.5*2)</f>
        <v>1</v>
      </c>
      <c r="J245" s="356">
        <f t="shared" si="7"/>
        <v>2.89</v>
      </c>
      <c r="K245" s="154"/>
      <c r="L245" s="441"/>
      <c r="M245" s="106"/>
      <c r="N245" s="53"/>
    </row>
    <row r="246" spans="2:14" ht="12.75" customHeight="1">
      <c r="B246" s="353" t="s">
        <v>7210</v>
      </c>
      <c r="D246" s="17"/>
      <c r="E246" s="355">
        <f>5.5+1.7</f>
        <v>7.2</v>
      </c>
      <c r="F246" s="38">
        <v>2.7</v>
      </c>
      <c r="G246" s="38">
        <f t="shared" si="6"/>
        <v>19.440000000000001</v>
      </c>
      <c r="H246" s="38">
        <f t="shared" si="8"/>
        <v>1.8900000000000001</v>
      </c>
      <c r="I246" s="38">
        <f>0.5*0.5</f>
        <v>0.25</v>
      </c>
      <c r="J246" s="356">
        <f t="shared" si="7"/>
        <v>2.14</v>
      </c>
      <c r="K246" s="154"/>
      <c r="L246" s="441"/>
      <c r="M246" s="106"/>
      <c r="N246" s="53"/>
    </row>
    <row r="247" spans="2:14" ht="12.75" customHeight="1">
      <c r="B247" s="353" t="s">
        <v>7211</v>
      </c>
      <c r="D247" s="17"/>
      <c r="E247" s="355">
        <v>14.9</v>
      </c>
      <c r="F247" s="38">
        <v>2.7</v>
      </c>
      <c r="G247" s="38">
        <f t="shared" si="6"/>
        <v>40.230000000000004</v>
      </c>
      <c r="H247" s="38">
        <f t="shared" si="8"/>
        <v>1.8900000000000001</v>
      </c>
      <c r="I247" s="38">
        <f>(1*0.5*4)</f>
        <v>2</v>
      </c>
      <c r="J247" s="356">
        <f t="shared" si="7"/>
        <v>3.89</v>
      </c>
      <c r="K247" s="154"/>
      <c r="L247" s="441"/>
      <c r="M247" s="106"/>
      <c r="N247" s="53"/>
    </row>
    <row r="248" spans="2:14" ht="12.75" customHeight="1">
      <c r="B248" s="353" t="s">
        <v>7212</v>
      </c>
      <c r="D248" s="17"/>
      <c r="E248" s="355">
        <v>1.05</v>
      </c>
      <c r="F248" s="38">
        <v>2.7</v>
      </c>
      <c r="G248" s="38">
        <f t="shared" si="6"/>
        <v>2.8350000000000004</v>
      </c>
      <c r="H248" s="38">
        <f t="shared" si="8"/>
        <v>1.8900000000000001</v>
      </c>
      <c r="I248" s="38">
        <f>(1*0.5*2)</f>
        <v>1</v>
      </c>
      <c r="J248" s="356">
        <f t="shared" si="7"/>
        <v>2.89</v>
      </c>
      <c r="K248" s="154"/>
      <c r="L248" s="441"/>
      <c r="M248" s="106"/>
      <c r="N248" s="53"/>
    </row>
    <row r="249" spans="2:14" ht="12.75" customHeight="1">
      <c r="B249" s="353" t="s">
        <v>7213</v>
      </c>
      <c r="D249" s="17"/>
      <c r="E249" s="355">
        <f>1.6+1.6</f>
        <v>3.2</v>
      </c>
      <c r="F249" s="38">
        <v>2.7</v>
      </c>
      <c r="G249" s="38">
        <f t="shared" si="6"/>
        <v>8.64</v>
      </c>
      <c r="H249" s="38">
        <f t="shared" si="8"/>
        <v>1.8900000000000001</v>
      </c>
      <c r="I249" s="38">
        <f>0.5*0.5</f>
        <v>0.25</v>
      </c>
      <c r="J249" s="356">
        <f t="shared" si="7"/>
        <v>2.14</v>
      </c>
      <c r="K249" s="154"/>
      <c r="L249" s="441"/>
      <c r="M249" s="106"/>
      <c r="N249" s="53"/>
    </row>
    <row r="250" spans="2:14" ht="12.75" customHeight="1">
      <c r="B250" s="353" t="s">
        <v>7214</v>
      </c>
      <c r="D250" s="17"/>
      <c r="E250" s="355">
        <v>14.9</v>
      </c>
      <c r="F250" s="38">
        <v>2.7</v>
      </c>
      <c r="G250" s="38">
        <f t="shared" si="6"/>
        <v>40.230000000000004</v>
      </c>
      <c r="H250" s="38">
        <f t="shared" si="8"/>
        <v>1.8900000000000001</v>
      </c>
      <c r="I250" s="38">
        <f>(1*0.5*4)</f>
        <v>2</v>
      </c>
      <c r="J250" s="356">
        <f t="shared" si="7"/>
        <v>3.89</v>
      </c>
      <c r="K250" s="154"/>
      <c r="L250" s="441"/>
      <c r="M250" s="106"/>
      <c r="N250" s="53"/>
    </row>
    <row r="251" spans="2:14" ht="12.75" customHeight="1">
      <c r="B251" s="351" t="s">
        <v>7216</v>
      </c>
      <c r="D251" s="17"/>
      <c r="E251" s="161"/>
      <c r="F251" s="334"/>
      <c r="G251" s="334"/>
      <c r="H251" s="334"/>
      <c r="I251" s="334"/>
      <c r="J251" s="163"/>
      <c r="K251" s="359" t="s">
        <v>7215</v>
      </c>
      <c r="L251" s="441"/>
      <c r="M251" s="106"/>
      <c r="N251" s="53"/>
    </row>
    <row r="252" spans="2:14" ht="12.75" customHeight="1">
      <c r="B252" s="353" t="s">
        <v>7219</v>
      </c>
      <c r="D252" s="17"/>
      <c r="E252" s="355">
        <v>16.05</v>
      </c>
      <c r="F252" s="38">
        <v>2.7</v>
      </c>
      <c r="G252" s="38">
        <f t="shared" ref="G252:G260" si="9">F252*E252</f>
        <v>43.335000000000008</v>
      </c>
      <c r="H252" s="38">
        <f>5.2*2.5</f>
        <v>13</v>
      </c>
      <c r="I252" s="38">
        <v>0</v>
      </c>
      <c r="J252" s="356">
        <f t="shared" ref="J252:J268" si="10">(H252)+(I252)</f>
        <v>13</v>
      </c>
      <c r="K252" s="360">
        <f>SUM(G252:G260)-SUM(J252:J260)</f>
        <v>373.81850000000003</v>
      </c>
      <c r="L252" s="441"/>
      <c r="M252" s="106"/>
      <c r="N252" s="53"/>
    </row>
    <row r="253" spans="2:14" ht="12.75" customHeight="1">
      <c r="B253" s="353" t="s">
        <v>7220</v>
      </c>
      <c r="D253" s="17"/>
      <c r="E253" s="355">
        <v>16.05</v>
      </c>
      <c r="F253" s="38">
        <v>2.7</v>
      </c>
      <c r="G253" s="38">
        <f t="shared" si="9"/>
        <v>43.335000000000008</v>
      </c>
      <c r="H253" s="38">
        <v>0</v>
      </c>
      <c r="I253" s="38">
        <v>0</v>
      </c>
      <c r="J253" s="356">
        <f t="shared" si="10"/>
        <v>0</v>
      </c>
      <c r="K253" s="154"/>
      <c r="L253" s="441"/>
      <c r="M253" s="106"/>
      <c r="N253" s="53"/>
    </row>
    <row r="254" spans="2:14" ht="12.75" customHeight="1">
      <c r="B254" s="353" t="s">
        <v>7221</v>
      </c>
      <c r="D254" s="17"/>
      <c r="E254" s="355">
        <v>16.05</v>
      </c>
      <c r="F254" s="38">
        <v>2.5499999999999998</v>
      </c>
      <c r="G254" s="38">
        <f t="shared" si="9"/>
        <v>40.927500000000002</v>
      </c>
      <c r="H254" s="38">
        <v>0</v>
      </c>
      <c r="I254" s="38">
        <v>0</v>
      </c>
      <c r="J254" s="356">
        <f t="shared" si="10"/>
        <v>0</v>
      </c>
      <c r="K254" s="154"/>
      <c r="L254" s="441"/>
      <c r="M254" s="106"/>
      <c r="N254" s="53"/>
    </row>
    <row r="255" spans="2:14" ht="12.75" customHeight="1">
      <c r="B255" s="353" t="s">
        <v>7222</v>
      </c>
      <c r="D255" s="17"/>
      <c r="E255" s="355">
        <v>8.35</v>
      </c>
      <c r="F255" s="38">
        <v>1.55</v>
      </c>
      <c r="G255" s="38">
        <f t="shared" si="9"/>
        <v>12.942499999999999</v>
      </c>
      <c r="H255" s="38">
        <v>0</v>
      </c>
      <c r="I255" s="38">
        <v>0</v>
      </c>
      <c r="J255" s="356">
        <f t="shared" si="10"/>
        <v>0</v>
      </c>
      <c r="K255" s="154"/>
      <c r="L255" s="441"/>
      <c r="M255" s="106"/>
      <c r="N255" s="53"/>
    </row>
    <row r="256" spans="2:14" ht="12.75" customHeight="1">
      <c r="B256" s="353" t="s">
        <v>7223</v>
      </c>
      <c r="D256" s="17"/>
      <c r="E256" s="355">
        <v>8.35</v>
      </c>
      <c r="F256" s="38">
        <v>1.55</v>
      </c>
      <c r="G256" s="38">
        <f t="shared" si="9"/>
        <v>12.942499999999999</v>
      </c>
      <c r="H256" s="38">
        <v>0</v>
      </c>
      <c r="I256" s="38">
        <v>0</v>
      </c>
      <c r="J256" s="356">
        <f t="shared" si="10"/>
        <v>0</v>
      </c>
      <c r="K256" s="154"/>
      <c r="L256" s="441"/>
      <c r="M256" s="106"/>
      <c r="N256" s="53"/>
    </row>
    <row r="257" spans="2:14" ht="12.75" customHeight="1">
      <c r="B257" s="353" t="s">
        <v>7224</v>
      </c>
      <c r="D257" s="17"/>
      <c r="E257" s="355">
        <v>6.19</v>
      </c>
      <c r="F257" s="38">
        <v>2.5</v>
      </c>
      <c r="G257" s="38">
        <f t="shared" si="9"/>
        <v>15.475000000000001</v>
      </c>
      <c r="H257" s="38">
        <f>1*1.9*2</f>
        <v>3.8</v>
      </c>
      <c r="I257" s="38">
        <f>0.4*0.4*2</f>
        <v>0.32000000000000006</v>
      </c>
      <c r="J257" s="356">
        <f t="shared" si="10"/>
        <v>4.12</v>
      </c>
      <c r="K257" s="154"/>
      <c r="L257" s="441"/>
      <c r="M257" s="106"/>
      <c r="N257" s="53"/>
    </row>
    <row r="258" spans="2:14" ht="12.75" customHeight="1">
      <c r="B258" s="353" t="s">
        <v>7225</v>
      </c>
      <c r="D258" s="17"/>
      <c r="E258" s="355">
        <v>8.4</v>
      </c>
      <c r="F258" s="38">
        <v>2.5</v>
      </c>
      <c r="G258" s="38">
        <f t="shared" si="9"/>
        <v>21</v>
      </c>
      <c r="H258" s="38">
        <f>1.8*2.1*2</f>
        <v>7.5600000000000005</v>
      </c>
      <c r="I258" s="38">
        <f>0.8*0.5*2</f>
        <v>0.8</v>
      </c>
      <c r="J258" s="356">
        <f t="shared" si="10"/>
        <v>8.3600000000000012</v>
      </c>
      <c r="K258" s="154"/>
      <c r="L258" s="441"/>
      <c r="M258" s="106"/>
      <c r="N258" s="53"/>
    </row>
    <row r="259" spans="2:14" ht="12.75" customHeight="1">
      <c r="B259" s="353" t="s">
        <v>7248</v>
      </c>
      <c r="D259" s="17"/>
      <c r="E259" s="355">
        <v>78.25</v>
      </c>
      <c r="F259" s="38">
        <v>1.1000000000000001</v>
      </c>
      <c r="G259" s="38">
        <f t="shared" si="9"/>
        <v>86.075000000000003</v>
      </c>
      <c r="H259" s="38"/>
      <c r="I259" s="38"/>
      <c r="J259" s="356"/>
      <c r="K259" s="154"/>
      <c r="L259" s="441"/>
      <c r="M259" s="106"/>
      <c r="N259" s="53"/>
    </row>
    <row r="260" spans="2:14" ht="21" customHeight="1">
      <c r="B260" s="353" t="s">
        <v>7226</v>
      </c>
      <c r="D260" s="17"/>
      <c r="E260" s="355">
        <f>20.35+20.35+20.35+20.35+15.33+15.33</f>
        <v>112.06</v>
      </c>
      <c r="F260" s="38">
        <v>1.1000000000000001</v>
      </c>
      <c r="G260" s="38">
        <f t="shared" si="9"/>
        <v>123.26600000000002</v>
      </c>
      <c r="H260" s="38">
        <v>0</v>
      </c>
      <c r="I260" s="38">
        <v>0</v>
      </c>
      <c r="J260" s="356"/>
      <c r="K260" s="154"/>
      <c r="L260" s="441"/>
      <c r="M260" s="106"/>
      <c r="N260" s="53"/>
    </row>
    <row r="261" spans="2:14" ht="21" customHeight="1">
      <c r="B261" s="353"/>
      <c r="D261" s="17"/>
      <c r="E261" s="161"/>
      <c r="F261" s="334"/>
      <c r="G261" s="334"/>
      <c r="H261" s="334"/>
      <c r="I261" s="334" t="s">
        <v>7228</v>
      </c>
      <c r="J261" s="163">
        <f>SUM(J208:J260)</f>
        <v>243.53599999999983</v>
      </c>
      <c r="K261" s="154"/>
      <c r="L261" s="441"/>
      <c r="M261" s="106"/>
      <c r="N261" s="53"/>
    </row>
    <row r="262" spans="2:14">
      <c r="B262" s="353"/>
      <c r="D262" s="17"/>
      <c r="E262" s="161"/>
      <c r="F262" s="334"/>
      <c r="G262" s="334"/>
      <c r="H262" s="334"/>
      <c r="I262" s="334"/>
      <c r="J262" s="163"/>
      <c r="K262" s="154"/>
      <c r="L262" s="441"/>
      <c r="M262" s="106"/>
      <c r="N262" s="53"/>
    </row>
    <row r="263" spans="2:14" ht="42" customHeight="1">
      <c r="B263" s="351" t="s">
        <v>7357</v>
      </c>
      <c r="C263" s="239">
        <v>89456</v>
      </c>
      <c r="D263" s="137" t="s">
        <v>7</v>
      </c>
      <c r="E263" s="689" t="str">
        <f>IFERROR(VLOOKUP($C263,'SINAPI JULHO 2021'!$1:$1048576,2,0),IFERROR(VLOOKUP($C263,'5-COMP. PROPRIA'!$B$4:$I$7999,4,0),""))</f>
        <v>ALVENARIA DE BLOCOS DE CONCRETO ESTRUTURAL 14X19X39 CM, (ESPESSURA 14 CM) FBK = 14,0 MPA, PARA PAREDES COM ÁREA LÍQUIDA MAIOR OU IGUAL A 6M², SEM VÃOS, UTILIZANDO PALHETA. AF_12/2014</v>
      </c>
      <c r="F263" s="690"/>
      <c r="G263" s="690"/>
      <c r="H263" s="690"/>
      <c r="I263" s="690"/>
      <c r="J263" s="691"/>
      <c r="K263" s="270">
        <f>53.2*0.4*6</f>
        <v>127.68</v>
      </c>
      <c r="L263" s="468" t="str">
        <f>IFERROR(VLOOKUP($C263,'SINAPI JULHO 2021'!$1:$1048576,3,0),IFERROR(VLOOKUP($C263,'5-COMP. PROPRIA'!$B$4:$I$7999,5,0),""))</f>
        <v>M2</v>
      </c>
      <c r="M263" s="372"/>
      <c r="N263" s="282"/>
    </row>
    <row r="264" spans="2:14">
      <c r="B264" s="353"/>
      <c r="D264" s="17"/>
      <c r="E264" s="161"/>
      <c r="F264" s="334"/>
      <c r="G264" s="334"/>
      <c r="H264" s="334"/>
      <c r="I264" s="334"/>
      <c r="J264" s="163"/>
      <c r="K264" s="154"/>
      <c r="L264" s="441"/>
      <c r="M264" s="106"/>
      <c r="N264" s="53"/>
    </row>
    <row r="265" spans="2:14">
      <c r="B265" s="353"/>
      <c r="D265" s="17"/>
      <c r="E265" s="161"/>
      <c r="F265" s="334"/>
      <c r="G265" s="334"/>
      <c r="H265" s="334"/>
      <c r="I265" s="334"/>
      <c r="J265" s="163"/>
      <c r="K265" s="154"/>
      <c r="L265" s="441"/>
      <c r="M265" s="106"/>
      <c r="N265" s="53"/>
    </row>
    <row r="266" spans="2:14" ht="37.5" customHeight="1">
      <c r="B266" s="351" t="s">
        <v>4282</v>
      </c>
      <c r="C266" s="239">
        <v>87455</v>
      </c>
      <c r="D266" s="137" t="s">
        <v>7</v>
      </c>
      <c r="E266" s="689" t="str">
        <f>IFERROR(VLOOKUP($C266,'SINAPI JULHO 2021'!$1:$1048576,2,0),IFERROR(VLOOKUP($C266,'5-COMP. PROPRIA'!$B$4:$I$7999,4,0),""))</f>
        <v>ALVENARIA DE VEDAÇÃO DE BLOCOS VAZADOS DE CONCRETO DE 14X19X39CM (ESPESSURA 14CM) DE PAREDES COM ÁREA LÍQUIDA MAIOR OU IGUAL A 6M² SEM VÃOS E ARGAMASSA DE ASSENTAMENTO COM PREPARO EM BETONEIRA. AF_06/2014</v>
      </c>
      <c r="F266" s="690"/>
      <c r="G266" s="690"/>
      <c r="H266" s="690"/>
      <c r="I266" s="690"/>
      <c r="J266" s="691"/>
      <c r="K266" s="270">
        <f>SUM(K268)</f>
        <v>562.35</v>
      </c>
      <c r="L266" s="468" t="str">
        <f>IFERROR(VLOOKUP($C266,'SINAPI JULHO 2021'!$1:$1048576,3,0),IFERROR(VLOOKUP($C266,'5-COMP. PROPRIA'!$B$4:$I$7999,5,0),""))</f>
        <v>M2</v>
      </c>
      <c r="M266" s="372"/>
      <c r="N266" s="282"/>
    </row>
    <row r="267" spans="2:14" ht="33" customHeight="1">
      <c r="B267" s="207"/>
      <c r="D267" s="17"/>
      <c r="E267" s="357" t="s">
        <v>7166</v>
      </c>
      <c r="F267" s="358" t="s">
        <v>7167</v>
      </c>
      <c r="G267" s="358" t="s">
        <v>7196</v>
      </c>
      <c r="H267" s="358" t="s">
        <v>7346</v>
      </c>
      <c r="I267" s="358" t="s">
        <v>7169</v>
      </c>
      <c r="J267" s="157" t="s">
        <v>7170</v>
      </c>
      <c r="K267" s="359"/>
      <c r="L267" s="441"/>
      <c r="M267" s="106"/>
      <c r="N267" s="53"/>
    </row>
    <row r="268" spans="2:14" ht="12.75" customHeight="1">
      <c r="B268" s="207"/>
      <c r="D268" s="17"/>
      <c r="E268" s="355">
        <v>204.25</v>
      </c>
      <c r="F268" s="38">
        <v>3</v>
      </c>
      <c r="G268" s="38">
        <f>F268*E268</f>
        <v>612.75</v>
      </c>
      <c r="H268" s="38">
        <f>7.2*7</f>
        <v>50.4</v>
      </c>
      <c r="I268" s="38">
        <v>0</v>
      </c>
      <c r="J268" s="356">
        <f t="shared" si="10"/>
        <v>50.4</v>
      </c>
      <c r="K268" s="386">
        <f>SUM(G268)-SUM(J268)</f>
        <v>562.35</v>
      </c>
      <c r="L268" s="441"/>
      <c r="M268" s="106"/>
      <c r="N268" s="53"/>
    </row>
    <row r="269" spans="2:14">
      <c r="B269" s="207"/>
      <c r="D269" s="17"/>
      <c r="E269" s="161"/>
      <c r="F269" s="334"/>
      <c r="G269" s="334"/>
      <c r="H269" s="334"/>
      <c r="I269" s="334"/>
      <c r="J269" s="163"/>
      <c r="K269" s="154"/>
      <c r="L269" s="441"/>
      <c r="M269" s="106"/>
      <c r="N269" s="53"/>
    </row>
    <row r="270" spans="2:14" ht="33.75" customHeight="1">
      <c r="B270" s="351" t="s">
        <v>7341</v>
      </c>
      <c r="C270" s="239">
        <v>101161</v>
      </c>
      <c r="D270" s="137" t="s">
        <v>7</v>
      </c>
      <c r="E270" s="689" t="str">
        <f>IFERROR(VLOOKUP($C270,'SINAPI JULHO 2021'!$1:$1048576,2,0),IFERROR(VLOOKUP($C270,'5-COMP. PROPRIA'!$B$4:$I$7999,4,0),""))</f>
        <v>ALVENARIA DE VEDAÇÃO COM ELEMENTO VAZADO DE CONCRETO (COBOGÓ) DE 7X50X50CM E ARGAMASSA DE ASSENTAMENTO COM PREPARO EM BETONEIRA. AF_05/2020</v>
      </c>
      <c r="F270" s="690"/>
      <c r="G270" s="690"/>
      <c r="H270" s="690"/>
      <c r="I270" s="690"/>
      <c r="J270" s="691"/>
      <c r="K270" s="270">
        <f>H268</f>
        <v>50.4</v>
      </c>
      <c r="L270" s="468" t="str">
        <f>IFERROR(VLOOKUP($C270,'SINAPI JULHO 2021'!$1:$1048576,3,0),IFERROR(VLOOKUP($C270,'5-COMP. PROPRIA'!$B$4:$I$7999,5,0),""))</f>
        <v>M2</v>
      </c>
      <c r="M270" s="372"/>
      <c r="N270" s="282"/>
    </row>
    <row r="271" spans="2:14">
      <c r="B271" s="207"/>
      <c r="D271" s="17"/>
      <c r="E271" s="161"/>
      <c r="F271" s="334"/>
      <c r="G271" s="334"/>
      <c r="H271" s="334"/>
      <c r="I271" s="334"/>
      <c r="J271" s="163"/>
      <c r="K271" s="154"/>
      <c r="L271" s="441"/>
      <c r="M271" s="106"/>
      <c r="N271" s="53"/>
    </row>
    <row r="272" spans="2:14" ht="21" customHeight="1">
      <c r="B272" s="207"/>
      <c r="C272" s="239">
        <v>93183</v>
      </c>
      <c r="D272" s="137" t="s">
        <v>7</v>
      </c>
      <c r="E272" s="689" t="str">
        <f>IFERROR(VLOOKUP($C272,'SINAPI JULHO 2021'!$1:$1048576,2,0),IFERROR(VLOOKUP($C272,'5-COMP. PROPRIA'!$B$4:$I$7999,4,0),""))</f>
        <v>VERGA PRÉ-MOLDADA PARA JANELAS COM MAIS DE 1,5 M DE VÃO. AF_03/2016</v>
      </c>
      <c r="F272" s="690"/>
      <c r="G272" s="690"/>
      <c r="H272" s="690"/>
      <c r="I272" s="690"/>
      <c r="J272" s="691"/>
      <c r="K272" s="270">
        <f>SUM(I274:I316)</f>
        <v>232.18000000000004</v>
      </c>
      <c r="L272" s="468" t="str">
        <f>IFERROR(VLOOKUP($C272,'SINAPI JULHO 2021'!$1:$1048576,3,0),IFERROR(VLOOKUP($C272,'5-COMP. PROPRIA'!$B$4:$I$7999,5,0),""))</f>
        <v>M</v>
      </c>
      <c r="M272" s="372"/>
      <c r="N272" s="282"/>
    </row>
    <row r="273" spans="2:14" ht="29.25" customHeight="1">
      <c r="B273" s="351" t="s">
        <v>7218</v>
      </c>
      <c r="D273" s="17"/>
      <c r="E273" s="357" t="s">
        <v>7166</v>
      </c>
      <c r="F273" s="358" t="s">
        <v>7167</v>
      </c>
      <c r="G273" s="358" t="s">
        <v>7196</v>
      </c>
      <c r="H273" s="358" t="s">
        <v>7168</v>
      </c>
      <c r="I273" s="358" t="s">
        <v>7169</v>
      </c>
      <c r="J273" s="157" t="s">
        <v>7170</v>
      </c>
      <c r="K273" s="154"/>
      <c r="L273" s="441"/>
      <c r="M273" s="106"/>
      <c r="N273" s="53"/>
    </row>
    <row r="274" spans="2:14">
      <c r="B274" s="353" t="s">
        <v>7171</v>
      </c>
      <c r="D274" s="17"/>
      <c r="E274" s="161"/>
      <c r="F274" s="334"/>
      <c r="G274" s="334"/>
      <c r="H274" s="334"/>
      <c r="I274" s="38">
        <f>(0.4+1)*2</f>
        <v>2.8</v>
      </c>
      <c r="J274" s="163"/>
      <c r="K274" s="154"/>
      <c r="L274" s="441"/>
      <c r="M274" s="106"/>
      <c r="N274" s="53"/>
    </row>
    <row r="275" spans="2:14" ht="12.75" customHeight="1">
      <c r="B275" s="353" t="s">
        <v>7172</v>
      </c>
      <c r="D275" s="17"/>
      <c r="E275" s="161"/>
      <c r="F275" s="334"/>
      <c r="G275" s="334"/>
      <c r="H275" s="334"/>
      <c r="I275" s="38">
        <f>(0.4+1)*2</f>
        <v>2.8</v>
      </c>
      <c r="J275" s="163"/>
      <c r="K275" s="154"/>
      <c r="L275" s="441"/>
      <c r="M275" s="106"/>
      <c r="N275" s="53"/>
    </row>
    <row r="276" spans="2:14" ht="12.75" customHeight="1">
      <c r="B276" s="353" t="s">
        <v>7173</v>
      </c>
      <c r="D276" s="17"/>
      <c r="E276" s="161"/>
      <c r="F276" s="334"/>
      <c r="G276" s="334"/>
      <c r="H276" s="334"/>
      <c r="I276" s="38">
        <f>(0.4+1)*3</f>
        <v>4.1999999999999993</v>
      </c>
      <c r="J276" s="163"/>
      <c r="K276" s="154"/>
      <c r="L276" s="441"/>
      <c r="M276" s="106"/>
      <c r="N276" s="53"/>
    </row>
    <row r="277" spans="2:14" ht="12.75" customHeight="1">
      <c r="B277" s="353" t="s">
        <v>7174</v>
      </c>
      <c r="D277" s="17"/>
      <c r="E277" s="161"/>
      <c r="F277" s="334"/>
      <c r="G277" s="334"/>
      <c r="H277" s="334"/>
      <c r="I277" s="38">
        <f>((2+0.4)*2)+((0.4+1)*4)</f>
        <v>10.399999999999999</v>
      </c>
      <c r="J277" s="163"/>
      <c r="K277" s="154"/>
      <c r="L277" s="441"/>
      <c r="M277" s="106"/>
      <c r="N277" s="53"/>
    </row>
    <row r="278" spans="2:14" ht="12.75" customHeight="1">
      <c r="B278" s="353" t="s">
        <v>7175</v>
      </c>
      <c r="D278" s="17"/>
      <c r="E278" s="161"/>
      <c r="F278" s="334"/>
      <c r="G278" s="334"/>
      <c r="H278" s="334"/>
      <c r="I278" s="38">
        <f>((2+0.2)*2)+((0.4+1)*4)</f>
        <v>10</v>
      </c>
      <c r="J278" s="163"/>
      <c r="K278" s="154"/>
      <c r="L278" s="441"/>
      <c r="M278" s="106"/>
      <c r="N278" s="53"/>
    </row>
    <row r="279" spans="2:14" ht="12.75" customHeight="1">
      <c r="B279" s="353" t="s">
        <v>7176</v>
      </c>
      <c r="D279" s="17"/>
      <c r="E279" s="161"/>
      <c r="F279" s="334"/>
      <c r="G279" s="334"/>
      <c r="H279" s="334"/>
      <c r="I279" s="38">
        <f>((2+0.4)*2)+((0.4+1)*4)</f>
        <v>10.399999999999999</v>
      </c>
      <c r="J279" s="163"/>
      <c r="K279" s="154"/>
      <c r="L279" s="441"/>
      <c r="M279" s="106"/>
      <c r="N279" s="53"/>
    </row>
    <row r="280" spans="2:14" ht="12.75" customHeight="1">
      <c r="B280" s="353" t="s">
        <v>7177</v>
      </c>
      <c r="D280" s="17"/>
      <c r="E280" s="161"/>
      <c r="F280" s="334"/>
      <c r="G280" s="334"/>
      <c r="H280" s="334"/>
      <c r="I280" s="38">
        <f>((2+0.4)*2)+((0.4+1)*4)</f>
        <v>10.399999999999999</v>
      </c>
      <c r="J280" s="163"/>
      <c r="K280" s="154"/>
      <c r="L280" s="441"/>
      <c r="M280" s="106"/>
      <c r="N280" s="53"/>
    </row>
    <row r="281" spans="2:14" ht="12.75" customHeight="1">
      <c r="B281" s="353" t="s">
        <v>7178</v>
      </c>
      <c r="D281" s="17"/>
      <c r="E281" s="161"/>
      <c r="F281" s="334"/>
      <c r="G281" s="334"/>
      <c r="H281" s="334"/>
      <c r="I281" s="38">
        <f>((2+0.4)*2)+((0.4+0.8)*1)</f>
        <v>6</v>
      </c>
      <c r="J281" s="163"/>
      <c r="K281" s="154"/>
      <c r="L281" s="441"/>
      <c r="M281" s="106"/>
      <c r="N281" s="53"/>
    </row>
    <row r="282" spans="2:14" ht="12.75" customHeight="1">
      <c r="B282" s="353" t="s">
        <v>7179</v>
      </c>
      <c r="D282" s="17"/>
      <c r="E282" s="161"/>
      <c r="F282" s="334"/>
      <c r="G282" s="334"/>
      <c r="H282" s="334"/>
      <c r="I282" s="38">
        <f>((2+0.4)*1)+((0.4+1.5)*1)</f>
        <v>4.3</v>
      </c>
      <c r="J282" s="163"/>
      <c r="K282" s="154"/>
      <c r="L282" s="441"/>
      <c r="M282" s="106"/>
      <c r="N282" s="53"/>
    </row>
    <row r="283" spans="2:14" ht="12.75" customHeight="1">
      <c r="B283" s="353" t="s">
        <v>7180</v>
      </c>
      <c r="D283" s="17"/>
      <c r="E283" s="161"/>
      <c r="F283" s="334"/>
      <c r="G283" s="334"/>
      <c r="H283" s="334"/>
      <c r="I283" s="38">
        <f>2+0.4</f>
        <v>2.4</v>
      </c>
      <c r="J283" s="163"/>
      <c r="K283" s="154"/>
      <c r="L283" s="441"/>
      <c r="M283" s="106"/>
      <c r="N283" s="53"/>
    </row>
    <row r="284" spans="2:14" ht="12.75" customHeight="1">
      <c r="B284" s="353" t="s">
        <v>7181</v>
      </c>
      <c r="D284" s="17"/>
      <c r="E284" s="161"/>
      <c r="F284" s="334"/>
      <c r="G284" s="334"/>
      <c r="H284" s="334"/>
      <c r="I284" s="38">
        <f>((2+0.4)*1)+((0.4+1.5)*1)</f>
        <v>4.3</v>
      </c>
      <c r="J284" s="163"/>
      <c r="K284" s="154"/>
      <c r="L284" s="441"/>
      <c r="M284" s="106"/>
      <c r="N284" s="53"/>
    </row>
    <row r="285" spans="2:14" ht="12.75" customHeight="1">
      <c r="B285" s="353" t="s">
        <v>7182</v>
      </c>
      <c r="D285" s="17"/>
      <c r="E285" s="161"/>
      <c r="F285" s="334"/>
      <c r="G285" s="334"/>
      <c r="H285" s="334"/>
      <c r="I285" s="38">
        <f>((2+0.4)*1)</f>
        <v>2.4</v>
      </c>
      <c r="J285" s="163"/>
      <c r="K285" s="154"/>
      <c r="L285" s="441"/>
      <c r="M285" s="106"/>
      <c r="N285" s="53"/>
    </row>
    <row r="286" spans="2:14" ht="12.75" customHeight="1">
      <c r="B286" s="353" t="s">
        <v>7183</v>
      </c>
      <c r="D286" s="17"/>
      <c r="E286" s="161"/>
      <c r="F286" s="334"/>
      <c r="G286" s="334"/>
      <c r="H286" s="334"/>
      <c r="I286" s="38">
        <f>0.8+0.4</f>
        <v>1.2000000000000002</v>
      </c>
      <c r="J286" s="163"/>
      <c r="K286" s="154"/>
      <c r="L286" s="441"/>
      <c r="M286" s="106"/>
      <c r="N286" s="53"/>
    </row>
    <row r="287" spans="2:14" ht="12.75" customHeight="1">
      <c r="B287" s="353" t="s">
        <v>7184</v>
      </c>
      <c r="D287" s="17"/>
      <c r="E287" s="161"/>
      <c r="F287" s="334"/>
      <c r="G287" s="334">
        <v>1288</v>
      </c>
      <c r="H287" s="334"/>
      <c r="I287" s="38">
        <v>0</v>
      </c>
      <c r="J287" s="163"/>
      <c r="K287" s="154"/>
      <c r="L287" s="441"/>
      <c r="M287" s="106"/>
      <c r="N287" s="53"/>
    </row>
    <row r="288" spans="2:14" ht="12.75" customHeight="1">
      <c r="B288" s="353" t="s">
        <v>7185</v>
      </c>
      <c r="D288" s="17"/>
      <c r="E288" s="161"/>
      <c r="F288" s="334"/>
      <c r="G288" s="334"/>
      <c r="H288" s="334"/>
      <c r="I288" s="38">
        <f>(1.5+0.4)*2</f>
        <v>3.8</v>
      </c>
      <c r="J288" s="163"/>
      <c r="K288" s="154"/>
      <c r="L288" s="441"/>
      <c r="M288" s="106"/>
      <c r="N288" s="53"/>
    </row>
    <row r="289" spans="2:14" ht="12.75" customHeight="1">
      <c r="B289" s="353" t="s">
        <v>7186</v>
      </c>
      <c r="D289" s="17"/>
      <c r="E289" s="161"/>
      <c r="F289" s="334"/>
      <c r="G289" s="334"/>
      <c r="H289" s="334"/>
      <c r="I289" s="38">
        <f>(1+0.4)*2</f>
        <v>2.8</v>
      </c>
      <c r="J289" s="163"/>
      <c r="K289" s="154"/>
      <c r="L289" s="441"/>
      <c r="M289" s="106"/>
      <c r="N289" s="53"/>
    </row>
    <row r="290" spans="2:14" ht="12.75" customHeight="1">
      <c r="B290" s="353" t="s">
        <v>7187</v>
      </c>
      <c r="D290" s="17"/>
      <c r="E290" s="161"/>
      <c r="F290" s="334"/>
      <c r="G290" s="334"/>
      <c r="H290" s="334"/>
      <c r="I290" s="38">
        <f>(1+0.4)*2</f>
        <v>2.8</v>
      </c>
      <c r="J290" s="163"/>
      <c r="K290" s="154"/>
      <c r="L290" s="441"/>
      <c r="M290" s="106"/>
      <c r="N290" s="53"/>
    </row>
    <row r="291" spans="2:14" ht="12.75" customHeight="1">
      <c r="B291" s="353" t="s">
        <v>7188</v>
      </c>
      <c r="D291" s="17"/>
      <c r="E291" s="161"/>
      <c r="F291" s="334"/>
      <c r="G291" s="334"/>
      <c r="H291" s="334"/>
      <c r="I291" s="38">
        <f>2.5+0.4</f>
        <v>2.9</v>
      </c>
      <c r="J291" s="163"/>
      <c r="K291" s="154"/>
      <c r="L291" s="441"/>
      <c r="M291" s="106"/>
      <c r="N291" s="53"/>
    </row>
    <row r="292" spans="2:14" ht="12.75" customHeight="1">
      <c r="B292" s="353" t="s">
        <v>7189</v>
      </c>
      <c r="D292" s="17"/>
      <c r="E292" s="161"/>
      <c r="F292" s="334"/>
      <c r="G292" s="334"/>
      <c r="H292" s="334"/>
      <c r="I292" s="38">
        <f>((1.08+0.4)*1)+((1+0.4)*6)</f>
        <v>9.879999999999999</v>
      </c>
      <c r="J292" s="163"/>
      <c r="K292" s="154"/>
      <c r="L292" s="441"/>
      <c r="M292" s="106"/>
      <c r="N292" s="53"/>
    </row>
    <row r="293" spans="2:14" ht="12.75" customHeight="1">
      <c r="B293" s="353" t="s">
        <v>7190</v>
      </c>
      <c r="D293" s="17"/>
      <c r="E293" s="161"/>
      <c r="F293" s="334"/>
      <c r="G293" s="334"/>
      <c r="H293" s="334"/>
      <c r="I293" s="38">
        <f>(1+0.4)*2</f>
        <v>2.8</v>
      </c>
      <c r="J293" s="163"/>
      <c r="K293" s="154"/>
      <c r="L293" s="441"/>
      <c r="M293" s="106"/>
      <c r="N293" s="53"/>
    </row>
    <row r="294" spans="2:14" ht="12.75" customHeight="1">
      <c r="B294" s="353" t="s">
        <v>7191</v>
      </c>
      <c r="D294" s="17"/>
      <c r="E294" s="161"/>
      <c r="F294" s="334"/>
      <c r="G294" s="334"/>
      <c r="H294" s="334"/>
      <c r="I294" s="38">
        <f>(1+0.4)*5</f>
        <v>7</v>
      </c>
      <c r="J294" s="163"/>
      <c r="K294" s="154"/>
      <c r="L294" s="441"/>
      <c r="M294" s="106"/>
      <c r="N294" s="53"/>
    </row>
    <row r="295" spans="2:14" ht="12.75" customHeight="1">
      <c r="B295" s="353" t="s">
        <v>7192</v>
      </c>
      <c r="D295" s="17"/>
      <c r="E295" s="161"/>
      <c r="F295" s="334"/>
      <c r="G295" s="334"/>
      <c r="H295" s="334"/>
      <c r="I295" s="38">
        <f>(1+0.4)*1</f>
        <v>1.4</v>
      </c>
      <c r="J295" s="163"/>
      <c r="K295" s="154"/>
      <c r="L295" s="441"/>
      <c r="M295" s="106"/>
      <c r="N295" s="53"/>
    </row>
    <row r="296" spans="2:14" ht="12.75" customHeight="1">
      <c r="B296" s="353" t="s">
        <v>7193</v>
      </c>
      <c r="D296" s="17"/>
      <c r="E296" s="161"/>
      <c r="F296" s="334"/>
      <c r="G296" s="334"/>
      <c r="H296" s="334"/>
      <c r="I296" s="38">
        <f>(1+0.4)*5</f>
        <v>7</v>
      </c>
      <c r="J296" s="163"/>
      <c r="K296" s="154"/>
      <c r="L296" s="441"/>
      <c r="M296" s="106"/>
      <c r="N296" s="53"/>
    </row>
    <row r="297" spans="2:14" ht="12.75" customHeight="1">
      <c r="B297" s="353" t="s">
        <v>7194</v>
      </c>
      <c r="D297" s="17"/>
      <c r="E297" s="161"/>
      <c r="F297" s="334"/>
      <c r="G297" s="334"/>
      <c r="H297" s="334"/>
      <c r="I297" s="38">
        <f>(1+0.4)*1</f>
        <v>1.4</v>
      </c>
      <c r="J297" s="163"/>
      <c r="K297" s="154"/>
      <c r="L297" s="441"/>
      <c r="M297" s="106"/>
      <c r="N297" s="53"/>
    </row>
    <row r="298" spans="2:14" ht="12.75" customHeight="1">
      <c r="B298" s="351" t="s">
        <v>7217</v>
      </c>
      <c r="D298" s="17"/>
      <c r="E298" s="161"/>
      <c r="F298" s="334"/>
      <c r="G298" s="334"/>
      <c r="H298" s="334"/>
      <c r="I298" s="38"/>
      <c r="J298" s="163"/>
      <c r="K298" s="154"/>
      <c r="L298" s="441"/>
      <c r="M298" s="106"/>
      <c r="N298" s="53"/>
    </row>
    <row r="299" spans="2:14" ht="12.75" customHeight="1">
      <c r="B299" s="353" t="s">
        <v>7197</v>
      </c>
      <c r="D299" s="17"/>
      <c r="E299" s="161"/>
      <c r="F299" s="334"/>
      <c r="G299" s="334"/>
      <c r="H299" s="334"/>
      <c r="I299" s="38">
        <f>((2+0.4)*2)+((1+0.4)*2)</f>
        <v>7.6</v>
      </c>
      <c r="J299" s="163"/>
      <c r="K299" s="154"/>
      <c r="L299" s="441"/>
      <c r="M299" s="106"/>
      <c r="N299" s="53"/>
    </row>
    <row r="300" spans="2:14" ht="12.75" customHeight="1">
      <c r="B300" s="353" t="s">
        <v>7198</v>
      </c>
      <c r="D300" s="17"/>
      <c r="E300" s="161"/>
      <c r="F300" s="334"/>
      <c r="G300" s="334"/>
      <c r="H300" s="334"/>
      <c r="I300" s="38">
        <f>((2+0.4)*2)+((1+0.4)*4)</f>
        <v>10.399999999999999</v>
      </c>
      <c r="J300" s="163"/>
      <c r="K300" s="154"/>
      <c r="L300" s="441"/>
      <c r="M300" s="106"/>
      <c r="N300" s="53"/>
    </row>
    <row r="301" spans="2:14" ht="12.75" customHeight="1">
      <c r="B301" s="353" t="s">
        <v>7199</v>
      </c>
      <c r="D301" s="17"/>
      <c r="E301" s="161"/>
      <c r="F301" s="334"/>
      <c r="G301" s="334"/>
      <c r="H301" s="334"/>
      <c r="I301" s="38">
        <f>((2+0.4)*2)+((1+0.4)*4)</f>
        <v>10.399999999999999</v>
      </c>
      <c r="J301" s="163"/>
      <c r="K301" s="154"/>
      <c r="L301" s="441"/>
      <c r="M301" s="106"/>
      <c r="N301" s="53"/>
    </row>
    <row r="302" spans="2:14" ht="12.75" customHeight="1">
      <c r="B302" s="353" t="s">
        <v>7200</v>
      </c>
      <c r="D302" s="17"/>
      <c r="E302" s="161"/>
      <c r="F302" s="334"/>
      <c r="G302" s="334"/>
      <c r="H302" s="334"/>
      <c r="I302" s="38">
        <f>((2+0.4)*2)+((1+0.4)*4)</f>
        <v>10.399999999999999</v>
      </c>
      <c r="J302" s="163"/>
      <c r="K302" s="154"/>
      <c r="L302" s="441"/>
      <c r="M302" s="106"/>
      <c r="N302" s="53"/>
    </row>
    <row r="303" spans="2:14" ht="12.75" customHeight="1">
      <c r="B303" s="353" t="s">
        <v>7201</v>
      </c>
      <c r="D303" s="17"/>
      <c r="E303" s="161"/>
      <c r="F303" s="334"/>
      <c r="G303" s="334"/>
      <c r="H303" s="334"/>
      <c r="I303" s="38">
        <f>((2+0.4)*2)+((0.8+0.4)*1)</f>
        <v>6</v>
      </c>
      <c r="J303" s="163"/>
      <c r="K303" s="154"/>
      <c r="L303" s="441"/>
      <c r="M303" s="106"/>
      <c r="N303" s="53"/>
    </row>
    <row r="304" spans="2:14" ht="12.75" customHeight="1">
      <c r="B304" s="353" t="s">
        <v>7202</v>
      </c>
      <c r="D304" s="17"/>
      <c r="E304" s="161"/>
      <c r="F304" s="334"/>
      <c r="G304" s="334"/>
      <c r="H304" s="334"/>
      <c r="I304" s="38">
        <f>((2+0.4)*3)</f>
        <v>7.1999999999999993</v>
      </c>
      <c r="J304" s="163"/>
      <c r="K304" s="154"/>
      <c r="L304" s="441"/>
      <c r="M304" s="106"/>
      <c r="N304" s="53"/>
    </row>
    <row r="305" spans="2:14" ht="12.75" customHeight="1">
      <c r="B305" s="353" t="s">
        <v>7203</v>
      </c>
      <c r="D305" s="17"/>
      <c r="E305" s="161"/>
      <c r="F305" s="334"/>
      <c r="G305" s="334"/>
      <c r="H305" s="334"/>
      <c r="I305" s="38">
        <f>((2+0.4)*2)</f>
        <v>4.8</v>
      </c>
      <c r="J305" s="163"/>
      <c r="K305" s="154"/>
      <c r="L305" s="441"/>
      <c r="M305" s="106"/>
      <c r="N305" s="53"/>
    </row>
    <row r="306" spans="2:14" ht="12.75" customHeight="1">
      <c r="B306" s="353" t="s">
        <v>7204</v>
      </c>
      <c r="D306" s="17"/>
      <c r="E306" s="161"/>
      <c r="F306" s="334"/>
      <c r="G306" s="334"/>
      <c r="H306" s="334"/>
      <c r="I306" s="38">
        <f>((2+0.4)*2)+((0.8+0.4)*1)</f>
        <v>6</v>
      </c>
      <c r="J306" s="163"/>
      <c r="K306" s="154"/>
      <c r="L306" s="441"/>
      <c r="M306" s="106"/>
      <c r="N306" s="53"/>
    </row>
    <row r="307" spans="2:14" ht="12.75" customHeight="1">
      <c r="B307" s="353" t="s">
        <v>7205</v>
      </c>
      <c r="D307" s="17"/>
      <c r="E307" s="161"/>
      <c r="F307" s="334"/>
      <c r="G307" s="334"/>
      <c r="H307" s="334"/>
      <c r="I307" s="38">
        <f>((2+0.4)*2)+((1+0.4)*4)</f>
        <v>10.399999999999999</v>
      </c>
      <c r="J307" s="163"/>
      <c r="K307" s="154"/>
      <c r="L307" s="441"/>
      <c r="M307" s="106"/>
      <c r="N307" s="53"/>
    </row>
    <row r="308" spans="2:14" ht="12.75" customHeight="1">
      <c r="B308" s="353" t="s">
        <v>7206</v>
      </c>
      <c r="D308" s="17"/>
      <c r="E308" s="161"/>
      <c r="F308" s="334"/>
      <c r="G308" s="334"/>
      <c r="H308" s="334"/>
      <c r="I308" s="38">
        <f>((2+0.4)*2)+((1+0.4)*4)</f>
        <v>10.399999999999999</v>
      </c>
      <c r="J308" s="163"/>
      <c r="K308" s="154"/>
      <c r="L308" s="441"/>
      <c r="M308" s="106"/>
      <c r="N308" s="53"/>
    </row>
    <row r="309" spans="2:14" ht="12.75" customHeight="1">
      <c r="B309" s="353" t="s">
        <v>7207</v>
      </c>
      <c r="D309" s="17"/>
      <c r="E309" s="161"/>
      <c r="F309" s="334"/>
      <c r="G309" s="334"/>
      <c r="H309" s="334"/>
      <c r="I309" s="38">
        <f>((2+0.4)*2)+((1+0.4)*4)</f>
        <v>10.399999999999999</v>
      </c>
      <c r="J309" s="163"/>
      <c r="K309" s="154"/>
      <c r="L309" s="441"/>
      <c r="M309" s="106"/>
      <c r="N309" s="53"/>
    </row>
    <row r="310" spans="2:14" ht="12.75" customHeight="1">
      <c r="B310" s="353" t="s">
        <v>7208</v>
      </c>
      <c r="D310" s="17"/>
      <c r="E310" s="161"/>
      <c r="F310" s="334"/>
      <c r="G310" s="334"/>
      <c r="H310" s="334"/>
      <c r="I310" s="38">
        <f>((2+0.4)*2)+((1+0.4)*3)</f>
        <v>9</v>
      </c>
      <c r="J310" s="163"/>
      <c r="K310" s="154"/>
      <c r="L310" s="441"/>
      <c r="M310" s="106"/>
      <c r="N310" s="53"/>
    </row>
    <row r="311" spans="2:14" ht="12.75" customHeight="1">
      <c r="B311" s="353" t="s">
        <v>7209</v>
      </c>
      <c r="D311" s="17"/>
      <c r="E311" s="161"/>
      <c r="F311" s="334"/>
      <c r="G311" s="334"/>
      <c r="H311" s="334"/>
      <c r="I311" s="38">
        <f>(0.5+0.4)</f>
        <v>0.9</v>
      </c>
      <c r="J311" s="163"/>
      <c r="K311" s="154"/>
      <c r="L311" s="441"/>
      <c r="M311" s="106"/>
      <c r="N311" s="53"/>
    </row>
    <row r="312" spans="2:14" ht="12.75" customHeight="1">
      <c r="B312" s="353" t="s">
        <v>7210</v>
      </c>
      <c r="D312" s="17"/>
      <c r="E312" s="161"/>
      <c r="F312" s="334"/>
      <c r="G312" s="334"/>
      <c r="H312" s="334"/>
      <c r="I312" s="38">
        <f>((1+0.4)*2)</f>
        <v>2.8</v>
      </c>
      <c r="J312" s="163"/>
      <c r="K312" s="154"/>
      <c r="L312" s="441"/>
      <c r="M312" s="106"/>
      <c r="N312" s="53"/>
    </row>
    <row r="313" spans="2:14" ht="12.75" customHeight="1">
      <c r="B313" s="353" t="s">
        <v>7211</v>
      </c>
      <c r="D313" s="17"/>
      <c r="E313" s="161"/>
      <c r="F313" s="334"/>
      <c r="G313" s="334"/>
      <c r="H313" s="334"/>
      <c r="I313" s="38">
        <f>((1+0.4)*3)</f>
        <v>4.1999999999999993</v>
      </c>
      <c r="J313" s="163"/>
      <c r="K313" s="154"/>
      <c r="L313" s="441"/>
      <c r="M313" s="106"/>
      <c r="N313" s="53"/>
    </row>
    <row r="314" spans="2:14" ht="12.75" customHeight="1">
      <c r="B314" s="353" t="s">
        <v>7212</v>
      </c>
      <c r="D314" s="17"/>
      <c r="E314" s="161"/>
      <c r="F314" s="334"/>
      <c r="G314" s="334"/>
      <c r="H314" s="334"/>
      <c r="I314" s="38">
        <f>(0.5+0.4)</f>
        <v>0.9</v>
      </c>
      <c r="J314" s="163"/>
      <c r="K314" s="154"/>
      <c r="L314" s="441"/>
      <c r="M314" s="106"/>
      <c r="N314" s="53"/>
    </row>
    <row r="315" spans="2:14" ht="12.75" customHeight="1">
      <c r="B315" s="353" t="s">
        <v>7213</v>
      </c>
      <c r="D315" s="17"/>
      <c r="E315" s="161"/>
      <c r="F315" s="334"/>
      <c r="G315" s="334"/>
      <c r="H315" s="334"/>
      <c r="I315" s="38">
        <f>((1+0.4)*2)</f>
        <v>2.8</v>
      </c>
      <c r="J315" s="163"/>
      <c r="K315" s="154"/>
      <c r="L315" s="441"/>
      <c r="M315" s="106"/>
      <c r="N315" s="53"/>
    </row>
    <row r="316" spans="2:14" ht="12.75" customHeight="1">
      <c r="B316" s="353" t="s">
        <v>7214</v>
      </c>
      <c r="D316" s="17"/>
      <c r="E316" s="161"/>
      <c r="F316" s="334"/>
      <c r="G316" s="334"/>
      <c r="H316" s="334"/>
      <c r="I316" s="38">
        <f>((1+0.4)*3)</f>
        <v>4.1999999999999993</v>
      </c>
      <c r="J316" s="163"/>
      <c r="K316" s="154"/>
      <c r="L316" s="441"/>
      <c r="M316" s="106"/>
      <c r="N316" s="53"/>
    </row>
    <row r="317" spans="2:14" ht="12.75" customHeight="1">
      <c r="B317" s="353"/>
      <c r="D317" s="17"/>
      <c r="E317" s="161"/>
      <c r="F317" s="334"/>
      <c r="G317" s="334"/>
      <c r="H317" s="334"/>
      <c r="I317" s="334"/>
      <c r="J317" s="163"/>
      <c r="K317" s="154"/>
      <c r="L317" s="441"/>
      <c r="M317" s="106"/>
      <c r="N317" s="53"/>
    </row>
    <row r="318" spans="2:14" ht="18.75" customHeight="1">
      <c r="B318" s="353"/>
      <c r="C318" s="239">
        <v>93184</v>
      </c>
      <c r="D318" s="137" t="s">
        <v>7</v>
      </c>
      <c r="E318" s="689" t="str">
        <f>IFERROR(VLOOKUP($C318,'SINAPI JULHO 2021'!$1:$1048576,2,0),IFERROR(VLOOKUP($C318,'5-COMP. PROPRIA'!$B$4:$I$7999,4,0),""))</f>
        <v>VERGA PRÉ-MOLDADA PARA PORTAS COM ATÉ 1,5 M DE VÃO. AF_03/2016</v>
      </c>
      <c r="F318" s="690"/>
      <c r="G318" s="690"/>
      <c r="H318" s="690"/>
      <c r="I318" s="690"/>
      <c r="J318" s="691"/>
      <c r="K318" s="270">
        <f>SUM(H320:H362)</f>
        <v>58.49999999999995</v>
      </c>
      <c r="L318" s="468" t="str">
        <f>IFERROR(VLOOKUP($C318,'SINAPI JULHO 2021'!$1:$1048576,3,0),IFERROR(VLOOKUP($C318,'5-COMP. PROPRIA'!$B$4:$I$7999,5,0),""))</f>
        <v>M</v>
      </c>
      <c r="M318" s="372"/>
      <c r="N318" s="282"/>
    </row>
    <row r="319" spans="2:14" ht="12.75" customHeight="1">
      <c r="B319" s="351" t="s">
        <v>7218</v>
      </c>
      <c r="D319" s="17"/>
      <c r="E319" s="357" t="s">
        <v>7166</v>
      </c>
      <c r="F319" s="358" t="s">
        <v>7167</v>
      </c>
      <c r="G319" s="358" t="s">
        <v>7196</v>
      </c>
      <c r="H319" s="358" t="s">
        <v>7168</v>
      </c>
      <c r="I319" s="358" t="s">
        <v>7227</v>
      </c>
      <c r="J319" s="157" t="s">
        <v>7170</v>
      </c>
      <c r="K319" s="154"/>
      <c r="L319" s="441"/>
      <c r="M319" s="106"/>
      <c r="N319" s="53"/>
    </row>
    <row r="320" spans="2:14" ht="12.75" customHeight="1">
      <c r="B320" s="353" t="s">
        <v>7171</v>
      </c>
      <c r="D320" s="17"/>
      <c r="E320" s="161"/>
      <c r="F320" s="334"/>
      <c r="G320" s="334"/>
      <c r="H320" s="38">
        <f>(0.9+0.4)*1</f>
        <v>1.3</v>
      </c>
      <c r="I320" s="334"/>
      <c r="J320" s="163"/>
      <c r="K320" s="154"/>
      <c r="L320" s="441"/>
      <c r="M320" s="106"/>
      <c r="N320" s="53"/>
    </row>
    <row r="321" spans="2:14" ht="12.75" customHeight="1">
      <c r="B321" s="353" t="s">
        <v>7172</v>
      </c>
      <c r="D321" s="17"/>
      <c r="E321" s="161"/>
      <c r="F321" s="334"/>
      <c r="G321" s="334"/>
      <c r="H321" s="38">
        <f t="shared" ref="H321:H362" si="11">(0.9+0.4)*1</f>
        <v>1.3</v>
      </c>
      <c r="I321" s="334"/>
      <c r="J321" s="163"/>
      <c r="K321" s="154"/>
      <c r="L321" s="441"/>
      <c r="M321" s="106"/>
      <c r="N321" s="53"/>
    </row>
    <row r="322" spans="2:14" ht="12.75" customHeight="1">
      <c r="B322" s="353" t="s">
        <v>7173</v>
      </c>
      <c r="D322" s="17"/>
      <c r="E322" s="161"/>
      <c r="F322" s="334"/>
      <c r="G322" s="334"/>
      <c r="H322" s="38">
        <f t="shared" si="11"/>
        <v>1.3</v>
      </c>
      <c r="I322" s="334"/>
      <c r="J322" s="163"/>
      <c r="K322" s="154"/>
      <c r="L322" s="441"/>
      <c r="M322" s="106"/>
      <c r="N322" s="53"/>
    </row>
    <row r="323" spans="2:14" ht="12.75" customHeight="1">
      <c r="B323" s="353" t="s">
        <v>7174</v>
      </c>
      <c r="D323" s="17"/>
      <c r="E323" s="161"/>
      <c r="F323" s="334"/>
      <c r="G323" s="334"/>
      <c r="H323" s="38">
        <f t="shared" si="11"/>
        <v>1.3</v>
      </c>
      <c r="I323" s="334"/>
      <c r="J323" s="163"/>
      <c r="K323" s="154"/>
      <c r="L323" s="441"/>
      <c r="M323" s="106"/>
      <c r="N323" s="53"/>
    </row>
    <row r="324" spans="2:14" ht="12.75" customHeight="1">
      <c r="B324" s="353" t="s">
        <v>7175</v>
      </c>
      <c r="D324" s="17"/>
      <c r="E324" s="161"/>
      <c r="F324" s="334"/>
      <c r="G324" s="334"/>
      <c r="H324" s="38">
        <f t="shared" si="11"/>
        <v>1.3</v>
      </c>
      <c r="I324" s="334"/>
      <c r="J324" s="163"/>
      <c r="K324" s="154"/>
      <c r="L324" s="441"/>
      <c r="M324" s="106"/>
      <c r="N324" s="53"/>
    </row>
    <row r="325" spans="2:14" ht="12.75" customHeight="1">
      <c r="B325" s="353" t="s">
        <v>7176</v>
      </c>
      <c r="D325" s="17"/>
      <c r="E325" s="161"/>
      <c r="F325" s="334"/>
      <c r="G325" s="334"/>
      <c r="H325" s="38">
        <f t="shared" si="11"/>
        <v>1.3</v>
      </c>
      <c r="I325" s="334"/>
      <c r="J325" s="163"/>
      <c r="K325" s="154"/>
      <c r="L325" s="441"/>
      <c r="M325" s="106"/>
      <c r="N325" s="53"/>
    </row>
    <row r="326" spans="2:14" ht="12.75" customHeight="1">
      <c r="B326" s="353" t="s">
        <v>7177</v>
      </c>
      <c r="D326" s="17"/>
      <c r="E326" s="161"/>
      <c r="F326" s="334"/>
      <c r="G326" s="334"/>
      <c r="H326" s="38">
        <f t="shared" si="11"/>
        <v>1.3</v>
      </c>
      <c r="I326" s="334"/>
      <c r="J326" s="163"/>
      <c r="K326" s="154"/>
      <c r="L326" s="441"/>
      <c r="M326" s="106"/>
      <c r="N326" s="53"/>
    </row>
    <row r="327" spans="2:14" ht="12.75" customHeight="1">
      <c r="B327" s="353" t="s">
        <v>7178</v>
      </c>
      <c r="D327" s="17"/>
      <c r="E327" s="161"/>
      <c r="F327" s="334"/>
      <c r="G327" s="334"/>
      <c r="H327" s="38">
        <f t="shared" si="11"/>
        <v>1.3</v>
      </c>
      <c r="I327" s="334"/>
      <c r="J327" s="163"/>
      <c r="K327" s="154"/>
      <c r="L327" s="441"/>
      <c r="M327" s="106"/>
      <c r="N327" s="53"/>
    </row>
    <row r="328" spans="2:14" ht="12.75" customHeight="1">
      <c r="B328" s="353" t="s">
        <v>7179</v>
      </c>
      <c r="D328" s="17"/>
      <c r="E328" s="161"/>
      <c r="F328" s="334"/>
      <c r="G328" s="334"/>
      <c r="H328" s="38">
        <f t="shared" si="11"/>
        <v>1.3</v>
      </c>
      <c r="I328" s="334"/>
      <c r="J328" s="163"/>
      <c r="K328" s="154"/>
      <c r="L328" s="441"/>
      <c r="M328" s="106"/>
      <c r="N328" s="53"/>
    </row>
    <row r="329" spans="2:14" ht="12.75" customHeight="1">
      <c r="B329" s="353" t="s">
        <v>7180</v>
      </c>
      <c r="D329" s="17"/>
      <c r="E329" s="161"/>
      <c r="F329" s="334"/>
      <c r="G329" s="334"/>
      <c r="H329" s="38">
        <f t="shared" si="11"/>
        <v>1.3</v>
      </c>
      <c r="I329" s="334"/>
      <c r="J329" s="163"/>
      <c r="K329" s="154"/>
      <c r="L329" s="441"/>
      <c r="M329" s="106"/>
      <c r="N329" s="53"/>
    </row>
    <row r="330" spans="2:14" ht="12.75" customHeight="1">
      <c r="B330" s="353" t="s">
        <v>7181</v>
      </c>
      <c r="D330" s="17"/>
      <c r="E330" s="161"/>
      <c r="F330" s="334"/>
      <c r="G330" s="334"/>
      <c r="H330" s="38">
        <f>(0.9+0.4)*2</f>
        <v>2.6</v>
      </c>
      <c r="I330" s="334"/>
      <c r="J330" s="163"/>
      <c r="K330" s="154"/>
      <c r="L330" s="441"/>
      <c r="M330" s="106"/>
      <c r="N330" s="53"/>
    </row>
    <row r="331" spans="2:14" ht="12.75" customHeight="1">
      <c r="B331" s="353" t="s">
        <v>7182</v>
      </c>
      <c r="D331" s="17"/>
      <c r="E331" s="161"/>
      <c r="F331" s="334"/>
      <c r="G331" s="334"/>
      <c r="H331" s="38">
        <f t="shared" si="11"/>
        <v>1.3</v>
      </c>
      <c r="I331" s="334"/>
      <c r="J331" s="163"/>
      <c r="K331" s="154"/>
      <c r="L331" s="441"/>
      <c r="M331" s="106"/>
      <c r="N331" s="53"/>
    </row>
    <row r="332" spans="2:14" ht="12.75" customHeight="1">
      <c r="B332" s="353" t="s">
        <v>7183</v>
      </c>
      <c r="D332" s="17"/>
      <c r="E332" s="161"/>
      <c r="F332" s="334"/>
      <c r="G332" s="334"/>
      <c r="H332" s="38">
        <f t="shared" si="11"/>
        <v>1.3</v>
      </c>
      <c r="I332" s="334"/>
      <c r="J332" s="163"/>
      <c r="K332" s="154"/>
      <c r="L332" s="441"/>
      <c r="M332" s="106"/>
      <c r="N332" s="53"/>
    </row>
    <row r="333" spans="2:14" ht="12.75" customHeight="1">
      <c r="B333" s="353" t="s">
        <v>7184</v>
      </c>
      <c r="D333" s="17"/>
      <c r="E333" s="161"/>
      <c r="F333" s="334"/>
      <c r="G333" s="334"/>
      <c r="H333" s="38">
        <f>(0.9+0.4)*2</f>
        <v>2.6</v>
      </c>
      <c r="I333" s="334"/>
      <c r="J333" s="163"/>
      <c r="K333" s="154"/>
      <c r="L333" s="441"/>
      <c r="M333" s="106"/>
      <c r="N333" s="53"/>
    </row>
    <row r="334" spans="2:14" ht="12.75" customHeight="1">
      <c r="B334" s="353" t="s">
        <v>7185</v>
      </c>
      <c r="D334" s="17"/>
      <c r="E334" s="161"/>
      <c r="F334" s="334"/>
      <c r="G334" s="334"/>
      <c r="H334" s="38">
        <f t="shared" si="11"/>
        <v>1.3</v>
      </c>
      <c r="I334" s="334"/>
      <c r="J334" s="163"/>
      <c r="K334" s="154"/>
      <c r="L334" s="441"/>
      <c r="M334" s="106"/>
      <c r="N334" s="53"/>
    </row>
    <row r="335" spans="2:14" ht="12.75" customHeight="1">
      <c r="B335" s="353" t="s">
        <v>7186</v>
      </c>
      <c r="D335" s="17"/>
      <c r="E335" s="161"/>
      <c r="F335" s="334"/>
      <c r="G335" s="334"/>
      <c r="H335" s="38">
        <f t="shared" si="11"/>
        <v>1.3</v>
      </c>
      <c r="I335" s="334"/>
      <c r="J335" s="163"/>
      <c r="K335" s="154"/>
      <c r="L335" s="441"/>
      <c r="M335" s="106"/>
      <c r="N335" s="53"/>
    </row>
    <row r="336" spans="2:14" ht="12.75" customHeight="1">
      <c r="B336" s="353" t="s">
        <v>7187</v>
      </c>
      <c r="D336" s="17"/>
      <c r="E336" s="161"/>
      <c r="F336" s="334"/>
      <c r="G336" s="334"/>
      <c r="H336" s="38">
        <f t="shared" si="11"/>
        <v>1.3</v>
      </c>
      <c r="I336" s="334"/>
      <c r="J336" s="163"/>
      <c r="K336" s="154"/>
      <c r="L336" s="441"/>
      <c r="M336" s="106"/>
      <c r="N336" s="53"/>
    </row>
    <row r="337" spans="2:14" ht="12.75" customHeight="1">
      <c r="B337" s="353" t="s">
        <v>7188</v>
      </c>
      <c r="D337" s="17"/>
      <c r="E337" s="161"/>
      <c r="F337" s="334"/>
      <c r="G337" s="334"/>
      <c r="H337" s="38">
        <f>(0.9+0.4)*2</f>
        <v>2.6</v>
      </c>
      <c r="I337" s="334"/>
      <c r="J337" s="163"/>
      <c r="K337" s="154"/>
      <c r="L337" s="441"/>
      <c r="M337" s="106"/>
      <c r="N337" s="53"/>
    </row>
    <row r="338" spans="2:14" ht="12.75" customHeight="1">
      <c r="B338" s="353" t="s">
        <v>7189</v>
      </c>
      <c r="D338" s="17"/>
      <c r="E338" s="161"/>
      <c r="F338" s="334"/>
      <c r="G338" s="334"/>
      <c r="H338" s="38">
        <f t="shared" si="11"/>
        <v>1.3</v>
      </c>
      <c r="I338" s="334"/>
      <c r="J338" s="163"/>
      <c r="K338" s="154"/>
      <c r="L338" s="441"/>
      <c r="M338" s="106"/>
      <c r="N338" s="53"/>
    </row>
    <row r="339" spans="2:14" ht="12.75" customHeight="1">
      <c r="B339" s="353" t="s">
        <v>7190</v>
      </c>
      <c r="D339" s="17"/>
      <c r="E339" s="161"/>
      <c r="F339" s="334"/>
      <c r="G339" s="334"/>
      <c r="H339" s="38">
        <f t="shared" si="11"/>
        <v>1.3</v>
      </c>
      <c r="I339" s="334"/>
      <c r="J339" s="163"/>
      <c r="K339" s="154"/>
      <c r="L339" s="441"/>
      <c r="M339" s="106"/>
      <c r="N339" s="53"/>
    </row>
    <row r="340" spans="2:14" ht="12.75" customHeight="1">
      <c r="B340" s="353" t="s">
        <v>7191</v>
      </c>
      <c r="D340" s="17"/>
      <c r="E340" s="161"/>
      <c r="F340" s="334"/>
      <c r="G340" s="334"/>
      <c r="H340" s="38">
        <f t="shared" si="11"/>
        <v>1.3</v>
      </c>
      <c r="I340" s="334"/>
      <c r="J340" s="163"/>
      <c r="K340" s="154"/>
      <c r="L340" s="441"/>
      <c r="M340" s="106"/>
      <c r="N340" s="53"/>
    </row>
    <row r="341" spans="2:14" ht="12.75" customHeight="1">
      <c r="B341" s="353" t="s">
        <v>7192</v>
      </c>
      <c r="D341" s="17"/>
      <c r="E341" s="161"/>
      <c r="F341" s="334"/>
      <c r="G341" s="334"/>
      <c r="H341" s="38">
        <f t="shared" si="11"/>
        <v>1.3</v>
      </c>
      <c r="I341" s="334"/>
      <c r="J341" s="163"/>
      <c r="K341" s="154"/>
      <c r="L341" s="441"/>
      <c r="M341" s="106"/>
      <c r="N341" s="53"/>
    </row>
    <row r="342" spans="2:14" ht="12.75" customHeight="1">
      <c r="B342" s="353" t="s">
        <v>7193</v>
      </c>
      <c r="D342" s="17"/>
      <c r="E342" s="161"/>
      <c r="F342" s="334"/>
      <c r="G342" s="334"/>
      <c r="H342" s="38">
        <f t="shared" si="11"/>
        <v>1.3</v>
      </c>
      <c r="I342" s="334"/>
      <c r="J342" s="163"/>
      <c r="K342" s="154"/>
      <c r="L342" s="441"/>
      <c r="M342" s="106"/>
      <c r="N342" s="53"/>
    </row>
    <row r="343" spans="2:14" ht="12.75" customHeight="1">
      <c r="B343" s="353" t="s">
        <v>7194</v>
      </c>
      <c r="D343" s="17"/>
      <c r="E343" s="161"/>
      <c r="F343" s="334"/>
      <c r="G343" s="334"/>
      <c r="H343" s="38">
        <f t="shared" si="11"/>
        <v>1.3</v>
      </c>
      <c r="I343" s="334"/>
      <c r="J343" s="163"/>
      <c r="K343" s="154"/>
      <c r="L343" s="441"/>
      <c r="M343" s="106"/>
      <c r="N343" s="53"/>
    </row>
    <row r="344" spans="2:14" ht="12.75" customHeight="1">
      <c r="B344" s="351" t="s">
        <v>7217</v>
      </c>
      <c r="D344" s="17"/>
      <c r="E344" s="161"/>
      <c r="F344" s="334"/>
      <c r="G344" s="334"/>
      <c r="H344" s="38"/>
      <c r="I344" s="334"/>
      <c r="J344" s="163"/>
      <c r="K344" s="154"/>
      <c r="L344" s="441"/>
      <c r="M344" s="106"/>
      <c r="N344" s="53"/>
    </row>
    <row r="345" spans="2:14" ht="12.75" customHeight="1">
      <c r="B345" s="353" t="s">
        <v>7197</v>
      </c>
      <c r="D345" s="17"/>
      <c r="E345" s="161"/>
      <c r="F345" s="334"/>
      <c r="G345" s="334"/>
      <c r="H345" s="38">
        <f t="shared" si="11"/>
        <v>1.3</v>
      </c>
      <c r="I345" s="334"/>
      <c r="J345" s="163"/>
      <c r="K345" s="154"/>
      <c r="L345" s="441"/>
      <c r="M345" s="106"/>
      <c r="N345" s="53"/>
    </row>
    <row r="346" spans="2:14" ht="12.75" customHeight="1">
      <c r="B346" s="353" t="s">
        <v>7198</v>
      </c>
      <c r="D346" s="17"/>
      <c r="E346" s="161"/>
      <c r="F346" s="334"/>
      <c r="G346" s="334"/>
      <c r="H346" s="38">
        <f t="shared" si="11"/>
        <v>1.3</v>
      </c>
      <c r="I346" s="334"/>
      <c r="J346" s="163"/>
      <c r="K346" s="154"/>
      <c r="L346" s="441"/>
      <c r="M346" s="106"/>
      <c r="N346" s="53"/>
    </row>
    <row r="347" spans="2:14" ht="12.75" customHeight="1">
      <c r="B347" s="353" t="s">
        <v>7199</v>
      </c>
      <c r="D347" s="17"/>
      <c r="E347" s="161"/>
      <c r="F347" s="334"/>
      <c r="G347" s="334"/>
      <c r="H347" s="38">
        <f t="shared" si="11"/>
        <v>1.3</v>
      </c>
      <c r="I347" s="334"/>
      <c r="J347" s="163"/>
      <c r="K347" s="154"/>
      <c r="L347" s="441"/>
      <c r="M347" s="106"/>
      <c r="N347" s="53"/>
    </row>
    <row r="348" spans="2:14" ht="12.75" customHeight="1">
      <c r="B348" s="353" t="s">
        <v>7200</v>
      </c>
      <c r="D348" s="17"/>
      <c r="E348" s="161"/>
      <c r="F348" s="334"/>
      <c r="G348" s="334"/>
      <c r="H348" s="38">
        <f t="shared" si="11"/>
        <v>1.3</v>
      </c>
      <c r="I348" s="334"/>
      <c r="J348" s="163"/>
      <c r="K348" s="154"/>
      <c r="L348" s="441"/>
      <c r="M348" s="106"/>
      <c r="N348" s="53"/>
    </row>
    <row r="349" spans="2:14" ht="12.75" customHeight="1">
      <c r="B349" s="353" t="s">
        <v>7201</v>
      </c>
      <c r="D349" s="17"/>
      <c r="E349" s="161"/>
      <c r="F349" s="334"/>
      <c r="G349" s="334"/>
      <c r="H349" s="38">
        <f t="shared" si="11"/>
        <v>1.3</v>
      </c>
      <c r="I349" s="334"/>
      <c r="J349" s="163"/>
      <c r="K349" s="154"/>
      <c r="L349" s="441"/>
      <c r="M349" s="106"/>
      <c r="N349" s="53"/>
    </row>
    <row r="350" spans="2:14" ht="12.75" customHeight="1">
      <c r="B350" s="353" t="s">
        <v>7202</v>
      </c>
      <c r="D350" s="17"/>
      <c r="E350" s="161"/>
      <c r="F350" s="334"/>
      <c r="G350" s="334"/>
      <c r="H350" s="38">
        <f t="shared" si="11"/>
        <v>1.3</v>
      </c>
      <c r="I350" s="334"/>
      <c r="J350" s="163"/>
      <c r="K350" s="154"/>
      <c r="L350" s="441"/>
      <c r="M350" s="106"/>
      <c r="N350" s="53"/>
    </row>
    <row r="351" spans="2:14" ht="12.75" customHeight="1">
      <c r="B351" s="353" t="s">
        <v>7203</v>
      </c>
      <c r="D351" s="17"/>
      <c r="E351" s="161"/>
      <c r="F351" s="334"/>
      <c r="G351" s="334"/>
      <c r="H351" s="38">
        <f t="shared" si="11"/>
        <v>1.3</v>
      </c>
      <c r="I351" s="334"/>
      <c r="J351" s="163"/>
      <c r="K351" s="154"/>
      <c r="L351" s="441"/>
      <c r="M351" s="106"/>
      <c r="N351" s="53"/>
    </row>
    <row r="352" spans="2:14" ht="12.75" customHeight="1">
      <c r="B352" s="353" t="s">
        <v>7204</v>
      </c>
      <c r="D352" s="17"/>
      <c r="E352" s="161"/>
      <c r="F352" s="334"/>
      <c r="G352" s="334"/>
      <c r="H352" s="38">
        <f t="shared" si="11"/>
        <v>1.3</v>
      </c>
      <c r="I352" s="334"/>
      <c r="J352" s="163"/>
      <c r="K352" s="154"/>
      <c r="L352" s="441"/>
      <c r="M352" s="106"/>
      <c r="N352" s="53"/>
    </row>
    <row r="353" spans="2:14" ht="12.75" customHeight="1">
      <c r="B353" s="353" t="s">
        <v>7205</v>
      </c>
      <c r="D353" s="17"/>
      <c r="E353" s="161"/>
      <c r="F353" s="334"/>
      <c r="G353" s="334"/>
      <c r="H353" s="38">
        <f t="shared" si="11"/>
        <v>1.3</v>
      </c>
      <c r="I353" s="334"/>
      <c r="J353" s="163"/>
      <c r="K353" s="154"/>
      <c r="L353" s="441"/>
      <c r="M353" s="106"/>
      <c r="N353" s="53"/>
    </row>
    <row r="354" spans="2:14" ht="12.75" customHeight="1">
      <c r="B354" s="353" t="s">
        <v>7206</v>
      </c>
      <c r="D354" s="17"/>
      <c r="E354" s="161"/>
      <c r="F354" s="334"/>
      <c r="G354" s="334"/>
      <c r="H354" s="38">
        <f t="shared" si="11"/>
        <v>1.3</v>
      </c>
      <c r="I354" s="334"/>
      <c r="J354" s="163"/>
      <c r="K354" s="154"/>
      <c r="L354" s="441"/>
      <c r="M354" s="106"/>
      <c r="N354" s="53"/>
    </row>
    <row r="355" spans="2:14" ht="12.75" customHeight="1">
      <c r="B355" s="353" t="s">
        <v>7207</v>
      </c>
      <c r="D355" s="17"/>
      <c r="E355" s="161"/>
      <c r="F355" s="334"/>
      <c r="G355" s="334"/>
      <c r="H355" s="38">
        <f t="shared" si="11"/>
        <v>1.3</v>
      </c>
      <c r="I355" s="334"/>
      <c r="J355" s="163"/>
      <c r="K355" s="154"/>
      <c r="L355" s="441"/>
      <c r="M355" s="106"/>
      <c r="N355" s="53"/>
    </row>
    <row r="356" spans="2:14" ht="12.75" customHeight="1">
      <c r="B356" s="353" t="s">
        <v>7208</v>
      </c>
      <c r="D356" s="17"/>
      <c r="E356" s="161"/>
      <c r="F356" s="334"/>
      <c r="G356" s="334"/>
      <c r="H356" s="38">
        <f t="shared" si="11"/>
        <v>1.3</v>
      </c>
      <c r="I356" s="334"/>
      <c r="J356" s="163"/>
      <c r="K356" s="154"/>
      <c r="L356" s="441"/>
      <c r="M356" s="106"/>
      <c r="N356" s="53"/>
    </row>
    <row r="357" spans="2:14" ht="12.75" customHeight="1">
      <c r="B357" s="353" t="s">
        <v>7209</v>
      </c>
      <c r="D357" s="17"/>
      <c r="E357" s="161"/>
      <c r="F357" s="334"/>
      <c r="G357" s="334"/>
      <c r="H357" s="38">
        <f t="shared" si="11"/>
        <v>1.3</v>
      </c>
      <c r="I357" s="334"/>
      <c r="J357" s="163"/>
      <c r="K357" s="154"/>
      <c r="L357" s="441"/>
      <c r="M357" s="106"/>
      <c r="N357" s="53"/>
    </row>
    <row r="358" spans="2:14" ht="12.75" customHeight="1">
      <c r="B358" s="353" t="s">
        <v>7210</v>
      </c>
      <c r="D358" s="17"/>
      <c r="E358" s="161"/>
      <c r="F358" s="334"/>
      <c r="G358" s="334"/>
      <c r="H358" s="38">
        <f t="shared" si="11"/>
        <v>1.3</v>
      </c>
      <c r="I358" s="334"/>
      <c r="J358" s="163"/>
      <c r="K358" s="154"/>
      <c r="L358" s="441"/>
      <c r="M358" s="106"/>
      <c r="N358" s="53"/>
    </row>
    <row r="359" spans="2:14" ht="12.75" customHeight="1">
      <c r="B359" s="353" t="s">
        <v>7211</v>
      </c>
      <c r="D359" s="17"/>
      <c r="E359" s="161"/>
      <c r="F359" s="334"/>
      <c r="G359" s="334"/>
      <c r="H359" s="38">
        <f t="shared" si="11"/>
        <v>1.3</v>
      </c>
      <c r="I359" s="334"/>
      <c r="J359" s="163"/>
      <c r="K359" s="154"/>
      <c r="L359" s="441"/>
      <c r="M359" s="106"/>
      <c r="N359" s="53"/>
    </row>
    <row r="360" spans="2:14" ht="12.75" customHeight="1">
      <c r="B360" s="353" t="s">
        <v>7212</v>
      </c>
      <c r="D360" s="17"/>
      <c r="E360" s="161"/>
      <c r="F360" s="334"/>
      <c r="G360" s="334"/>
      <c r="H360" s="38">
        <f t="shared" si="11"/>
        <v>1.3</v>
      </c>
      <c r="I360" s="334"/>
      <c r="J360" s="163"/>
      <c r="K360" s="154"/>
      <c r="L360" s="441"/>
      <c r="M360" s="106"/>
      <c r="N360" s="53"/>
    </row>
    <row r="361" spans="2:14" ht="12.75" customHeight="1">
      <c r="B361" s="353" t="s">
        <v>7213</v>
      </c>
      <c r="D361" s="17"/>
      <c r="E361" s="161"/>
      <c r="F361" s="334"/>
      <c r="G361" s="334"/>
      <c r="H361" s="38">
        <f t="shared" si="11"/>
        <v>1.3</v>
      </c>
      <c r="I361" s="334"/>
      <c r="J361" s="163"/>
      <c r="K361" s="154"/>
      <c r="L361" s="441"/>
      <c r="M361" s="106"/>
      <c r="N361" s="53"/>
    </row>
    <row r="362" spans="2:14" ht="12.75" customHeight="1">
      <c r="B362" s="353" t="s">
        <v>7214</v>
      </c>
      <c r="D362" s="17"/>
      <c r="E362" s="161"/>
      <c r="F362" s="334"/>
      <c r="G362" s="334"/>
      <c r="H362" s="38">
        <f t="shared" si="11"/>
        <v>1.3</v>
      </c>
      <c r="I362" s="334"/>
      <c r="J362" s="163"/>
      <c r="K362" s="154"/>
      <c r="L362" s="441"/>
      <c r="M362" s="106"/>
      <c r="N362" s="53"/>
    </row>
    <row r="363" spans="2:14" ht="12.75" customHeight="1">
      <c r="B363" s="353"/>
      <c r="D363" s="17"/>
      <c r="E363" s="161"/>
      <c r="F363" s="334"/>
      <c r="G363" s="334"/>
      <c r="H363" s="334"/>
      <c r="I363" s="334"/>
      <c r="J363" s="163"/>
      <c r="K363" s="154"/>
      <c r="L363" s="441"/>
      <c r="M363" s="106"/>
      <c r="N363" s="53"/>
    </row>
    <row r="364" spans="2:14" ht="31.5" customHeight="1">
      <c r="B364" s="353"/>
      <c r="C364" s="239">
        <v>93195</v>
      </c>
      <c r="D364" s="137" t="s">
        <v>7</v>
      </c>
      <c r="E364" s="689" t="str">
        <f>IFERROR(VLOOKUP($C364,'SINAPI JULHO 2021'!$1:$1048576,2,0),IFERROR(VLOOKUP($C364,'5-COMP. PROPRIA'!$B$4:$I$7999,4,0),""))</f>
        <v>CONTRAVERGA PRÉ-MOLDADA PARA VÃOS DE MAIS DE 1,5 M DE COMPRIMENTO. AF_03/2016</v>
      </c>
      <c r="F364" s="690"/>
      <c r="G364" s="690"/>
      <c r="H364" s="690"/>
      <c r="I364" s="690"/>
      <c r="J364" s="691"/>
      <c r="K364" s="270">
        <f>SUM(I366:I408)</f>
        <v>232.18000000000004</v>
      </c>
      <c r="L364" s="468" t="str">
        <f>IFERROR(VLOOKUP($C364,'SINAPI JULHO 2021'!$1:$1048576,3,0),IFERROR(VLOOKUP($C364,'5-COMP. PROPRIA'!$B$4:$I$7999,5,0),""))</f>
        <v>M</v>
      </c>
      <c r="M364" s="372"/>
      <c r="N364" s="282"/>
    </row>
    <row r="365" spans="2:14" ht="12.75" customHeight="1">
      <c r="B365" s="351" t="s">
        <v>7218</v>
      </c>
      <c r="D365" s="17"/>
      <c r="E365" s="357" t="s">
        <v>7166</v>
      </c>
      <c r="F365" s="358" t="s">
        <v>7167</v>
      </c>
      <c r="G365" s="358" t="s">
        <v>7196</v>
      </c>
      <c r="H365" s="358" t="s">
        <v>7168</v>
      </c>
      <c r="I365" s="358" t="s">
        <v>7227</v>
      </c>
      <c r="J365" s="157" t="s">
        <v>7170</v>
      </c>
      <c r="K365" s="154"/>
      <c r="L365" s="441"/>
      <c r="M365" s="106"/>
      <c r="N365" s="53"/>
    </row>
    <row r="366" spans="2:14" ht="12.75" customHeight="1">
      <c r="B366" s="353" t="s">
        <v>7171</v>
      </c>
      <c r="D366" s="17"/>
      <c r="E366" s="161"/>
      <c r="F366" s="334"/>
      <c r="G366" s="334"/>
      <c r="H366" s="334"/>
      <c r="I366" s="38">
        <f>(0.4+1)*2</f>
        <v>2.8</v>
      </c>
      <c r="J366" s="163"/>
      <c r="K366" s="154"/>
      <c r="L366" s="441"/>
      <c r="M366" s="106"/>
      <c r="N366" s="53"/>
    </row>
    <row r="367" spans="2:14" ht="12.75" customHeight="1">
      <c r="B367" s="353" t="s">
        <v>7172</v>
      </c>
      <c r="D367" s="17"/>
      <c r="E367" s="161"/>
      <c r="F367" s="334"/>
      <c r="G367" s="334"/>
      <c r="H367" s="334"/>
      <c r="I367" s="38">
        <f>(0.4+1)*2</f>
        <v>2.8</v>
      </c>
      <c r="J367" s="163"/>
      <c r="K367" s="154"/>
      <c r="L367" s="441"/>
      <c r="M367" s="106"/>
      <c r="N367" s="53"/>
    </row>
    <row r="368" spans="2:14" ht="12.75" customHeight="1">
      <c r="B368" s="353" t="s">
        <v>7173</v>
      </c>
      <c r="D368" s="17"/>
      <c r="E368" s="161"/>
      <c r="F368" s="334"/>
      <c r="G368" s="334"/>
      <c r="H368" s="334"/>
      <c r="I368" s="38">
        <f>(0.4+1)*3</f>
        <v>4.1999999999999993</v>
      </c>
      <c r="J368" s="163"/>
      <c r="K368" s="154"/>
      <c r="L368" s="441"/>
      <c r="M368" s="106"/>
      <c r="N368" s="53"/>
    </row>
    <row r="369" spans="2:14" ht="12.75" customHeight="1">
      <c r="B369" s="353" t="s">
        <v>7174</v>
      </c>
      <c r="D369" s="17"/>
      <c r="E369" s="161"/>
      <c r="F369" s="334"/>
      <c r="G369" s="334"/>
      <c r="H369" s="334"/>
      <c r="I369" s="38">
        <f>((2+0.4)*2)+((0.4+1)*4)</f>
        <v>10.399999999999999</v>
      </c>
      <c r="J369" s="163"/>
      <c r="K369" s="154"/>
      <c r="L369" s="441"/>
      <c r="M369" s="106"/>
      <c r="N369" s="53"/>
    </row>
    <row r="370" spans="2:14" ht="12.75" customHeight="1">
      <c r="B370" s="353" t="s">
        <v>7175</v>
      </c>
      <c r="D370" s="17"/>
      <c r="E370" s="161"/>
      <c r="F370" s="334"/>
      <c r="G370" s="334"/>
      <c r="H370" s="334"/>
      <c r="I370" s="38">
        <f>((2+0.2)*2)+((0.4+1)*4)</f>
        <v>10</v>
      </c>
      <c r="J370" s="163"/>
      <c r="K370" s="154"/>
      <c r="L370" s="441"/>
      <c r="M370" s="106"/>
      <c r="N370" s="53"/>
    </row>
    <row r="371" spans="2:14" ht="12.75" customHeight="1">
      <c r="B371" s="353" t="s">
        <v>7176</v>
      </c>
      <c r="D371" s="17"/>
      <c r="E371" s="161"/>
      <c r="F371" s="334"/>
      <c r="G371" s="334"/>
      <c r="H371" s="334"/>
      <c r="I371" s="38">
        <f>((2+0.4)*2)+((0.4+1)*4)</f>
        <v>10.399999999999999</v>
      </c>
      <c r="J371" s="163"/>
      <c r="K371" s="154"/>
      <c r="L371" s="441"/>
      <c r="M371" s="106"/>
      <c r="N371" s="53"/>
    </row>
    <row r="372" spans="2:14" ht="12.75" customHeight="1">
      <c r="B372" s="353" t="s">
        <v>7177</v>
      </c>
      <c r="D372" s="17"/>
      <c r="E372" s="161"/>
      <c r="F372" s="334"/>
      <c r="G372" s="334"/>
      <c r="H372" s="334"/>
      <c r="I372" s="38">
        <f>((2+0.4)*2)+((0.4+1)*4)</f>
        <v>10.399999999999999</v>
      </c>
      <c r="J372" s="163"/>
      <c r="K372" s="154"/>
      <c r="L372" s="441"/>
      <c r="M372" s="106"/>
      <c r="N372" s="53"/>
    </row>
    <row r="373" spans="2:14" ht="12.75" customHeight="1">
      <c r="B373" s="353" t="s">
        <v>7178</v>
      </c>
      <c r="D373" s="17"/>
      <c r="E373" s="161"/>
      <c r="F373" s="334"/>
      <c r="G373" s="334"/>
      <c r="H373" s="334"/>
      <c r="I373" s="38">
        <f>((2+0.4)*2)+((0.4+0.8)*1)</f>
        <v>6</v>
      </c>
      <c r="J373" s="163"/>
      <c r="K373" s="154"/>
      <c r="L373" s="441"/>
      <c r="M373" s="106"/>
      <c r="N373" s="53"/>
    </row>
    <row r="374" spans="2:14" ht="12.75" customHeight="1">
      <c r="B374" s="353" t="s">
        <v>7179</v>
      </c>
      <c r="D374" s="17"/>
      <c r="E374" s="161"/>
      <c r="F374" s="334"/>
      <c r="G374" s="334"/>
      <c r="H374" s="334"/>
      <c r="I374" s="38">
        <f>((2+0.4)*1)+((0.4+1.5)*1)</f>
        <v>4.3</v>
      </c>
      <c r="J374" s="163"/>
      <c r="K374" s="154"/>
      <c r="L374" s="441"/>
      <c r="M374" s="106"/>
      <c r="N374" s="53"/>
    </row>
    <row r="375" spans="2:14" ht="12.75" customHeight="1">
      <c r="B375" s="353" t="s">
        <v>7180</v>
      </c>
      <c r="D375" s="17"/>
      <c r="E375" s="161"/>
      <c r="F375" s="334"/>
      <c r="G375" s="334"/>
      <c r="H375" s="334"/>
      <c r="I375" s="38">
        <f>2+0.4</f>
        <v>2.4</v>
      </c>
      <c r="J375" s="163"/>
      <c r="K375" s="154"/>
      <c r="L375" s="441"/>
      <c r="M375" s="106"/>
      <c r="N375" s="53"/>
    </row>
    <row r="376" spans="2:14" ht="12.75" customHeight="1">
      <c r="B376" s="353" t="s">
        <v>7181</v>
      </c>
      <c r="D376" s="17"/>
      <c r="E376" s="161"/>
      <c r="F376" s="334"/>
      <c r="G376" s="334"/>
      <c r="H376" s="334"/>
      <c r="I376" s="38">
        <f>((2+0.4)*1)+((0.4+1.5)*1)</f>
        <v>4.3</v>
      </c>
      <c r="J376" s="163"/>
      <c r="K376" s="154"/>
      <c r="L376" s="441"/>
      <c r="M376" s="106"/>
      <c r="N376" s="53"/>
    </row>
    <row r="377" spans="2:14" ht="12.75" customHeight="1">
      <c r="B377" s="353" t="s">
        <v>7182</v>
      </c>
      <c r="D377" s="17"/>
      <c r="E377" s="161"/>
      <c r="F377" s="334"/>
      <c r="G377" s="334"/>
      <c r="H377" s="334"/>
      <c r="I377" s="38">
        <f>((2+0.4)*1)</f>
        <v>2.4</v>
      </c>
      <c r="J377" s="163"/>
      <c r="K377" s="154"/>
      <c r="L377" s="441"/>
      <c r="M377" s="106"/>
      <c r="N377" s="53"/>
    </row>
    <row r="378" spans="2:14" ht="12.75" customHeight="1">
      <c r="B378" s="353" t="s">
        <v>7183</v>
      </c>
      <c r="D378" s="17"/>
      <c r="E378" s="161"/>
      <c r="F378" s="334"/>
      <c r="G378" s="334"/>
      <c r="H378" s="334"/>
      <c r="I378" s="38">
        <f>0.8+0.4</f>
        <v>1.2000000000000002</v>
      </c>
      <c r="J378" s="163"/>
      <c r="K378" s="154"/>
      <c r="L378" s="441"/>
      <c r="M378" s="106"/>
      <c r="N378" s="53"/>
    </row>
    <row r="379" spans="2:14" ht="12.75" customHeight="1">
      <c r="B379" s="353" t="s">
        <v>7184</v>
      </c>
      <c r="D379" s="17"/>
      <c r="E379" s="161"/>
      <c r="F379" s="334"/>
      <c r="G379" s="334"/>
      <c r="H379" s="334"/>
      <c r="I379" s="38">
        <v>0</v>
      </c>
      <c r="J379" s="163"/>
      <c r="K379" s="154"/>
      <c r="L379" s="441"/>
      <c r="M379" s="106"/>
      <c r="N379" s="53"/>
    </row>
    <row r="380" spans="2:14" ht="12.75" customHeight="1">
      <c r="B380" s="353" t="s">
        <v>7185</v>
      </c>
      <c r="D380" s="17"/>
      <c r="E380" s="161"/>
      <c r="F380" s="334"/>
      <c r="G380" s="334"/>
      <c r="H380" s="334"/>
      <c r="I380" s="38">
        <f>(1.5+0.4)*2</f>
        <v>3.8</v>
      </c>
      <c r="J380" s="163"/>
      <c r="K380" s="154"/>
      <c r="L380" s="441"/>
      <c r="M380" s="106"/>
      <c r="N380" s="53"/>
    </row>
    <row r="381" spans="2:14" ht="12.75" customHeight="1">
      <c r="B381" s="353" t="s">
        <v>7186</v>
      </c>
      <c r="D381" s="17"/>
      <c r="E381" s="161"/>
      <c r="F381" s="334"/>
      <c r="G381" s="334"/>
      <c r="H381" s="334"/>
      <c r="I381" s="38">
        <f>(1+0.4)*2</f>
        <v>2.8</v>
      </c>
      <c r="J381" s="163"/>
      <c r="K381" s="154"/>
      <c r="L381" s="441"/>
      <c r="M381" s="106"/>
      <c r="N381" s="53"/>
    </row>
    <row r="382" spans="2:14" ht="12.75" customHeight="1">
      <c r="B382" s="353" t="s">
        <v>7187</v>
      </c>
      <c r="D382" s="17"/>
      <c r="E382" s="161"/>
      <c r="F382" s="334"/>
      <c r="G382" s="334"/>
      <c r="H382" s="334"/>
      <c r="I382" s="38">
        <f>(1+0.4)*2</f>
        <v>2.8</v>
      </c>
      <c r="J382" s="163"/>
      <c r="K382" s="154"/>
      <c r="L382" s="441"/>
      <c r="M382" s="106"/>
      <c r="N382" s="53"/>
    </row>
    <row r="383" spans="2:14" ht="12.75" customHeight="1">
      <c r="B383" s="353" t="s">
        <v>7188</v>
      </c>
      <c r="D383" s="17"/>
      <c r="E383" s="161"/>
      <c r="F383" s="334"/>
      <c r="G383" s="334"/>
      <c r="H383" s="334"/>
      <c r="I383" s="38">
        <f>2.5+0.4</f>
        <v>2.9</v>
      </c>
      <c r="J383" s="163"/>
      <c r="K383" s="154"/>
      <c r="L383" s="441"/>
      <c r="M383" s="106"/>
      <c r="N383" s="53"/>
    </row>
    <row r="384" spans="2:14" ht="12.75" customHeight="1">
      <c r="B384" s="353" t="s">
        <v>7189</v>
      </c>
      <c r="D384" s="17"/>
      <c r="E384" s="161"/>
      <c r="F384" s="334"/>
      <c r="G384" s="334"/>
      <c r="H384" s="334"/>
      <c r="I384" s="38">
        <f>((1.08+0.4)*1)+((1+0.4)*6)</f>
        <v>9.879999999999999</v>
      </c>
      <c r="J384" s="163"/>
      <c r="K384" s="154"/>
      <c r="L384" s="441"/>
      <c r="M384" s="106"/>
      <c r="N384" s="53"/>
    </row>
    <row r="385" spans="2:14" ht="12.75" customHeight="1">
      <c r="B385" s="353" t="s">
        <v>7190</v>
      </c>
      <c r="D385" s="17"/>
      <c r="E385" s="161"/>
      <c r="F385" s="334"/>
      <c r="G385" s="334"/>
      <c r="H385" s="334"/>
      <c r="I385" s="38">
        <f>(1+0.4)*2</f>
        <v>2.8</v>
      </c>
      <c r="J385" s="163"/>
      <c r="K385" s="154"/>
      <c r="L385" s="441"/>
      <c r="M385" s="106"/>
      <c r="N385" s="53"/>
    </row>
    <row r="386" spans="2:14" ht="12.75" customHeight="1">
      <c r="B386" s="353" t="s">
        <v>7191</v>
      </c>
      <c r="D386" s="17"/>
      <c r="E386" s="161"/>
      <c r="F386" s="334"/>
      <c r="G386" s="334"/>
      <c r="H386" s="334"/>
      <c r="I386" s="38">
        <f>(1+0.4)*5</f>
        <v>7</v>
      </c>
      <c r="J386" s="163"/>
      <c r="K386" s="154"/>
      <c r="L386" s="441"/>
      <c r="M386" s="106"/>
      <c r="N386" s="53"/>
    </row>
    <row r="387" spans="2:14" ht="12.75" customHeight="1">
      <c r="B387" s="353" t="s">
        <v>7192</v>
      </c>
      <c r="D387" s="17"/>
      <c r="E387" s="161"/>
      <c r="F387" s="334"/>
      <c r="G387" s="334"/>
      <c r="H387" s="334"/>
      <c r="I387" s="38">
        <f>(1+0.4)*1</f>
        <v>1.4</v>
      </c>
      <c r="J387" s="163"/>
      <c r="K387" s="154"/>
      <c r="L387" s="441"/>
      <c r="M387" s="106"/>
      <c r="N387" s="53"/>
    </row>
    <row r="388" spans="2:14" ht="12.75" customHeight="1">
      <c r="B388" s="353" t="s">
        <v>7193</v>
      </c>
      <c r="D388" s="17"/>
      <c r="E388" s="161"/>
      <c r="F388" s="334"/>
      <c r="G388" s="334"/>
      <c r="H388" s="334"/>
      <c r="I388" s="38">
        <f>(1+0.4)*5</f>
        <v>7</v>
      </c>
      <c r="J388" s="163"/>
      <c r="K388" s="154"/>
      <c r="L388" s="441"/>
      <c r="M388" s="106"/>
      <c r="N388" s="53"/>
    </row>
    <row r="389" spans="2:14" ht="12.75" customHeight="1">
      <c r="B389" s="353" t="s">
        <v>7194</v>
      </c>
      <c r="D389" s="17"/>
      <c r="E389" s="161"/>
      <c r="F389" s="334"/>
      <c r="G389" s="334"/>
      <c r="H389" s="334"/>
      <c r="I389" s="38">
        <f>(1+0.4)*1</f>
        <v>1.4</v>
      </c>
      <c r="J389" s="163"/>
      <c r="K389" s="154"/>
      <c r="L389" s="441"/>
      <c r="M389" s="106"/>
      <c r="N389" s="53"/>
    </row>
    <row r="390" spans="2:14" ht="12.75" customHeight="1">
      <c r="B390" s="351" t="s">
        <v>7217</v>
      </c>
      <c r="D390" s="17"/>
      <c r="E390" s="161"/>
      <c r="F390" s="334"/>
      <c r="G390" s="334"/>
      <c r="H390" s="334"/>
      <c r="I390" s="38"/>
      <c r="J390" s="163"/>
      <c r="K390" s="154"/>
      <c r="L390" s="441"/>
      <c r="M390" s="106"/>
      <c r="N390" s="53"/>
    </row>
    <row r="391" spans="2:14" ht="12.75" customHeight="1">
      <c r="B391" s="353" t="s">
        <v>7197</v>
      </c>
      <c r="D391" s="17"/>
      <c r="E391" s="161"/>
      <c r="F391" s="334"/>
      <c r="G391" s="334"/>
      <c r="H391" s="334"/>
      <c r="I391" s="38">
        <f>((2+0.4)*2)+((1+0.4)*2)</f>
        <v>7.6</v>
      </c>
      <c r="J391" s="163"/>
      <c r="K391" s="154"/>
      <c r="L391" s="441"/>
      <c r="M391" s="106"/>
      <c r="N391" s="53"/>
    </row>
    <row r="392" spans="2:14" ht="12.75" customHeight="1">
      <c r="B392" s="353" t="s">
        <v>7198</v>
      </c>
      <c r="D392" s="17"/>
      <c r="E392" s="161"/>
      <c r="F392" s="334"/>
      <c r="G392" s="334"/>
      <c r="H392" s="334"/>
      <c r="I392" s="38">
        <f>((2+0.4)*2)+((1+0.4)*4)</f>
        <v>10.399999999999999</v>
      </c>
      <c r="J392" s="163"/>
      <c r="K392" s="154"/>
      <c r="L392" s="441"/>
      <c r="M392" s="106"/>
      <c r="N392" s="53"/>
    </row>
    <row r="393" spans="2:14" ht="12.75" customHeight="1">
      <c r="B393" s="353" t="s">
        <v>7199</v>
      </c>
      <c r="D393" s="17"/>
      <c r="E393" s="161"/>
      <c r="F393" s="334"/>
      <c r="G393" s="334"/>
      <c r="H393" s="334"/>
      <c r="I393" s="38">
        <f>((2+0.4)*2)+((1+0.4)*4)</f>
        <v>10.399999999999999</v>
      </c>
      <c r="J393" s="163"/>
      <c r="K393" s="154"/>
      <c r="L393" s="441"/>
      <c r="M393" s="106"/>
      <c r="N393" s="53"/>
    </row>
    <row r="394" spans="2:14" ht="12.75" customHeight="1">
      <c r="B394" s="353" t="s">
        <v>7200</v>
      </c>
      <c r="D394" s="17"/>
      <c r="E394" s="161"/>
      <c r="F394" s="334"/>
      <c r="G394" s="334"/>
      <c r="H394" s="334"/>
      <c r="I394" s="38">
        <f>((2+0.4)*2)+((1+0.4)*4)</f>
        <v>10.399999999999999</v>
      </c>
      <c r="J394" s="163"/>
      <c r="K394" s="154"/>
      <c r="L394" s="441"/>
      <c r="M394" s="106"/>
      <c r="N394" s="53"/>
    </row>
    <row r="395" spans="2:14" ht="12.75" customHeight="1">
      <c r="B395" s="353" t="s">
        <v>7201</v>
      </c>
      <c r="D395" s="17"/>
      <c r="E395" s="161"/>
      <c r="F395" s="334"/>
      <c r="G395" s="334"/>
      <c r="H395" s="334"/>
      <c r="I395" s="38">
        <f>((2+0.4)*2)+((0.8+0.4)*1)</f>
        <v>6</v>
      </c>
      <c r="J395" s="163"/>
      <c r="K395" s="154"/>
      <c r="L395" s="441"/>
      <c r="M395" s="106"/>
      <c r="N395" s="53"/>
    </row>
    <row r="396" spans="2:14" ht="12.75" customHeight="1">
      <c r="B396" s="353" t="s">
        <v>7202</v>
      </c>
      <c r="D396" s="17"/>
      <c r="E396" s="161"/>
      <c r="F396" s="334"/>
      <c r="G396" s="334"/>
      <c r="H396" s="334"/>
      <c r="I396" s="38">
        <f>((2+0.4)*3)</f>
        <v>7.1999999999999993</v>
      </c>
      <c r="J396" s="163"/>
      <c r="K396" s="154"/>
      <c r="L396" s="441"/>
      <c r="M396" s="106"/>
      <c r="N396" s="53"/>
    </row>
    <row r="397" spans="2:14" ht="12.75" customHeight="1">
      <c r="B397" s="353" t="s">
        <v>7203</v>
      </c>
      <c r="D397" s="17"/>
      <c r="E397" s="161"/>
      <c r="F397" s="334"/>
      <c r="G397" s="334"/>
      <c r="H397" s="334"/>
      <c r="I397" s="38">
        <f>((2+0.4)*2)</f>
        <v>4.8</v>
      </c>
      <c r="J397" s="163"/>
      <c r="K397" s="154"/>
      <c r="L397" s="441"/>
      <c r="M397" s="106"/>
      <c r="N397" s="53"/>
    </row>
    <row r="398" spans="2:14" ht="12.75" customHeight="1">
      <c r="B398" s="353" t="s">
        <v>7204</v>
      </c>
      <c r="D398" s="17"/>
      <c r="E398" s="161"/>
      <c r="F398" s="334"/>
      <c r="G398" s="334"/>
      <c r="H398" s="334"/>
      <c r="I398" s="38">
        <f>((2+0.4)*2)+((0.8+0.4)*1)</f>
        <v>6</v>
      </c>
      <c r="J398" s="163"/>
      <c r="K398" s="154"/>
      <c r="L398" s="441"/>
      <c r="M398" s="106"/>
      <c r="N398" s="53"/>
    </row>
    <row r="399" spans="2:14" ht="12.75" customHeight="1">
      <c r="B399" s="353" t="s">
        <v>7205</v>
      </c>
      <c r="D399" s="17"/>
      <c r="E399" s="161"/>
      <c r="F399" s="334"/>
      <c r="G399" s="334"/>
      <c r="H399" s="334"/>
      <c r="I399" s="38">
        <f>((2+0.4)*2)+((1+0.4)*4)</f>
        <v>10.399999999999999</v>
      </c>
      <c r="J399" s="163"/>
      <c r="K399" s="154"/>
      <c r="L399" s="441"/>
      <c r="M399" s="106"/>
      <c r="N399" s="53"/>
    </row>
    <row r="400" spans="2:14" ht="12.75" customHeight="1">
      <c r="B400" s="353" t="s">
        <v>7206</v>
      </c>
      <c r="D400" s="17"/>
      <c r="E400" s="161"/>
      <c r="F400" s="334"/>
      <c r="G400" s="334"/>
      <c r="H400" s="334"/>
      <c r="I400" s="38">
        <f>((2+0.4)*2)+((1+0.4)*4)</f>
        <v>10.399999999999999</v>
      </c>
      <c r="J400" s="163"/>
      <c r="K400" s="154"/>
      <c r="L400" s="441"/>
      <c r="M400" s="106"/>
      <c r="N400" s="53"/>
    </row>
    <row r="401" spans="2:14" ht="12.75" customHeight="1">
      <c r="B401" s="353" t="s">
        <v>7207</v>
      </c>
      <c r="D401" s="17"/>
      <c r="E401" s="161"/>
      <c r="F401" s="334"/>
      <c r="G401" s="334"/>
      <c r="H401" s="334"/>
      <c r="I401" s="38">
        <f>((2+0.4)*2)+((1+0.4)*4)</f>
        <v>10.399999999999999</v>
      </c>
      <c r="J401" s="163"/>
      <c r="K401" s="154"/>
      <c r="L401" s="441"/>
      <c r="M401" s="106"/>
      <c r="N401" s="53"/>
    </row>
    <row r="402" spans="2:14" ht="12.75" customHeight="1">
      <c r="B402" s="353" t="s">
        <v>7208</v>
      </c>
      <c r="D402" s="17"/>
      <c r="E402" s="161"/>
      <c r="F402" s="334"/>
      <c r="G402" s="334"/>
      <c r="H402" s="334"/>
      <c r="I402" s="38">
        <f>((2+0.4)*2)+((1+0.4)*3)</f>
        <v>9</v>
      </c>
      <c r="J402" s="163"/>
      <c r="K402" s="154"/>
      <c r="L402" s="441"/>
      <c r="M402" s="106"/>
      <c r="N402" s="53"/>
    </row>
    <row r="403" spans="2:14" ht="12.75" customHeight="1">
      <c r="B403" s="353" t="s">
        <v>7209</v>
      </c>
      <c r="D403" s="17"/>
      <c r="E403" s="161"/>
      <c r="F403" s="334"/>
      <c r="G403" s="334"/>
      <c r="H403" s="334"/>
      <c r="I403" s="38">
        <f>(0.5+0.4)</f>
        <v>0.9</v>
      </c>
      <c r="J403" s="163"/>
      <c r="K403" s="154"/>
      <c r="L403" s="441"/>
      <c r="M403" s="106"/>
      <c r="N403" s="53"/>
    </row>
    <row r="404" spans="2:14" ht="12.75" customHeight="1">
      <c r="B404" s="353" t="s">
        <v>7210</v>
      </c>
      <c r="D404" s="17"/>
      <c r="E404" s="161"/>
      <c r="F404" s="334"/>
      <c r="G404" s="334"/>
      <c r="H404" s="334"/>
      <c r="I404" s="38">
        <f>((1+0.4)*2)</f>
        <v>2.8</v>
      </c>
      <c r="J404" s="163"/>
      <c r="K404" s="154"/>
      <c r="L404" s="441"/>
      <c r="M404" s="106"/>
      <c r="N404" s="53"/>
    </row>
    <row r="405" spans="2:14" ht="12.75" customHeight="1">
      <c r="B405" s="353" t="s">
        <v>7211</v>
      </c>
      <c r="D405" s="17"/>
      <c r="E405" s="161"/>
      <c r="F405" s="334"/>
      <c r="G405" s="334"/>
      <c r="H405" s="334"/>
      <c r="I405" s="38">
        <f>((1+0.4)*3)</f>
        <v>4.1999999999999993</v>
      </c>
      <c r="J405" s="163"/>
      <c r="K405" s="154"/>
      <c r="L405" s="441"/>
      <c r="M405" s="106"/>
      <c r="N405" s="53"/>
    </row>
    <row r="406" spans="2:14" ht="12.75" customHeight="1">
      <c r="B406" s="353" t="s">
        <v>7212</v>
      </c>
      <c r="D406" s="17"/>
      <c r="E406" s="161"/>
      <c r="F406" s="334"/>
      <c r="G406" s="334"/>
      <c r="H406" s="334"/>
      <c r="I406" s="38">
        <f>(0.5+0.4)</f>
        <v>0.9</v>
      </c>
      <c r="J406" s="163"/>
      <c r="K406" s="154"/>
      <c r="L406" s="441"/>
      <c r="M406" s="106"/>
      <c r="N406" s="53"/>
    </row>
    <row r="407" spans="2:14" ht="12.75" customHeight="1">
      <c r="B407" s="353" t="s">
        <v>7213</v>
      </c>
      <c r="D407" s="17"/>
      <c r="E407" s="161"/>
      <c r="F407" s="334"/>
      <c r="G407" s="334"/>
      <c r="H407" s="334"/>
      <c r="I407" s="38">
        <f>((1+0.4)*2)</f>
        <v>2.8</v>
      </c>
      <c r="J407" s="163"/>
      <c r="K407" s="154"/>
      <c r="L407" s="441"/>
      <c r="M407" s="106"/>
      <c r="N407" s="53"/>
    </row>
    <row r="408" spans="2:14" ht="12.75" customHeight="1">
      <c r="B408" s="353" t="s">
        <v>7214</v>
      </c>
      <c r="D408" s="17"/>
      <c r="E408" s="161"/>
      <c r="F408" s="334"/>
      <c r="G408" s="334"/>
      <c r="H408" s="334"/>
      <c r="I408" s="38">
        <f>((1+0.4)*3)</f>
        <v>4.1999999999999993</v>
      </c>
      <c r="J408" s="163"/>
      <c r="K408" s="154"/>
      <c r="L408" s="441"/>
      <c r="M408" s="106"/>
      <c r="N408" s="53"/>
    </row>
    <row r="409" spans="2:14" ht="12.75" customHeight="1">
      <c r="B409" s="353"/>
      <c r="D409" s="17"/>
      <c r="E409" s="161"/>
      <c r="F409" s="334"/>
      <c r="G409" s="334"/>
      <c r="H409" s="334"/>
      <c r="I409" s="334"/>
      <c r="J409" s="163"/>
      <c r="K409" s="154"/>
      <c r="L409" s="441"/>
      <c r="M409" s="106"/>
      <c r="N409" s="53"/>
    </row>
    <row r="410" spans="2:14" ht="42.75" customHeight="1">
      <c r="B410" s="353"/>
      <c r="C410" s="239">
        <v>93200</v>
      </c>
      <c r="D410" s="137" t="s">
        <v>7</v>
      </c>
      <c r="E410" s="689" t="str">
        <f>IFERROR(VLOOKUP($C410,'SINAPI JULHO 2021'!$1:$1048576,2,0),IFERROR(VLOOKUP($C410,'5-COMP. PROPRIA'!$B$4:$I$7999,4,0),""))</f>
        <v>FIXAÇÃO (ENCUNHAMENTO) DE ALVENARIA DE VEDAÇÃO COM ARGAMASSA APLICADA COM BISNAGA. AF_03/2016</v>
      </c>
      <c r="F410" s="690"/>
      <c r="G410" s="690"/>
      <c r="H410" s="690"/>
      <c r="I410" s="690"/>
      <c r="J410" s="691"/>
      <c r="K410" s="270">
        <f>887.79</f>
        <v>887.79</v>
      </c>
      <c r="L410" s="468" t="str">
        <f>IFERROR(VLOOKUP($C410,'SINAPI JULHO 2021'!$1:$1048576,3,0),IFERROR(VLOOKUP($C410,'5-COMP. PROPRIA'!$B$4:$I$7999,5,0),""))</f>
        <v>M</v>
      </c>
      <c r="M410" s="372"/>
      <c r="N410" s="282"/>
    </row>
    <row r="411" spans="2:14" ht="12.75" customHeight="1" thickBot="1">
      <c r="B411" s="353"/>
      <c r="D411" s="17"/>
      <c r="E411" s="161"/>
      <c r="F411" s="334"/>
      <c r="G411" s="334"/>
      <c r="H411" s="334"/>
      <c r="I411" s="334"/>
      <c r="J411" s="163"/>
      <c r="K411" s="154"/>
      <c r="L411" s="441"/>
      <c r="M411" s="106"/>
      <c r="N411" s="53"/>
    </row>
    <row r="412" spans="2:14" ht="12.75" customHeight="1" thickBot="1">
      <c r="B412" s="353"/>
      <c r="D412" s="17"/>
      <c r="E412" s="701" t="s">
        <v>7231</v>
      </c>
      <c r="F412" s="702"/>
      <c r="G412" s="702"/>
      <c r="H412" s="702"/>
      <c r="I412" s="702"/>
      <c r="J412" s="703"/>
      <c r="K412" s="154"/>
      <c r="L412" s="441"/>
      <c r="M412" s="106"/>
      <c r="N412" s="53"/>
    </row>
    <row r="413" spans="2:14" ht="12.75" customHeight="1">
      <c r="B413" s="353"/>
      <c r="D413" s="17"/>
      <c r="E413" s="707" t="s">
        <v>7234</v>
      </c>
      <c r="F413" s="708"/>
      <c r="G413" s="708"/>
      <c r="H413" s="708"/>
      <c r="I413" s="708"/>
      <c r="J413" s="709"/>
      <c r="K413" s="154"/>
      <c r="L413" s="441"/>
      <c r="M413" s="106"/>
      <c r="N413" s="53"/>
    </row>
    <row r="414" spans="2:14" ht="56.25" customHeight="1">
      <c r="B414" s="353"/>
      <c r="C414" s="45">
        <v>92620</v>
      </c>
      <c r="D414" s="137" t="s">
        <v>7</v>
      </c>
      <c r="E414" s="689" t="str">
        <f>IFERROR(VLOOKUP($C414,'SINAPI JULHO 2021'!$1:$1048576,2,0),IFERROR(VLOOKUP($C414,'5-COMP. PROPRIA'!$B$4:$I$7999,4,0),""))</f>
        <v>FABRICAÇÃO E INSTALAÇÃO DE TESOURA INTEIRA EM AÇO, VÃO DE 12 M, PARA TELHA ONDULADA DE FIBROCIMENTO, METÁLICA, PLÁSTICA OU TERMOACÚSTICA, INCLUSO IÇAMENTO. AF_12/2015</v>
      </c>
      <c r="F414" s="690"/>
      <c r="G414" s="690"/>
      <c r="H414" s="690"/>
      <c r="I414" s="690"/>
      <c r="J414" s="691"/>
      <c r="K414" s="270">
        <v>2</v>
      </c>
      <c r="L414" s="468" t="str">
        <f>IFERROR(VLOOKUP($C414,'SINAPI JULHO 2021'!$1:$1048576,3,0),IFERROR(VLOOKUP($C414,'5-COMP. PROPRIA'!$B$4:$I$7999,5,0),""))</f>
        <v>UN</v>
      </c>
      <c r="M414" s="372"/>
      <c r="N414" s="282"/>
    </row>
    <row r="415" spans="2:14" ht="47.25" customHeight="1">
      <c r="B415" s="353"/>
      <c r="C415" s="45">
        <v>92616</v>
      </c>
      <c r="D415" s="137" t="s">
        <v>7</v>
      </c>
      <c r="E415" s="689" t="str">
        <f>IFERROR(VLOOKUP($C415,'SINAPI JULHO 2021'!$1:$1048576,2,0),IFERROR(VLOOKUP($C415,'5-COMP. PROPRIA'!$B$4:$I$7999,4,0),""))</f>
        <v>FABRICAÇÃO E INSTALAÇÃO DE TESOURA INTEIRA EM AÇO, VÃO DE 10 M, PARA TELHA ONDULADA DE FIBROCIMENTO, METÁLICA, PLÁSTICA OU TERMOACÚSTICA, INCLUSO IÇAMENTO. AF_12/2015</v>
      </c>
      <c r="F415" s="690"/>
      <c r="G415" s="690"/>
      <c r="H415" s="690"/>
      <c r="I415" s="690"/>
      <c r="J415" s="691"/>
      <c r="K415" s="270">
        <v>15</v>
      </c>
      <c r="L415" s="468" t="str">
        <f>IFERROR(VLOOKUP($C415,'SINAPI JULHO 2021'!$1:$1048576,3,0),IFERROR(VLOOKUP($C415,'5-COMP. PROPRIA'!$B$4:$I$7999,5,0),""))</f>
        <v>UN</v>
      </c>
      <c r="M415" s="372"/>
      <c r="N415" s="282"/>
    </row>
    <row r="416" spans="2:14" ht="42.75" customHeight="1">
      <c r="B416" s="353"/>
      <c r="C416" s="45">
        <v>92614</v>
      </c>
      <c r="D416" s="137" t="s">
        <v>7</v>
      </c>
      <c r="E416" s="689" t="str">
        <f>IFERROR(VLOOKUP($C416,'SINAPI JULHO 2021'!$1:$1048576,2,0),IFERROR(VLOOKUP($C416,'5-COMP. PROPRIA'!$B$4:$I$7999,4,0),""))</f>
        <v>FABRICAÇÃO E INSTALAÇÃO DE TESOURA INTEIRA EM AÇO, VÃO DE 9 M, PARA TELHA ONDULADA DE FIBROCIMENTO, METÁLICA, PLÁSTICA OU TERMOACÚSTICA, INCLUSO IÇAMENTO. AF_12/2015</v>
      </c>
      <c r="F416" s="690"/>
      <c r="G416" s="690"/>
      <c r="H416" s="690"/>
      <c r="I416" s="690"/>
      <c r="J416" s="691"/>
      <c r="K416" s="270">
        <v>2</v>
      </c>
      <c r="L416" s="468" t="str">
        <f>IFERROR(VLOOKUP($C416,'SINAPI JULHO 2021'!$1:$1048576,3,0),IFERROR(VLOOKUP($C416,'5-COMP. PROPRIA'!$B$4:$I$7999,5,0),""))</f>
        <v>UN</v>
      </c>
      <c r="M416" s="372"/>
      <c r="N416" s="282"/>
    </row>
    <row r="417" spans="2:14" ht="47.25" customHeight="1">
      <c r="B417" s="353"/>
      <c r="C417" s="45">
        <v>92612</v>
      </c>
      <c r="D417" s="137" t="s">
        <v>7</v>
      </c>
      <c r="E417" s="689" t="str">
        <f>IFERROR(VLOOKUP($C417,'SINAPI JULHO 2021'!$1:$1048576,2,0),IFERROR(VLOOKUP($C417,'5-COMP. PROPRIA'!$B$4:$I$7999,4,0),""))</f>
        <v>FABRICAÇÃO E INSTALAÇÃO DE TESOURA INTEIRA EM AÇO, VÃO DE 8 M, PARA TELHA ONDULADA DE FIBROCIMENTO, METÁLICA, PLÁSTICA OU TERMOACÚSTICA, INCLUSO IÇAMENTO, INCLUSO IÇAMENTO. AF_12/2015</v>
      </c>
      <c r="F417" s="690"/>
      <c r="G417" s="690"/>
      <c r="H417" s="690"/>
      <c r="I417" s="690"/>
      <c r="J417" s="691"/>
      <c r="K417" s="270">
        <v>9</v>
      </c>
      <c r="L417" s="468" t="str">
        <f>IFERROR(VLOOKUP($C417,'SINAPI JULHO 2021'!$1:$1048576,3,0),IFERROR(VLOOKUP($C417,'5-COMP. PROPRIA'!$B$4:$I$7999,5,0),""))</f>
        <v>UN</v>
      </c>
      <c r="M417" s="372"/>
      <c r="N417" s="282"/>
    </row>
    <row r="418" spans="2:14" ht="47.25" customHeight="1">
      <c r="B418" s="353"/>
      <c r="C418" s="45">
        <v>92610</v>
      </c>
      <c r="D418" s="137" t="s">
        <v>7</v>
      </c>
      <c r="E418" s="689" t="str">
        <f>IFERROR(VLOOKUP($C418,'SINAPI JULHO 2021'!$1:$1048576,2,0),IFERROR(VLOOKUP($C418,'5-COMP. PROPRIA'!$B$4:$I$7999,4,0),""))</f>
        <v>FABRICAÇÃO E INSTALAÇÃO DE TESOURA INTEIRA EM AÇO, VÃO DE 7 M, PARA TELHA ONDULADA DE FIBROCIMENTO, METÁLICA, PLÁSTICA OU TERMOACÚSTICA, INCLUSO IÇAMENTO. AF_12/2015</v>
      </c>
      <c r="F418" s="690"/>
      <c r="G418" s="690"/>
      <c r="H418" s="690"/>
      <c r="I418" s="690"/>
      <c r="J418" s="691"/>
      <c r="K418" s="270">
        <v>2</v>
      </c>
      <c r="L418" s="468" t="str">
        <f>IFERROR(VLOOKUP($C418,'SINAPI JULHO 2021'!$1:$1048576,3,0),IFERROR(VLOOKUP($C418,'5-COMP. PROPRIA'!$B$4:$I$7999,5,0),""))</f>
        <v>UN</v>
      </c>
      <c r="M418" s="372"/>
      <c r="N418" s="282"/>
    </row>
    <row r="419" spans="2:14" ht="57.75" customHeight="1">
      <c r="B419" s="353"/>
      <c r="C419" s="45">
        <v>92608</v>
      </c>
      <c r="D419" s="137" t="s">
        <v>7</v>
      </c>
      <c r="E419" s="689" t="str">
        <f>IFERROR(VLOOKUP($C419,'SINAPI JULHO 2021'!$1:$1048576,2,0),IFERROR(VLOOKUP($C419,'5-COMP. PROPRIA'!$B$4:$I$7999,4,0),""))</f>
        <v>FABRICAÇÃO E INSTALAÇÃO DE TESOURA INTEIRA EM AÇO, VÃO DE 6 M, PARA TELHA ONDULADA DE FIBROCIMENTO, METÁLICA, PLÁSTICA OU TERMOACÚSTICA, INCLUSO IÇAMENTO. AF_12/2015</v>
      </c>
      <c r="F419" s="690"/>
      <c r="G419" s="690"/>
      <c r="H419" s="690"/>
      <c r="I419" s="690"/>
      <c r="J419" s="691"/>
      <c r="K419" s="270">
        <v>9</v>
      </c>
      <c r="L419" s="468" t="str">
        <f>IFERROR(VLOOKUP($C419,'SINAPI JULHO 2021'!$1:$1048576,3,0),IFERROR(VLOOKUP($C419,'5-COMP. PROPRIA'!$B$4:$I$7999,5,0),""))</f>
        <v>UN</v>
      </c>
      <c r="M419" s="372"/>
      <c r="N419" s="282"/>
    </row>
    <row r="420" spans="2:14" ht="47.25" customHeight="1">
      <c r="B420" s="353"/>
      <c r="C420" s="45">
        <v>92606</v>
      </c>
      <c r="D420" s="137" t="s">
        <v>7</v>
      </c>
      <c r="E420" s="689" t="str">
        <f>IFERROR(VLOOKUP($C420,'SINAPI JULHO 2021'!$1:$1048576,2,0),IFERROR(VLOOKUP($C420,'5-COMP. PROPRIA'!$B$4:$I$7999,4,0),""))</f>
        <v>FABRICAÇÃO E INSTALAÇÃO DE TESOURA INTEIRA EM AÇO, VÃO DE 5 M, PARA TELHA ONDULADA DE FIBROCIMENTO, METÁLICA, PLÁSTICA OU TERMOACÚSTICA, INCLUSO IÇAMENTO. AF_12/2015</v>
      </c>
      <c r="F420" s="690"/>
      <c r="G420" s="690"/>
      <c r="H420" s="690"/>
      <c r="I420" s="690"/>
      <c r="J420" s="691"/>
      <c r="K420" s="270">
        <v>2</v>
      </c>
      <c r="L420" s="468" t="str">
        <f>IFERROR(VLOOKUP($C420,'SINAPI JULHO 2021'!$1:$1048576,3,0),IFERROR(VLOOKUP($C420,'5-COMP. PROPRIA'!$B$4:$I$7999,5,0),""))</f>
        <v>UN</v>
      </c>
      <c r="M420" s="372"/>
      <c r="N420" s="282"/>
    </row>
    <row r="421" spans="2:14" ht="57" customHeight="1">
      <c r="B421" s="353"/>
      <c r="C421" s="45">
        <v>92604</v>
      </c>
      <c r="D421" s="137" t="s">
        <v>7</v>
      </c>
      <c r="E421" s="689" t="str">
        <f>IFERROR(VLOOKUP($C421,'SINAPI JULHO 2021'!$1:$1048576,2,0),IFERROR(VLOOKUP($C421,'5-COMP. PROPRIA'!$B$4:$I$7999,4,0),""))</f>
        <v>FABRICAÇÃO E INSTALAÇÃO DE TESOURA INTEIRA EM AÇO, VÃO DE 4 M, PARA TELHA ONDULADA DE FIBROCIMENTO, METÁLICA, PLÁSTICA OU TERMOACÚSTICA, INCLUSO IÇAMENTO. AF_12/2015</v>
      </c>
      <c r="F421" s="690"/>
      <c r="G421" s="690"/>
      <c r="H421" s="690"/>
      <c r="I421" s="690"/>
      <c r="J421" s="691"/>
      <c r="K421" s="270">
        <v>4</v>
      </c>
      <c r="L421" s="468" t="str">
        <f>IFERROR(VLOOKUP($C421,'SINAPI JULHO 2021'!$1:$1048576,3,0),IFERROR(VLOOKUP($C421,'5-COMP. PROPRIA'!$B$4:$I$7999,5,0),""))</f>
        <v>UN</v>
      </c>
      <c r="M421" s="372"/>
      <c r="N421" s="282"/>
    </row>
    <row r="422" spans="2:14" ht="42.75" customHeight="1">
      <c r="B422" s="367" t="s">
        <v>7232</v>
      </c>
      <c r="C422" s="45">
        <v>92602</v>
      </c>
      <c r="D422" s="137" t="s">
        <v>7</v>
      </c>
      <c r="E422" s="689" t="str">
        <f>IFERROR(VLOOKUP($C422,'SINAPI JULHO 2021'!$1:$1048576,2,0),IFERROR(VLOOKUP($C422,'5-COMP. PROPRIA'!$B$4:$I$7999,4,0),""))</f>
        <v>FABRICAÇÃO E INSTALAÇÃO DE TESOURA INTEIRA EM AÇO, VÃO DE 3 M, PARA TELHA ONDULADA DE FIBROCIMENTO, METÁLICA, PLÁSTICA OU TERMOACÚSTICA, INCLUSO IÇAMENTO.. AF_12/2015</v>
      </c>
      <c r="F422" s="690"/>
      <c r="G422" s="690"/>
      <c r="H422" s="690"/>
      <c r="I422" s="690"/>
      <c r="J422" s="691"/>
      <c r="K422" s="270">
        <f>16+7+4</f>
        <v>27</v>
      </c>
      <c r="L422" s="468" t="str">
        <f>IFERROR(VLOOKUP($C422,'SINAPI JULHO 2021'!$1:$1048576,3,0),IFERROR(VLOOKUP($C422,'5-COMP. PROPRIA'!$B$4:$I$7999,5,0),""))</f>
        <v>UN</v>
      </c>
      <c r="M422" s="372"/>
      <c r="N422" s="282"/>
    </row>
    <row r="423" spans="2:14" ht="41.25" customHeight="1">
      <c r="B423" s="367" t="s">
        <v>7232</v>
      </c>
      <c r="C423" s="45">
        <v>92570</v>
      </c>
      <c r="D423" s="137" t="s">
        <v>7</v>
      </c>
      <c r="E423" s="689" t="str">
        <f>IFERROR(VLOOKUP($C423,'SINAPI JULHO 2021'!$1:$1048576,2,0),IFERROR(VLOOKUP($C423,'5-COMP. PROPRIA'!$B$4:$I$7999,4,0),""))</f>
        <v>TRAMA DE AÇO COMPOSTA POR RIPAS PARA TELHADOS DE ATÉ 2 ÁGUAS PARA TELHA DE ENCAIXE DE CERÂMICA OU DE CONCRETO, INCLUSO TRANSPORTE VERTICAL. AF_07/2019</v>
      </c>
      <c r="F423" s="690"/>
      <c r="G423" s="690"/>
      <c r="H423" s="690"/>
      <c r="I423" s="690"/>
      <c r="J423" s="691"/>
      <c r="K423" s="270">
        <f>(1217.66*1.005)+(2.9*23)+(2.7*23)+(2.4*10)+(3.4*6)</f>
        <v>1396.9483</v>
      </c>
      <c r="L423" s="468" t="str">
        <f>IFERROR(VLOOKUP($C423,'SINAPI JULHO 2021'!$1:$1048576,3,0),IFERROR(VLOOKUP($C423,'5-COMP. PROPRIA'!$B$4:$I$7999,5,0),""))</f>
        <v>M2</v>
      </c>
      <c r="M423" s="372"/>
      <c r="N423" s="282"/>
    </row>
    <row r="424" spans="2:14" ht="48.75" customHeight="1">
      <c r="B424" s="367" t="s">
        <v>7233</v>
      </c>
      <c r="C424" s="45">
        <v>94216</v>
      </c>
      <c r="D424" s="137" t="s">
        <v>7</v>
      </c>
      <c r="E424" s="689" t="str">
        <f>IFERROR(VLOOKUP($C424,'SINAPI JULHO 2021'!$1:$1048576,2,0),IFERROR(VLOOKUP($C424,'5-COMP. PROPRIA'!$B$4:$I$7999,4,0),""))</f>
        <v>TELHAMENTO COM TELHA METÁLICA TERMOACÚSTICA E = 30 MM, COM ATÉ 2 ÁGUAS, INCLUSO IÇAMENTO. AF_07/2019</v>
      </c>
      <c r="F424" s="690"/>
      <c r="G424" s="690"/>
      <c r="H424" s="690"/>
      <c r="I424" s="690"/>
      <c r="J424" s="691"/>
      <c r="K424" s="270">
        <f>(1217.66*1.005)</f>
        <v>1223.7483</v>
      </c>
      <c r="L424" s="468" t="str">
        <f>IFERROR(VLOOKUP($C424,'SINAPI JULHO 2021'!$1:$1048576,3,0),IFERROR(VLOOKUP($C424,'5-COMP. PROPRIA'!$B$4:$I$7999,5,0),""))</f>
        <v>M2</v>
      </c>
      <c r="M424" s="372"/>
      <c r="N424" s="282"/>
    </row>
    <row r="425" spans="2:14" ht="43.5" customHeight="1">
      <c r="B425" s="389" t="s">
        <v>7352</v>
      </c>
      <c r="C425" s="45">
        <v>94449</v>
      </c>
      <c r="D425" s="137" t="s">
        <v>7</v>
      </c>
      <c r="E425" s="689" t="str">
        <f>IFERROR(VLOOKUP($C425,'SINAPI JULHO 2021'!$1:$1048576,2,0),IFERROR(VLOOKUP($C425,'5-COMP. PROPRIA'!$B$4:$I$7999,4,0),""))</f>
        <v>TELHAMENTO COM TELHA ONDULADA DE FIBRA DE VIDRO E = 0,6 MM, PARA TELHADO COM INCLINAÇÃO MAIOR QUE 10°, COM ATÉ 2 ÁGUAS, INCLUSO IÇAMENTO. AF_07/2019</v>
      </c>
      <c r="F425" s="690"/>
      <c r="G425" s="690"/>
      <c r="H425" s="690"/>
      <c r="I425" s="690"/>
      <c r="J425" s="691"/>
      <c r="K425" s="270">
        <f>(2.9*23)+(2.7*23)+(2.4*10)+(3.4*6)</f>
        <v>173.20000000000002</v>
      </c>
      <c r="L425" s="468" t="str">
        <f>IFERROR(VLOOKUP($C425,'SINAPI JULHO 2021'!$1:$1048576,3,0),IFERROR(VLOOKUP($C425,'5-COMP. PROPRIA'!$B$4:$I$7999,5,0),""))</f>
        <v>M2</v>
      </c>
      <c r="M425" s="372"/>
      <c r="N425" s="282"/>
    </row>
    <row r="426" spans="2:14" ht="28.5" customHeight="1">
      <c r="B426" s="367" t="s">
        <v>7236</v>
      </c>
      <c r="C426" s="45">
        <v>94213</v>
      </c>
      <c r="D426" s="137" t="s">
        <v>7</v>
      </c>
      <c r="E426" s="689" t="str">
        <f>IFERROR(VLOOKUP($C426,'SINAPI JULHO 2021'!$1:$1048576,2,0),IFERROR(VLOOKUP($C426,'5-COMP. PROPRIA'!$B$4:$I$7999,4,0),""))</f>
        <v>TELHAMENTO COM TELHA DE AÇO/ALUMÍNIO E = 0,5 MM, COM ATÉ 2 ÁGUAS, INCLUSO IÇAMENTO. AF_07/2019</v>
      </c>
      <c r="F426" s="690"/>
      <c r="G426" s="690"/>
      <c r="H426" s="690"/>
      <c r="I426" s="690"/>
      <c r="J426" s="691"/>
      <c r="K426" s="270">
        <f>148.85*0.7</f>
        <v>104.19499999999999</v>
      </c>
      <c r="L426" s="468" t="str">
        <f>IFERROR(VLOOKUP($C426,'SINAPI JULHO 2021'!$1:$1048576,3,0),IFERROR(VLOOKUP($C426,'5-COMP. PROPRIA'!$B$4:$I$7999,5,0),""))</f>
        <v>M2</v>
      </c>
      <c r="M426" s="372"/>
      <c r="N426" s="282"/>
    </row>
    <row r="427" spans="2:14" ht="43.5" customHeight="1">
      <c r="B427" s="353"/>
      <c r="C427" s="45" t="str">
        <f>'5-COMP. PROPRIA'!B72</f>
        <v>CP- COB-01</v>
      </c>
      <c r="D427" s="68" t="s">
        <v>4271</v>
      </c>
      <c r="E427" s="689" t="str">
        <f>IFERROR(VLOOKUP($C427,'SINAPI JULHO 2021'!$1:$1048576,2,0),IFERROR(VLOOKUP($C427,'5-COMP. PROPRIA'!$B$4:$I$7999,4,0),""))</f>
        <v>BEIRAL METALICO EM CHAPA DE AÇO DOBRADO #16 E=1,50MM, INCLUSIVE 2 DEMÃO DE PINTURA ESMALTE SOBRE 2 DEMÃO DE FUNDO ANTICORROSIVO (ZARCÃO) - FORNECIMENTO E INSTALAÇÃO (L= 20 CM)</v>
      </c>
      <c r="F427" s="690"/>
      <c r="G427" s="690"/>
      <c r="H427" s="690"/>
      <c r="I427" s="690"/>
      <c r="J427" s="691"/>
      <c r="K427" s="270">
        <f>115.3+72.4+29.4</f>
        <v>217.1</v>
      </c>
      <c r="L427" s="468" t="str">
        <f>IFERROR(VLOOKUP($C427,'SINAPI JULHO 2021'!$1:$1048576,3,0),IFERROR(VLOOKUP($C427,'5-COMP. PROPRIA'!$B$4:$I$7999,5,0),""))</f>
        <v>M</v>
      </c>
      <c r="M427" s="372"/>
      <c r="N427" s="282"/>
    </row>
    <row r="428" spans="2:14" ht="48.75" customHeight="1">
      <c r="B428" s="353"/>
      <c r="C428" s="45">
        <v>100733</v>
      </c>
      <c r="D428" s="137" t="s">
        <v>7</v>
      </c>
      <c r="E428" s="689" t="str">
        <f>IFERROR(VLOOKUP($C428,'SINAPI JULHO 2021'!$1:$1048576,2,0),IFERROR(VLOOKUP($C428,'5-COMP. PROPRIA'!$B$4:$I$7999,4,0),""))</f>
        <v>PINTURA COM TINTA ACRÍLICA DE FUNDO PULVERIZADA SOBRE SUPERFÍCIES METÁLICAS (EXCETO PERFIL) EXECUTADO EM OBRA (POR DEMÃO). AF_01/2020_P</v>
      </c>
      <c r="F428" s="690"/>
      <c r="G428" s="690"/>
      <c r="H428" s="690"/>
      <c r="I428" s="690"/>
      <c r="J428" s="691"/>
      <c r="K428" s="270">
        <f>SUM(K430:K432)</f>
        <v>1898.706654969697</v>
      </c>
      <c r="L428" s="468" t="str">
        <f>IFERROR(VLOOKUP($C428,'SINAPI JULHO 2021'!$1:$1048576,3,0),IFERROR(VLOOKUP($C428,'5-COMP. PROPRIA'!$B$4:$I$7999,5,0),""))</f>
        <v>M2</v>
      </c>
      <c r="M428" s="372"/>
      <c r="N428" s="282"/>
    </row>
    <row r="429" spans="2:14" ht="42.75" customHeight="1">
      <c r="B429" s="388" t="s">
        <v>7245</v>
      </c>
      <c r="C429" s="239"/>
      <c r="E429" s="42" t="s">
        <v>7238</v>
      </c>
      <c r="F429" s="110" t="s">
        <v>7239</v>
      </c>
      <c r="G429" s="740" t="s">
        <v>7240</v>
      </c>
      <c r="H429" s="740"/>
      <c r="I429" s="110" t="s">
        <v>7241</v>
      </c>
      <c r="J429" s="174" t="s">
        <v>4457</v>
      </c>
      <c r="K429" s="366"/>
      <c r="L429" s="146"/>
      <c r="M429" s="106"/>
      <c r="N429" s="53"/>
    </row>
    <row r="430" spans="2:14" ht="22.5" customHeight="1">
      <c r="B430" s="367" t="s">
        <v>7242</v>
      </c>
      <c r="C430" s="239"/>
      <c r="E430" s="368">
        <f>K423</f>
        <v>1396.9483</v>
      </c>
      <c r="F430" s="369">
        <f>1*(0.2+0.15+0.05)</f>
        <v>0.39999999999999997</v>
      </c>
      <c r="G430" s="741">
        <f>E430*4.4</f>
        <v>6146.5725200000006</v>
      </c>
      <c r="H430" s="741"/>
      <c r="I430" s="153">
        <v>11.04</v>
      </c>
      <c r="J430" s="370">
        <v>2.2999999999999998</v>
      </c>
      <c r="K430" s="371">
        <f>(G430/I430)*F430*J430</f>
        <v>512.21437666666668</v>
      </c>
      <c r="L430" s="146"/>
      <c r="M430" s="106"/>
      <c r="N430" s="53"/>
    </row>
    <row r="431" spans="2:14" ht="15">
      <c r="B431" s="367" t="s">
        <v>7243</v>
      </c>
      <c r="E431" s="368">
        <f>K414+K415+K416+K417+K418+K419+K420+K421+K422</f>
        <v>72</v>
      </c>
      <c r="F431" s="369">
        <f>1*(0.127+0.1)</f>
        <v>0.22700000000000001</v>
      </c>
      <c r="G431" s="741">
        <f>E431*133</f>
        <v>9576</v>
      </c>
      <c r="H431" s="741"/>
      <c r="I431" s="153">
        <v>5.13</v>
      </c>
      <c r="J431" s="370">
        <v>2.2999999999999998</v>
      </c>
      <c r="K431" s="371">
        <f>(G431/I431)*F431*J431</f>
        <v>974.58666666666659</v>
      </c>
      <c r="L431" s="441"/>
      <c r="M431" s="106"/>
      <c r="N431" s="53"/>
    </row>
    <row r="432" spans="2:14" ht="30">
      <c r="B432" s="367" t="s">
        <v>7244</v>
      </c>
      <c r="E432" s="368">
        <f>E431</f>
        <v>72</v>
      </c>
      <c r="F432" s="369">
        <f>0.0127*2</f>
        <v>2.5399999999999999E-2</v>
      </c>
      <c r="G432" s="741">
        <f>E432*53.86</f>
        <v>3877.92</v>
      </c>
      <c r="H432" s="741"/>
      <c r="I432" s="153">
        <v>0.55000000000000004</v>
      </c>
      <c r="J432" s="370">
        <v>2.2999999999999998</v>
      </c>
      <c r="K432" s="371">
        <f>(G432/I432)*F432*J432</f>
        <v>411.90561163636352</v>
      </c>
      <c r="L432" s="441"/>
      <c r="M432" s="106"/>
      <c r="N432" s="53"/>
    </row>
    <row r="433" spans="2:14" ht="12.75" customHeight="1" thickBot="1">
      <c r="B433" s="353"/>
      <c r="D433" s="17"/>
      <c r="E433" s="161"/>
      <c r="F433" s="334"/>
      <c r="G433" s="334"/>
      <c r="H433" s="334"/>
      <c r="I433" s="334"/>
      <c r="J433" s="163"/>
      <c r="K433" s="154"/>
      <c r="L433" s="441"/>
      <c r="M433" s="106"/>
      <c r="N433" s="53"/>
    </row>
    <row r="434" spans="2:14" ht="12.75" customHeight="1" thickBot="1">
      <c r="B434" s="353"/>
      <c r="D434" s="17"/>
      <c r="E434" s="742" t="s">
        <v>7246</v>
      </c>
      <c r="F434" s="743"/>
      <c r="G434" s="743"/>
      <c r="H434" s="743"/>
      <c r="I434" s="743"/>
      <c r="J434" s="744"/>
      <c r="K434" s="154"/>
      <c r="L434" s="441"/>
      <c r="M434" s="106"/>
      <c r="N434" s="53"/>
    </row>
    <row r="435" spans="2:14" ht="12.75" customHeight="1">
      <c r="B435" s="353"/>
      <c r="D435" s="17"/>
      <c r="E435" s="161"/>
      <c r="F435" s="334"/>
      <c r="G435" s="334"/>
      <c r="H435" s="334"/>
      <c r="I435" s="334"/>
      <c r="J435" s="163"/>
      <c r="K435" s="154"/>
      <c r="L435" s="441"/>
      <c r="M435" s="106"/>
      <c r="N435" s="53"/>
    </row>
    <row r="436" spans="2:14" ht="43.5" customHeight="1">
      <c r="B436" s="367" t="s">
        <v>7387</v>
      </c>
      <c r="C436" s="45">
        <v>94213</v>
      </c>
      <c r="D436" s="137" t="s">
        <v>7</v>
      </c>
      <c r="E436" s="689" t="str">
        <f>IFERROR(VLOOKUP($C436,'SINAPI JULHO 2021'!$1:$1048576,2,0),IFERROR(VLOOKUP($C436,'5-COMP. PROPRIA'!$B$4:$I$7999,4,0),""))</f>
        <v>TELHAMENTO COM TELHA DE AÇO/ALUMÍNIO E = 0,5 MM, COM ATÉ 2 ÁGUAS, INCLUSO IÇAMENTO. AF_07/2019</v>
      </c>
      <c r="F436" s="690"/>
      <c r="G436" s="690"/>
      <c r="H436" s="690"/>
      <c r="I436" s="690"/>
      <c r="J436" s="691"/>
      <c r="K436" s="270">
        <f>((22.2+3.05)*30.3*0.5)+175</f>
        <v>557.53750000000002</v>
      </c>
      <c r="L436" s="468" t="str">
        <f>IFERROR(VLOOKUP($C436,'SINAPI JULHO 2021'!$1:$1048576,3,0),IFERROR(VLOOKUP($C436,'5-COMP. PROPRIA'!$B$4:$I$7999,5,0),""))</f>
        <v>M2</v>
      </c>
      <c r="M436" s="372"/>
      <c r="N436" s="282"/>
    </row>
    <row r="437" spans="2:14" ht="42.75" customHeight="1">
      <c r="B437" s="367" t="s">
        <v>7335</v>
      </c>
      <c r="C437" s="45">
        <v>100725</v>
      </c>
      <c r="D437" s="137" t="s">
        <v>7</v>
      </c>
      <c r="E437" s="689" t="str">
        <f>IFERROR(VLOOKUP($C437,'SINAPI JULHO 2021'!$1:$1048576,2,0),IFERROR(VLOOKUP($C437,'5-COMP. PROPRIA'!$B$4:$I$7999,4,0),""))</f>
        <v>PINTURA COM TINTA ALQUÍDICA DE FUNDO E ACABAMENTO (ESMALTE SINTÉTICO GRAFITE) PULVERIZADA SOBRE SUPERFÍCIES METÁLICAS (EXCETO PERFIL) EXECUTADO EM OBRA (POR DEMÃO). AF_01/2020_P</v>
      </c>
      <c r="F437" s="690"/>
      <c r="G437" s="690"/>
      <c r="H437" s="690"/>
      <c r="I437" s="690"/>
      <c r="J437" s="691"/>
      <c r="K437" s="270">
        <f>K436+173+175</f>
        <v>905.53750000000002</v>
      </c>
      <c r="L437" s="468" t="str">
        <f>IFERROR(VLOOKUP($C437,'SINAPI JULHO 2021'!$1:$1048576,3,0),IFERROR(VLOOKUP($C437,'5-COMP. PROPRIA'!$B$4:$I$7999,5,0),""))</f>
        <v>M2</v>
      </c>
      <c r="M437" s="372"/>
      <c r="N437" s="282"/>
    </row>
    <row r="438" spans="2:14" ht="12.75" customHeight="1" thickBot="1">
      <c r="B438" s="353"/>
      <c r="D438" s="17"/>
      <c r="E438" s="161"/>
      <c r="F438" s="334"/>
      <c r="G438" s="334"/>
      <c r="H438" s="334"/>
      <c r="I438" s="334"/>
      <c r="J438" s="163"/>
      <c r="K438" s="154"/>
      <c r="L438" s="441"/>
      <c r="M438" s="106"/>
      <c r="N438" s="396"/>
    </row>
    <row r="439" spans="2:14" ht="13.5" thickBot="1">
      <c r="B439" s="353"/>
      <c r="D439" s="17"/>
      <c r="E439" s="701" t="s">
        <v>13452</v>
      </c>
      <c r="F439" s="702"/>
      <c r="G439" s="702"/>
      <c r="H439" s="702"/>
      <c r="I439" s="702"/>
      <c r="J439" s="703"/>
      <c r="K439" s="180"/>
      <c r="L439" s="441"/>
      <c r="M439" s="106"/>
      <c r="N439" s="53"/>
    </row>
    <row r="440" spans="2:14" ht="51" customHeight="1">
      <c r="B440" s="353"/>
      <c r="C440" s="45">
        <v>94573</v>
      </c>
      <c r="D440" s="137" t="s">
        <v>7</v>
      </c>
      <c r="E440" s="689" t="str">
        <f>IFERROR(VLOOKUP($C440,'SINAPI JULHO 2021'!$1:$1048576,2,0),IFERROR(VLOOKUP($C440,'5-COMP. PROPRIA'!$B$4:$I$7999,4,0),""))</f>
        <v>JANELA DE ALUMÍNIO DE CORRER COM 4 FOLHAS PARA VIDROS, COM VIDROS, BATENTE, ACABAMENTO COM ACETATO OU BRILHANTE E FERRAGENS. EXCLUSIVE ALIZAR E CONTRAMARCO. FORNECIMENTO E INSTALAÇÃO. AF_12/2019</v>
      </c>
      <c r="F440" s="690"/>
      <c r="G440" s="690"/>
      <c r="H440" s="690"/>
      <c r="I440" s="690"/>
      <c r="J440" s="691"/>
      <c r="K440" s="270">
        <f>SUM(K442:K443)</f>
        <v>82.4</v>
      </c>
      <c r="L440" s="468" t="str">
        <f>IFERROR(VLOOKUP($C440,'SINAPI JULHO 2021'!$1:$1048576,3,0),IFERROR(VLOOKUP($C440,'5-COMP. PROPRIA'!$B$4:$I$7999,5,0),""))</f>
        <v>M2</v>
      </c>
      <c r="M440" s="372"/>
      <c r="N440" s="282"/>
    </row>
    <row r="441" spans="2:14" ht="27" customHeight="1">
      <c r="B441" s="207"/>
      <c r="D441" s="17"/>
      <c r="E441" s="42" t="s">
        <v>668</v>
      </c>
      <c r="F441" s="110" t="s">
        <v>669</v>
      </c>
      <c r="G441" s="110" t="s">
        <v>646</v>
      </c>
      <c r="H441" s="110" t="s">
        <v>6860</v>
      </c>
      <c r="I441" s="108"/>
      <c r="J441" s="52"/>
      <c r="K441" s="154"/>
      <c r="L441" s="467"/>
      <c r="M441" s="106"/>
      <c r="N441" s="53"/>
    </row>
    <row r="442" spans="2:14" ht="15" customHeight="1">
      <c r="B442" s="367" t="s">
        <v>7249</v>
      </c>
      <c r="D442" s="17"/>
      <c r="E442" s="51">
        <v>2</v>
      </c>
      <c r="F442" s="37">
        <v>1</v>
      </c>
      <c r="G442" s="37">
        <v>40</v>
      </c>
      <c r="H442" s="112">
        <f>E442*G442</f>
        <v>80</v>
      </c>
      <c r="I442" s="108"/>
      <c r="J442" s="52"/>
      <c r="K442" s="154">
        <f>E442*F442*G442</f>
        <v>80</v>
      </c>
      <c r="L442" s="467"/>
      <c r="M442" s="106"/>
      <c r="N442" s="53"/>
    </row>
    <row r="443" spans="2:14" ht="15" customHeight="1">
      <c r="B443" s="367" t="s">
        <v>7250</v>
      </c>
      <c r="D443" s="17"/>
      <c r="E443" s="57">
        <v>2</v>
      </c>
      <c r="F443" s="38">
        <v>1.2</v>
      </c>
      <c r="G443" s="38">
        <v>1</v>
      </c>
      <c r="H443" s="112">
        <f>E443*G443</f>
        <v>2</v>
      </c>
      <c r="I443" s="107"/>
      <c r="J443" s="104"/>
      <c r="K443" s="154">
        <f>E443*F443*G443</f>
        <v>2.4</v>
      </c>
      <c r="L443" s="441"/>
      <c r="M443" s="106"/>
      <c r="N443" s="53"/>
    </row>
    <row r="444" spans="2:14" ht="52.5" customHeight="1">
      <c r="B444" s="207"/>
      <c r="C444" s="239">
        <v>94569</v>
      </c>
      <c r="D444" s="137" t="s">
        <v>7</v>
      </c>
      <c r="E444" s="689" t="str">
        <f>IFERROR(VLOOKUP($C444,'SINAPI JULHO 2021'!$1:$1048576,2,0),IFERROR(VLOOKUP($C444,'5-COMP. PROPRIA'!$B$4:$I$7999,4,0),""))</f>
        <v>JANELA DE ALUMÍNIO TIPO MAXIM-AR, COM VIDROS, BATENTE E FERRAGENS. EXCLUSIVE ALIZAR, ACABAMENTO E CONTRAMARCO. FORNECIMENTO E INSTALAÇÃO. AF_12/2019</v>
      </c>
      <c r="F444" s="690"/>
      <c r="G444" s="690"/>
      <c r="H444" s="690"/>
      <c r="I444" s="690"/>
      <c r="J444" s="691"/>
      <c r="K444" s="270">
        <f>SUM(K446:K448)</f>
        <v>46.2</v>
      </c>
      <c r="L444" s="468" t="str">
        <f>IFERROR(VLOOKUP($C444,'SINAPI JULHO 2021'!$1:$1048576,3,0),IFERROR(VLOOKUP($C444,'5-COMP. PROPRIA'!$B$4:$I$7999,5,0),""))</f>
        <v>M2</v>
      </c>
      <c r="M444" s="372"/>
      <c r="N444" s="282"/>
    </row>
    <row r="445" spans="2:14" ht="25.5">
      <c r="B445" s="207"/>
      <c r="D445" s="17"/>
      <c r="E445" s="42" t="s">
        <v>668</v>
      </c>
      <c r="F445" s="110" t="s">
        <v>669</v>
      </c>
      <c r="G445" s="110" t="s">
        <v>646</v>
      </c>
      <c r="H445" s="110" t="s">
        <v>6860</v>
      </c>
      <c r="I445" s="108"/>
      <c r="J445" s="52"/>
      <c r="K445" s="154"/>
      <c r="L445" s="441"/>
      <c r="M445" s="106"/>
      <c r="N445" s="53"/>
    </row>
    <row r="446" spans="2:14" ht="12.75" customHeight="1">
      <c r="B446" s="367" t="s">
        <v>7251</v>
      </c>
      <c r="D446" s="17"/>
      <c r="E446" s="51">
        <v>1</v>
      </c>
      <c r="F446" s="37">
        <v>0.5</v>
      </c>
      <c r="G446" s="37">
        <v>89</v>
      </c>
      <c r="H446" s="112">
        <f>E446*G446</f>
        <v>89</v>
      </c>
      <c r="I446" s="108"/>
      <c r="J446" s="52"/>
      <c r="K446" s="154">
        <f>E446*F446*G446</f>
        <v>44.5</v>
      </c>
      <c r="L446" s="441"/>
      <c r="M446" s="106"/>
      <c r="N446" s="53"/>
    </row>
    <row r="447" spans="2:14" ht="12.75" customHeight="1">
      <c r="B447" s="367" t="s">
        <v>7252</v>
      </c>
      <c r="D447" s="17"/>
      <c r="E447" s="51">
        <v>0.8</v>
      </c>
      <c r="F447" s="37">
        <v>0.5</v>
      </c>
      <c r="G447" s="37">
        <v>3</v>
      </c>
      <c r="H447" s="112">
        <f>E447*G447</f>
        <v>2.4000000000000004</v>
      </c>
      <c r="I447" s="108"/>
      <c r="J447" s="52"/>
      <c r="K447" s="154">
        <f>E447*F447*G447</f>
        <v>1.2000000000000002</v>
      </c>
      <c r="L447" s="441"/>
      <c r="M447" s="106"/>
      <c r="N447" s="53"/>
    </row>
    <row r="448" spans="2:14" ht="12.75" customHeight="1">
      <c r="B448" s="367" t="s">
        <v>7253</v>
      </c>
      <c r="D448" s="17"/>
      <c r="E448" s="57">
        <v>0.5</v>
      </c>
      <c r="F448" s="38">
        <v>0.5</v>
      </c>
      <c r="G448" s="38">
        <v>2</v>
      </c>
      <c r="H448" s="112">
        <f>E448*G448</f>
        <v>1</v>
      </c>
      <c r="I448" s="107"/>
      <c r="J448" s="104"/>
      <c r="K448" s="154">
        <f>E448*F448*G448</f>
        <v>0.5</v>
      </c>
      <c r="L448" s="441"/>
      <c r="M448" s="106"/>
      <c r="N448" s="53"/>
    </row>
    <row r="449" spans="2:14" ht="12.75" customHeight="1">
      <c r="B449" s="207"/>
      <c r="D449" s="17"/>
      <c r="E449" s="58"/>
      <c r="F449" s="107"/>
      <c r="G449" s="107"/>
      <c r="H449" s="107"/>
      <c r="I449" s="107"/>
      <c r="J449" s="104"/>
      <c r="K449" s="180"/>
      <c r="L449" s="441"/>
      <c r="M449" s="106"/>
      <c r="N449" s="53"/>
    </row>
    <row r="450" spans="2:14" ht="46.5" customHeight="1">
      <c r="B450" s="351" t="s">
        <v>7254</v>
      </c>
      <c r="C450" s="239">
        <v>100674</v>
      </c>
      <c r="D450" s="137" t="s">
        <v>7</v>
      </c>
      <c r="E450" s="689" t="str">
        <f>IFERROR(VLOOKUP($C450,'SINAPI JULHO 2021'!$1:$1048576,2,0),IFERROR(VLOOKUP($C450,'5-COMP. PROPRIA'!$B$4:$I$7999,4,0),""))</f>
        <v>JANELA FIXA DE ALUMÍNIO PARA VIDRO, COM VIDRO, BATENTE E FERRAGENS. EXCLUSIVE ACABAMENTO, ALIZAR E CONTRAMARCO. FORNECIMENTO E INSTALAÇÃO. AF_12/2019</v>
      </c>
      <c r="F450" s="690"/>
      <c r="G450" s="690"/>
      <c r="H450" s="690"/>
      <c r="I450" s="690"/>
      <c r="J450" s="691"/>
      <c r="K450" s="270">
        <f>1.5*1.2</f>
        <v>1.7999999999999998</v>
      </c>
      <c r="L450" s="468" t="str">
        <f>IFERROR(VLOOKUP($C450,'SINAPI JULHO 2021'!$1:$1048576,3,0),IFERROR(VLOOKUP($C450,'5-COMP. PROPRIA'!$B$4:$I$7999,5,0),""))</f>
        <v>M2</v>
      </c>
      <c r="M450" s="372"/>
      <c r="N450" s="282"/>
    </row>
    <row r="451" spans="2:14" ht="24.75" customHeight="1">
      <c r="B451" s="207"/>
      <c r="C451" s="239" t="s">
        <v>4279</v>
      </c>
      <c r="D451" s="137" t="s">
        <v>4271</v>
      </c>
      <c r="E451" s="689" t="str">
        <f>IFERROR(VLOOKUP($C451,'SINAPI JULHO 2021'!$1:$1048576,2,0),IFERROR(VLOOKUP($C451,'5-COMP. PROPRIA'!$B$4:$I$7999,4,0),""))</f>
        <v>PORTA DE FERRO, DE ABRIR, TIPO CHAPA CORRUGADA (0,90 X 2,10)M, COM GUARNICOES (FECHADURA, REQUADRO BATENTES E ALIZAR) - FORNECIMENTO E INSTALAÇÃO</v>
      </c>
      <c r="F451" s="690"/>
      <c r="G451" s="690"/>
      <c r="H451" s="690"/>
      <c r="I451" s="690"/>
      <c r="J451" s="691"/>
      <c r="K451" s="270">
        <f>20+27</f>
        <v>47</v>
      </c>
      <c r="L451" s="468" t="str">
        <f>IFERROR(VLOOKUP($C451,'SINAPI JULHO 2021'!$1:$1048576,3,0),IFERROR(VLOOKUP($C451,'5-COMP. PROPRIA'!$B$4:$I$7999,5,0),""))</f>
        <v>UN</v>
      </c>
      <c r="M451" s="372"/>
      <c r="N451" s="282"/>
    </row>
    <row r="452" spans="2:14" ht="39" customHeight="1">
      <c r="B452" s="207"/>
      <c r="C452" s="239">
        <v>91341</v>
      </c>
      <c r="D452" s="137" t="s">
        <v>7</v>
      </c>
      <c r="E452" s="689" t="str">
        <f>IFERROR(VLOOKUP($C452,'SINAPI JULHO 2021'!$1:$1048576,2,0),IFERROR(VLOOKUP($C452,'5-COMP. PROPRIA'!$B$4:$I$7999,4,0),""))</f>
        <v>PORTA EM ALUMÍNIO DE ABRIR TIPO VENEZIANA COM GUARNIÇÃO, FIXAÇÃO COM PARAFUSOS - FORNECIMENTO E INSTALAÇÃO. AF_12/2019</v>
      </c>
      <c r="F452" s="690"/>
      <c r="G452" s="690"/>
      <c r="H452" s="690"/>
      <c r="I452" s="690"/>
      <c r="J452" s="691"/>
      <c r="K452" s="270">
        <f>SUM(K454:K454)</f>
        <v>30.72</v>
      </c>
      <c r="L452" s="468" t="str">
        <f>IFERROR(VLOOKUP($C452,'SINAPI JULHO 2021'!$1:$1048576,3,0),IFERROR(VLOOKUP($C452,'5-COMP. PROPRIA'!$B$4:$I$7999,5,0),""))</f>
        <v>M2</v>
      </c>
      <c r="M452" s="372"/>
      <c r="N452" s="282"/>
    </row>
    <row r="453" spans="2:14" ht="30" customHeight="1">
      <c r="B453" s="207"/>
      <c r="D453" s="17"/>
      <c r="E453" s="42" t="s">
        <v>668</v>
      </c>
      <c r="F453" s="110" t="s">
        <v>669</v>
      </c>
      <c r="G453" s="110" t="s">
        <v>646</v>
      </c>
      <c r="H453" s="110" t="s">
        <v>649</v>
      </c>
      <c r="I453" s="108"/>
      <c r="J453" s="52"/>
      <c r="K453" s="154"/>
      <c r="L453" s="441"/>
      <c r="M453" s="106"/>
      <c r="N453" s="53"/>
    </row>
    <row r="454" spans="2:14">
      <c r="B454" s="351" t="s">
        <v>7342</v>
      </c>
      <c r="D454" s="17"/>
      <c r="E454" s="51">
        <v>0.6</v>
      </c>
      <c r="F454" s="37">
        <v>1.6</v>
      </c>
      <c r="G454" s="37">
        <v>32</v>
      </c>
      <c r="H454" s="37">
        <v>1</v>
      </c>
      <c r="I454" s="108"/>
      <c r="J454" s="52"/>
      <c r="K454" s="154">
        <f>E454*F454*G454</f>
        <v>30.72</v>
      </c>
      <c r="L454" s="33"/>
      <c r="M454" s="106"/>
      <c r="N454" s="53"/>
    </row>
    <row r="455" spans="2:14" ht="41.25" customHeight="1">
      <c r="B455" s="351" t="s">
        <v>7392</v>
      </c>
      <c r="C455" s="239" t="str">
        <f>'5-COMP. PROPRIA'!B106</f>
        <v>CP-ESQ-06</v>
      </c>
      <c r="D455" s="137" t="s">
        <v>4271</v>
      </c>
      <c r="E455" s="689" t="str">
        <f>IFERROR(VLOOKUP($C455,'SINAPI JULHO 2021'!$1:$1048576,2,0),IFERROR(VLOOKUP($C455,'5-COMP. PROPRIA'!$B$4:$I$7999,4,0),""))</f>
        <v>PORTAO DE ABRIR EM CHAPA TIPO PAINEL LAMBRIL QUADRADO MEIA ALTURA, COM GRADE SUPERIOR, COMPLETA COM REQUADRO, ACABAMENTO NATURAL, COM FEICHOS E TRINCOS FORNECIMENTO E INSTALAÇÃO.</v>
      </c>
      <c r="F455" s="690"/>
      <c r="G455" s="690"/>
      <c r="H455" s="690"/>
      <c r="I455" s="690"/>
      <c r="J455" s="691"/>
      <c r="K455" s="270">
        <f>(5.2*2.5)+(2.05*3*2)+(1.8*2.1*2)+(1*1.9*2)</f>
        <v>36.659999999999997</v>
      </c>
      <c r="L455" s="468" t="str">
        <f>IFERROR(VLOOKUP($C455,'SINAPI JULHO 2021'!$1:$1048576,3,0),IFERROR(VLOOKUP($C455,'5-COMP. PROPRIA'!$B$4:$I$7999,5,0),""))</f>
        <v>M2</v>
      </c>
      <c r="M455" s="372"/>
      <c r="N455" s="282"/>
    </row>
    <row r="456" spans="2:14" ht="43.5" customHeight="1">
      <c r="B456" s="207"/>
      <c r="C456" s="69" t="s">
        <v>6747</v>
      </c>
      <c r="D456" s="137" t="s">
        <v>4271</v>
      </c>
      <c r="E456" s="689" t="str">
        <f>IFERROR(VLOOKUP($C456,'SINAPI JULHO 2021'!$1:$1048576,2,0),IFERROR(VLOOKUP($C456,'5-COMP. PROPRIA'!$B$4:$I$7999,4,0),""))</f>
        <v>PORTAO DE CORRER EM CHAPA TIPO PAINEL LAMBRIL QUADRADO, COM PORTA SOCIAL COMPLETA INCLUIDA, COM REQUADRO, ACABAMENTO NATURAL, COM TRILHOS E ROLDANAS. FORNECIMENTO E INSTALAÇÃO.</v>
      </c>
      <c r="F456" s="690"/>
      <c r="G456" s="690"/>
      <c r="H456" s="690"/>
      <c r="I456" s="690"/>
      <c r="J456" s="691"/>
      <c r="K456" s="270">
        <f>SUM(K458:K458)</f>
        <v>9</v>
      </c>
      <c r="L456" s="468" t="str">
        <f>IFERROR(VLOOKUP($C456,'SINAPI JULHO 2021'!$1:$1048576,3,0),IFERROR(VLOOKUP($C456,'5-COMP. PROPRIA'!$B$4:$I$7999,5,0),""))</f>
        <v>M2</v>
      </c>
      <c r="M456" s="372"/>
      <c r="N456" s="282"/>
    </row>
    <row r="457" spans="2:14" ht="12.75" customHeight="1">
      <c r="B457" s="207"/>
      <c r="C457" s="69"/>
      <c r="D457" s="137"/>
      <c r="E457" s="42" t="s">
        <v>668</v>
      </c>
      <c r="F457" s="110" t="s">
        <v>669</v>
      </c>
      <c r="G457" s="110" t="s">
        <v>646</v>
      </c>
      <c r="H457" s="110" t="s">
        <v>649</v>
      </c>
      <c r="I457" s="108"/>
      <c r="J457" s="52"/>
      <c r="K457" s="154"/>
      <c r="L457" s="468"/>
      <c r="M457" s="106"/>
      <c r="N457" s="53"/>
    </row>
    <row r="458" spans="2:14" ht="12.75" customHeight="1">
      <c r="B458" s="351" t="s">
        <v>6981</v>
      </c>
      <c r="C458" s="69"/>
      <c r="D458" s="137"/>
      <c r="E458" s="51">
        <v>3.6</v>
      </c>
      <c r="F458" s="37">
        <v>2.5</v>
      </c>
      <c r="G458" s="37">
        <v>1</v>
      </c>
      <c r="H458" s="112">
        <v>1</v>
      </c>
      <c r="I458" s="108"/>
      <c r="J458" s="52"/>
      <c r="K458" s="154">
        <f>E458*F458*G458</f>
        <v>9</v>
      </c>
      <c r="L458" s="468"/>
      <c r="M458" s="106"/>
      <c r="N458" s="53"/>
    </row>
    <row r="459" spans="2:14" ht="54" customHeight="1">
      <c r="B459" s="235"/>
      <c r="C459" s="239">
        <v>100761</v>
      </c>
      <c r="D459" s="48" t="s">
        <v>7</v>
      </c>
      <c r="E459" s="689" t="str">
        <f>IFERROR(VLOOKUP($C459,'SINAPI JULHO 2021'!$1:$1048576,2,0),IFERROR(VLOOKUP($C459,'5-COMP. PROPRIA'!$B$4:$I$7999,4,0),""))</f>
        <v>PINTURA COM TINTA ALQUÍDICA DE ACABAMENTO (ESMALTE SINTÉTICO FOSCO) PULVERIZADA SOBRE SUPERFÍCIES METÁLICAS (EXCETO PERFIL) EXECUTADO EM OBRA (02 DEMÃOS). AF_01/2020_P</v>
      </c>
      <c r="F459" s="690"/>
      <c r="G459" s="690"/>
      <c r="H459" s="690"/>
      <c r="I459" s="690"/>
      <c r="J459" s="691"/>
      <c r="K459" s="270">
        <f>SUM(K461:K463)</f>
        <v>268.98</v>
      </c>
      <c r="L459" s="468" t="str">
        <f>IFERROR(VLOOKUP($C459,'SINAPI JULHO 2021'!$1:$1048576,3,0),IFERROR(VLOOKUP($C459,'5-COMP. PROPRIA'!$B$4:$I$7999,5,0),""))</f>
        <v>M2</v>
      </c>
      <c r="M459" s="372"/>
      <c r="N459" s="282"/>
    </row>
    <row r="460" spans="2:14" ht="25.5">
      <c r="B460" s="207"/>
      <c r="D460" s="17"/>
      <c r="E460" s="42" t="s">
        <v>668</v>
      </c>
      <c r="F460" s="110" t="s">
        <v>669</v>
      </c>
      <c r="G460" s="110" t="s">
        <v>646</v>
      </c>
      <c r="H460" s="110" t="s">
        <v>4450</v>
      </c>
      <c r="I460" s="107"/>
      <c r="J460" s="104"/>
      <c r="K460" s="180"/>
      <c r="L460" s="441"/>
      <c r="M460" s="106"/>
      <c r="N460" s="53"/>
    </row>
    <row r="461" spans="2:14" ht="12.75" customHeight="1">
      <c r="B461" s="351" t="s">
        <v>6286</v>
      </c>
      <c r="D461" s="17"/>
      <c r="E461" s="152">
        <v>0.9</v>
      </c>
      <c r="F461" s="153">
        <v>2.1</v>
      </c>
      <c r="G461" s="153">
        <f>K451</f>
        <v>47</v>
      </c>
      <c r="H461" s="153">
        <v>2</v>
      </c>
      <c r="I461" s="143"/>
      <c r="J461" s="104"/>
      <c r="K461" s="180">
        <f>E461*F461*G461*H461</f>
        <v>177.66000000000003</v>
      </c>
      <c r="L461" s="441"/>
      <c r="M461" s="106"/>
      <c r="N461" s="53"/>
    </row>
    <row r="462" spans="2:14" ht="12.75" customHeight="1">
      <c r="B462" s="351" t="str">
        <f>B458</f>
        <v>PORTAO DE ACESSO VEICULOS</v>
      </c>
      <c r="D462" s="17"/>
      <c r="E462" s="51">
        <f>K456</f>
        <v>9</v>
      </c>
      <c r="F462" s="37">
        <v>1</v>
      </c>
      <c r="G462" s="37">
        <v>1</v>
      </c>
      <c r="H462" s="153">
        <v>2</v>
      </c>
      <c r="I462" s="143"/>
      <c r="J462" s="104"/>
      <c r="K462" s="180">
        <f>E462*F462*G462*H462</f>
        <v>18</v>
      </c>
      <c r="L462" s="441"/>
      <c r="M462" s="106"/>
      <c r="N462" s="53"/>
    </row>
    <row r="463" spans="2:14" ht="12.75" customHeight="1">
      <c r="B463" s="351" t="str">
        <f>B455</f>
        <v>PORTAO DE ENTRADA (FACHADA) E CORREDORES DO FUNDO (ACESSO A QUADRA) E PORTA DA LIXEIRA E CASA DE GÁS</v>
      </c>
      <c r="D463" s="17"/>
      <c r="E463" s="51">
        <f>K455</f>
        <v>36.659999999999997</v>
      </c>
      <c r="F463" s="37">
        <v>1</v>
      </c>
      <c r="G463" s="37">
        <v>1</v>
      </c>
      <c r="H463" s="153">
        <v>2</v>
      </c>
      <c r="I463" s="143"/>
      <c r="J463" s="104"/>
      <c r="K463" s="180">
        <f>E463*F463*G463*H463</f>
        <v>73.319999999999993</v>
      </c>
      <c r="L463" s="441"/>
      <c r="M463" s="106"/>
      <c r="N463" s="53"/>
    </row>
    <row r="464" spans="2:14" ht="44.25" customHeight="1">
      <c r="B464" s="207"/>
      <c r="C464" s="239" t="s">
        <v>4280</v>
      </c>
      <c r="D464" s="137" t="s">
        <v>4271</v>
      </c>
      <c r="E464" s="689" t="str">
        <f>IFERROR(VLOOKUP($C464,'SINAPI JULHO 2021'!$1:$1048576,2,0),IFERROR(VLOOKUP($C464,'5-COMP. PROPRIA'!$B$4:$I$7999,4,0),""))</f>
        <v>JANELA DE DE ENROLAR,  FIXAÇÃO COM ARGAMASSA, PADRONIZADA INCLUSO PEITORIL EM GRANILITE 60CM (ABERTURA NA VERTICAL "PASSA PRATO" - FORNECIMENTO E INSTALAÇÃO</v>
      </c>
      <c r="F464" s="690"/>
      <c r="G464" s="690"/>
      <c r="H464" s="690"/>
      <c r="I464" s="690"/>
      <c r="J464" s="691"/>
      <c r="K464" s="270">
        <f>SUM(K466:K467)</f>
        <v>4.32</v>
      </c>
      <c r="L464" s="468" t="str">
        <f>IFERROR(VLOOKUP($C464,'SINAPI JULHO 2021'!$1:$1048576,3,0),IFERROR(VLOOKUP($C464,'5-COMP. PROPRIA'!$B$4:$I$7999,5,0),""))</f>
        <v>M2</v>
      </c>
      <c r="M464" s="106"/>
      <c r="N464" s="53"/>
    </row>
    <row r="465" spans="2:21" ht="25.5">
      <c r="B465" s="207"/>
      <c r="D465" s="17"/>
      <c r="E465" s="42" t="s">
        <v>668</v>
      </c>
      <c r="F465" s="110" t="s">
        <v>669</v>
      </c>
      <c r="G465" s="110" t="s">
        <v>646</v>
      </c>
      <c r="H465" s="110" t="s">
        <v>649</v>
      </c>
      <c r="I465" s="107"/>
      <c r="J465" s="104"/>
      <c r="K465" s="180"/>
      <c r="L465" s="441"/>
      <c r="M465" s="106"/>
      <c r="N465" s="53"/>
    </row>
    <row r="466" spans="2:21" ht="12.75" customHeight="1">
      <c r="B466" s="367" t="s">
        <v>7256</v>
      </c>
      <c r="D466" s="17"/>
      <c r="E466" s="51">
        <v>1.1000000000000001</v>
      </c>
      <c r="F466" s="37">
        <v>1.2</v>
      </c>
      <c r="G466" s="37">
        <v>1</v>
      </c>
      <c r="H466" s="37">
        <v>0</v>
      </c>
      <c r="I466" s="107"/>
      <c r="J466" s="104"/>
      <c r="K466" s="180">
        <f>E466*F466*G466</f>
        <v>1.32</v>
      </c>
      <c r="L466" s="441"/>
      <c r="M466" s="106"/>
      <c r="N466" s="53"/>
    </row>
    <row r="467" spans="2:21" ht="12.75" customHeight="1">
      <c r="B467" s="367" t="s">
        <v>7257</v>
      </c>
      <c r="D467" s="17"/>
      <c r="E467" s="51">
        <v>2.5</v>
      </c>
      <c r="F467" s="37">
        <v>1.2</v>
      </c>
      <c r="G467" s="37">
        <v>1</v>
      </c>
      <c r="H467" s="37">
        <v>0</v>
      </c>
      <c r="I467" s="143"/>
      <c r="J467" s="104"/>
      <c r="K467" s="180">
        <f>E467*F467*G467</f>
        <v>3</v>
      </c>
      <c r="L467" s="441"/>
      <c r="M467" s="106"/>
      <c r="N467" s="53"/>
    </row>
    <row r="468" spans="2:21" ht="35.25" customHeight="1">
      <c r="B468" s="207"/>
      <c r="C468" s="239" t="s">
        <v>4281</v>
      </c>
      <c r="D468" s="137" t="s">
        <v>4271</v>
      </c>
      <c r="E468" s="689" t="str">
        <f>IFERROR(VLOOKUP($C468,'SINAPI JULHO 2021'!$1:$1048576,2,0),IFERROR(VLOOKUP($C468,'5-COMP. PROPRIA'!$B$4:$I$7999,4,0),""))</f>
        <v>TELA DE PROTEÇÃO DE FIBRA DE VIDRO ANTI CHAMAS COM REQUADRO EM ALUMINIO - FORNECIMENTO E INSTALAÇÃO</v>
      </c>
      <c r="F468" s="690"/>
      <c r="G468" s="690"/>
      <c r="H468" s="690"/>
      <c r="I468" s="690"/>
      <c r="J468" s="691"/>
      <c r="K468" s="270">
        <f>SUM(K470:K470)</f>
        <v>4</v>
      </c>
      <c r="L468" s="468" t="str">
        <f>IFERROR(VLOOKUP($C468,'SINAPI JULHO 2021'!$1:$1048576,3,0),IFERROR(VLOOKUP($C468,'5-COMP. PROPRIA'!$B$4:$I$7999,5,0),""))</f>
        <v>M2</v>
      </c>
      <c r="M468" s="106"/>
      <c r="N468" s="53"/>
    </row>
    <row r="469" spans="2:21" ht="45" customHeight="1">
      <c r="B469" s="207"/>
      <c r="D469" s="17"/>
      <c r="E469" s="42" t="s">
        <v>668</v>
      </c>
      <c r="F469" s="110" t="s">
        <v>669</v>
      </c>
      <c r="G469" s="110" t="s">
        <v>646</v>
      </c>
      <c r="H469" s="110" t="s">
        <v>649</v>
      </c>
      <c r="I469" s="143"/>
      <c r="J469" s="104"/>
      <c r="K469" s="180"/>
      <c r="L469" s="441"/>
      <c r="M469" s="106"/>
      <c r="N469" s="53"/>
    </row>
    <row r="470" spans="2:21" ht="12.75" customHeight="1">
      <c r="B470" s="207"/>
      <c r="D470" s="17"/>
      <c r="E470" s="51">
        <v>8</v>
      </c>
      <c r="F470" s="37">
        <v>0.5</v>
      </c>
      <c r="G470" s="37">
        <v>1</v>
      </c>
      <c r="H470" s="37">
        <v>0</v>
      </c>
      <c r="I470" s="143"/>
      <c r="J470" s="104"/>
      <c r="K470" s="180">
        <f>E470*F470*G470</f>
        <v>4</v>
      </c>
      <c r="L470" s="441"/>
      <c r="M470" s="106"/>
      <c r="N470" s="53"/>
    </row>
    <row r="471" spans="2:21" ht="39.75" customHeight="1" thickBot="1">
      <c r="B471" s="351" t="s">
        <v>7260</v>
      </c>
      <c r="C471" s="239" t="str">
        <f>'5-COMP. PROPRIA'!B113</f>
        <v>CP-ESQ-07</v>
      </c>
      <c r="D471" s="137" t="s">
        <v>4271</v>
      </c>
      <c r="E471" s="689" t="str">
        <f>IFERROR(VLOOKUP($C471,'SINAPI JULHO 2021'!$1:$1048576,2,0),IFERROR(VLOOKUP($C471,'5-COMP. PROPRIA'!$B$4:$I$7999,4,0),""))</f>
        <v>BRISE METALICO PARA PROTEÇÃO COM REQUADRO SOLDADO E CHUMBADO EM ALVENARIA COM ACABAMENTO EM PINTURA ESMALTE SOBRE FUNDO (TIPO ZARCÃO) 2 DEMÃOS - FORNECIMENTO E INSTALAÇÃO</v>
      </c>
      <c r="F471" s="690"/>
      <c r="G471" s="690"/>
      <c r="H471" s="690"/>
      <c r="I471" s="690"/>
      <c r="J471" s="691"/>
      <c r="K471" s="270">
        <f>38.6*0.75*2</f>
        <v>57.900000000000006</v>
      </c>
      <c r="L471" s="468" t="str">
        <f>IFERROR(VLOOKUP($C471,'SINAPI JULHO 2021'!$1:$1048576,3,0),IFERROR(VLOOKUP($C471,'5-COMP. PROPRIA'!$B$4:$I$7999,5,0),""))</f>
        <v>M2</v>
      </c>
      <c r="M471" s="372"/>
      <c r="N471" s="282"/>
    </row>
    <row r="472" spans="2:21" ht="12.75" customHeight="1" thickBot="1">
      <c r="B472" s="207"/>
      <c r="D472" s="17"/>
      <c r="E472" s="698" t="s">
        <v>7393</v>
      </c>
      <c r="F472" s="699"/>
      <c r="G472" s="699"/>
      <c r="H472" s="699"/>
      <c r="I472" s="699"/>
      <c r="J472" s="700"/>
      <c r="K472" s="180"/>
      <c r="L472" s="441"/>
      <c r="M472" s="106"/>
      <c r="N472" s="53"/>
      <c r="O472" s="738"/>
      <c r="P472" s="739"/>
      <c r="Q472" s="739"/>
      <c r="R472" s="739"/>
      <c r="S472" s="739"/>
      <c r="T472" s="739"/>
      <c r="U472" s="739"/>
    </row>
    <row r="473" spans="2:21" ht="42" customHeight="1">
      <c r="B473" s="351" t="s">
        <v>7273</v>
      </c>
      <c r="C473" s="68">
        <v>102253</v>
      </c>
      <c r="D473" s="137" t="s">
        <v>7</v>
      </c>
      <c r="E473" s="689" t="str">
        <f>IFERROR(VLOOKUP($C473,'SINAPI JULHO 2021'!$1:$1048576,2,0),IFERROR(VLOOKUP($C473,'5-COMP. PROPRIA'!$B$4:$I$7999,4,0),""))</f>
        <v>DIVISORIA SANITÁRIA, TIPO CABINE, EM GRANITO CINZA POLIDO, ESP = 3CM, ASSENTADO COM ARGAMASSA COLANTE AC III-E, EXCLUSIVE FERRAGENS. AF_01/2021</v>
      </c>
      <c r="F473" s="690"/>
      <c r="G473" s="690"/>
      <c r="H473" s="690"/>
      <c r="I473" s="690"/>
      <c r="J473" s="691"/>
      <c r="K473" s="270">
        <f>SUM(K475:K479)</f>
        <v>95.65</v>
      </c>
      <c r="L473" s="468" t="str">
        <f>IFERROR(VLOOKUP($C473,'SINAPI JULHO 2021'!$1:$1048576,3,0),IFERROR(VLOOKUP($C473,'5-COMP. PROPRIA'!$B$4:$I$7999,5,0),""))</f>
        <v>M2</v>
      </c>
      <c r="M473" s="372"/>
      <c r="N473" s="282"/>
    </row>
    <row r="474" spans="2:21" ht="25.5">
      <c r="B474" s="207"/>
      <c r="D474" s="17"/>
      <c r="E474" s="42" t="s">
        <v>668</v>
      </c>
      <c r="F474" s="110" t="s">
        <v>669</v>
      </c>
      <c r="G474" s="110" t="s">
        <v>646</v>
      </c>
      <c r="H474" s="110"/>
      <c r="I474" s="137"/>
      <c r="J474" s="104"/>
      <c r="K474" s="180"/>
      <c r="L474" s="441"/>
      <c r="M474" s="106"/>
      <c r="N474" s="53"/>
    </row>
    <row r="475" spans="2:21" ht="12.75" customHeight="1">
      <c r="B475" s="367" t="s">
        <v>7264</v>
      </c>
      <c r="D475" s="17"/>
      <c r="E475" s="51">
        <v>20.350000000000001</v>
      </c>
      <c r="F475" s="37">
        <v>1</v>
      </c>
      <c r="G475" s="37">
        <v>2</v>
      </c>
      <c r="H475" s="110"/>
      <c r="I475" s="108"/>
      <c r="J475" s="52"/>
      <c r="K475" s="154">
        <f>G475*F475*E475</f>
        <v>40.700000000000003</v>
      </c>
      <c r="L475" s="441"/>
      <c r="M475" s="106"/>
      <c r="N475" s="53"/>
    </row>
    <row r="476" spans="2:21" ht="12.75" customHeight="1">
      <c r="B476" s="367" t="s">
        <v>7265</v>
      </c>
      <c r="D476" s="17"/>
      <c r="E476" s="51">
        <v>6.2</v>
      </c>
      <c r="F476" s="37">
        <v>1</v>
      </c>
      <c r="G476" s="37">
        <v>1</v>
      </c>
      <c r="H476" s="110"/>
      <c r="I476" s="108"/>
      <c r="J476" s="52"/>
      <c r="K476" s="154">
        <f>G476*F476*E476</f>
        <v>6.2</v>
      </c>
      <c r="L476" s="441"/>
      <c r="M476" s="106"/>
      <c r="N476" s="53"/>
    </row>
    <row r="477" spans="2:21" ht="12.75" customHeight="1">
      <c r="B477" s="367" t="s">
        <v>7266</v>
      </c>
      <c r="D477" s="17"/>
      <c r="E477" s="51">
        <f>6.5+2.85</f>
        <v>9.35</v>
      </c>
      <c r="F477" s="37">
        <v>1</v>
      </c>
      <c r="G477" s="37">
        <v>1</v>
      </c>
      <c r="H477" s="110"/>
      <c r="I477" s="108"/>
      <c r="J477" s="52"/>
      <c r="K477" s="154">
        <f>G477*F477*E477</f>
        <v>9.35</v>
      </c>
      <c r="L477" s="441"/>
      <c r="M477" s="106"/>
      <c r="N477" s="53"/>
    </row>
    <row r="478" spans="2:21" ht="12.75" customHeight="1">
      <c r="B478" s="367" t="s">
        <v>7268</v>
      </c>
      <c r="D478" s="17"/>
      <c r="E478" s="51">
        <f>10.8+3.4</f>
        <v>14.200000000000001</v>
      </c>
      <c r="F478" s="37">
        <v>1</v>
      </c>
      <c r="G478" s="37">
        <v>2</v>
      </c>
      <c r="H478" s="110"/>
      <c r="I478" s="108"/>
      <c r="J478" s="52"/>
      <c r="K478" s="154">
        <f>(G478*F478*E478)+0.9</f>
        <v>29.3</v>
      </c>
      <c r="L478" s="441"/>
      <c r="M478" s="106"/>
      <c r="N478" s="53"/>
    </row>
    <row r="479" spans="2:21" ht="12.75" customHeight="1">
      <c r="B479" s="367" t="s">
        <v>7263</v>
      </c>
      <c r="D479" s="17"/>
      <c r="E479" s="51">
        <f>5.05</f>
        <v>5.05</v>
      </c>
      <c r="F479" s="37">
        <v>1</v>
      </c>
      <c r="G479" s="37">
        <v>2</v>
      </c>
      <c r="H479" s="110"/>
      <c r="I479" s="108"/>
      <c r="J479" s="52"/>
      <c r="K479" s="154">
        <f>G479*F479*E479</f>
        <v>10.1</v>
      </c>
      <c r="L479" s="441"/>
      <c r="M479" s="106"/>
      <c r="N479" s="53"/>
    </row>
    <row r="480" spans="2:21" ht="12.75" customHeight="1">
      <c r="B480" s="207"/>
      <c r="D480" s="17"/>
      <c r="E480" s="58"/>
      <c r="F480" s="143"/>
      <c r="G480" s="143"/>
      <c r="H480" s="143"/>
      <c r="I480" s="143"/>
      <c r="J480" s="104"/>
      <c r="K480" s="180"/>
      <c r="L480" s="441"/>
      <c r="M480" s="106"/>
      <c r="N480" s="53"/>
    </row>
    <row r="481" spans="2:21" ht="37.5" customHeight="1">
      <c r="B481" s="351" t="s">
        <v>7272</v>
      </c>
      <c r="C481" s="69" t="str">
        <f>'5-COMP. PROPRIA'!B124</f>
        <v>CP-GRN-01</v>
      </c>
      <c r="D481" s="137" t="s">
        <v>4271</v>
      </c>
      <c r="E481" s="689" t="str">
        <f>IFERROR(VLOOKUP($C481,'SINAPI JULHO 2021'!$1:$1048576,2,0),IFERROR(VLOOKUP($C481,'5-COMP. PROPRIA'!$B$4:$I$7999,4,0),""))</f>
        <v>BANCO EM GRANITO CINZA POLIDO E=3CM, ASSENTADO COM ARGAMASSA COLANTE AC III-E, INCLUSIVE FERRAGENS - FORNECIMENTO E INSTALAÇÃO.</v>
      </c>
      <c r="F481" s="690"/>
      <c r="G481" s="690"/>
      <c r="H481" s="690"/>
      <c r="I481" s="690"/>
      <c r="J481" s="691"/>
      <c r="K481" s="270">
        <f>SUM(K483:K486)</f>
        <v>13.95</v>
      </c>
      <c r="L481" s="468" t="str">
        <f>IFERROR(VLOOKUP($C481,'SINAPI JULHO 2021'!$1:$1048576,3,0),IFERROR(VLOOKUP($C481,'5-COMP. PROPRIA'!$B$4:$I$7999,5,0),""))</f>
        <v>M2</v>
      </c>
      <c r="M481" s="372"/>
      <c r="N481" s="282"/>
    </row>
    <row r="482" spans="2:21" ht="25.5">
      <c r="B482" s="207"/>
      <c r="D482" s="17"/>
      <c r="E482" s="42" t="s">
        <v>668</v>
      </c>
      <c r="F482" s="110" t="s">
        <v>669</v>
      </c>
      <c r="G482" s="110" t="s">
        <v>646</v>
      </c>
      <c r="H482" s="143"/>
      <c r="I482" s="143"/>
      <c r="J482" s="104"/>
      <c r="K482" s="180"/>
      <c r="L482" s="441"/>
      <c r="M482" s="106"/>
      <c r="N482" s="53"/>
    </row>
    <row r="483" spans="2:21" ht="12.75" customHeight="1">
      <c r="B483" s="351" t="s">
        <v>7264</v>
      </c>
      <c r="D483" s="17"/>
      <c r="E483" s="51">
        <v>3.6</v>
      </c>
      <c r="F483" s="37">
        <v>1</v>
      </c>
      <c r="G483" s="37">
        <v>2</v>
      </c>
      <c r="H483" s="143"/>
      <c r="I483" s="143"/>
      <c r="J483" s="104"/>
      <c r="K483" s="154">
        <f>G483*F483*E483</f>
        <v>7.2</v>
      </c>
      <c r="L483" s="441"/>
      <c r="M483" s="106"/>
      <c r="N483" s="53"/>
    </row>
    <row r="484" spans="2:21" ht="12.75" customHeight="1">
      <c r="B484" s="351" t="s">
        <v>7266</v>
      </c>
      <c r="D484" s="17"/>
      <c r="E484" s="51">
        <v>3.85</v>
      </c>
      <c r="F484" s="37">
        <v>1</v>
      </c>
      <c r="G484" s="37">
        <v>1</v>
      </c>
      <c r="H484" s="143"/>
      <c r="I484" s="143"/>
      <c r="J484" s="104"/>
      <c r="K484" s="154">
        <f>G484*F484*E484</f>
        <v>3.85</v>
      </c>
      <c r="L484" s="441"/>
      <c r="M484" s="106"/>
      <c r="N484" s="53"/>
    </row>
    <row r="485" spans="2:21" ht="12.75" customHeight="1">
      <c r="B485" s="351" t="s">
        <v>7267</v>
      </c>
      <c r="D485" s="17"/>
      <c r="E485" s="51">
        <v>1.7</v>
      </c>
      <c r="F485" s="37">
        <v>1</v>
      </c>
      <c r="G485" s="37">
        <v>1</v>
      </c>
      <c r="H485" s="143"/>
      <c r="I485" s="143"/>
      <c r="J485" s="104"/>
      <c r="K485" s="154">
        <f>G485*F485*E485</f>
        <v>1.7</v>
      </c>
      <c r="L485" s="441"/>
      <c r="M485" s="106"/>
      <c r="N485" s="53"/>
    </row>
    <row r="486" spans="2:21" ht="12.75" customHeight="1">
      <c r="B486" s="351" t="s">
        <v>7271</v>
      </c>
      <c r="D486" s="17"/>
      <c r="E486" s="51">
        <v>1.2</v>
      </c>
      <c r="F486" s="37">
        <v>1</v>
      </c>
      <c r="G486" s="37">
        <v>1</v>
      </c>
      <c r="H486" s="143"/>
      <c r="I486" s="143"/>
      <c r="J486" s="104"/>
      <c r="K486" s="154">
        <f>G486*F486*E486</f>
        <v>1.2</v>
      </c>
      <c r="L486" s="441"/>
      <c r="M486" s="106"/>
      <c r="N486" s="53"/>
    </row>
    <row r="487" spans="2:21" ht="12.75" customHeight="1">
      <c r="B487" s="207"/>
      <c r="D487" s="17"/>
      <c r="E487" s="58"/>
      <c r="F487" s="143"/>
      <c r="G487" s="143"/>
      <c r="H487" s="143"/>
      <c r="I487" s="143"/>
      <c r="J487" s="104"/>
      <c r="K487" s="180"/>
      <c r="L487" s="441"/>
      <c r="M487" s="106"/>
      <c r="N487" s="53"/>
    </row>
    <row r="488" spans="2:21" ht="12.75" customHeight="1">
      <c r="B488" s="207"/>
      <c r="D488" s="17"/>
      <c r="E488" s="58"/>
      <c r="F488" s="143"/>
      <c r="G488" s="143"/>
      <c r="H488" s="143"/>
      <c r="I488" s="143"/>
      <c r="J488" s="104"/>
      <c r="K488" s="180"/>
      <c r="L488" s="441"/>
      <c r="M488" s="106"/>
      <c r="N488" s="53"/>
    </row>
    <row r="489" spans="2:21" ht="41.25" customHeight="1">
      <c r="B489" s="351" t="s">
        <v>7275</v>
      </c>
      <c r="C489" s="239" t="str">
        <f>'5-COMP. PROPRIA'!B133</f>
        <v>CP-GRN-02</v>
      </c>
      <c r="D489" s="137" t="s">
        <v>4271</v>
      </c>
      <c r="E489" s="689" t="str">
        <f>IFERROR(VLOOKUP($C489,'SINAPI JULHO 2021'!$1:$1048576,2,0),IFERROR(VLOOKUP($C489,'5-COMP. PROPRIA'!$B$4:$I$7999,4,0),""))</f>
        <v>BANCADA EM GRANITO CINZA, POLIDO, TIPO ANDORINHA/ QUARTZ/ CASTELO/ CORUMBA OU OUTROS EQUIVALENTES DA REGIAO, E=  *2,5* CM, INCLUSIVE FERRAGENS, FRONTÃO E SAIA COM 10 CM - FORNECIMENTO E INSTALAÇÃO</v>
      </c>
      <c r="F489" s="690"/>
      <c r="G489" s="690"/>
      <c r="H489" s="690"/>
      <c r="I489" s="690"/>
      <c r="J489" s="691"/>
      <c r="K489" s="270">
        <f>6.2+2.15+2.6+7.2</f>
        <v>18.149999999999999</v>
      </c>
      <c r="L489" s="468" t="str">
        <f>IFERROR(VLOOKUP($C489,'SINAPI JULHO 2021'!$1:$1048576,3,0),IFERROR(VLOOKUP($C489,'5-COMP. PROPRIA'!$B$4:$I$7999,5,0),""))</f>
        <v>M2</v>
      </c>
      <c r="M489" s="372"/>
      <c r="N489" s="282"/>
    </row>
    <row r="490" spans="2:21" ht="12.75" customHeight="1">
      <c r="B490" s="207"/>
      <c r="D490" s="17"/>
      <c r="E490" s="58"/>
      <c r="F490" s="143"/>
      <c r="G490" s="143"/>
      <c r="H490" s="143"/>
      <c r="I490" s="143"/>
      <c r="J490" s="104"/>
      <c r="K490" s="180"/>
      <c r="L490" s="441"/>
      <c r="M490" s="106"/>
      <c r="N490" s="53"/>
    </row>
    <row r="491" spans="2:21" ht="37.5" customHeight="1" thickBot="1">
      <c r="B491" s="351" t="s">
        <v>6861</v>
      </c>
      <c r="C491" s="45">
        <v>101965</v>
      </c>
      <c r="D491" s="137" t="s">
        <v>7</v>
      </c>
      <c r="E491" s="689" t="str">
        <f>IFERROR(VLOOKUP($C491,'SINAPI JULHO 2021'!$1:$1048576,2,0),IFERROR(VLOOKUP($C491,'5-COMP. PROPRIA'!$B$4:$I$7999,4,0),""))</f>
        <v>PEITORIL LINEAR EM GRANITO OU MÁRMORE, L = 15CM, COMPRIMENTO DE ATÉ 2M, ASSENTADO COM ARGAMASSA 1:6 COM ADITIVO. AF_11/2020</v>
      </c>
      <c r="F491" s="690"/>
      <c r="G491" s="690"/>
      <c r="H491" s="690"/>
      <c r="I491" s="690"/>
      <c r="J491" s="691"/>
      <c r="K491" s="270">
        <f>H442+H443+H446+H447+H448+(1.5*0.5)</f>
        <v>175.15</v>
      </c>
      <c r="L491" s="468" t="str">
        <f>IFERROR(VLOOKUP($C491,'SINAPI JULHO 2021'!$1:$1048576,3,0),IFERROR(VLOOKUP($C491,'5-COMP. PROPRIA'!$B$4:$I$7999,5,0),""))</f>
        <v>M</v>
      </c>
      <c r="M491" s="372"/>
      <c r="N491" s="282"/>
    </row>
    <row r="492" spans="2:21" ht="12.75" customHeight="1" thickBot="1">
      <c r="B492" s="207"/>
      <c r="D492" s="17"/>
      <c r="E492" s="698" t="s">
        <v>4465</v>
      </c>
      <c r="F492" s="699"/>
      <c r="G492" s="699"/>
      <c r="H492" s="699"/>
      <c r="I492" s="699"/>
      <c r="J492" s="700"/>
      <c r="K492" s="180"/>
      <c r="L492" s="441"/>
      <c r="M492" s="106"/>
      <c r="N492" s="53"/>
      <c r="O492" s="738"/>
      <c r="P492" s="739"/>
      <c r="Q492" s="739"/>
      <c r="R492" s="739"/>
      <c r="S492" s="739"/>
      <c r="T492" s="739"/>
      <c r="U492" s="739"/>
    </row>
    <row r="493" spans="2:21" ht="12.75" customHeight="1">
      <c r="B493" s="207"/>
      <c r="D493" s="17"/>
      <c r="E493" s="40"/>
      <c r="F493" s="143"/>
      <c r="G493" s="143"/>
      <c r="H493" s="143"/>
      <c r="I493" s="143"/>
      <c r="J493" s="104"/>
      <c r="K493" s="180"/>
      <c r="L493" s="441"/>
      <c r="M493" s="106"/>
      <c r="N493" s="53"/>
    </row>
    <row r="494" spans="2:21" ht="25.5">
      <c r="B494" s="351" t="s">
        <v>7278</v>
      </c>
      <c r="C494" s="45">
        <v>87879</v>
      </c>
      <c r="D494" s="137" t="s">
        <v>7</v>
      </c>
      <c r="E494" s="689" t="str">
        <f>IFERROR(VLOOKUP($C494,'SINAPI JULHO 2021'!$1:$1048576,2,0),IFERROR(VLOOKUP($C494,'5-COMP. PROPRIA'!$B$4:$I$7999,4,0),""))</f>
        <v>CHAPISCO APLICADO EM ALVENARIAS E ESTRUTURAS DE CONCRETO INTERNAS, COM COLHER DE PEDREIRO.  ARGAMASSA TRAÇO 1:3 COM PREPARO EM BETONEIRA 400L. AF_06/2014</v>
      </c>
      <c r="F494" s="690"/>
      <c r="G494" s="690"/>
      <c r="H494" s="690"/>
      <c r="I494" s="690"/>
      <c r="J494" s="691"/>
      <c r="K494" s="270">
        <f>SUM(K496:K497)</f>
        <v>6982.2300000000014</v>
      </c>
      <c r="L494" s="468" t="str">
        <f>IFERROR(VLOOKUP($C494,'SINAPI JULHO 2021'!$1:$1048576,3,0),IFERROR(VLOOKUP($C494,'5-COMP. PROPRIA'!$B$4:$I$7999,5,0),""))</f>
        <v>M2</v>
      </c>
      <c r="M494" s="372">
        <f>IFERROR(VLOOKUP($C494,'SINAPI JULHO 2021'!$1:$1048576,4,0),IFERROR(VLOOKUP($C494,'5-COMP. PROPRIA'!$B$4:$I$7999,5,0),""))</f>
        <v>3.01</v>
      </c>
      <c r="N494" s="282">
        <f>M494*K494</f>
        <v>21016.512300000002</v>
      </c>
    </row>
    <row r="495" spans="2:21" ht="26.25" customHeight="1">
      <c r="B495" s="207"/>
      <c r="D495" s="17"/>
      <c r="E495" s="42" t="s">
        <v>668</v>
      </c>
      <c r="F495" s="110"/>
      <c r="G495" s="110" t="s">
        <v>646</v>
      </c>
      <c r="H495" s="110"/>
      <c r="I495" s="137"/>
      <c r="J495" s="104"/>
      <c r="K495" s="180"/>
      <c r="L495" s="441"/>
      <c r="M495" s="106"/>
      <c r="N495" s="53"/>
    </row>
    <row r="496" spans="2:21" ht="32.25" customHeight="1">
      <c r="B496" s="351" t="s">
        <v>6973</v>
      </c>
      <c r="D496" s="17"/>
      <c r="E496" s="51">
        <f>K206+K266</f>
        <v>2461.6195000000007</v>
      </c>
      <c r="F496" s="110"/>
      <c r="G496" s="37">
        <v>2</v>
      </c>
      <c r="H496" s="110"/>
      <c r="I496" s="137"/>
      <c r="J496" s="52"/>
      <c r="K496" s="154">
        <f>E496*G496</f>
        <v>4923.2390000000014</v>
      </c>
      <c r="L496" s="441"/>
      <c r="M496" s="106"/>
      <c r="N496" s="53"/>
    </row>
    <row r="497" spans="2:14" ht="32.25" customHeight="1">
      <c r="B497" s="351" t="s">
        <v>7276</v>
      </c>
      <c r="D497" s="17"/>
      <c r="E497" s="51">
        <v>2058.9909999999995</v>
      </c>
      <c r="F497" s="110"/>
      <c r="G497" s="37">
        <v>1</v>
      </c>
      <c r="H497" s="110"/>
      <c r="I497" s="137"/>
      <c r="J497" s="52"/>
      <c r="K497" s="154">
        <f>E497*G497</f>
        <v>2058.9909999999995</v>
      </c>
      <c r="L497" s="441"/>
      <c r="M497" s="106"/>
      <c r="N497" s="53"/>
    </row>
    <row r="498" spans="2:14" ht="69" customHeight="1">
      <c r="B498" s="207"/>
      <c r="C498" s="45">
        <v>87553</v>
      </c>
      <c r="D498" s="137" t="s">
        <v>7</v>
      </c>
      <c r="E498" s="689" t="str">
        <f>IFERROR(VLOOKUP($C498,'SINAPI JULHO 2021'!$1:$1048576,2,0),IFERROR(VLOOKUP($C498,'5-COMP. PROPRIA'!$B$4:$I$7999,4,0),""))</f>
        <v>EMBOÇO, PARA RECEBIMENTO DE CERÂMICA, EM ARGAMASSA TRAÇO 1:2:8, PREPARO MECÂNICO COM BETONEIRA 400L, APLICADO MANUALMENTE EM FACES INTERNAS DE PAREDES, PARA AMBIENTE COM ÁREA MAIOR QUE 10M2, ESPESSURA DE 10MM, COM EXECUÇÃO DE TALISCAS. AF_06/2014</v>
      </c>
      <c r="F498" s="690"/>
      <c r="G498" s="690"/>
      <c r="H498" s="690"/>
      <c r="I498" s="690"/>
      <c r="J498" s="691"/>
      <c r="K498" s="270">
        <f>SUM(K500:K546)</f>
        <v>2114.98</v>
      </c>
      <c r="L498" s="468" t="str">
        <f>IFERROR(VLOOKUP($C498,'SINAPI JULHO 2021'!$1:$1048576,3,0),IFERROR(VLOOKUP($C498,'5-COMP. PROPRIA'!$B$4:$I$7999,5,0),""))</f>
        <v>M2</v>
      </c>
      <c r="M498" s="372">
        <f>IFERROR(VLOOKUP($C498,'SINAPI JULHO 2021'!$1:$1048576,4,0),IFERROR(VLOOKUP($C498,'5-COMP. PROPRIA'!$B$4:$I$7999,5,0),""))</f>
        <v>13.32</v>
      </c>
      <c r="N498" s="282">
        <f>M498*K498</f>
        <v>28171.533600000002</v>
      </c>
    </row>
    <row r="499" spans="2:14" ht="51">
      <c r="B499" s="351" t="s">
        <v>7317</v>
      </c>
      <c r="D499" s="17"/>
      <c r="E499" s="42" t="s">
        <v>668</v>
      </c>
      <c r="F499" s="375" t="s">
        <v>7318</v>
      </c>
      <c r="G499" s="375" t="s">
        <v>7319</v>
      </c>
      <c r="H499" s="175"/>
      <c r="I499" s="31"/>
      <c r="J499" s="52"/>
      <c r="K499" s="154"/>
      <c r="L499" s="441"/>
      <c r="M499" s="106"/>
      <c r="N499" s="53"/>
    </row>
    <row r="500" spans="2:14" ht="12.75" customHeight="1">
      <c r="B500" s="353" t="s">
        <v>7171</v>
      </c>
      <c r="C500" s="751" t="s">
        <v>7320</v>
      </c>
      <c r="D500" s="17"/>
      <c r="E500" s="752">
        <v>9.3000000000000007</v>
      </c>
      <c r="F500" s="753">
        <v>1.2</v>
      </c>
      <c r="G500" s="753">
        <v>0</v>
      </c>
      <c r="H500" s="175"/>
      <c r="I500" s="31"/>
      <c r="J500" s="52"/>
      <c r="K500" s="737">
        <f>(E500*F500)+G500</f>
        <v>11.16</v>
      </c>
      <c r="L500" s="441"/>
      <c r="M500" s="106"/>
      <c r="N500" s="53"/>
    </row>
    <row r="501" spans="2:14" ht="12.75" customHeight="1">
      <c r="B501" s="353" t="s">
        <v>7172</v>
      </c>
      <c r="C501" s="751"/>
      <c r="D501" s="17"/>
      <c r="E501" s="752"/>
      <c r="F501" s="753"/>
      <c r="G501" s="753"/>
      <c r="H501" s="175"/>
      <c r="I501" s="31"/>
      <c r="J501" s="52"/>
      <c r="K501" s="737"/>
      <c r="L501" s="441"/>
      <c r="M501" s="106"/>
      <c r="N501" s="53"/>
    </row>
    <row r="502" spans="2:14" ht="12.75" customHeight="1">
      <c r="B502" s="353" t="s">
        <v>7173</v>
      </c>
      <c r="C502" s="751"/>
      <c r="D502" s="17"/>
      <c r="E502" s="752"/>
      <c r="F502" s="753"/>
      <c r="G502" s="753"/>
      <c r="H502" s="175"/>
      <c r="I502" s="31"/>
      <c r="J502" s="52"/>
      <c r="K502" s="737"/>
      <c r="L502" s="441"/>
      <c r="M502" s="106"/>
      <c r="N502" s="53"/>
    </row>
    <row r="503" spans="2:14" ht="12.75" customHeight="1">
      <c r="B503" s="353" t="s">
        <v>7174</v>
      </c>
      <c r="D503" s="17"/>
      <c r="E503" s="51">
        <v>22</v>
      </c>
      <c r="F503" s="379">
        <v>1.2</v>
      </c>
      <c r="G503" s="379">
        <v>18</v>
      </c>
      <c r="H503" s="175"/>
      <c r="I503" s="31"/>
      <c r="J503" s="52"/>
      <c r="K503" s="154">
        <f t="shared" ref="K503:K543" si="12">(E503*F503)+G503</f>
        <v>44.4</v>
      </c>
      <c r="L503" s="441"/>
      <c r="M503" s="106"/>
      <c r="N503" s="53"/>
    </row>
    <row r="504" spans="2:14" ht="12.75" customHeight="1">
      <c r="B504" s="353" t="s">
        <v>7175</v>
      </c>
      <c r="D504" s="17"/>
      <c r="E504" s="51">
        <v>22</v>
      </c>
      <c r="F504" s="379">
        <v>1.2</v>
      </c>
      <c r="G504" s="379">
        <v>18</v>
      </c>
      <c r="H504" s="175"/>
      <c r="I504" s="31"/>
      <c r="J504" s="52"/>
      <c r="K504" s="154">
        <f t="shared" si="12"/>
        <v>44.4</v>
      </c>
      <c r="L504" s="441"/>
      <c r="M504" s="106"/>
      <c r="N504" s="53"/>
    </row>
    <row r="505" spans="2:14" ht="12.75" customHeight="1">
      <c r="B505" s="353" t="s">
        <v>7176</v>
      </c>
      <c r="D505" s="17"/>
      <c r="E505" s="51">
        <v>22</v>
      </c>
      <c r="F505" s="379">
        <v>1.2</v>
      </c>
      <c r="G505" s="379">
        <v>18</v>
      </c>
      <c r="H505" s="175"/>
      <c r="I505" s="31"/>
      <c r="J505" s="52"/>
      <c r="K505" s="154">
        <f t="shared" si="12"/>
        <v>44.4</v>
      </c>
      <c r="L505" s="441"/>
      <c r="M505" s="106"/>
      <c r="N505" s="53"/>
    </row>
    <row r="506" spans="2:14" ht="12.75" customHeight="1">
      <c r="B506" s="353" t="s">
        <v>7177</v>
      </c>
      <c r="D506" s="17"/>
      <c r="E506" s="51">
        <v>22</v>
      </c>
      <c r="F506" s="379">
        <v>1.2</v>
      </c>
      <c r="G506" s="379">
        <v>18</v>
      </c>
      <c r="H506" s="175"/>
      <c r="I506" s="31"/>
      <c r="J506" s="52"/>
      <c r="K506" s="154">
        <f t="shared" si="12"/>
        <v>44.4</v>
      </c>
      <c r="L506" s="441"/>
      <c r="M506" s="106"/>
      <c r="N506" s="53"/>
    </row>
    <row r="507" spans="2:14" ht="12.75" customHeight="1">
      <c r="B507" s="353" t="s">
        <v>7178</v>
      </c>
      <c r="D507" s="17"/>
      <c r="E507" s="51">
        <v>22.4</v>
      </c>
      <c r="F507" s="379">
        <v>1.2</v>
      </c>
      <c r="G507" s="379">
        <v>18</v>
      </c>
      <c r="H507" s="175"/>
      <c r="I507" s="31"/>
      <c r="J507" s="52"/>
      <c r="K507" s="154">
        <f t="shared" si="12"/>
        <v>44.879999999999995</v>
      </c>
      <c r="L507" s="441"/>
      <c r="M507" s="106"/>
      <c r="N507" s="53"/>
    </row>
    <row r="508" spans="2:14" ht="12.75" customHeight="1">
      <c r="B508" s="353" t="s">
        <v>7179</v>
      </c>
      <c r="D508" s="17"/>
      <c r="E508" s="51">
        <v>0</v>
      </c>
      <c r="F508" s="379">
        <v>0</v>
      </c>
      <c r="G508" s="379">
        <v>0</v>
      </c>
      <c r="H508" s="175"/>
      <c r="I508" s="31"/>
      <c r="J508" s="52"/>
      <c r="K508" s="154">
        <f t="shared" si="12"/>
        <v>0</v>
      </c>
      <c r="L508" s="441"/>
      <c r="M508" s="106"/>
      <c r="N508" s="53"/>
    </row>
    <row r="509" spans="2:14" ht="12.75" customHeight="1">
      <c r="B509" s="353" t="s">
        <v>7180</v>
      </c>
      <c r="D509" s="17"/>
      <c r="E509" s="51">
        <v>0</v>
      </c>
      <c r="F509" s="379">
        <v>0</v>
      </c>
      <c r="G509" s="379">
        <v>0</v>
      </c>
      <c r="H509" s="175"/>
      <c r="I509" s="31"/>
      <c r="J509" s="52"/>
      <c r="K509" s="154">
        <f t="shared" si="12"/>
        <v>0</v>
      </c>
      <c r="L509" s="441"/>
      <c r="M509" s="106"/>
      <c r="N509" s="53"/>
    </row>
    <row r="510" spans="2:14" ht="12.75" customHeight="1">
      <c r="B510" s="353" t="s">
        <v>7181</v>
      </c>
      <c r="D510" s="17"/>
      <c r="E510" s="51">
        <v>0</v>
      </c>
      <c r="F510" s="379">
        <v>0</v>
      </c>
      <c r="G510" s="379">
        <v>0</v>
      </c>
      <c r="H510" s="175"/>
      <c r="I510" s="31"/>
      <c r="J510" s="52"/>
      <c r="K510" s="154">
        <f t="shared" si="12"/>
        <v>0</v>
      </c>
      <c r="L510" s="441"/>
      <c r="M510" s="106"/>
      <c r="N510" s="53"/>
    </row>
    <row r="511" spans="2:14" ht="12.75" customHeight="1">
      <c r="B511" s="353" t="s">
        <v>7182</v>
      </c>
      <c r="D511" s="17"/>
      <c r="E511" s="51">
        <v>0</v>
      </c>
      <c r="F511" s="379">
        <v>0</v>
      </c>
      <c r="G511" s="379">
        <v>0</v>
      </c>
      <c r="H511" s="175"/>
      <c r="I511" s="31"/>
      <c r="J511" s="52"/>
      <c r="K511" s="154">
        <f t="shared" si="12"/>
        <v>0</v>
      </c>
      <c r="L511" s="441"/>
      <c r="M511" s="106"/>
      <c r="N511" s="53"/>
    </row>
    <row r="512" spans="2:14" ht="12.75" customHeight="1">
      <c r="B512" s="353" t="s">
        <v>7183</v>
      </c>
      <c r="D512" s="17"/>
      <c r="E512" s="51">
        <v>0</v>
      </c>
      <c r="F512" s="379">
        <v>0</v>
      </c>
      <c r="G512" s="379">
        <v>0</v>
      </c>
      <c r="H512" s="175"/>
      <c r="I512" s="31"/>
      <c r="J512" s="52"/>
      <c r="K512" s="154">
        <f t="shared" si="12"/>
        <v>0</v>
      </c>
      <c r="L512" s="441"/>
      <c r="M512" s="106"/>
      <c r="N512" s="53"/>
    </row>
    <row r="513" spans="2:14" ht="12.75" customHeight="1">
      <c r="B513" s="353" t="s">
        <v>7184</v>
      </c>
      <c r="D513" s="17"/>
      <c r="E513" s="51">
        <f>47.3+66.75</f>
        <v>114.05</v>
      </c>
      <c r="F513" s="379">
        <v>1.2</v>
      </c>
      <c r="G513" s="379">
        <f>23.5*3</f>
        <v>70.5</v>
      </c>
      <c r="H513" s="175"/>
      <c r="I513" s="31"/>
      <c r="J513" s="52"/>
      <c r="K513" s="154">
        <f t="shared" si="12"/>
        <v>207.35999999999999</v>
      </c>
      <c r="L513" s="441"/>
      <c r="M513" s="106"/>
      <c r="N513" s="53"/>
    </row>
    <row r="514" spans="2:14" ht="12.75" customHeight="1">
      <c r="B514" s="353" t="s">
        <v>7185</v>
      </c>
      <c r="D514" s="17"/>
      <c r="E514" s="51">
        <v>0</v>
      </c>
      <c r="F514" s="379">
        <v>0</v>
      </c>
      <c r="G514" s="379">
        <v>0</v>
      </c>
      <c r="H514" s="175"/>
      <c r="I514" s="31"/>
      <c r="J514" s="52"/>
      <c r="K514" s="154">
        <f t="shared" si="12"/>
        <v>0</v>
      </c>
      <c r="L514" s="441"/>
      <c r="M514" s="106"/>
      <c r="N514" s="53"/>
    </row>
    <row r="515" spans="2:14" ht="12.75" customHeight="1">
      <c r="B515" s="353" t="s">
        <v>7186</v>
      </c>
      <c r="D515" s="17"/>
      <c r="E515" s="51">
        <v>15.06</v>
      </c>
      <c r="F515" s="379">
        <v>3</v>
      </c>
      <c r="G515" s="379">
        <v>0</v>
      </c>
      <c r="H515" s="175"/>
      <c r="I515" s="31"/>
      <c r="J515" s="52"/>
      <c r="K515" s="154">
        <f t="shared" si="12"/>
        <v>45.18</v>
      </c>
      <c r="L515" s="441"/>
      <c r="M515" s="106"/>
      <c r="N515" s="53"/>
    </row>
    <row r="516" spans="2:14" ht="12.75" customHeight="1">
      <c r="B516" s="353" t="s">
        <v>7187</v>
      </c>
      <c r="D516" s="17"/>
      <c r="E516" s="51">
        <v>12.4</v>
      </c>
      <c r="F516" s="379">
        <v>3</v>
      </c>
      <c r="G516" s="379">
        <v>0</v>
      </c>
      <c r="H516" s="175"/>
      <c r="I516" s="31"/>
      <c r="J516" s="52"/>
      <c r="K516" s="154">
        <f t="shared" si="12"/>
        <v>37.200000000000003</v>
      </c>
      <c r="L516" s="441"/>
      <c r="M516" s="106"/>
      <c r="N516" s="53"/>
    </row>
    <row r="517" spans="2:14" ht="12.75" customHeight="1">
      <c r="B517" s="353" t="s">
        <v>7188</v>
      </c>
      <c r="D517" s="17"/>
      <c r="E517" s="51">
        <v>12.43</v>
      </c>
      <c r="F517" s="379">
        <v>3</v>
      </c>
      <c r="G517" s="379">
        <v>0</v>
      </c>
      <c r="H517" s="175"/>
      <c r="I517" s="31"/>
      <c r="J517" s="52"/>
      <c r="K517" s="154">
        <f t="shared" si="12"/>
        <v>37.29</v>
      </c>
      <c r="L517" s="441"/>
      <c r="M517" s="106"/>
      <c r="N517" s="53"/>
    </row>
    <row r="518" spans="2:14" ht="12.75" customHeight="1">
      <c r="B518" s="353" t="s">
        <v>7189</v>
      </c>
      <c r="D518" s="17"/>
      <c r="E518" s="51">
        <v>28</v>
      </c>
      <c r="F518" s="379">
        <v>3</v>
      </c>
      <c r="G518" s="379">
        <v>0</v>
      </c>
      <c r="H518" s="175"/>
      <c r="I518" s="31"/>
      <c r="J518" s="52"/>
      <c r="K518" s="154">
        <f t="shared" si="12"/>
        <v>84</v>
      </c>
      <c r="L518" s="441"/>
      <c r="M518" s="106"/>
      <c r="N518" s="53"/>
    </row>
    <row r="519" spans="2:14" ht="12.75" customHeight="1">
      <c r="B519" s="353" t="s">
        <v>7190</v>
      </c>
      <c r="D519" s="17"/>
      <c r="E519" s="51">
        <v>0</v>
      </c>
      <c r="F519" s="379">
        <v>0</v>
      </c>
      <c r="G519" s="379">
        <v>0</v>
      </c>
      <c r="H519" s="175"/>
      <c r="I519" s="31"/>
      <c r="J519" s="52"/>
      <c r="K519" s="154">
        <f t="shared" si="12"/>
        <v>0</v>
      </c>
      <c r="L519" s="441"/>
      <c r="M519" s="106"/>
      <c r="N519" s="53"/>
    </row>
    <row r="520" spans="2:14" ht="12.75" customHeight="1">
      <c r="B520" s="353" t="s">
        <v>7191</v>
      </c>
      <c r="D520" s="17"/>
      <c r="E520" s="51">
        <v>23.9</v>
      </c>
      <c r="F520" s="379">
        <v>3</v>
      </c>
      <c r="G520" s="379">
        <v>0</v>
      </c>
      <c r="H520" s="175"/>
      <c r="I520" s="31"/>
      <c r="J520" s="52"/>
      <c r="K520" s="154">
        <f t="shared" si="12"/>
        <v>71.699999999999989</v>
      </c>
      <c r="L520" s="441"/>
      <c r="M520" s="106"/>
      <c r="N520" s="53"/>
    </row>
    <row r="521" spans="2:14" ht="12.75" customHeight="1">
      <c r="B521" s="353" t="s">
        <v>7192</v>
      </c>
      <c r="D521" s="17"/>
      <c r="E521" s="51">
        <v>6.6</v>
      </c>
      <c r="F521" s="379">
        <v>3</v>
      </c>
      <c r="G521" s="379">
        <v>0</v>
      </c>
      <c r="H521" s="175"/>
      <c r="I521" s="31"/>
      <c r="J521" s="52"/>
      <c r="K521" s="154">
        <f t="shared" si="12"/>
        <v>19.799999999999997</v>
      </c>
      <c r="L521" s="441"/>
      <c r="M521" s="106"/>
      <c r="N521" s="53"/>
    </row>
    <row r="522" spans="2:14" ht="12.75" customHeight="1">
      <c r="B522" s="353" t="s">
        <v>7193</v>
      </c>
      <c r="D522" s="17"/>
      <c r="E522" s="51">
        <v>23.9</v>
      </c>
      <c r="F522" s="379">
        <v>3</v>
      </c>
      <c r="G522" s="379">
        <v>0</v>
      </c>
      <c r="H522" s="175"/>
      <c r="I522" s="31"/>
      <c r="J522" s="52"/>
      <c r="K522" s="154">
        <f t="shared" si="12"/>
        <v>71.699999999999989</v>
      </c>
      <c r="L522" s="441"/>
      <c r="M522" s="106"/>
      <c r="N522" s="53"/>
    </row>
    <row r="523" spans="2:14" ht="12.75" customHeight="1">
      <c r="B523" s="353" t="s">
        <v>7194</v>
      </c>
      <c r="D523" s="17"/>
      <c r="E523" s="51">
        <v>6.6</v>
      </c>
      <c r="F523" s="379">
        <v>3</v>
      </c>
      <c r="G523" s="379">
        <v>0</v>
      </c>
      <c r="H523" s="175"/>
      <c r="I523" s="31"/>
      <c r="J523" s="52"/>
      <c r="K523" s="154">
        <f t="shared" si="12"/>
        <v>19.799999999999997</v>
      </c>
      <c r="L523" s="441"/>
      <c r="M523" s="106"/>
      <c r="N523" s="53"/>
    </row>
    <row r="524" spans="2:14">
      <c r="B524" s="351" t="s">
        <v>7316</v>
      </c>
      <c r="D524" s="17"/>
      <c r="E524" s="59"/>
      <c r="F524" s="31"/>
      <c r="G524" s="31"/>
      <c r="H524" s="175"/>
      <c r="I524" s="31"/>
      <c r="J524" s="52"/>
      <c r="K524" s="154"/>
      <c r="L524" s="441"/>
      <c r="M524" s="106"/>
      <c r="N524" s="53"/>
    </row>
    <row r="525" spans="2:14" ht="12.75" customHeight="1">
      <c r="B525" s="353" t="s">
        <v>7197</v>
      </c>
      <c r="D525" s="17"/>
      <c r="E525" s="51">
        <v>22</v>
      </c>
      <c r="F525" s="379">
        <v>1.2</v>
      </c>
      <c r="G525" s="379">
        <v>18</v>
      </c>
      <c r="H525" s="175"/>
      <c r="I525" s="31"/>
      <c r="J525" s="52"/>
      <c r="K525" s="154">
        <f t="shared" si="12"/>
        <v>44.4</v>
      </c>
      <c r="L525" s="441"/>
      <c r="M525" s="106"/>
      <c r="N525" s="53"/>
    </row>
    <row r="526" spans="2:14" ht="12.75" customHeight="1">
      <c r="B526" s="353" t="s">
        <v>7198</v>
      </c>
      <c r="D526" s="17"/>
      <c r="E526" s="51">
        <v>22</v>
      </c>
      <c r="F526" s="379">
        <v>1.2</v>
      </c>
      <c r="G526" s="379">
        <v>18</v>
      </c>
      <c r="H526" s="175"/>
      <c r="I526" s="31"/>
      <c r="J526" s="52"/>
      <c r="K526" s="154">
        <f t="shared" si="12"/>
        <v>44.4</v>
      </c>
      <c r="L526" s="441"/>
      <c r="M526" s="106"/>
      <c r="N526" s="53"/>
    </row>
    <row r="527" spans="2:14" ht="12.75" customHeight="1">
      <c r="B527" s="353" t="s">
        <v>7199</v>
      </c>
      <c r="D527" s="17"/>
      <c r="E527" s="51">
        <v>22</v>
      </c>
      <c r="F527" s="379">
        <v>1.2</v>
      </c>
      <c r="G527" s="379">
        <v>18</v>
      </c>
      <c r="H527" s="175"/>
      <c r="I527" s="31"/>
      <c r="J527" s="52"/>
      <c r="K527" s="154">
        <f t="shared" si="12"/>
        <v>44.4</v>
      </c>
      <c r="L527" s="441"/>
      <c r="M527" s="106"/>
      <c r="N527" s="53"/>
    </row>
    <row r="528" spans="2:14" ht="12.75" customHeight="1">
      <c r="B528" s="353" t="s">
        <v>7200</v>
      </c>
      <c r="D528" s="17"/>
      <c r="E528" s="51">
        <v>22</v>
      </c>
      <c r="F528" s="379">
        <v>1.2</v>
      </c>
      <c r="G528" s="379">
        <v>18</v>
      </c>
      <c r="H528" s="175"/>
      <c r="I528" s="31"/>
      <c r="J528" s="52"/>
      <c r="K528" s="154">
        <f t="shared" si="12"/>
        <v>44.4</v>
      </c>
      <c r="L528" s="441"/>
      <c r="M528" s="106"/>
      <c r="N528" s="53"/>
    </row>
    <row r="529" spans="2:14" ht="12.75" customHeight="1">
      <c r="B529" s="353" t="s">
        <v>7201</v>
      </c>
      <c r="D529" s="17"/>
      <c r="E529" s="51">
        <v>22.4</v>
      </c>
      <c r="F529" s="379">
        <v>1.2</v>
      </c>
      <c r="G529" s="379">
        <v>18</v>
      </c>
      <c r="H529" s="175"/>
      <c r="I529" s="31"/>
      <c r="J529" s="52"/>
      <c r="K529" s="154">
        <f t="shared" si="12"/>
        <v>44.879999999999995</v>
      </c>
      <c r="L529" s="441"/>
      <c r="M529" s="106"/>
      <c r="N529" s="53"/>
    </row>
    <row r="530" spans="2:14" ht="12.75" customHeight="1">
      <c r="B530" s="353" t="s">
        <v>7202</v>
      </c>
      <c r="D530" s="17"/>
      <c r="E530" s="51">
        <v>23.37</v>
      </c>
      <c r="F530" s="379">
        <v>1.2</v>
      </c>
      <c r="G530" s="379">
        <v>0</v>
      </c>
      <c r="H530" s="175"/>
      <c r="I530" s="31"/>
      <c r="J530" s="52"/>
      <c r="K530" s="154">
        <f t="shared" si="12"/>
        <v>28.044</v>
      </c>
      <c r="L530" s="441"/>
      <c r="M530" s="106"/>
      <c r="N530" s="53"/>
    </row>
    <row r="531" spans="2:14" ht="12.75" customHeight="1">
      <c r="B531" s="353" t="s">
        <v>7203</v>
      </c>
      <c r="D531" s="17"/>
      <c r="E531" s="51">
        <v>0</v>
      </c>
      <c r="F531" s="379">
        <v>0</v>
      </c>
      <c r="G531" s="379">
        <v>0</v>
      </c>
      <c r="H531" s="175"/>
      <c r="I531" s="31"/>
      <c r="J531" s="52"/>
      <c r="K531" s="154">
        <f t="shared" si="12"/>
        <v>0</v>
      </c>
      <c r="L531" s="441"/>
      <c r="M531" s="106"/>
      <c r="N531" s="53"/>
    </row>
    <row r="532" spans="2:14" ht="12.75" customHeight="1">
      <c r="B532" s="353" t="s">
        <v>7184</v>
      </c>
      <c r="D532" s="17"/>
      <c r="E532" s="51">
        <v>78.599999999999994</v>
      </c>
      <c r="F532" s="379">
        <v>1.2</v>
      </c>
      <c r="G532" s="379">
        <f>19*3</f>
        <v>57</v>
      </c>
      <c r="H532" s="175"/>
      <c r="I532" s="31"/>
      <c r="J532" s="52"/>
      <c r="K532" s="154">
        <f t="shared" si="12"/>
        <v>151.32</v>
      </c>
      <c r="L532" s="441"/>
      <c r="M532" s="106"/>
      <c r="N532" s="53"/>
    </row>
    <row r="533" spans="2:14" ht="12.75" customHeight="1">
      <c r="B533" s="353" t="s">
        <v>7204</v>
      </c>
      <c r="D533" s="17"/>
      <c r="E533" s="51">
        <v>22.4</v>
      </c>
      <c r="F533" s="379">
        <v>1.2</v>
      </c>
      <c r="G533" s="379">
        <v>18</v>
      </c>
      <c r="H533" s="175"/>
      <c r="I533" s="31"/>
      <c r="J533" s="52"/>
      <c r="K533" s="154">
        <f t="shared" si="12"/>
        <v>44.879999999999995</v>
      </c>
      <c r="L533" s="441"/>
      <c r="M533" s="106"/>
      <c r="N533" s="53"/>
    </row>
    <row r="534" spans="2:14" ht="12.75" customHeight="1">
      <c r="B534" s="353" t="s">
        <v>7205</v>
      </c>
      <c r="D534" s="17"/>
      <c r="E534" s="51">
        <v>22</v>
      </c>
      <c r="F534" s="379">
        <v>1.2</v>
      </c>
      <c r="G534" s="379">
        <v>18</v>
      </c>
      <c r="H534" s="175"/>
      <c r="I534" s="31"/>
      <c r="J534" s="52"/>
      <c r="K534" s="154">
        <f t="shared" si="12"/>
        <v>44.4</v>
      </c>
      <c r="L534" s="441"/>
      <c r="M534" s="106"/>
      <c r="N534" s="53"/>
    </row>
    <row r="535" spans="2:14" ht="12.75" customHeight="1">
      <c r="B535" s="353" t="s">
        <v>7206</v>
      </c>
      <c r="D535" s="17"/>
      <c r="E535" s="51">
        <v>22</v>
      </c>
      <c r="F535" s="379">
        <v>1.2</v>
      </c>
      <c r="G535" s="379">
        <v>18</v>
      </c>
      <c r="H535" s="175"/>
      <c r="I535" s="31"/>
      <c r="J535" s="52"/>
      <c r="K535" s="154">
        <f t="shared" si="12"/>
        <v>44.4</v>
      </c>
      <c r="L535" s="441"/>
      <c r="M535" s="106"/>
      <c r="N535" s="53"/>
    </row>
    <row r="536" spans="2:14" ht="12.75" customHeight="1">
      <c r="B536" s="353" t="s">
        <v>7207</v>
      </c>
      <c r="D536" s="17"/>
      <c r="E536" s="51">
        <v>22</v>
      </c>
      <c r="F536" s="379">
        <v>1.2</v>
      </c>
      <c r="G536" s="379">
        <v>18</v>
      </c>
      <c r="H536" s="175"/>
      <c r="I536" s="31"/>
      <c r="J536" s="52"/>
      <c r="K536" s="154">
        <f t="shared" si="12"/>
        <v>44.4</v>
      </c>
      <c r="L536" s="441"/>
      <c r="M536" s="106"/>
      <c r="N536" s="53"/>
    </row>
    <row r="537" spans="2:14" ht="12.75" customHeight="1">
      <c r="B537" s="353" t="s">
        <v>7208</v>
      </c>
      <c r="D537" s="17"/>
      <c r="E537" s="51">
        <v>22</v>
      </c>
      <c r="F537" s="379">
        <v>1.2</v>
      </c>
      <c r="G537" s="379">
        <v>18</v>
      </c>
      <c r="H537" s="175"/>
      <c r="I537" s="31"/>
      <c r="J537" s="52"/>
      <c r="K537" s="154">
        <f t="shared" si="12"/>
        <v>44.4</v>
      </c>
      <c r="L537" s="441"/>
      <c r="M537" s="106"/>
      <c r="N537" s="53"/>
    </row>
    <row r="538" spans="2:14" ht="12.75" customHeight="1">
      <c r="B538" s="353" t="s">
        <v>7209</v>
      </c>
      <c r="D538" s="17"/>
      <c r="E538" s="51">
        <v>16.600000000000001</v>
      </c>
      <c r="F538" s="379">
        <v>3</v>
      </c>
      <c r="G538" s="379">
        <v>0</v>
      </c>
      <c r="H538" s="175"/>
      <c r="I538" s="31"/>
      <c r="J538" s="52"/>
      <c r="K538" s="154">
        <f t="shared" si="12"/>
        <v>49.800000000000004</v>
      </c>
      <c r="L538" s="441"/>
      <c r="M538" s="106"/>
      <c r="N538" s="53"/>
    </row>
    <row r="539" spans="2:14" ht="12.75" customHeight="1">
      <c r="B539" s="353" t="s">
        <v>7210</v>
      </c>
      <c r="D539" s="17"/>
      <c r="E539" s="51">
        <v>6.67</v>
      </c>
      <c r="F539" s="379">
        <v>3</v>
      </c>
      <c r="G539" s="379">
        <v>0</v>
      </c>
      <c r="H539" s="175"/>
      <c r="I539" s="31"/>
      <c r="J539" s="52"/>
      <c r="K539" s="154">
        <f t="shared" si="12"/>
        <v>20.009999999999998</v>
      </c>
      <c r="L539" s="441"/>
      <c r="M539" s="106"/>
      <c r="N539" s="53"/>
    </row>
    <row r="540" spans="2:14" ht="12.75" customHeight="1">
      <c r="B540" s="353" t="s">
        <v>7211</v>
      </c>
      <c r="D540" s="17"/>
      <c r="E540" s="51">
        <v>18.850000000000001</v>
      </c>
      <c r="F540" s="379">
        <v>3</v>
      </c>
      <c r="G540" s="379">
        <v>0</v>
      </c>
      <c r="H540" s="175"/>
      <c r="I540" s="31"/>
      <c r="J540" s="52"/>
      <c r="K540" s="154">
        <f t="shared" si="12"/>
        <v>56.550000000000004</v>
      </c>
      <c r="L540" s="441"/>
      <c r="M540" s="106"/>
      <c r="N540" s="53"/>
    </row>
    <row r="541" spans="2:14" ht="12.75" customHeight="1">
      <c r="B541" s="353" t="s">
        <v>7212</v>
      </c>
      <c r="D541" s="17"/>
      <c r="E541" s="51">
        <v>16.600000000000001</v>
      </c>
      <c r="F541" s="379">
        <v>3</v>
      </c>
      <c r="G541" s="379">
        <v>0</v>
      </c>
      <c r="H541" s="175"/>
      <c r="I541" s="31"/>
      <c r="J541" s="52"/>
      <c r="K541" s="154">
        <f t="shared" si="12"/>
        <v>49.800000000000004</v>
      </c>
      <c r="L541" s="441"/>
      <c r="M541" s="106"/>
      <c r="N541" s="53"/>
    </row>
    <row r="542" spans="2:14" ht="12.75" customHeight="1">
      <c r="B542" s="353" t="s">
        <v>7213</v>
      </c>
      <c r="D542" s="17"/>
      <c r="E542" s="51">
        <v>6.67</v>
      </c>
      <c r="F542" s="379">
        <v>3</v>
      </c>
      <c r="G542" s="379">
        <v>0</v>
      </c>
      <c r="H542" s="175"/>
      <c r="I542" s="31"/>
      <c r="J542" s="52"/>
      <c r="K542" s="154">
        <f t="shared" si="12"/>
        <v>20.009999999999998</v>
      </c>
      <c r="L542" s="441"/>
      <c r="M542" s="106"/>
      <c r="N542" s="53"/>
    </row>
    <row r="543" spans="2:14" ht="12.75" customHeight="1">
      <c r="B543" s="353" t="s">
        <v>7214</v>
      </c>
      <c r="D543" s="17"/>
      <c r="E543" s="51">
        <v>18.850000000000001</v>
      </c>
      <c r="F543" s="379">
        <v>3</v>
      </c>
      <c r="G543" s="379">
        <v>0</v>
      </c>
      <c r="H543" s="175"/>
      <c r="I543" s="31"/>
      <c r="J543" s="52"/>
      <c r="K543" s="154">
        <f t="shared" si="12"/>
        <v>56.550000000000004</v>
      </c>
      <c r="L543" s="441"/>
      <c r="M543" s="106"/>
      <c r="N543" s="53"/>
    </row>
    <row r="544" spans="2:14" ht="12.75" customHeight="1">
      <c r="B544" s="353" t="s">
        <v>7226</v>
      </c>
      <c r="D544" s="17"/>
      <c r="E544" s="355">
        <f>20.35+20.35+20.35+20.35+15.33+15.33</f>
        <v>112.06</v>
      </c>
      <c r="F544" s="379">
        <v>1.1000000000000001</v>
      </c>
      <c r="G544" s="379"/>
      <c r="H544" s="175"/>
      <c r="I544" s="31"/>
      <c r="J544" s="52"/>
      <c r="K544" s="154">
        <f>(E544*F544)+G544</f>
        <v>123.26600000000002</v>
      </c>
      <c r="L544" s="441"/>
      <c r="M544" s="106"/>
      <c r="N544" s="53"/>
    </row>
    <row r="545" spans="2:14" ht="12.75" customHeight="1">
      <c r="B545" s="207"/>
      <c r="D545" s="17"/>
      <c r="E545" s="59"/>
      <c r="F545" s="31"/>
      <c r="G545" s="31"/>
      <c r="H545" s="175"/>
      <c r="I545" s="31"/>
      <c r="J545" s="52"/>
      <c r="K545" s="154"/>
      <c r="L545" s="441"/>
      <c r="M545" s="106"/>
      <c r="N545" s="53"/>
    </row>
    <row r="546" spans="2:14" ht="12.75" customHeight="1">
      <c r="B546" s="353" t="s">
        <v>7321</v>
      </c>
      <c r="D546" s="17"/>
      <c r="E546" s="355">
        <v>287</v>
      </c>
      <c r="F546" s="379">
        <v>1</v>
      </c>
      <c r="G546" s="379"/>
      <c r="H546" s="175"/>
      <c r="I546" s="31"/>
      <c r="J546" s="52"/>
      <c r="K546" s="154">
        <f>(E546*F546)+G546</f>
        <v>287</v>
      </c>
      <c r="L546" s="441"/>
      <c r="M546" s="106"/>
      <c r="N546" s="53"/>
    </row>
    <row r="547" spans="2:14" ht="12.75" customHeight="1">
      <c r="B547" s="207"/>
      <c r="D547" s="17"/>
      <c r="E547" s="59"/>
      <c r="F547" s="31"/>
      <c r="G547" s="31"/>
      <c r="H547" s="175"/>
      <c r="I547" s="31"/>
      <c r="J547" s="52"/>
      <c r="K547" s="154"/>
      <c r="L547" s="441"/>
      <c r="M547" s="106"/>
      <c r="N547" s="53"/>
    </row>
    <row r="548" spans="2:14" ht="55.5" customHeight="1">
      <c r="B548" s="207" t="s">
        <v>7345</v>
      </c>
      <c r="C548" s="45">
        <v>87529</v>
      </c>
      <c r="D548" s="137" t="s">
        <v>7</v>
      </c>
      <c r="E548" s="689" t="str">
        <f>IFERROR(VLOOKUP($C548,'SINAPI JULHO 2021'!$1:$1048576,2,0),IFERROR(VLOOKUP($C548,'5-COMP. PROPRIA'!$B$4:$I$7999,4,0),""))</f>
        <v>MASSA ÚNICA, PARA RECEBIMENTO DE PINTURA, EM ARGAMASSA TRAÇO 1:2:8, PREPARO MECÂNICO COM BETONEIRA 400L, APLICADA MANUALMENTE EM FACES INTERNAS DE PAREDES, ESPESSURA DE 20MM, COM EXECUÇÃO DE TALISCAS. AF_06/2014</v>
      </c>
      <c r="F548" s="690"/>
      <c r="G548" s="690"/>
      <c r="H548" s="690"/>
      <c r="I548" s="690"/>
      <c r="J548" s="691"/>
      <c r="K548" s="270">
        <f>K494-K498</f>
        <v>4867.2500000000018</v>
      </c>
      <c r="L548" s="468" t="str">
        <f>IFERROR(VLOOKUP($C548,'SINAPI JULHO 2021'!$1:$1048576,3,0),IFERROR(VLOOKUP($C548,'5-COMP. PROPRIA'!$B$4:$I$7999,5,0),""))</f>
        <v>M2</v>
      </c>
      <c r="M548" s="372"/>
      <c r="N548" s="282"/>
    </row>
    <row r="549" spans="2:14" ht="12.75" customHeight="1">
      <c r="B549" s="207"/>
      <c r="D549" s="17"/>
      <c r="E549" s="59"/>
      <c r="F549" s="31"/>
      <c r="G549" s="31"/>
      <c r="H549" s="175"/>
      <c r="I549" s="31"/>
      <c r="J549" s="52"/>
      <c r="K549" s="154"/>
      <c r="L549" s="441"/>
      <c r="M549" s="106"/>
      <c r="N549" s="53"/>
    </row>
    <row r="550" spans="2:14" ht="57.75" customHeight="1">
      <c r="B550" s="207"/>
      <c r="C550" s="45">
        <v>87273</v>
      </c>
      <c r="D550" s="137" t="s">
        <v>7</v>
      </c>
      <c r="E550" s="689" t="str">
        <f>IFERROR(VLOOKUP($C550,'SINAPI JULHO 2021'!$1:$1048576,2,0),IFERROR(VLOOKUP($C550,'5-COMP. PROPRIA'!$B$4:$I$7999,4,0),""))</f>
        <v>REVESTIMENTO CERÂMICO PARA PAREDES INTERNAS COM PLACAS TIPO ESMALTADA EXTRA DE DIMENSÕES 33X45 CM APLICADAS EM AMBIENTES DE ÁREA MAIOR QUE 5 M² NA ALTURA INTEIRA DAS PAREDES. AF_06/2014</v>
      </c>
      <c r="F550" s="690"/>
      <c r="G550" s="690"/>
      <c r="H550" s="690"/>
      <c r="I550" s="690"/>
      <c r="J550" s="691"/>
      <c r="K550" s="270">
        <f>K498-K546</f>
        <v>1827.98</v>
      </c>
      <c r="L550" s="468" t="str">
        <f>IFERROR(VLOOKUP($C550,'SINAPI JULHO 2021'!$1:$1048576,3,0),IFERROR(VLOOKUP($C550,'5-COMP. PROPRIA'!$B$4:$I$7999,5,0),""))</f>
        <v>M2</v>
      </c>
      <c r="M550" s="372"/>
      <c r="N550" s="282"/>
    </row>
    <row r="551" spans="2:14" ht="12.75" customHeight="1">
      <c r="B551" s="207"/>
      <c r="D551" s="17"/>
      <c r="E551" s="58"/>
      <c r="F551" s="143"/>
      <c r="G551" s="143"/>
      <c r="H551" s="143"/>
      <c r="I551" s="143"/>
      <c r="J551" s="104"/>
      <c r="K551" s="180"/>
      <c r="L551" s="441"/>
      <c r="M551" s="106"/>
      <c r="N551" s="53"/>
    </row>
    <row r="552" spans="2:14" ht="40.5" customHeight="1">
      <c r="B552" s="207"/>
      <c r="C552" s="45">
        <v>87244</v>
      </c>
      <c r="D552" s="137" t="s">
        <v>7</v>
      </c>
      <c r="E552" s="689" t="str">
        <f>IFERROR(VLOOKUP($C552,'SINAPI JULHO 2021'!$1:$1048576,2,0),IFERROR(VLOOKUP($C552,'5-COMP. PROPRIA'!$B$4:$I$7999,4,0),""))</f>
        <v>REVESTIMENTO CERÂMICO PARA PAREDES EXTERNAS EM PASTILHAS DE PORCELANA 5 X 5 CM (PLACAS DE 30 X 30 CM), ALINHADAS A PRUMO, APLICADO EM SUPERFÍCIES EXTERNAS DA SACADA. AF_06/2014</v>
      </c>
      <c r="F552" s="690"/>
      <c r="G552" s="690"/>
      <c r="H552" s="690"/>
      <c r="I552" s="690"/>
      <c r="J552" s="691"/>
      <c r="K552" s="270">
        <f>K546</f>
        <v>287</v>
      </c>
      <c r="L552" s="468" t="str">
        <f>IFERROR(VLOOKUP($C552,'SINAPI JULHO 2021'!$1:$1048576,3,0),IFERROR(VLOOKUP($C552,'5-COMP. PROPRIA'!$B$4:$I$7999,5,0),""))</f>
        <v>M2</v>
      </c>
      <c r="M552" s="372"/>
      <c r="N552" s="282"/>
    </row>
    <row r="553" spans="2:14" ht="12.75" customHeight="1">
      <c r="B553" s="207"/>
      <c r="D553" s="17"/>
      <c r="E553" s="58"/>
      <c r="F553" s="143"/>
      <c r="G553" s="143"/>
      <c r="H553" s="143"/>
      <c r="I553" s="143"/>
      <c r="J553" s="104"/>
      <c r="K553" s="180"/>
      <c r="L553" s="441"/>
      <c r="M553" s="106"/>
      <c r="N553" s="53"/>
    </row>
    <row r="554" spans="2:14" ht="27.75" customHeight="1">
      <c r="B554" s="207"/>
      <c r="C554" s="45">
        <v>96111</v>
      </c>
      <c r="D554" s="137" t="s">
        <v>7</v>
      </c>
      <c r="E554" s="689" t="str">
        <f>IFERROR(VLOOKUP($C554,'SINAPI JULHO 2021'!$1:$1048576,2,0),IFERROR(VLOOKUP($C554,'5-COMP. PROPRIA'!$B$4:$I$7999,4,0),""))</f>
        <v>FORRO EM RÉGUAS DE PVC, FRISADO, PARA AMBIENTES RESIDENCIAIS, INCLUSIVE ESTRUTURA DE FIXAÇÃO. AF_05/2017_P</v>
      </c>
      <c r="F554" s="690"/>
      <c r="G554" s="690"/>
      <c r="H554" s="690"/>
      <c r="I554" s="690"/>
      <c r="J554" s="691"/>
      <c r="K554" s="270">
        <f>K592</f>
        <v>2012.7299999999998</v>
      </c>
      <c r="L554" s="468" t="str">
        <f>IFERROR(VLOOKUP($C554,'SINAPI JULHO 2021'!$1:$1048576,3,0),IFERROR(VLOOKUP($C554,'5-COMP. PROPRIA'!$B$4:$I$7999,5,0),""))</f>
        <v>M2</v>
      </c>
      <c r="M554" s="372"/>
      <c r="N554" s="282"/>
    </row>
    <row r="555" spans="2:14" ht="12.75" customHeight="1" thickBot="1">
      <c r="B555" s="207"/>
      <c r="D555" s="17"/>
      <c r="E555" s="58"/>
      <c r="F555" s="143"/>
      <c r="G555" s="143"/>
      <c r="H555" s="143"/>
      <c r="I555" s="143"/>
      <c r="J555" s="104"/>
      <c r="K555" s="180"/>
      <c r="L555" s="441"/>
      <c r="M555" s="106"/>
      <c r="N555" s="53"/>
    </row>
    <row r="556" spans="2:14" ht="12.75" customHeight="1" thickBot="1">
      <c r="B556" s="207"/>
      <c r="D556" s="17"/>
      <c r="E556" s="698" t="s">
        <v>6862</v>
      </c>
      <c r="F556" s="699"/>
      <c r="G556" s="699"/>
      <c r="H556" s="699"/>
      <c r="I556" s="699"/>
      <c r="J556" s="700"/>
      <c r="K556" s="180"/>
      <c r="L556" s="441"/>
      <c r="M556" s="106"/>
      <c r="N556" s="53"/>
    </row>
    <row r="557" spans="2:14" ht="12.75" customHeight="1">
      <c r="B557" s="207"/>
      <c r="D557" s="17"/>
      <c r="E557" s="734" t="s">
        <v>7234</v>
      </c>
      <c r="F557" s="735"/>
      <c r="G557" s="735"/>
      <c r="H557" s="735"/>
      <c r="I557" s="735"/>
      <c r="J557" s="736"/>
      <c r="K557" s="180"/>
      <c r="L557" s="441"/>
      <c r="M557" s="106"/>
      <c r="N557" s="53"/>
    </row>
    <row r="558" spans="2:14" ht="30.75" customHeight="1">
      <c r="B558" s="207" t="s">
        <v>7361</v>
      </c>
      <c r="C558" s="45">
        <v>94319</v>
      </c>
      <c r="D558" s="137" t="s">
        <v>7</v>
      </c>
      <c r="E558" s="689" t="str">
        <f>IFERROR(VLOOKUP($C558,'SINAPI JULHO 2021'!$1:$1048576,2,0),IFERROR(VLOOKUP($C558,'5-COMP. PROPRIA'!$B$4:$I$7999,4,0),""))</f>
        <v>ATERRO MANUAL DE VALAS COM SOLO ARGILO-ARENOSO E COMPACTAÇÃO MECANIZADA. AF_05/2016</v>
      </c>
      <c r="F558" s="690"/>
      <c r="G558" s="690"/>
      <c r="H558" s="690"/>
      <c r="I558" s="690"/>
      <c r="J558" s="691"/>
      <c r="K558" s="270">
        <v>50</v>
      </c>
      <c r="L558" s="468" t="str">
        <f>IFERROR(VLOOKUP($C558,'SINAPI JULHO 2021'!$1:$1048576,3,0),IFERROR(VLOOKUP($C558,'5-COMP. PROPRIA'!$B$4:$I$7999,5,0),""))</f>
        <v>M3</v>
      </c>
      <c r="M558" s="106"/>
      <c r="N558" s="53"/>
    </row>
    <row r="559" spans="2:14" ht="26.25" customHeight="1">
      <c r="B559" s="207"/>
      <c r="C559" s="45">
        <v>97084</v>
      </c>
      <c r="D559" s="137" t="s">
        <v>7</v>
      </c>
      <c r="E559" s="689" t="str">
        <f>IFERROR(VLOOKUP($C559,'SINAPI JULHO 2021'!$1:$1048576,2,0),IFERROR(VLOOKUP($C559,'5-COMP. PROPRIA'!$B$4:$I$7999,4,0),""))</f>
        <v>COMPACTAÇÃO MECÂNICA DE SOLO PARA EXECUÇÃO DE RADIER, COM COMPACTADOR DE SOLOS TIPO PLACA VIBRATÓRIA. AF_09/2017</v>
      </c>
      <c r="F559" s="690"/>
      <c r="G559" s="690"/>
      <c r="H559" s="690"/>
      <c r="I559" s="690"/>
      <c r="J559" s="691"/>
      <c r="K559" s="270">
        <f>K560</f>
        <v>902.91</v>
      </c>
      <c r="L559" s="468" t="str">
        <f>IFERROR(VLOOKUP($C559,'SINAPI JULHO 2021'!$1:$1048576,3,0),IFERROR(VLOOKUP($C559,'5-COMP. PROPRIA'!$B$4:$I$7999,5,0),""))</f>
        <v>M2</v>
      </c>
      <c r="M559" s="106"/>
      <c r="N559" s="53"/>
    </row>
    <row r="560" spans="2:14" ht="27.75" customHeight="1">
      <c r="B560" s="207"/>
      <c r="C560" s="45">
        <v>95241</v>
      </c>
      <c r="D560" s="137" t="s">
        <v>7</v>
      </c>
      <c r="E560" s="689" t="str">
        <f>IFERROR(VLOOKUP($C560,'SINAPI JULHO 2021'!$1:$1048576,2,0),IFERROR(VLOOKUP($C560,'5-COMP. PROPRIA'!$B$4:$I$7999,4,0),""))</f>
        <v>LASTRO DE CONCRETO MAGRO, APLICADO EM PISOS, LAJES SOBRE SOLO OU RADIERS, ESPESSURA DE 5 CM. AF_07/2016</v>
      </c>
      <c r="F560" s="690"/>
      <c r="G560" s="690"/>
      <c r="H560" s="690"/>
      <c r="I560" s="690"/>
      <c r="J560" s="691"/>
      <c r="K560" s="270">
        <f>SUM(K562:K591)</f>
        <v>902.91</v>
      </c>
      <c r="L560" s="468" t="str">
        <f>IFERROR(VLOOKUP($C560,'SINAPI JULHO 2021'!$1:$1048576,3,0),IFERROR(VLOOKUP($C560,'5-COMP. PROPRIA'!$B$4:$I$7999,5,0),""))</f>
        <v>M2</v>
      </c>
      <c r="M560" s="372"/>
      <c r="N560" s="282"/>
    </row>
    <row r="561" spans="2:14" ht="27.75" customHeight="1">
      <c r="B561" s="351" t="s">
        <v>7317</v>
      </c>
      <c r="D561" s="137"/>
      <c r="E561" s="42" t="s">
        <v>668</v>
      </c>
      <c r="F561" s="375"/>
      <c r="G561" s="375" t="s">
        <v>646</v>
      </c>
      <c r="H561" s="373"/>
      <c r="I561" s="373"/>
      <c r="J561" s="374"/>
      <c r="K561" s="270"/>
      <c r="L561" s="468"/>
      <c r="M561" s="106"/>
      <c r="N561" s="53"/>
    </row>
    <row r="562" spans="2:14" ht="12.75" customHeight="1">
      <c r="B562" s="353" t="s">
        <v>7171</v>
      </c>
      <c r="D562" s="17"/>
      <c r="E562" s="355">
        <v>12.1</v>
      </c>
      <c r="F562" s="379"/>
      <c r="G562" s="379">
        <v>1</v>
      </c>
      <c r="H562" s="143"/>
      <c r="I562" s="143"/>
      <c r="J562" s="104"/>
      <c r="K562" s="154">
        <f>E562*G562</f>
        <v>12.1</v>
      </c>
      <c r="L562" s="441"/>
      <c r="M562" s="106"/>
      <c r="N562" s="53"/>
    </row>
    <row r="563" spans="2:14" ht="12.75" customHeight="1">
      <c r="B563" s="353" t="s">
        <v>7172</v>
      </c>
      <c r="D563" s="17"/>
      <c r="E563" s="355">
        <v>13.4</v>
      </c>
      <c r="F563" s="379"/>
      <c r="G563" s="379">
        <v>1</v>
      </c>
      <c r="H563" s="143"/>
      <c r="I563" s="143"/>
      <c r="J563" s="104"/>
      <c r="K563" s="154">
        <f t="shared" ref="K563:K591" si="13">E563*G563</f>
        <v>13.4</v>
      </c>
      <c r="L563" s="441"/>
      <c r="M563" s="106"/>
      <c r="N563" s="53"/>
    </row>
    <row r="564" spans="2:14" ht="12.75" customHeight="1">
      <c r="B564" s="353" t="s">
        <v>7173</v>
      </c>
      <c r="D564" s="17"/>
      <c r="E564" s="355">
        <v>29.11</v>
      </c>
      <c r="F564" s="379"/>
      <c r="G564" s="379">
        <v>1</v>
      </c>
      <c r="H564" s="143"/>
      <c r="I564" s="143"/>
      <c r="J564" s="104"/>
      <c r="K564" s="154">
        <f t="shared" si="13"/>
        <v>29.11</v>
      </c>
      <c r="L564" s="441"/>
      <c r="M564" s="106"/>
      <c r="N564" s="53"/>
    </row>
    <row r="565" spans="2:14" ht="12.75" customHeight="1">
      <c r="B565" s="353" t="s">
        <v>7322</v>
      </c>
      <c r="D565" s="17"/>
      <c r="E565" s="355">
        <v>11.62</v>
      </c>
      <c r="F565" s="379"/>
      <c r="G565" s="379">
        <v>1</v>
      </c>
      <c r="H565" s="143"/>
      <c r="I565" s="143"/>
      <c r="J565" s="104"/>
      <c r="K565" s="154">
        <f t="shared" si="13"/>
        <v>11.62</v>
      </c>
      <c r="L565" s="441"/>
      <c r="M565" s="106"/>
      <c r="N565" s="53"/>
    </row>
    <row r="566" spans="2:14" ht="12.75" customHeight="1">
      <c r="B566" s="353" t="s">
        <v>7174</v>
      </c>
      <c r="D566" s="17"/>
      <c r="E566" s="355">
        <v>48</v>
      </c>
      <c r="F566" s="379"/>
      <c r="G566" s="379">
        <v>1</v>
      </c>
      <c r="H566" s="143"/>
      <c r="I566" s="143"/>
      <c r="J566" s="104"/>
      <c r="K566" s="154">
        <f t="shared" si="13"/>
        <v>48</v>
      </c>
      <c r="L566" s="441"/>
      <c r="M566" s="106"/>
      <c r="N566" s="53"/>
    </row>
    <row r="567" spans="2:14" ht="12.75" customHeight="1">
      <c r="B567" s="353" t="s">
        <v>7175</v>
      </c>
      <c r="D567" s="17"/>
      <c r="E567" s="355">
        <v>48</v>
      </c>
      <c r="F567" s="379"/>
      <c r="G567" s="379">
        <v>1</v>
      </c>
      <c r="H567" s="143"/>
      <c r="I567" s="143"/>
      <c r="J567" s="104"/>
      <c r="K567" s="154">
        <f t="shared" si="13"/>
        <v>48</v>
      </c>
      <c r="L567" s="441"/>
      <c r="M567" s="106"/>
      <c r="N567" s="53"/>
    </row>
    <row r="568" spans="2:14" ht="12.75" customHeight="1">
      <c r="B568" s="353" t="s">
        <v>7176</v>
      </c>
      <c r="D568" s="17"/>
      <c r="E568" s="355">
        <v>48</v>
      </c>
      <c r="F568" s="379"/>
      <c r="G568" s="379">
        <v>1</v>
      </c>
      <c r="H568" s="143"/>
      <c r="I568" s="143"/>
      <c r="J568" s="104"/>
      <c r="K568" s="154">
        <f t="shared" si="13"/>
        <v>48</v>
      </c>
      <c r="L568" s="441"/>
      <c r="M568" s="106"/>
      <c r="N568" s="53"/>
    </row>
    <row r="569" spans="2:14" ht="12.75" customHeight="1">
      <c r="B569" s="353" t="s">
        <v>7177</v>
      </c>
      <c r="D569" s="17"/>
      <c r="E569" s="355">
        <v>48</v>
      </c>
      <c r="F569" s="379"/>
      <c r="G569" s="379">
        <v>1</v>
      </c>
      <c r="H569" s="143"/>
      <c r="I569" s="143"/>
      <c r="J569" s="104"/>
      <c r="K569" s="154">
        <f t="shared" si="13"/>
        <v>48</v>
      </c>
      <c r="L569" s="441"/>
      <c r="M569" s="106"/>
      <c r="N569" s="53"/>
    </row>
    <row r="570" spans="2:14" ht="12.75" customHeight="1">
      <c r="B570" s="353" t="s">
        <v>7178</v>
      </c>
      <c r="D570" s="17"/>
      <c r="E570" s="355">
        <v>49.2</v>
      </c>
      <c r="F570" s="379"/>
      <c r="G570" s="379">
        <v>1</v>
      </c>
      <c r="H570" s="143"/>
      <c r="I570" s="143"/>
      <c r="J570" s="104"/>
      <c r="K570" s="154">
        <f t="shared" si="13"/>
        <v>49.2</v>
      </c>
      <c r="L570" s="441"/>
      <c r="M570" s="106"/>
      <c r="N570" s="53"/>
    </row>
    <row r="571" spans="2:14" ht="12.75" customHeight="1">
      <c r="B571" s="353" t="s">
        <v>7179</v>
      </c>
      <c r="D571" s="17"/>
      <c r="E571" s="355">
        <v>12.74</v>
      </c>
      <c r="F571" s="379"/>
      <c r="G571" s="379">
        <v>1</v>
      </c>
      <c r="H571" s="143"/>
      <c r="I571" s="143"/>
      <c r="J571" s="104"/>
      <c r="K571" s="154">
        <f t="shared" si="13"/>
        <v>12.74</v>
      </c>
      <c r="L571" s="441"/>
      <c r="M571" s="106"/>
      <c r="N571" s="53"/>
    </row>
    <row r="572" spans="2:14" ht="12.75" customHeight="1">
      <c r="B572" s="353" t="s">
        <v>7180</v>
      </c>
      <c r="D572" s="17"/>
      <c r="E572" s="355">
        <v>19.170000000000002</v>
      </c>
      <c r="F572" s="379"/>
      <c r="G572" s="379">
        <v>1</v>
      </c>
      <c r="H572" s="143"/>
      <c r="I572" s="143"/>
      <c r="J572" s="104"/>
      <c r="K572" s="154">
        <f t="shared" si="13"/>
        <v>19.170000000000002</v>
      </c>
      <c r="L572" s="441"/>
      <c r="M572" s="106"/>
      <c r="N572" s="53"/>
    </row>
    <row r="573" spans="2:14" ht="12.75" customHeight="1">
      <c r="B573" s="353" t="s">
        <v>7181</v>
      </c>
      <c r="D573" s="17"/>
      <c r="E573" s="355">
        <v>15.12</v>
      </c>
      <c r="F573" s="379"/>
      <c r="G573" s="379">
        <v>1</v>
      </c>
      <c r="H573" s="143"/>
      <c r="I573" s="143"/>
      <c r="J573" s="104"/>
      <c r="K573" s="154">
        <f t="shared" si="13"/>
        <v>15.12</v>
      </c>
      <c r="L573" s="441"/>
      <c r="M573" s="106"/>
      <c r="N573" s="53"/>
    </row>
    <row r="574" spans="2:14" ht="12.75" customHeight="1">
      <c r="B574" s="353" t="s">
        <v>7182</v>
      </c>
      <c r="D574" s="17"/>
      <c r="E574" s="355">
        <v>25.88</v>
      </c>
      <c r="F574" s="379"/>
      <c r="G574" s="379">
        <v>1</v>
      </c>
      <c r="H574" s="143"/>
      <c r="I574" s="143"/>
      <c r="J574" s="104"/>
      <c r="K574" s="154">
        <f t="shared" si="13"/>
        <v>25.88</v>
      </c>
      <c r="L574" s="441"/>
      <c r="M574" s="106"/>
      <c r="N574" s="53"/>
    </row>
    <row r="575" spans="2:14" ht="12.75" customHeight="1">
      <c r="B575" s="353" t="s">
        <v>7183</v>
      </c>
      <c r="D575" s="17"/>
      <c r="E575" s="355">
        <v>7.01</v>
      </c>
      <c r="F575" s="379"/>
      <c r="G575" s="379">
        <v>1</v>
      </c>
      <c r="H575" s="143"/>
      <c r="I575" s="143"/>
      <c r="J575" s="104"/>
      <c r="K575" s="154">
        <f t="shared" si="13"/>
        <v>7.01</v>
      </c>
      <c r="L575" s="441"/>
      <c r="M575" s="106"/>
      <c r="N575" s="53"/>
    </row>
    <row r="576" spans="2:14" ht="12.75" customHeight="1">
      <c r="B576" s="353" t="s">
        <v>7184</v>
      </c>
      <c r="D576" s="17"/>
      <c r="E576" s="355">
        <v>10.41</v>
      </c>
      <c r="F576" s="379"/>
      <c r="G576" s="379">
        <v>1</v>
      </c>
      <c r="H576" s="143"/>
      <c r="I576" s="143"/>
      <c r="J576" s="104"/>
      <c r="K576" s="154">
        <f t="shared" si="13"/>
        <v>10.41</v>
      </c>
      <c r="L576" s="441"/>
      <c r="M576" s="106"/>
      <c r="N576" s="53"/>
    </row>
    <row r="577" spans="2:14" ht="12.75" customHeight="1">
      <c r="B577" s="353" t="s">
        <v>7185</v>
      </c>
      <c r="D577" s="17"/>
      <c r="E577" s="355">
        <v>16.5</v>
      </c>
      <c r="F577" s="379"/>
      <c r="G577" s="379">
        <v>1</v>
      </c>
      <c r="H577" s="143"/>
      <c r="I577" s="143"/>
      <c r="J577" s="104"/>
      <c r="K577" s="154">
        <f t="shared" si="13"/>
        <v>16.5</v>
      </c>
      <c r="L577" s="441"/>
      <c r="M577" s="106"/>
      <c r="N577" s="53"/>
    </row>
    <row r="578" spans="2:14" ht="12.75" customHeight="1">
      <c r="B578" s="353" t="s">
        <v>7186</v>
      </c>
      <c r="D578" s="17"/>
      <c r="E578" s="355">
        <v>13.47</v>
      </c>
      <c r="F578" s="379"/>
      <c r="G578" s="379">
        <v>1</v>
      </c>
      <c r="H578" s="143"/>
      <c r="I578" s="143"/>
      <c r="J578" s="104"/>
      <c r="K578" s="154">
        <f t="shared" si="13"/>
        <v>13.47</v>
      </c>
      <c r="L578" s="441"/>
      <c r="M578" s="106"/>
      <c r="N578" s="53"/>
    </row>
    <row r="579" spans="2:14" ht="12.75" customHeight="1">
      <c r="B579" s="353" t="s">
        <v>7187</v>
      </c>
      <c r="D579" s="17"/>
      <c r="E579" s="355">
        <v>9.32</v>
      </c>
      <c r="F579" s="379"/>
      <c r="G579" s="379">
        <v>1</v>
      </c>
      <c r="H579" s="143"/>
      <c r="I579" s="143"/>
      <c r="J579" s="104"/>
      <c r="K579" s="154">
        <f t="shared" si="13"/>
        <v>9.32</v>
      </c>
      <c r="L579" s="441"/>
      <c r="M579" s="106"/>
      <c r="N579" s="53"/>
    </row>
    <row r="580" spans="2:14" ht="12.75" customHeight="1">
      <c r="B580" s="353" t="s">
        <v>7323</v>
      </c>
      <c r="D580" s="17"/>
      <c r="E580" s="355">
        <v>131.35</v>
      </c>
      <c r="F580" s="379"/>
      <c r="G580" s="379">
        <v>2</v>
      </c>
      <c r="H580" s="143"/>
      <c r="I580" s="143"/>
      <c r="J580" s="104"/>
      <c r="K580" s="154">
        <f t="shared" si="13"/>
        <v>262.7</v>
      </c>
      <c r="L580" s="441"/>
      <c r="M580" s="106"/>
      <c r="N580" s="53"/>
    </row>
    <row r="581" spans="2:14" ht="12.75" customHeight="1">
      <c r="B581" s="353" t="s">
        <v>7188</v>
      </c>
      <c r="D581" s="17"/>
      <c r="E581" s="355">
        <v>8.24</v>
      </c>
      <c r="F581" s="379"/>
      <c r="G581" s="379">
        <v>1</v>
      </c>
      <c r="H581" s="143"/>
      <c r="I581" s="143"/>
      <c r="J581" s="104"/>
      <c r="K581" s="154">
        <f t="shared" si="13"/>
        <v>8.24</v>
      </c>
      <c r="L581" s="441"/>
      <c r="M581" s="106"/>
      <c r="N581" s="53"/>
    </row>
    <row r="582" spans="2:14" ht="12.75" customHeight="1">
      <c r="B582" s="353" t="s">
        <v>7189</v>
      </c>
      <c r="D582" s="17"/>
      <c r="E582" s="355">
        <v>38.79</v>
      </c>
      <c r="F582" s="379"/>
      <c r="G582" s="379">
        <v>1</v>
      </c>
      <c r="H582" s="143"/>
      <c r="I582" s="143"/>
      <c r="J582" s="104"/>
      <c r="K582" s="154">
        <f t="shared" si="13"/>
        <v>38.79</v>
      </c>
      <c r="L582" s="441"/>
      <c r="M582" s="106"/>
      <c r="N582" s="53"/>
    </row>
    <row r="583" spans="2:14" ht="12.75" customHeight="1">
      <c r="B583" s="353" t="s">
        <v>7190</v>
      </c>
      <c r="D583" s="17"/>
      <c r="E583" s="355">
        <v>8.9</v>
      </c>
      <c r="F583" s="379"/>
      <c r="G583" s="379">
        <v>1</v>
      </c>
      <c r="H583" s="143"/>
      <c r="I583" s="143"/>
      <c r="J583" s="104"/>
      <c r="K583" s="154">
        <f t="shared" si="13"/>
        <v>8.9</v>
      </c>
      <c r="L583" s="441"/>
      <c r="M583" s="106"/>
      <c r="N583" s="53"/>
    </row>
    <row r="584" spans="2:14" ht="12.75" customHeight="1">
      <c r="B584" s="353" t="s">
        <v>7191</v>
      </c>
      <c r="D584" s="17"/>
      <c r="E584" s="355">
        <v>25.55</v>
      </c>
      <c r="F584" s="379"/>
      <c r="G584" s="379">
        <v>1</v>
      </c>
      <c r="H584" s="143"/>
      <c r="I584" s="143"/>
      <c r="J584" s="104"/>
      <c r="K584" s="154">
        <f t="shared" si="13"/>
        <v>25.55</v>
      </c>
      <c r="L584" s="441"/>
      <c r="M584" s="106"/>
      <c r="N584" s="53"/>
    </row>
    <row r="585" spans="2:14" ht="12.75" customHeight="1">
      <c r="B585" s="353" t="s">
        <v>7192</v>
      </c>
      <c r="D585" s="17"/>
      <c r="E585" s="355">
        <v>2.72</v>
      </c>
      <c r="F585" s="379"/>
      <c r="G585" s="379">
        <v>1</v>
      </c>
      <c r="H585" s="143"/>
      <c r="I585" s="143"/>
      <c r="J585" s="104"/>
      <c r="K585" s="154">
        <f t="shared" si="13"/>
        <v>2.72</v>
      </c>
      <c r="L585" s="441"/>
      <c r="M585" s="106"/>
      <c r="N585" s="53"/>
    </row>
    <row r="586" spans="2:14" ht="12.75" customHeight="1">
      <c r="B586" s="353" t="s">
        <v>7193</v>
      </c>
      <c r="D586" s="17"/>
      <c r="E586" s="355">
        <v>25.55</v>
      </c>
      <c r="F586" s="379"/>
      <c r="G586" s="379">
        <v>1</v>
      </c>
      <c r="H586" s="143"/>
      <c r="I586" s="143"/>
      <c r="J586" s="104"/>
      <c r="K586" s="154">
        <f t="shared" si="13"/>
        <v>25.55</v>
      </c>
      <c r="L586" s="441"/>
      <c r="M586" s="106"/>
      <c r="N586" s="53"/>
    </row>
    <row r="587" spans="2:14" ht="12.75" customHeight="1">
      <c r="B587" s="353" t="s">
        <v>7194</v>
      </c>
      <c r="D587" s="380"/>
      <c r="E587" s="355">
        <v>2.72</v>
      </c>
      <c r="F587" s="379"/>
      <c r="G587" s="379">
        <v>1</v>
      </c>
      <c r="H587" s="143"/>
      <c r="I587" s="143"/>
      <c r="J587" s="104"/>
      <c r="K587" s="154">
        <f t="shared" si="13"/>
        <v>2.72</v>
      </c>
      <c r="L587" s="441"/>
      <c r="M587" s="106"/>
      <c r="N587" s="53"/>
    </row>
    <row r="588" spans="2:14" ht="12.75" customHeight="1">
      <c r="B588" s="351" t="s">
        <v>7326</v>
      </c>
      <c r="D588" s="380"/>
      <c r="E588" s="58"/>
      <c r="F588" s="143"/>
      <c r="G588" s="143"/>
      <c r="H588" s="143"/>
      <c r="I588" s="143"/>
      <c r="J588" s="104"/>
      <c r="K588" s="154"/>
      <c r="L588" s="441"/>
      <c r="M588" s="106"/>
      <c r="N588" s="53"/>
    </row>
    <row r="589" spans="2:14" ht="12.75" customHeight="1">
      <c r="B589" s="353" t="s">
        <v>7324</v>
      </c>
      <c r="D589" s="380"/>
      <c r="E589" s="355">
        <v>2.09</v>
      </c>
      <c r="F589" s="379"/>
      <c r="G589" s="379">
        <v>1</v>
      </c>
      <c r="H589" s="143"/>
      <c r="I589" s="143"/>
      <c r="J589" s="104"/>
      <c r="K589" s="154">
        <f t="shared" si="13"/>
        <v>2.09</v>
      </c>
      <c r="L589" s="441"/>
      <c r="M589" s="106"/>
      <c r="N589" s="53"/>
    </row>
    <row r="590" spans="2:14" ht="12.75" customHeight="1">
      <c r="B590" s="353" t="s">
        <v>7331</v>
      </c>
      <c r="D590" s="380"/>
      <c r="E590" s="355">
        <v>85</v>
      </c>
      <c r="F590" s="379"/>
      <c r="G590" s="379">
        <v>1</v>
      </c>
      <c r="H590" s="143"/>
      <c r="I590" s="143"/>
      <c r="J590" s="104"/>
      <c r="K590" s="154">
        <f t="shared" si="13"/>
        <v>85</v>
      </c>
      <c r="L590" s="441"/>
      <c r="M590" s="106"/>
      <c r="N590" s="53"/>
    </row>
    <row r="591" spans="2:14" ht="12.75" customHeight="1">
      <c r="B591" s="353" t="s">
        <v>7225</v>
      </c>
      <c r="D591" s="380"/>
      <c r="E591" s="355">
        <v>3.6</v>
      </c>
      <c r="F591" s="379"/>
      <c r="G591" s="379">
        <v>1</v>
      </c>
      <c r="H591" s="143"/>
      <c r="I591" s="143"/>
      <c r="J591" s="104"/>
      <c r="K591" s="154">
        <f t="shared" si="13"/>
        <v>3.6</v>
      </c>
      <c r="L591" s="441"/>
      <c r="M591" s="106"/>
      <c r="N591" s="53"/>
    </row>
    <row r="592" spans="2:14" ht="38.25" customHeight="1">
      <c r="B592" s="365" t="s">
        <v>7344</v>
      </c>
      <c r="C592" s="45">
        <v>87620</v>
      </c>
      <c r="D592" s="137" t="s">
        <v>7</v>
      </c>
      <c r="E592" s="689" t="str">
        <f>IFERROR(VLOOKUP($C592,'SINAPI JULHO 2021'!$1:$1048576,2,0),IFERROR(VLOOKUP($C592,'5-COMP. PROPRIA'!$B$4:$I$7999,4,0),""))</f>
        <v>CONTRAPISO EM ARGAMASSA TRAÇO 1:4 (CIMENTO E AREIA), PREPARO MECÂNICO COM BETONEIRA 400 L, APLICADO EM ÁREAS SECAS SOBRE LAJE, ADERIDO, ACABAMENTO NÃO REFORÇADO, ESPESSURA 2CM. AF_07/2021</v>
      </c>
      <c r="F592" s="690"/>
      <c r="G592" s="690"/>
      <c r="H592" s="690"/>
      <c r="I592" s="690"/>
      <c r="J592" s="691"/>
      <c r="K592" s="270">
        <f>SUM(K594:K616)</f>
        <v>2012.7299999999998</v>
      </c>
      <c r="L592" s="468" t="str">
        <f>IFERROR(VLOOKUP($C592,'SINAPI JULHO 2021'!$1:$1048576,3,0),IFERROR(VLOOKUP($C592,'5-COMP. PROPRIA'!$B$4:$I$7999,5,0),""))</f>
        <v>M2</v>
      </c>
      <c r="M592" s="372"/>
      <c r="N592" s="282"/>
    </row>
    <row r="593" spans="2:14" ht="12.75" customHeight="1">
      <c r="B593" s="351" t="s">
        <v>7317</v>
      </c>
      <c r="D593" s="137"/>
      <c r="E593" s="42" t="s">
        <v>668</v>
      </c>
      <c r="F593" s="375"/>
      <c r="G593" s="375" t="s">
        <v>646</v>
      </c>
      <c r="H593" s="373"/>
      <c r="I593" s="373"/>
      <c r="J593" s="374"/>
      <c r="K593" s="270"/>
      <c r="L593" s="468"/>
      <c r="M593" s="106"/>
      <c r="N593" s="53"/>
    </row>
    <row r="594" spans="2:14" ht="12.75" customHeight="1">
      <c r="B594" s="353" t="s">
        <v>7325</v>
      </c>
      <c r="D594" s="380"/>
      <c r="E594" s="355">
        <f>SUM(K562:K587)</f>
        <v>812.21999999999991</v>
      </c>
      <c r="F594" s="379"/>
      <c r="G594" s="379">
        <v>1</v>
      </c>
      <c r="H594" s="143"/>
      <c r="I594" s="143"/>
      <c r="J594" s="104"/>
      <c r="K594" s="154">
        <f t="shared" ref="K594:K616" si="14">E594*G594</f>
        <v>812.21999999999991</v>
      </c>
      <c r="L594" s="441"/>
      <c r="M594" s="106"/>
      <c r="N594" s="53"/>
    </row>
    <row r="595" spans="2:14" ht="12.75" customHeight="1">
      <c r="B595" s="351" t="s">
        <v>7316</v>
      </c>
      <c r="D595" s="380"/>
      <c r="E595" s="58"/>
      <c r="F595" s="143"/>
      <c r="G595" s="143"/>
      <c r="H595" s="143"/>
      <c r="I595" s="143"/>
      <c r="J595" s="104"/>
      <c r="K595" s="180"/>
      <c r="L595" s="441"/>
      <c r="M595" s="106"/>
      <c r="N595" s="53"/>
    </row>
    <row r="596" spans="2:14" ht="12.75" customHeight="1">
      <c r="B596" s="353" t="s">
        <v>7197</v>
      </c>
      <c r="D596" s="380"/>
      <c r="E596" s="355">
        <v>48</v>
      </c>
      <c r="F596" s="379"/>
      <c r="G596" s="379">
        <v>1</v>
      </c>
      <c r="H596" s="143"/>
      <c r="I596" s="143"/>
      <c r="J596" s="104"/>
      <c r="K596" s="154">
        <f t="shared" si="14"/>
        <v>48</v>
      </c>
      <c r="L596" s="441"/>
      <c r="M596" s="106"/>
      <c r="N596" s="53"/>
    </row>
    <row r="597" spans="2:14" ht="12.75" customHeight="1">
      <c r="B597" s="353" t="s">
        <v>7198</v>
      </c>
      <c r="D597" s="380"/>
      <c r="E597" s="355">
        <v>48</v>
      </c>
      <c r="F597" s="379"/>
      <c r="G597" s="379">
        <v>1</v>
      </c>
      <c r="H597" s="143"/>
      <c r="I597" s="143"/>
      <c r="J597" s="104"/>
      <c r="K597" s="154">
        <f t="shared" si="14"/>
        <v>48</v>
      </c>
      <c r="L597" s="441"/>
      <c r="M597" s="106"/>
      <c r="N597" s="53"/>
    </row>
    <row r="598" spans="2:14" ht="12.75" customHeight="1">
      <c r="B598" s="353" t="s">
        <v>7199</v>
      </c>
      <c r="D598" s="380"/>
      <c r="E598" s="355">
        <v>48</v>
      </c>
      <c r="F598" s="379"/>
      <c r="G598" s="379">
        <v>1</v>
      </c>
      <c r="H598" s="143"/>
      <c r="I598" s="143"/>
      <c r="J598" s="104"/>
      <c r="K598" s="154">
        <f t="shared" si="14"/>
        <v>48</v>
      </c>
      <c r="L598" s="441"/>
      <c r="M598" s="106"/>
      <c r="N598" s="53"/>
    </row>
    <row r="599" spans="2:14" ht="12.75" customHeight="1">
      <c r="B599" s="353" t="s">
        <v>7200</v>
      </c>
      <c r="D599" s="380"/>
      <c r="E599" s="355">
        <v>48</v>
      </c>
      <c r="F599" s="379"/>
      <c r="G599" s="379">
        <v>1</v>
      </c>
      <c r="H599" s="143"/>
      <c r="I599" s="143"/>
      <c r="J599" s="104"/>
      <c r="K599" s="154">
        <f t="shared" si="14"/>
        <v>48</v>
      </c>
      <c r="L599" s="441"/>
      <c r="M599" s="106"/>
      <c r="N599" s="53"/>
    </row>
    <row r="600" spans="2:14" ht="12.75" customHeight="1">
      <c r="B600" s="353" t="s">
        <v>7201</v>
      </c>
      <c r="D600" s="380"/>
      <c r="E600" s="355">
        <v>49.2</v>
      </c>
      <c r="F600" s="379"/>
      <c r="G600" s="379">
        <v>1</v>
      </c>
      <c r="H600" s="143"/>
      <c r="I600" s="143"/>
      <c r="J600" s="104"/>
      <c r="K600" s="154">
        <f t="shared" si="14"/>
        <v>49.2</v>
      </c>
      <c r="L600" s="441"/>
      <c r="M600" s="106"/>
      <c r="N600" s="53"/>
    </row>
    <row r="601" spans="2:14" ht="12.75" customHeight="1">
      <c r="B601" s="353" t="s">
        <v>7202</v>
      </c>
      <c r="D601" s="380"/>
      <c r="E601" s="355">
        <v>32.590000000000003</v>
      </c>
      <c r="F601" s="379"/>
      <c r="G601" s="379">
        <v>1</v>
      </c>
      <c r="H601" s="143"/>
      <c r="I601" s="143"/>
      <c r="J601" s="104"/>
      <c r="K601" s="154">
        <f t="shared" si="14"/>
        <v>32.590000000000003</v>
      </c>
      <c r="L601" s="441"/>
      <c r="M601" s="106"/>
      <c r="N601" s="53"/>
    </row>
    <row r="602" spans="2:14" ht="12.75" customHeight="1">
      <c r="B602" s="353" t="s">
        <v>7203</v>
      </c>
      <c r="D602" s="380"/>
      <c r="E602" s="355">
        <v>72.92</v>
      </c>
      <c r="F602" s="379"/>
      <c r="G602" s="379">
        <v>1</v>
      </c>
      <c r="H602" s="143"/>
      <c r="I602" s="143"/>
      <c r="J602" s="104"/>
      <c r="K602" s="154">
        <f t="shared" si="14"/>
        <v>72.92</v>
      </c>
      <c r="L602" s="441"/>
      <c r="M602" s="106"/>
      <c r="N602" s="53"/>
    </row>
    <row r="603" spans="2:14" ht="12.75" customHeight="1">
      <c r="B603" s="353" t="s">
        <v>7204</v>
      </c>
      <c r="D603" s="380"/>
      <c r="E603" s="355">
        <v>49.2</v>
      </c>
      <c r="F603" s="379"/>
      <c r="G603" s="379">
        <v>1</v>
      </c>
      <c r="H603" s="143"/>
      <c r="I603" s="143"/>
      <c r="J603" s="104"/>
      <c r="K603" s="154">
        <f t="shared" si="14"/>
        <v>49.2</v>
      </c>
      <c r="L603" s="441"/>
      <c r="M603" s="106"/>
      <c r="N603" s="53"/>
    </row>
    <row r="604" spans="2:14" ht="12.75" customHeight="1">
      <c r="B604" s="353" t="s">
        <v>7205</v>
      </c>
      <c r="D604" s="380"/>
      <c r="E604" s="355">
        <v>48</v>
      </c>
      <c r="F604" s="379"/>
      <c r="G604" s="379">
        <v>1</v>
      </c>
      <c r="H604" s="143"/>
      <c r="I604" s="143"/>
      <c r="J604" s="104"/>
      <c r="K604" s="154">
        <f t="shared" si="14"/>
        <v>48</v>
      </c>
      <c r="L604" s="441"/>
      <c r="M604" s="106"/>
      <c r="N604" s="53"/>
    </row>
    <row r="605" spans="2:14" ht="12.75" customHeight="1">
      <c r="B605" s="353" t="s">
        <v>7206</v>
      </c>
      <c r="D605" s="380"/>
      <c r="E605" s="355">
        <v>48</v>
      </c>
      <c r="F605" s="379"/>
      <c r="G605" s="379">
        <v>1</v>
      </c>
      <c r="H605" s="143"/>
      <c r="I605" s="143"/>
      <c r="J605" s="104"/>
      <c r="K605" s="154">
        <f t="shared" si="14"/>
        <v>48</v>
      </c>
      <c r="L605" s="441"/>
      <c r="M605" s="106"/>
      <c r="N605" s="53"/>
    </row>
    <row r="606" spans="2:14" ht="12.75" customHeight="1">
      <c r="B606" s="353" t="s">
        <v>7207</v>
      </c>
      <c r="D606" s="380"/>
      <c r="E606" s="355">
        <v>48</v>
      </c>
      <c r="F606" s="379"/>
      <c r="G606" s="379">
        <v>1</v>
      </c>
      <c r="H606" s="143"/>
      <c r="I606" s="143"/>
      <c r="J606" s="104"/>
      <c r="K606" s="154">
        <f t="shared" si="14"/>
        <v>48</v>
      </c>
      <c r="L606" s="441"/>
      <c r="M606" s="106"/>
      <c r="N606" s="53"/>
    </row>
    <row r="607" spans="2:14" ht="12.75" customHeight="1">
      <c r="B607" s="353" t="s">
        <v>7208</v>
      </c>
      <c r="D607" s="380"/>
      <c r="E607" s="355">
        <v>48</v>
      </c>
      <c r="F607" s="379"/>
      <c r="G607" s="379">
        <v>1</v>
      </c>
      <c r="H607" s="143"/>
      <c r="I607" s="143"/>
      <c r="J607" s="104"/>
      <c r="K607" s="154">
        <f t="shared" si="14"/>
        <v>48</v>
      </c>
      <c r="L607" s="441"/>
      <c r="M607" s="106"/>
      <c r="N607" s="53"/>
    </row>
    <row r="608" spans="2:14" ht="12.75" customHeight="1">
      <c r="B608" s="353" t="s">
        <v>7209</v>
      </c>
      <c r="D608" s="380"/>
      <c r="E608" s="355">
        <v>11.77</v>
      </c>
      <c r="F608" s="379"/>
      <c r="G608" s="379">
        <v>1</v>
      </c>
      <c r="H608" s="143"/>
      <c r="I608" s="143"/>
      <c r="J608" s="104"/>
      <c r="K608" s="154">
        <f t="shared" si="14"/>
        <v>11.77</v>
      </c>
      <c r="L608" s="441"/>
      <c r="M608" s="106"/>
      <c r="N608" s="53"/>
    </row>
    <row r="609" spans="2:14" ht="12.75" customHeight="1">
      <c r="B609" s="353" t="s">
        <v>7210</v>
      </c>
      <c r="D609" s="380"/>
      <c r="E609" s="355">
        <v>6.67</v>
      </c>
      <c r="F609" s="379"/>
      <c r="G609" s="379">
        <v>1</v>
      </c>
      <c r="H609" s="143"/>
      <c r="I609" s="143"/>
      <c r="J609" s="104"/>
      <c r="K609" s="154">
        <f t="shared" si="14"/>
        <v>6.67</v>
      </c>
      <c r="L609" s="441"/>
      <c r="M609" s="106"/>
      <c r="N609" s="53"/>
    </row>
    <row r="610" spans="2:14" ht="12.75" customHeight="1">
      <c r="B610" s="353" t="s">
        <v>7211</v>
      </c>
      <c r="D610" s="380"/>
      <c r="E610" s="355">
        <v>21.62</v>
      </c>
      <c r="F610" s="379"/>
      <c r="G610" s="379">
        <v>1</v>
      </c>
      <c r="H610" s="143"/>
      <c r="I610" s="143"/>
      <c r="J610" s="104"/>
      <c r="K610" s="154">
        <f t="shared" si="14"/>
        <v>21.62</v>
      </c>
      <c r="L610" s="441"/>
      <c r="M610" s="106"/>
      <c r="N610" s="53"/>
    </row>
    <row r="611" spans="2:14" ht="12.75" customHeight="1">
      <c r="B611" s="353" t="s">
        <v>7212</v>
      </c>
      <c r="D611" s="380"/>
      <c r="E611" s="355">
        <v>11.77</v>
      </c>
      <c r="F611" s="379"/>
      <c r="G611" s="379">
        <v>1</v>
      </c>
      <c r="H611" s="143"/>
      <c r="I611" s="143"/>
      <c r="J611" s="104"/>
      <c r="K611" s="154">
        <f t="shared" si="14"/>
        <v>11.77</v>
      </c>
      <c r="L611" s="441"/>
      <c r="M611" s="106"/>
      <c r="N611" s="53"/>
    </row>
    <row r="612" spans="2:14" ht="12.75" customHeight="1">
      <c r="B612" s="353" t="s">
        <v>7213</v>
      </c>
      <c r="D612" s="380"/>
      <c r="E612" s="355">
        <v>6.67</v>
      </c>
      <c r="F612" s="379"/>
      <c r="G612" s="379">
        <v>1</v>
      </c>
      <c r="H612" s="143"/>
      <c r="I612" s="143"/>
      <c r="J612" s="104"/>
      <c r="K612" s="154">
        <f t="shared" si="14"/>
        <v>6.67</v>
      </c>
      <c r="L612" s="441"/>
      <c r="M612" s="106"/>
      <c r="N612" s="53"/>
    </row>
    <row r="613" spans="2:14" ht="12.75" customHeight="1">
      <c r="B613" s="353" t="s">
        <v>7214</v>
      </c>
      <c r="D613" s="380"/>
      <c r="E613" s="355">
        <v>21.62</v>
      </c>
      <c r="F613" s="379"/>
      <c r="G613" s="379">
        <v>1</v>
      </c>
      <c r="H613" s="143"/>
      <c r="I613" s="143"/>
      <c r="J613" s="104"/>
      <c r="K613" s="154">
        <f t="shared" si="14"/>
        <v>21.62</v>
      </c>
      <c r="L613" s="441"/>
      <c r="M613" s="106"/>
      <c r="N613" s="53"/>
    </row>
    <row r="614" spans="2:14" ht="12.75" customHeight="1">
      <c r="B614" s="353" t="s">
        <v>7184</v>
      </c>
      <c r="D614" s="380"/>
      <c r="E614" s="355">
        <v>196.24</v>
      </c>
      <c r="F614" s="379"/>
      <c r="G614" s="379">
        <v>2</v>
      </c>
      <c r="H614" s="143"/>
      <c r="I614" s="143"/>
      <c r="J614" s="104"/>
      <c r="K614" s="154">
        <f t="shared" si="14"/>
        <v>392.48</v>
      </c>
      <c r="L614" s="441"/>
      <c r="M614" s="106"/>
      <c r="N614" s="53"/>
    </row>
    <row r="615" spans="2:14" ht="12.75" customHeight="1">
      <c r="B615" s="351" t="s">
        <v>7326</v>
      </c>
      <c r="D615" s="380"/>
      <c r="E615" s="113"/>
      <c r="F615" s="143"/>
      <c r="G615" s="143"/>
      <c r="H615" s="143"/>
      <c r="I615" s="143"/>
      <c r="J615" s="104"/>
      <c r="K615" s="154"/>
      <c r="L615" s="441"/>
      <c r="M615" s="106"/>
      <c r="N615" s="53"/>
    </row>
    <row r="616" spans="2:14" ht="12.75" customHeight="1">
      <c r="B616" s="353" t="s">
        <v>7226</v>
      </c>
      <c r="C616" s="378"/>
      <c r="D616" s="381"/>
      <c r="E616" s="355">
        <v>140</v>
      </c>
      <c r="F616" s="379"/>
      <c r="G616" s="379">
        <v>1</v>
      </c>
      <c r="H616" s="143"/>
      <c r="I616" s="143"/>
      <c r="J616" s="104"/>
      <c r="K616" s="154">
        <f t="shared" si="14"/>
        <v>140</v>
      </c>
      <c r="L616" s="441"/>
      <c r="M616" s="106"/>
      <c r="N616" s="53"/>
    </row>
    <row r="617" spans="2:14" ht="24.75" customHeight="1">
      <c r="B617" s="353"/>
      <c r="C617" s="239" t="str">
        <f>'5-COMP. PROPRIA'!B144</f>
        <v>CP-PIS-01</v>
      </c>
      <c r="D617" s="137" t="s">
        <v>4271</v>
      </c>
      <c r="E617" s="689" t="str">
        <f>IFERROR(VLOOKUP($C617,'SINAPI JULHO 2021'!$1:$1048576,2,0),IFERROR(VLOOKUP($C617,'5-COMP. PROPRIA'!$B$4:$I$7999,4,0),""))</f>
        <v>PISO GRANILITE MOLDADO IN LOCO - FORNECIMENTO E INSTALAÇÃO</v>
      </c>
      <c r="F617" s="690"/>
      <c r="G617" s="690"/>
      <c r="H617" s="690"/>
      <c r="I617" s="690"/>
      <c r="J617" s="691"/>
      <c r="K617" s="382">
        <f>SUM(K562:K587)+SUM(K596:K614)</f>
        <v>1872.7299999999996</v>
      </c>
      <c r="L617" s="468" t="str">
        <f>IFERROR(VLOOKUP($C617,'SINAPI JULHO 2021'!$1:$1048576,3,0),IFERROR(VLOOKUP($C617,'5-COMP. PROPRIA'!$B$4:$I$7999,5,0),""))</f>
        <v>M2</v>
      </c>
      <c r="M617" s="372"/>
      <c r="N617" s="282"/>
    </row>
    <row r="618" spans="2:14" ht="23.25" customHeight="1">
      <c r="B618" s="351" t="s">
        <v>7351</v>
      </c>
      <c r="C618" s="239" t="str">
        <f>'5-COMP. PROPRIA'!B149</f>
        <v>CP-PIS-02</v>
      </c>
      <c r="D618" s="137" t="s">
        <v>4271</v>
      </c>
      <c r="E618" s="689" t="str">
        <f>IFERROR(VLOOKUP($C618,'SINAPI JULHO 2021'!$1:$1048576,2,0),IFERROR(VLOOKUP($C618,'5-COMP. PROPRIA'!$B$4:$I$7999,4,0),""))</f>
        <v>PISO FULGET (GRANITO LAVADO) MOLDADO IN LOCO FORNECIMENTO E INSTALAÇÃO.</v>
      </c>
      <c r="F618" s="690"/>
      <c r="G618" s="690"/>
      <c r="H618" s="690"/>
      <c r="I618" s="690"/>
      <c r="J618" s="691"/>
      <c r="K618" s="382">
        <f>K616*1.0833</f>
        <v>151.66199999999998</v>
      </c>
      <c r="L618" s="468" t="str">
        <f>IFERROR(VLOOKUP($C618,'SINAPI JULHO 2021'!$1:$1048576,3,0),IFERROR(VLOOKUP($C618,'5-COMP. PROPRIA'!$B$4:$I$7999,5,0),""))</f>
        <v>M2</v>
      </c>
      <c r="M618" s="372"/>
      <c r="N618" s="282"/>
    </row>
    <row r="619" spans="2:14" ht="28.5" customHeight="1">
      <c r="B619" s="353" t="s">
        <v>7332</v>
      </c>
      <c r="C619" s="239">
        <v>92399</v>
      </c>
      <c r="D619" s="137" t="s">
        <v>7</v>
      </c>
      <c r="E619" s="689" t="str">
        <f>IFERROR(VLOOKUP($C619,'SINAPI JULHO 2021'!$1:$1048576,2,0),IFERROR(VLOOKUP($C619,'5-COMP. PROPRIA'!$B$4:$I$7999,4,0),""))</f>
        <v>EXECUÇÃO DE VIA EM PISO INTERTRAVADO, COM BLOCO RETANGULAR COR NATURAL DE 20 X 10 CM, ESPESSURA 8 CM. AF_12/2015</v>
      </c>
      <c r="F619" s="690"/>
      <c r="G619" s="690"/>
      <c r="H619" s="690"/>
      <c r="I619" s="690"/>
      <c r="J619" s="691"/>
      <c r="K619" s="382">
        <f>SUM(K621:K623)</f>
        <v>515</v>
      </c>
      <c r="L619" s="468" t="str">
        <f>IFERROR(VLOOKUP($C619,'SINAPI JULHO 2021'!$1:$1048576,3,0),IFERROR(VLOOKUP($C619,'5-COMP. PROPRIA'!$B$4:$I$7999,5,0),""))</f>
        <v>M2</v>
      </c>
      <c r="M619" s="372"/>
      <c r="N619" s="282"/>
    </row>
    <row r="620" spans="2:14" ht="12.75" customHeight="1">
      <c r="B620" s="353"/>
      <c r="D620" s="380"/>
      <c r="E620" s="42" t="s">
        <v>668</v>
      </c>
      <c r="F620" s="375"/>
      <c r="G620" s="375" t="s">
        <v>646</v>
      </c>
      <c r="H620" s="143"/>
      <c r="I620" s="143"/>
      <c r="J620" s="104"/>
      <c r="K620" s="180"/>
      <c r="L620" s="441"/>
      <c r="M620" s="106"/>
      <c r="N620" s="53"/>
    </row>
    <row r="621" spans="2:14" ht="33.75" customHeight="1">
      <c r="B621" s="351" t="s">
        <v>7336</v>
      </c>
      <c r="D621" s="380"/>
      <c r="E621" s="355">
        <f>205</f>
        <v>205</v>
      </c>
      <c r="F621" s="379"/>
      <c r="G621" s="379">
        <v>1</v>
      </c>
      <c r="H621" s="143"/>
      <c r="I621" s="143"/>
      <c r="J621" s="104"/>
      <c r="K621" s="154">
        <f>E621*G621</f>
        <v>205</v>
      </c>
      <c r="L621" s="441"/>
      <c r="M621" s="106"/>
      <c r="N621" s="53"/>
    </row>
    <row r="622" spans="2:14" ht="24" customHeight="1">
      <c r="B622" s="351" t="s">
        <v>7328</v>
      </c>
      <c r="D622" s="380"/>
      <c r="E622" s="355">
        <v>225</v>
      </c>
      <c r="F622" s="379"/>
      <c r="G622" s="379">
        <v>1</v>
      </c>
      <c r="H622" s="143"/>
      <c r="I622" s="143"/>
      <c r="J622" s="104"/>
      <c r="K622" s="154">
        <f>E622*G622</f>
        <v>225</v>
      </c>
      <c r="L622" s="441"/>
      <c r="M622" s="106"/>
      <c r="N622" s="53"/>
    </row>
    <row r="623" spans="2:14" ht="29.25" customHeight="1">
      <c r="B623" s="351" t="s">
        <v>7329</v>
      </c>
      <c r="D623" s="380"/>
      <c r="E623" s="355">
        <v>85</v>
      </c>
      <c r="F623" s="379"/>
      <c r="G623" s="379">
        <v>1</v>
      </c>
      <c r="H623" s="143"/>
      <c r="I623" s="143"/>
      <c r="J623" s="104"/>
      <c r="K623" s="154">
        <f>E623*G623</f>
        <v>85</v>
      </c>
      <c r="L623" s="441"/>
      <c r="M623" s="106"/>
      <c r="N623" s="53"/>
    </row>
    <row r="624" spans="2:14" ht="35.25" customHeight="1">
      <c r="B624" s="351" t="s">
        <v>7330</v>
      </c>
      <c r="C624" s="239">
        <v>101733</v>
      </c>
      <c r="D624" s="137" t="s">
        <v>7</v>
      </c>
      <c r="E624" s="689" t="str">
        <f>IFERROR(VLOOKUP($C624,'SINAPI JULHO 2021'!$1:$1048576,2,0),IFERROR(VLOOKUP($C624,'5-COMP. PROPRIA'!$B$4:$I$7999,4,0),""))</f>
        <v>PISO DE BORRACHA PASTILHADO/FRISADO, ESPESSURA 7MM, ASSENTADO COM ARGAMASSA. AF_09/2020</v>
      </c>
      <c r="F624" s="690"/>
      <c r="G624" s="690"/>
      <c r="H624" s="690"/>
      <c r="I624" s="690"/>
      <c r="J624" s="691"/>
      <c r="K624" s="382">
        <f>85</f>
        <v>85</v>
      </c>
      <c r="L624" s="468" t="str">
        <f>IFERROR(VLOOKUP($C624,'SINAPI JULHO 2021'!$1:$1048576,3,0),IFERROR(VLOOKUP($C624,'5-COMP. PROPRIA'!$B$4:$I$7999,5,0),""))</f>
        <v>M2</v>
      </c>
      <c r="M624" s="372"/>
      <c r="N624" s="282"/>
    </row>
    <row r="625" spans="2:21" ht="51.75" customHeight="1">
      <c r="B625" s="351" t="s">
        <v>7386</v>
      </c>
      <c r="C625" s="239">
        <v>101749</v>
      </c>
      <c r="D625" s="137" t="s">
        <v>7</v>
      </c>
      <c r="E625" s="689" t="str">
        <f>IFERROR(VLOOKUP($C625,'SINAPI JULHO 2021'!$1:$1048576,2,0),IFERROR(VLOOKUP($C625,'5-COMP. PROPRIA'!$B$4:$I$7999,4,0),""))</f>
        <v>PISO CIMENTADO, TRAÇO 1:3 (CIMENTO E AREIA), ACABAMENTO LISO, ESPESSURA 4,0 CM, PREPARO MECÂNICO DA ARGAMASSA. AF_09/2020</v>
      </c>
      <c r="F625" s="690"/>
      <c r="G625" s="690"/>
      <c r="H625" s="690"/>
      <c r="I625" s="690"/>
      <c r="J625" s="691"/>
      <c r="K625" s="382">
        <f>8.2+(61*0.6)</f>
        <v>44.8</v>
      </c>
      <c r="L625" s="468" t="str">
        <f>IFERROR(VLOOKUP($C625,'SINAPI JULHO 2021'!$1:$1048576,3,0),IFERROR(VLOOKUP($C625,'5-COMP. PROPRIA'!$B$4:$I$7999,5,0),""))</f>
        <v>M2</v>
      </c>
      <c r="M625" s="106"/>
      <c r="N625" s="53"/>
    </row>
    <row r="626" spans="2:21" ht="33" customHeight="1">
      <c r="B626" s="351" t="s">
        <v>7333</v>
      </c>
      <c r="C626" s="239">
        <v>98554</v>
      </c>
      <c r="D626" s="137" t="s">
        <v>7</v>
      </c>
      <c r="E626" s="689" t="str">
        <f>IFERROR(VLOOKUP($C626,'SINAPI JULHO 2021'!$1:$1048576,2,0),IFERROR(VLOOKUP($C626,'5-COMP. PROPRIA'!$B$4:$I$7999,4,0),""))</f>
        <v>IMPERMEABILIZAÇÃO DE SUPERFÍCIE COM MEMBRANA À BASE DE RESINA ACRÍLICA, 3 DEMÃOS. AF_06/2018</v>
      </c>
      <c r="F626" s="690"/>
      <c r="G626" s="690"/>
      <c r="H626" s="690"/>
      <c r="I626" s="690"/>
      <c r="J626" s="691"/>
      <c r="K626" s="382">
        <f>K617+K618</f>
        <v>2024.3919999999996</v>
      </c>
      <c r="L626" s="468" t="str">
        <f>IFERROR(VLOOKUP($C626,'SINAPI JULHO 2021'!$1:$1048576,3,0),IFERROR(VLOOKUP($C626,'5-COMP. PROPRIA'!$B$4:$I$7999,5,0),""))</f>
        <v>M2</v>
      </c>
      <c r="M626" s="372"/>
      <c r="N626" s="282"/>
    </row>
    <row r="627" spans="2:21" ht="25.5">
      <c r="B627" s="351" t="s">
        <v>7343</v>
      </c>
      <c r="C627" s="239">
        <v>101094</v>
      </c>
      <c r="D627" s="137" t="s">
        <v>7</v>
      </c>
      <c r="E627" s="689" t="str">
        <f>IFERROR(VLOOKUP($C627,'SINAPI JULHO 2021'!$1:$1048576,2,0),IFERROR(VLOOKUP($C627,'5-COMP. PROPRIA'!$B$4:$I$7999,4,0),""))</f>
        <v>PISO PODOTÁTIL, DIRECIONAL OU ALERTA, ASSENTADO SOBRE ARGAMASSA. AF_05/2020</v>
      </c>
      <c r="F627" s="690"/>
      <c r="G627" s="690"/>
      <c r="H627" s="690"/>
      <c r="I627" s="690"/>
      <c r="J627" s="691"/>
      <c r="K627" s="382">
        <f>SUM(K629:K630)</f>
        <v>332.45000000000005</v>
      </c>
      <c r="L627" s="468" t="str">
        <f>IFERROR(VLOOKUP($C627,'SINAPI JULHO 2021'!$1:$1048576,3,0),IFERROR(VLOOKUP($C627,'5-COMP. PROPRIA'!$B$4:$I$7999,5,0),""))</f>
        <v>M</v>
      </c>
      <c r="M627" s="372"/>
      <c r="N627" s="282"/>
    </row>
    <row r="628" spans="2:21" ht="12.75" customHeight="1">
      <c r="B628" s="353"/>
      <c r="D628" s="380"/>
      <c r="E628" s="42" t="s">
        <v>668</v>
      </c>
      <c r="F628" s="375"/>
      <c r="G628" s="375" t="s">
        <v>646</v>
      </c>
      <c r="H628" s="143"/>
      <c r="I628" s="143"/>
      <c r="J628" s="104"/>
      <c r="K628" s="180"/>
      <c r="L628" s="441"/>
      <c r="M628" s="106"/>
      <c r="N628" s="53"/>
    </row>
    <row r="629" spans="2:21">
      <c r="B629" s="353"/>
      <c r="D629" s="380"/>
      <c r="E629" s="355">
        <f>33.3+10.75+71+20.25+77.5+26.25</f>
        <v>239.05</v>
      </c>
      <c r="F629" s="379"/>
      <c r="G629" s="379">
        <v>1</v>
      </c>
      <c r="H629" s="143"/>
      <c r="I629" s="143"/>
      <c r="J629" s="104"/>
      <c r="K629" s="154">
        <f>E629*G629</f>
        <v>239.05</v>
      </c>
      <c r="L629" s="441"/>
      <c r="M629" s="106"/>
      <c r="N629" s="53"/>
    </row>
    <row r="630" spans="2:21">
      <c r="B630" s="353"/>
      <c r="D630" s="380"/>
      <c r="E630" s="355">
        <v>93.4</v>
      </c>
      <c r="F630" s="379"/>
      <c r="G630" s="379">
        <v>1</v>
      </c>
      <c r="H630" s="143"/>
      <c r="I630" s="143"/>
      <c r="J630" s="104"/>
      <c r="K630" s="154">
        <f>E630*G630</f>
        <v>93.4</v>
      </c>
      <c r="L630" s="441"/>
      <c r="M630" s="106"/>
      <c r="N630" s="53"/>
    </row>
    <row r="631" spans="2:21" ht="15">
      <c r="B631" s="351" t="s">
        <v>7334</v>
      </c>
      <c r="C631" s="239">
        <v>98504</v>
      </c>
      <c r="D631" s="137" t="s">
        <v>7</v>
      </c>
      <c r="E631" s="689" t="str">
        <f>IFERROR(VLOOKUP($C631,'SINAPI JULHO 2021'!$1:$1048576,2,0),IFERROR(VLOOKUP($C631,'5-COMP. PROPRIA'!$B$4:$I$7999,4,0),""))</f>
        <v>PLANTIO DE GRAMA EM PLACAS. AF_05/2018</v>
      </c>
      <c r="F631" s="690"/>
      <c r="G631" s="690"/>
      <c r="H631" s="690"/>
      <c r="I631" s="690"/>
      <c r="J631" s="691"/>
      <c r="K631" s="382">
        <f>167+57</f>
        <v>224</v>
      </c>
      <c r="L631" s="468" t="str">
        <f>IFERROR(VLOOKUP($C631,'SINAPI JULHO 2021'!$1:$1048576,3,0),IFERROR(VLOOKUP($C631,'5-COMP. PROPRIA'!$B$4:$I$7999,5,0),""))</f>
        <v>M2</v>
      </c>
      <c r="M631" s="372"/>
      <c r="N631" s="282"/>
    </row>
    <row r="632" spans="2:21" ht="26.25" customHeight="1">
      <c r="B632" s="353"/>
      <c r="C632" s="239">
        <v>100324</v>
      </c>
      <c r="D632" s="137" t="s">
        <v>7</v>
      </c>
      <c r="E632" s="689" t="str">
        <f>IFERROR(VLOOKUP($C632,'SINAPI JULHO 2021'!$1:$1048576,2,0),IFERROR(VLOOKUP($C632,'5-COMP. PROPRIA'!$B$4:$I$7999,4,0),""))</f>
        <v>LASTRO COM MATERIAL GRANULAR (PEDRA BRITADA N.1 E PEDRA BRITADA N.2), APLICADO EM PISOS OU LAJES SOBRE SOLO, ESPESSURA DE *10 CM*. AF_07/2019</v>
      </c>
      <c r="F632" s="690"/>
      <c r="G632" s="690"/>
      <c r="H632" s="690"/>
      <c r="I632" s="690"/>
      <c r="J632" s="691"/>
      <c r="K632" s="382">
        <v>15</v>
      </c>
      <c r="L632" s="468" t="str">
        <f>IFERROR(VLOOKUP($C632,'SINAPI JULHO 2021'!$1:$1048576,3,0),IFERROR(VLOOKUP($C632,'5-COMP. PROPRIA'!$B$4:$I$7999,5,0),""))</f>
        <v>M3</v>
      </c>
      <c r="M632" s="372"/>
      <c r="N632" s="282"/>
    </row>
    <row r="633" spans="2:21" ht="43.5" customHeight="1" thickBot="1">
      <c r="B633" s="351" t="s">
        <v>7364</v>
      </c>
      <c r="C633" s="239">
        <v>94269</v>
      </c>
      <c r="D633" s="137" t="s">
        <v>7</v>
      </c>
      <c r="E633" s="689" t="str">
        <f>IFERROR(VLOOKUP($C633,'SINAPI JULHO 2021'!$1:$1048576,2,0),IFERROR(VLOOKUP($C633,'5-COMP. PROPRIA'!$B$4:$I$7999,4,0),""))</f>
        <v>GUIA (MEIO-FIO) E SARJETA CONJUGADOS DE CONCRETO, MOLDADA  IN LOCO  EM TRECHO RETO COM EXTRUSORA, 60 CM BASE (15 CM BASE DA GUIA + 45 CM BASE DA SARJETA) X 26 CM ALTURA. AF_06/2016</v>
      </c>
      <c r="F633" s="690"/>
      <c r="G633" s="690"/>
      <c r="H633" s="690"/>
      <c r="I633" s="690"/>
      <c r="J633" s="691"/>
      <c r="K633" s="382">
        <v>135</v>
      </c>
      <c r="L633" s="468" t="str">
        <f>IFERROR(VLOOKUP($C633,'SINAPI JULHO 2021'!$1:$1048576,3,0),IFERROR(VLOOKUP($C633,'5-COMP. PROPRIA'!$B$4:$I$7999,5,0),""))</f>
        <v>M</v>
      </c>
      <c r="M633" s="372"/>
      <c r="N633" s="282"/>
    </row>
    <row r="634" spans="2:21" ht="13.5" thickBot="1">
      <c r="B634" s="353"/>
      <c r="D634" s="380"/>
      <c r="E634" s="728" t="s">
        <v>7246</v>
      </c>
      <c r="F634" s="729"/>
      <c r="G634" s="729"/>
      <c r="H634" s="729"/>
      <c r="I634" s="729"/>
      <c r="J634" s="730"/>
      <c r="K634" s="180"/>
      <c r="L634" s="441"/>
      <c r="M634" s="106"/>
      <c r="N634" s="53"/>
    </row>
    <row r="635" spans="2:21" ht="25.5">
      <c r="B635" s="351" t="s">
        <v>7337</v>
      </c>
      <c r="C635" s="239">
        <v>102488</v>
      </c>
      <c r="D635" s="137" t="s">
        <v>7</v>
      </c>
      <c r="E635" s="689" t="str">
        <f>IFERROR(VLOOKUP($C635,'SINAPI JULHO 2021'!$1:$1048576,2,0),IFERROR(VLOOKUP($C635,'5-COMP. PROPRIA'!$B$4:$I$7999,4,0),""))</f>
        <v>PREPARO DO PISO CIMENTADO PARA PINTURA - LIXAMENTO E LIMPEZA. AF_05/2021</v>
      </c>
      <c r="F635" s="690"/>
      <c r="G635" s="690"/>
      <c r="H635" s="690"/>
      <c r="I635" s="690"/>
      <c r="J635" s="691"/>
      <c r="K635" s="382">
        <f>K636+K638</f>
        <v>662.56</v>
      </c>
      <c r="L635" s="468" t="str">
        <f>IFERROR(VLOOKUP($C635,'SINAPI JULHO 2021'!$1:$1048576,3,0),IFERROR(VLOOKUP($C635,'5-COMP. PROPRIA'!$B$4:$I$7999,5,0),""))</f>
        <v>M2</v>
      </c>
      <c r="M635" s="372"/>
      <c r="N635" s="282"/>
    </row>
    <row r="636" spans="2:21" ht="25.5">
      <c r="B636" s="351" t="s">
        <v>7338</v>
      </c>
      <c r="C636" s="239">
        <v>102494</v>
      </c>
      <c r="D636" s="137" t="s">
        <v>7</v>
      </c>
      <c r="E636" s="689" t="str">
        <f>IFERROR(VLOOKUP($C636,'SINAPI JULHO 2021'!$1:$1048576,2,0),IFERROR(VLOOKUP($C636,'5-COMP. PROPRIA'!$B$4:$I$7999,4,0),""))</f>
        <v>PINTURA DE PISO COM TINTA EPÓXI, APLICAÇÃO MANUAL, 2 DEMÃOS, INCLUSO PRIMER EPÓXI. AF_05/2021</v>
      </c>
      <c r="F636" s="690"/>
      <c r="G636" s="690"/>
      <c r="H636" s="690"/>
      <c r="I636" s="690"/>
      <c r="J636" s="691"/>
      <c r="K636" s="382">
        <f>16*27</f>
        <v>432</v>
      </c>
      <c r="L636" s="468" t="str">
        <f>IFERROR(VLOOKUP($C636,'SINAPI JULHO 2021'!$1:$1048576,3,0),IFERROR(VLOOKUP($C636,'5-COMP. PROPRIA'!$B$4:$I$7999,5,0),""))</f>
        <v>M2</v>
      </c>
      <c r="M636" s="372"/>
      <c r="N636" s="282"/>
    </row>
    <row r="637" spans="2:21" ht="38.25">
      <c r="B637" s="351" t="s">
        <v>7340</v>
      </c>
      <c r="C637" s="239">
        <v>102504</v>
      </c>
      <c r="D637" s="137" t="s">
        <v>7</v>
      </c>
      <c r="E637" s="689" t="str">
        <f>IFERROR(VLOOKUP($C637,'SINAPI JULHO 2021'!$1:$1048576,2,0),IFERROR(VLOOKUP($C637,'5-COMP. PROPRIA'!$B$4:$I$7999,4,0),""))</f>
        <v>PINTURA DE DEMARCAÇÃO DE QUADRA POLIESPORTIVA COM TINTA ACRÍLICA, E = 5 CM, APLICAÇÃO MANUAL. AF_05/2021</v>
      </c>
      <c r="F637" s="690"/>
      <c r="G637" s="690"/>
      <c r="H637" s="690"/>
      <c r="I637" s="690"/>
      <c r="J637" s="691"/>
      <c r="K637" s="382">
        <f>164.7+81+148.15</f>
        <v>393.85</v>
      </c>
      <c r="L637" s="468" t="str">
        <f>IFERROR(VLOOKUP($C637,'SINAPI JULHO 2021'!$1:$1048576,3,0),IFERROR(VLOOKUP($C637,'5-COMP. PROPRIA'!$B$4:$I$7999,5,0),""))</f>
        <v>M</v>
      </c>
      <c r="M637" s="372"/>
      <c r="N637" s="282"/>
    </row>
    <row r="638" spans="2:21" ht="29.25" customHeight="1" thickBot="1">
      <c r="B638" s="351" t="s">
        <v>7339</v>
      </c>
      <c r="C638" s="239">
        <v>102492</v>
      </c>
      <c r="D638" s="137" t="s">
        <v>7</v>
      </c>
      <c r="E638" s="689" t="str">
        <f>IFERROR(VLOOKUP($C638,'SINAPI JULHO 2021'!$1:$1048576,2,0),IFERROR(VLOOKUP($C638,'5-COMP. PROPRIA'!$B$4:$I$7999,4,0),""))</f>
        <v>PINTURA DE PISO COM TINTA ACRÍLICA, APLICAÇÃO MANUAL, 3 DEMÃOS, INCLUSO FUNDO PREPARADOR. AF_05/2021</v>
      </c>
      <c r="F638" s="690"/>
      <c r="G638" s="690"/>
      <c r="H638" s="690"/>
      <c r="I638" s="690"/>
      <c r="J638" s="691"/>
      <c r="K638" s="382">
        <f>175+39.36+16.2</f>
        <v>230.56</v>
      </c>
      <c r="L638" s="468" t="str">
        <f>IFERROR(VLOOKUP($C638,'SINAPI JULHO 2021'!$1:$1048576,3,0),IFERROR(VLOOKUP($C638,'5-COMP. PROPRIA'!$B$4:$I$7999,5,0),""))</f>
        <v>M2</v>
      </c>
      <c r="M638" s="372"/>
      <c r="N638" s="282"/>
    </row>
    <row r="639" spans="2:21" ht="13.5" thickBot="1">
      <c r="B639" s="353"/>
      <c r="D639" s="17"/>
      <c r="E639" s="698" t="s">
        <v>4285</v>
      </c>
      <c r="F639" s="699"/>
      <c r="G639" s="699"/>
      <c r="H639" s="699"/>
      <c r="I639" s="699"/>
      <c r="J639" s="700"/>
      <c r="K639" s="180"/>
      <c r="L639" s="441"/>
      <c r="M639" s="106"/>
      <c r="N639" s="53"/>
      <c r="O639" s="738"/>
      <c r="P639" s="739"/>
      <c r="Q639" s="739"/>
      <c r="R639" s="739"/>
      <c r="S639" s="739"/>
      <c r="T639" s="739"/>
      <c r="U639" s="739"/>
    </row>
    <row r="640" spans="2:21" ht="12.75" customHeight="1">
      <c r="B640" s="353"/>
      <c r="D640" s="17"/>
      <c r="E640" s="58"/>
      <c r="F640" s="107"/>
      <c r="G640" s="107"/>
      <c r="H640" s="107"/>
      <c r="I640" s="107"/>
      <c r="J640" s="104"/>
      <c r="K640" s="180"/>
      <c r="L640" s="441"/>
      <c r="M640" s="106"/>
      <c r="N640" s="53"/>
    </row>
    <row r="641" spans="2:17" ht="12.75" customHeight="1">
      <c r="B641" s="353"/>
      <c r="D641" s="17"/>
      <c r="E641" s="731" t="s">
        <v>4282</v>
      </c>
      <c r="F641" s="732"/>
      <c r="G641" s="732"/>
      <c r="H641" s="732"/>
      <c r="I641" s="732"/>
      <c r="J641" s="733"/>
      <c r="K641" s="180"/>
      <c r="L641" s="441"/>
      <c r="M641" s="106" t="s">
        <v>7363</v>
      </c>
      <c r="N641" s="53"/>
    </row>
    <row r="642" spans="2:17" ht="25.5">
      <c r="B642" s="351" t="s">
        <v>7347</v>
      </c>
      <c r="C642" s="239">
        <v>88485</v>
      </c>
      <c r="D642" s="48" t="s">
        <v>7</v>
      </c>
      <c r="E642" s="689" t="str">
        <f>IFERROR(VLOOKUP($C642,'SINAPI JULHO 2021'!$1:$1048576,2,0),IFERROR(VLOOKUP($C642,'5-COMP. PROPRIA'!$B$4:$I$7999,4,0),""))</f>
        <v>APLICAÇÃO DE FUNDO SELADOR ACRÍLICO EM PAREDES, UMA DEMÃO. AF_06/2014</v>
      </c>
      <c r="F642" s="690"/>
      <c r="G642" s="690"/>
      <c r="H642" s="690"/>
      <c r="I642" s="690"/>
      <c r="J642" s="691"/>
      <c r="K642" s="270">
        <f>G268*2</f>
        <v>1225.5</v>
      </c>
      <c r="L642" s="468" t="str">
        <f>IFERROR(VLOOKUP($C642,'SINAPI JULHO 2021'!$1:$1048576,3,0),IFERROR(VLOOKUP($C642,'5-COMP. PROPRIA'!$B$4:$I$7999,5,0),""))</f>
        <v>M2</v>
      </c>
      <c r="M642" s="387">
        <f>K642/3</f>
        <v>408.5</v>
      </c>
      <c r="N642" s="53"/>
    </row>
    <row r="643" spans="2:17" ht="25.5">
      <c r="B643" s="351" t="s">
        <v>7348</v>
      </c>
      <c r="C643" s="239">
        <v>96135</v>
      </c>
      <c r="D643" s="48" t="s">
        <v>7</v>
      </c>
      <c r="E643" s="689" t="str">
        <f>IFERROR(VLOOKUP($C643,'SINAPI JULHO 2021'!$1:$1048576,2,0),IFERROR(VLOOKUP($C643,'5-COMP. PROPRIA'!$B$4:$I$7999,4,0),""))</f>
        <v>APLICAÇÃO MANUAL DE MASSA ACRÍLICA EM PAREDES EXTERNAS DE CASAS, DUAS DEMÃOS. AF_05/2017</v>
      </c>
      <c r="F643" s="690"/>
      <c r="G643" s="690"/>
      <c r="H643" s="690"/>
      <c r="I643" s="690"/>
      <c r="J643" s="691"/>
      <c r="K643" s="270">
        <f>K642</f>
        <v>1225.5</v>
      </c>
      <c r="L643" s="468" t="str">
        <f>IFERROR(VLOOKUP($C643,'SINAPI JULHO 2021'!$1:$1048576,3,0),IFERROR(VLOOKUP($C643,'5-COMP. PROPRIA'!$B$4:$I$7999,5,0),""))</f>
        <v>M2</v>
      </c>
      <c r="M643" s="106"/>
      <c r="N643" s="53"/>
    </row>
    <row r="644" spans="2:17" ht="30.75" customHeight="1">
      <c r="B644" s="351" t="s">
        <v>6982</v>
      </c>
      <c r="C644" s="239" t="str">
        <f>'5-COMP. PROPRIA'!B164</f>
        <v>CP-PIN-01</v>
      </c>
      <c r="D644" s="137" t="s">
        <v>4271</v>
      </c>
      <c r="E644" s="689" t="str">
        <f>IFERROR(VLOOKUP($C644,'SINAPI JULHO 2021'!$1:$1048576,2,0),IFERROR(VLOOKUP($C644,'5-COMP. PROPRIA'!$B$4:$I$7999,4,0),""))</f>
        <v>PINTURA TINTA DE ACABAMENTO (PIGMENTADA) ESMALTE BRILHANTE BASE B2, 2 DEMÃOS.</v>
      </c>
      <c r="F644" s="690"/>
      <c r="G644" s="690"/>
      <c r="H644" s="690"/>
      <c r="I644" s="690"/>
      <c r="J644" s="691"/>
      <c r="K644" s="270">
        <f>M642*1.1</f>
        <v>449.35</v>
      </c>
      <c r="L644" s="468" t="str">
        <f>IFERROR(VLOOKUP($C644,'SINAPI JULHO 2021'!$1:$1048576,3,0),IFERROR(VLOOKUP($C644,'5-COMP. PROPRIA'!$B$4:$I$7999,5,0),""))</f>
        <v>M2</v>
      </c>
      <c r="M644" s="106"/>
      <c r="N644" s="53"/>
    </row>
    <row r="645" spans="2:17" ht="25.5">
      <c r="B645" s="351" t="s">
        <v>7347</v>
      </c>
      <c r="C645" s="239">
        <v>88488</v>
      </c>
      <c r="D645" s="48" t="s">
        <v>7</v>
      </c>
      <c r="E645" s="689" t="str">
        <f>IFERROR(VLOOKUP($C645,'SINAPI JULHO 2021'!$1:$1048576,2,0),IFERROR(VLOOKUP($C645,'5-COMP. PROPRIA'!$B$4:$I$7999,4,0),""))</f>
        <v>APLICAÇÃO MANUAL DE PINTURA COM TINTA LÁTEX ACRÍLICA EM TETO, DUAS DEMÃOS. AF_06/2014</v>
      </c>
      <c r="F645" s="690"/>
      <c r="G645" s="690"/>
      <c r="H645" s="690"/>
      <c r="I645" s="690"/>
      <c r="J645" s="691"/>
      <c r="K645" s="270">
        <f>K642-K644</f>
        <v>776.15</v>
      </c>
      <c r="L645" s="468" t="str">
        <f>IFERROR(VLOOKUP($C645,'SINAPI JULHO 2021'!$1:$1048576,3,0),IFERROR(VLOOKUP($C645,'5-COMP. PROPRIA'!$B$4:$I$7999,5,0),""))</f>
        <v>M2</v>
      </c>
      <c r="M645" s="106"/>
      <c r="N645" s="53"/>
    </row>
    <row r="646" spans="2:17" ht="25.5">
      <c r="B646" s="351" t="s">
        <v>7350</v>
      </c>
      <c r="C646" s="239" t="str">
        <f>'5-COMP. PROPRIA'!B156</f>
        <v>CP-PIN-02</v>
      </c>
      <c r="D646" s="137" t="s">
        <v>4271</v>
      </c>
      <c r="E646" s="689" t="str">
        <f>IFERROR(VLOOKUP($C646,'SINAPI JULHO 2021'!$1:$1048576,2,0),IFERROR(VLOOKUP($C646,'5-COMP. PROPRIA'!$B$4:$I$7999,4,0),""))</f>
        <v>LETRA CAIXA ALTA PARA NOMENCLATURA E LOGOMARCA SEM RELEVO (CONFORME PROJETO) - FORNECIMENTO E INSTALAÇÃO</v>
      </c>
      <c r="F646" s="690"/>
      <c r="G646" s="690"/>
      <c r="H646" s="690"/>
      <c r="I646" s="690"/>
      <c r="J646" s="691"/>
      <c r="K646" s="270">
        <v>1</v>
      </c>
      <c r="L646" s="468" t="str">
        <f>IFERROR(VLOOKUP($C646,'SINAPI JULHO 2021'!$1:$1048576,3,0),IFERROR(VLOOKUP($C646,'5-COMP. PROPRIA'!$B$4:$I$7999,5,0),""))</f>
        <v xml:space="preserve">UN    </v>
      </c>
      <c r="M646" s="106"/>
      <c r="N646" s="53"/>
    </row>
    <row r="647" spans="2:17" ht="12.75" customHeight="1">
      <c r="B647" s="207"/>
      <c r="D647" s="17"/>
      <c r="E647" s="731" t="s">
        <v>4286</v>
      </c>
      <c r="F647" s="732"/>
      <c r="G647" s="732"/>
      <c r="H647" s="732"/>
      <c r="I647" s="732"/>
      <c r="J647" s="733"/>
      <c r="K647" s="180"/>
      <c r="L647" s="441"/>
      <c r="M647" s="106"/>
      <c r="N647" s="53"/>
    </row>
    <row r="648" spans="2:17" ht="18.75" customHeight="1">
      <c r="B648" s="207"/>
      <c r="C648" s="239">
        <v>88415</v>
      </c>
      <c r="D648" s="48" t="s">
        <v>7</v>
      </c>
      <c r="E648" s="689" t="str">
        <f>IFERROR(VLOOKUP($C648,'SINAPI JULHO 2021'!$1:$1048576,2,0),IFERROR(VLOOKUP($C648,'5-COMP. PROPRIA'!$B$4:$I$7999,4,0),""))</f>
        <v>APLICAÇÃO MANUAL DE FUNDO SELADOR ACRÍLICO EM PAREDES EXTERNAS DE CASAS. AF_06/2014</v>
      </c>
      <c r="F648" s="690"/>
      <c r="G648" s="690"/>
      <c r="H648" s="690"/>
      <c r="I648" s="690"/>
      <c r="J648" s="691"/>
      <c r="K648" s="270">
        <f>K548</f>
        <v>4867.2500000000018</v>
      </c>
      <c r="L648" s="468" t="str">
        <f>IFERROR(VLOOKUP($C648,'SINAPI JULHO 2021'!$1:$1048576,3,0),IFERROR(VLOOKUP($C648,'5-COMP. PROPRIA'!$B$4:$I$7999,5,0),""))</f>
        <v>M2</v>
      </c>
      <c r="M648" s="226">
        <f>K648/1.9</f>
        <v>2561.7105263157905</v>
      </c>
      <c r="N648" s="53"/>
    </row>
    <row r="649" spans="2:17" ht="23.25" customHeight="1">
      <c r="B649" s="207"/>
      <c r="C649" s="239">
        <v>96135</v>
      </c>
      <c r="D649" s="48" t="s">
        <v>7</v>
      </c>
      <c r="E649" s="689" t="str">
        <f>IFERROR(VLOOKUP($C649,'SINAPI JULHO 2021'!$1:$1048576,2,0),IFERROR(VLOOKUP($C649,'5-COMP. PROPRIA'!$B$4:$I$7999,4,0),""))</f>
        <v>APLICAÇÃO MANUAL DE MASSA ACRÍLICA EM PAREDES EXTERNAS DE CASAS, DUAS DEMÃOS. AF_05/2017</v>
      </c>
      <c r="F649" s="690"/>
      <c r="G649" s="690"/>
      <c r="H649" s="690"/>
      <c r="I649" s="690"/>
      <c r="J649" s="691"/>
      <c r="K649" s="270">
        <f>K648</f>
        <v>4867.2500000000018</v>
      </c>
      <c r="L649" s="468" t="str">
        <f>IFERROR(VLOOKUP($C649,'SINAPI JULHO 2021'!$1:$1048576,3,0),IFERROR(VLOOKUP($C649,'5-COMP. PROPRIA'!$B$4:$I$7999,5,0),""))</f>
        <v>M2</v>
      </c>
      <c r="M649" s="106"/>
      <c r="N649" s="53"/>
    </row>
    <row r="650" spans="2:17" ht="36" customHeight="1">
      <c r="B650" s="207"/>
      <c r="C650" s="239">
        <v>88488</v>
      </c>
      <c r="D650" s="48" t="s">
        <v>7</v>
      </c>
      <c r="E650" s="689" t="str">
        <f>IFERROR(VLOOKUP($C650,'SINAPI JULHO 2021'!$1:$1048576,2,0),IFERROR(VLOOKUP($C650,'5-COMP. PROPRIA'!$B$4:$I$7999,4,0),""))</f>
        <v>APLICAÇÃO MANUAL DE PINTURA COM TINTA LÁTEX ACRÍLICA EM TETO, DUAS DEMÃOS. AF_06/2014</v>
      </c>
      <c r="F650" s="690"/>
      <c r="G650" s="690"/>
      <c r="H650" s="690"/>
      <c r="I650" s="690"/>
      <c r="J650" s="691"/>
      <c r="K650" s="286">
        <f>K648</f>
        <v>4867.2500000000018</v>
      </c>
      <c r="L650" s="468" t="str">
        <f>IFERROR(VLOOKUP($C650,'SINAPI JULHO 2021'!$1:$1048576,3,0),IFERROR(VLOOKUP($C650,'5-COMP. PROPRIA'!$B$4:$I$7999,5,0),""))</f>
        <v>M2</v>
      </c>
      <c r="M650" s="106"/>
      <c r="N650" s="53"/>
    </row>
    <row r="651" spans="2:17" ht="15.75" thickBot="1">
      <c r="B651" s="207"/>
      <c r="C651" s="239" t="str">
        <f>C644</f>
        <v>CP-PIN-01</v>
      </c>
      <c r="D651" s="137" t="s">
        <v>4271</v>
      </c>
      <c r="E651" s="689" t="str">
        <f>IFERROR(VLOOKUP($C651,'SINAPI JULHO 2021'!$1:$1048576,2,0),IFERROR(VLOOKUP($C651,'5-COMP. PROPRIA'!$B$4:$I$7999,4,0),""))</f>
        <v>PINTURA TINTA DE ACABAMENTO (PIGMENTADA) ESMALTE BRILHANTE BASE B2, 2 DEMÃOS.</v>
      </c>
      <c r="F651" s="690"/>
      <c r="G651" s="690"/>
      <c r="H651" s="690"/>
      <c r="I651" s="690"/>
      <c r="J651" s="691"/>
      <c r="K651" s="286">
        <f>M648*0.1</f>
        <v>256.17105263157907</v>
      </c>
      <c r="L651" s="468" t="str">
        <f>IFERROR(VLOOKUP($C651,'SINAPI JULHO 2021'!$1:$1048576,3,0),IFERROR(VLOOKUP($C651,'5-COMP. PROPRIA'!$B$4:$I$7999,5,0),""))</f>
        <v>M2</v>
      </c>
      <c r="M651" s="106"/>
      <c r="N651" s="53"/>
    </row>
    <row r="652" spans="2:17" ht="13.5" customHeight="1" thickBot="1">
      <c r="B652" s="233"/>
      <c r="D652" s="46"/>
      <c r="E652" s="698" t="s">
        <v>3511</v>
      </c>
      <c r="F652" s="699"/>
      <c r="G652" s="699"/>
      <c r="H652" s="699"/>
      <c r="I652" s="699"/>
      <c r="J652" s="700"/>
      <c r="K652" s="180"/>
      <c r="L652" s="441"/>
      <c r="M652" s="106"/>
      <c r="N652" s="53"/>
    </row>
    <row r="653" spans="2:17">
      <c r="B653" s="207"/>
      <c r="D653" s="47"/>
      <c r="E653" s="716" t="s">
        <v>5762</v>
      </c>
      <c r="F653" s="717"/>
      <c r="G653" s="717"/>
      <c r="H653" s="717"/>
      <c r="I653" s="717"/>
      <c r="J653" s="718"/>
      <c r="K653" s="180"/>
      <c r="L653" s="441"/>
      <c r="M653" s="106"/>
      <c r="N653" s="53"/>
    </row>
    <row r="654" spans="2:17" ht="42.75" customHeight="1">
      <c r="B654" s="207"/>
      <c r="C654" s="45">
        <v>97901</v>
      </c>
      <c r="D654" s="259" t="s">
        <v>7</v>
      </c>
      <c r="E654" s="689" t="str">
        <f>IFERROR(VLOOKUP($C654,'SINAPI JULHO 2021'!$1:$1048576,2,0),IFERROR(VLOOKUP($C654,'5-COMP. PROPRIA'!$B$4:$I$7999,4,0),""))</f>
        <v>CAIXA ENTERRADA HIDRÁULICA RETANGULAR EM ALVENARIA COM TIJOLOS CERÂMICOS MACIÇOS, DIMENSÕES INTERNAS: 0,4X0,4X0,4 M PARA REDE DE ESGOTO. AF_12/2020</v>
      </c>
      <c r="F654" s="690"/>
      <c r="G654" s="690"/>
      <c r="H654" s="690"/>
      <c r="I654" s="690"/>
      <c r="J654" s="691"/>
      <c r="K654" s="270">
        <v>1</v>
      </c>
      <c r="L654" s="468" t="str">
        <f>IFERROR(VLOOKUP($C654,'SINAPI JULHO 2021'!$1:$1048576,3,0),IFERROR(VLOOKUP($C654,'5-COMP. PROPRIA'!$B$4:$I$7999,5,0),""))</f>
        <v>UN</v>
      </c>
      <c r="M654" s="32"/>
      <c r="N654" s="53"/>
      <c r="O654" s="344"/>
      <c r="P654" s="344"/>
      <c r="Q654" s="344"/>
    </row>
    <row r="655" spans="2:17" ht="42.75" customHeight="1">
      <c r="B655" s="207"/>
      <c r="C655" s="45">
        <v>97902</v>
      </c>
      <c r="D655" s="259" t="s">
        <v>7</v>
      </c>
      <c r="E655" s="689" t="str">
        <f>IFERROR(VLOOKUP($C655,'SINAPI JULHO 2021'!$1:$1048576,2,0),IFERROR(VLOOKUP($C655,'5-COMP. PROPRIA'!$B$4:$I$7999,4,0),""))</f>
        <v>CAIXA ENTERRADA HIDRÁULICA RETANGULAR EM ALVENARIA COM TIJOLOS CERÂMICOS MACIÇOS, DIMENSÕES INTERNAS: 0,6X0,6X0,6 M PARA REDE DE ESGOTO. AF_12/2020</v>
      </c>
      <c r="F655" s="690"/>
      <c r="G655" s="690"/>
      <c r="H655" s="690"/>
      <c r="I655" s="690"/>
      <c r="J655" s="691"/>
      <c r="K655" s="270">
        <v>12</v>
      </c>
      <c r="L655" s="468" t="str">
        <f>IFERROR(VLOOKUP($C655,'SINAPI JULHO 2021'!$1:$1048576,3,0),IFERROR(VLOOKUP($C655,'5-COMP. PROPRIA'!$B$4:$I$7999,5,0),""))</f>
        <v>UN</v>
      </c>
      <c r="M655" s="32"/>
      <c r="N655" s="53"/>
      <c r="O655" s="344"/>
      <c r="P655" s="344"/>
      <c r="Q655" s="344"/>
    </row>
    <row r="656" spans="2:17" ht="42.75" customHeight="1">
      <c r="B656" s="207"/>
      <c r="C656" s="68">
        <v>89707</v>
      </c>
      <c r="D656" s="259" t="s">
        <v>7</v>
      </c>
      <c r="E656" s="689" t="str">
        <f>IFERROR(VLOOKUP($C656,'SINAPI JULHO 2021'!$1:$1048576,2,0),IFERROR(VLOOKUP($C656,'5-COMP. PROPRIA'!$B$4:$I$7999,4,0),""))</f>
        <v>CAIXA SIFONADA, PVC, DN 100 X 100 X 50 MM, JUNTA ELÁSTICA, FORNECIDA E INSTALADA EM RAMAL DE DESCARGA OU EM RAMAL DE ESGOTO SANITÁRIO. AF_12/2014</v>
      </c>
      <c r="F656" s="690"/>
      <c r="G656" s="690"/>
      <c r="H656" s="690"/>
      <c r="I656" s="690"/>
      <c r="J656" s="691"/>
      <c r="K656" s="270">
        <v>12</v>
      </c>
      <c r="L656" s="468" t="str">
        <f>IFERROR(VLOOKUP($C656,'SINAPI JULHO 2021'!$1:$1048576,3,0),IFERROR(VLOOKUP($C656,'5-COMP. PROPRIA'!$B$4:$I$7999,5,0),""))</f>
        <v>UN</v>
      </c>
      <c r="M656" s="106"/>
      <c r="N656" s="53"/>
    </row>
    <row r="657" spans="2:14" ht="42.75" customHeight="1">
      <c r="B657" s="207"/>
      <c r="C657" s="239">
        <v>89504</v>
      </c>
      <c r="D657" s="259" t="s">
        <v>7</v>
      </c>
      <c r="E657" s="689" t="str">
        <f>IFERROR(VLOOKUP($C657,'SINAPI JULHO 2021'!$1:$1048576,2,0),IFERROR(VLOOKUP($C657,'5-COMP. PROPRIA'!$B$4:$I$7999,4,0),""))</f>
        <v>CURVA 45 GRAUS, PVC, SOLDÁVEL, DN 50MM, INSTALADO EM PRUMADA DE ÁGUA - FORNECIMENTO E INSTALAÇÃO. AF_12/2014</v>
      </c>
      <c r="F657" s="690"/>
      <c r="G657" s="690"/>
      <c r="H657" s="690"/>
      <c r="I657" s="690"/>
      <c r="J657" s="691"/>
      <c r="K657" s="286">
        <v>1</v>
      </c>
      <c r="L657" s="468" t="str">
        <f>IFERROR(VLOOKUP($C657,'SINAPI JULHO 2021'!$1:$1048576,3,0),IFERROR(VLOOKUP($C657,'5-COMP. PROPRIA'!$B$4:$I$7999,5,0),""))</f>
        <v>UN</v>
      </c>
      <c r="M657" s="106"/>
      <c r="N657" s="53"/>
    </row>
    <row r="658" spans="2:14" ht="42.75" customHeight="1">
      <c r="B658" s="207"/>
      <c r="C658" s="239">
        <v>89728</v>
      </c>
      <c r="D658" s="259" t="s">
        <v>7</v>
      </c>
      <c r="E658" s="689" t="str">
        <f>IFERROR(VLOOKUP($C658,'SINAPI JULHO 2021'!$1:$1048576,2,0),IFERROR(VLOOKUP($C658,'5-COMP. PROPRIA'!$B$4:$I$7999,4,0),""))</f>
        <v>CURVA CURTA 90 GRAUS, PVC, SERIE NORMAL, ESGOTO PREDIAL, DN 40 MM, JUNTA SOLDÁVEL, FORNECIDO E INSTALADO EM RAMAL DE DESCARGA OU RAMAL DE ESGOTO SANITÁRIO. AF_12/2014</v>
      </c>
      <c r="F658" s="690"/>
      <c r="G658" s="690"/>
      <c r="H658" s="690"/>
      <c r="I658" s="690"/>
      <c r="J658" s="691"/>
      <c r="K658" s="286">
        <v>51</v>
      </c>
      <c r="L658" s="468" t="str">
        <f>IFERROR(VLOOKUP($C658,'SINAPI JULHO 2021'!$1:$1048576,3,0),IFERROR(VLOOKUP($C658,'5-COMP. PROPRIA'!$B$4:$I$7999,5,0),""))</f>
        <v>UN</v>
      </c>
      <c r="M658" s="106"/>
      <c r="N658" s="53"/>
    </row>
    <row r="659" spans="2:14" ht="42.75" customHeight="1">
      <c r="B659" s="207"/>
      <c r="C659" s="239">
        <v>89733</v>
      </c>
      <c r="D659" s="259" t="s">
        <v>7</v>
      </c>
      <c r="E659" s="689" t="str">
        <f>IFERROR(VLOOKUP($C659,'SINAPI JULHO 2021'!$1:$1048576,2,0),IFERROR(VLOOKUP($C659,'5-COMP. PROPRIA'!$B$4:$I$7999,4,0),""))</f>
        <v>CURVA CURTA 90 GRAUS, PVC, SERIE NORMAL, ESGOTO PREDIAL, DN 50 MM, JUNTA ELÁSTICA, FORNECIDO E INSTALADO EM RAMAL DE DESCARGA OU RAMAL DE ESGOTO SANITÁRIO. AF_12/2014</v>
      </c>
      <c r="F659" s="690"/>
      <c r="G659" s="690"/>
      <c r="H659" s="690"/>
      <c r="I659" s="690"/>
      <c r="J659" s="691"/>
      <c r="K659" s="286">
        <v>4</v>
      </c>
      <c r="L659" s="468" t="str">
        <f>IFERROR(VLOOKUP($C659,'SINAPI JULHO 2021'!$1:$1048576,3,0),IFERROR(VLOOKUP($C659,'5-COMP. PROPRIA'!$B$4:$I$7999,5,0),""))</f>
        <v>UN</v>
      </c>
      <c r="M659" s="106"/>
      <c r="N659" s="53"/>
    </row>
    <row r="660" spans="2:14" ht="42.75" customHeight="1">
      <c r="B660" s="207"/>
      <c r="C660" s="239">
        <v>89742</v>
      </c>
      <c r="D660" s="259" t="s">
        <v>7</v>
      </c>
      <c r="E660" s="689" t="str">
        <f>IFERROR(VLOOKUP($C660,'SINAPI JULHO 2021'!$1:$1048576,2,0),IFERROR(VLOOKUP($C660,'5-COMP. PROPRIA'!$B$4:$I$7999,4,0),""))</f>
        <v>CURVA CURTA 90 GRAUS, PVC, SERIE NORMAL, ESGOTO PREDIAL, DN 75 MM, JUNTA ELÁSTICA, FORNECIDO E INSTALADO EM RAMAL DE DESCARGA OU RAMAL DE ESGOTO SANITÁRIO. AF_12/2014</v>
      </c>
      <c r="F660" s="690"/>
      <c r="G660" s="690"/>
      <c r="H660" s="690"/>
      <c r="I660" s="690"/>
      <c r="J660" s="691"/>
      <c r="K660" s="286">
        <v>5</v>
      </c>
      <c r="L660" s="468" t="str">
        <f>IFERROR(VLOOKUP($C660,'SINAPI JULHO 2021'!$1:$1048576,3,0),IFERROR(VLOOKUP($C660,'5-COMP. PROPRIA'!$B$4:$I$7999,5,0),""))</f>
        <v>UN</v>
      </c>
      <c r="M660" s="106"/>
      <c r="N660" s="53"/>
    </row>
    <row r="661" spans="2:14" ht="42.75" customHeight="1">
      <c r="B661" s="207"/>
      <c r="C661" s="239">
        <v>89748</v>
      </c>
      <c r="D661" s="259" t="s">
        <v>7</v>
      </c>
      <c r="E661" s="689" t="str">
        <f>IFERROR(VLOOKUP($C661,'SINAPI JULHO 2021'!$1:$1048576,2,0),IFERROR(VLOOKUP($C661,'5-COMP. PROPRIA'!$B$4:$I$7999,4,0),""))</f>
        <v>CURVA CURTA 90 GRAUS, PVC, SERIE NORMAL, ESGOTO PREDIAL, DN 100 MM, JUNTA ELÁSTICA, FORNECIDO E INSTALADO EM RAMAL DE DESCARGA OU RAMAL DE ESGOTO SANITÁRIO. AF_12/2014</v>
      </c>
      <c r="F661" s="690"/>
      <c r="G661" s="690"/>
      <c r="H661" s="690"/>
      <c r="I661" s="690"/>
      <c r="J661" s="691"/>
      <c r="K661" s="286">
        <v>27</v>
      </c>
      <c r="L661" s="468" t="str">
        <f>IFERROR(VLOOKUP($C661,'SINAPI JULHO 2021'!$1:$1048576,3,0),IFERROR(VLOOKUP($C661,'5-COMP. PROPRIA'!$B$4:$I$7999,5,0),""))</f>
        <v>UN</v>
      </c>
      <c r="M661" s="106"/>
      <c r="N661" s="53"/>
    </row>
    <row r="662" spans="2:14" ht="42.75" customHeight="1">
      <c r="B662" s="207"/>
      <c r="C662" s="239">
        <v>89750</v>
      </c>
      <c r="D662" s="259" t="s">
        <v>7</v>
      </c>
      <c r="E662" s="689" t="str">
        <f>IFERROR(VLOOKUP($C662,'SINAPI JULHO 2021'!$1:$1048576,2,0),IFERROR(VLOOKUP($C662,'5-COMP. PROPRIA'!$B$4:$I$7999,4,0),""))</f>
        <v>CURVA LONGA 90 GRAUS, PVC, SERIE NORMAL, ESGOTO PREDIAL, DN 100 MM, JUNTA ELÁSTICA, FORNECIDO E INSTALADO EM RAMAL DE DESCARGA OU RAMAL DE ESGOTO SANITÁRIO. AF_12/2014</v>
      </c>
      <c r="F662" s="690"/>
      <c r="G662" s="690"/>
      <c r="H662" s="690"/>
      <c r="I662" s="690"/>
      <c r="J662" s="691"/>
      <c r="K662" s="286">
        <v>8</v>
      </c>
      <c r="L662" s="468" t="str">
        <f>IFERROR(VLOOKUP($C662,'SINAPI JULHO 2021'!$1:$1048576,3,0),IFERROR(VLOOKUP($C662,'5-COMP. PROPRIA'!$B$4:$I$7999,5,0),""))</f>
        <v>UN</v>
      </c>
      <c r="M662" s="106"/>
      <c r="N662" s="53"/>
    </row>
    <row r="663" spans="2:14" ht="42.75" customHeight="1">
      <c r="B663" s="207"/>
      <c r="C663" s="239">
        <v>89810</v>
      </c>
      <c r="D663" s="259" t="s">
        <v>7</v>
      </c>
      <c r="E663" s="689" t="str">
        <f>IFERROR(VLOOKUP($C663,'SINAPI JULHO 2021'!$1:$1048576,2,0),IFERROR(VLOOKUP($C663,'5-COMP. PROPRIA'!$B$4:$I$7999,4,0),""))</f>
        <v>JOELHO 45 GRAUS, PVC, SERIE NORMAL, ESGOTO PREDIAL, DN 100 MM, JUNTA ELÁSTICA, FORNECIDO E INSTALADO EM PRUMADA DE ESGOTO SANITÁRIO OU VENTILAÇÃO. AF_12/2014</v>
      </c>
      <c r="F663" s="690"/>
      <c r="G663" s="690"/>
      <c r="H663" s="690"/>
      <c r="I663" s="690"/>
      <c r="J663" s="691"/>
      <c r="K663" s="286">
        <v>14</v>
      </c>
      <c r="L663" s="468" t="str">
        <f>IFERROR(VLOOKUP($C663,'SINAPI JULHO 2021'!$1:$1048576,3,0),IFERROR(VLOOKUP($C663,'5-COMP. PROPRIA'!$B$4:$I$7999,5,0),""))</f>
        <v>UN</v>
      </c>
      <c r="M663" s="106"/>
      <c r="N663" s="53"/>
    </row>
    <row r="664" spans="2:14" ht="42.75" customHeight="1">
      <c r="B664" s="207"/>
      <c r="C664" s="239">
        <v>89806</v>
      </c>
      <c r="D664" s="259" t="s">
        <v>7</v>
      </c>
      <c r="E664" s="689" t="str">
        <f>IFERROR(VLOOKUP($C664,'SINAPI JULHO 2021'!$1:$1048576,2,0),IFERROR(VLOOKUP($C664,'5-COMP. PROPRIA'!$B$4:$I$7999,4,0),""))</f>
        <v>JOELHO 45 GRAUS, PVC, SERIE NORMAL, ESGOTO PREDIAL, DN 75 MM, JUNTA ELÁSTICA, FORNECIDO E INSTALADO EM PRUMADA DE ESGOTO SANITÁRIO OU VENTILAÇÃO. AF_12/2014</v>
      </c>
      <c r="F664" s="690"/>
      <c r="G664" s="690"/>
      <c r="H664" s="690"/>
      <c r="I664" s="690"/>
      <c r="J664" s="691"/>
      <c r="K664" s="286">
        <v>1</v>
      </c>
      <c r="L664" s="468" t="str">
        <f>IFERROR(VLOOKUP($C664,'SINAPI JULHO 2021'!$1:$1048576,3,0),IFERROR(VLOOKUP($C664,'5-COMP. PROPRIA'!$B$4:$I$7999,5,0),""))</f>
        <v>UN</v>
      </c>
      <c r="M664" s="106"/>
      <c r="N664" s="53"/>
    </row>
    <row r="665" spans="2:14" ht="42.75" customHeight="1">
      <c r="B665" s="207"/>
      <c r="C665" s="239">
        <v>89802</v>
      </c>
      <c r="D665" s="259" t="s">
        <v>7</v>
      </c>
      <c r="E665" s="689" t="str">
        <f>IFERROR(VLOOKUP($C665,'SINAPI JULHO 2021'!$1:$1048576,2,0),IFERROR(VLOOKUP($C665,'5-COMP. PROPRIA'!$B$4:$I$7999,4,0),""))</f>
        <v>JOELHO 45 GRAUS, PVC, SERIE NORMAL, ESGOTO PREDIAL, DN 50 MM, JUNTA ELÁSTICA, FORNECIDO E INSTALADO EM PRUMADA DE ESGOTO SANITÁRIO OU VENTILAÇÃO. AF_12/2014</v>
      </c>
      <c r="F665" s="690"/>
      <c r="G665" s="690"/>
      <c r="H665" s="690"/>
      <c r="I665" s="690"/>
      <c r="J665" s="691"/>
      <c r="K665" s="286">
        <v>13</v>
      </c>
      <c r="L665" s="468" t="str">
        <f>IFERROR(VLOOKUP($C665,'SINAPI JULHO 2021'!$1:$1048576,3,0),IFERROR(VLOOKUP($C665,'5-COMP. PROPRIA'!$B$4:$I$7999,5,0),""))</f>
        <v>UN</v>
      </c>
      <c r="M665" s="106"/>
      <c r="N665" s="53"/>
    </row>
    <row r="666" spans="2:14" ht="42.75" customHeight="1">
      <c r="B666" s="207"/>
      <c r="C666" s="239">
        <v>89726</v>
      </c>
      <c r="D666" s="259" t="s">
        <v>7</v>
      </c>
      <c r="E666" s="689" t="str">
        <f>IFERROR(VLOOKUP($C666,'SINAPI JULHO 2021'!$1:$1048576,2,0),IFERROR(VLOOKUP($C666,'5-COMP. PROPRIA'!$B$4:$I$7999,4,0),""))</f>
        <v>JOELHO 45 GRAUS, PVC, SERIE NORMAL, ESGOTO PREDIAL, DN 40 MM, JUNTA SOLDÁVEL, FORNECIDO E INSTALADO EM RAMAL DE DESCARGA OU RAMAL DE ESGOTO SANITÁRIO. AF_12/2014</v>
      </c>
      <c r="F666" s="690"/>
      <c r="G666" s="690"/>
      <c r="H666" s="690"/>
      <c r="I666" s="690"/>
      <c r="J666" s="691"/>
      <c r="K666" s="286">
        <v>51</v>
      </c>
      <c r="L666" s="468" t="str">
        <f>IFERROR(VLOOKUP($C666,'SINAPI JULHO 2021'!$1:$1048576,3,0),IFERROR(VLOOKUP($C666,'5-COMP. PROPRIA'!$B$4:$I$7999,5,0),""))</f>
        <v>UN</v>
      </c>
      <c r="M666" s="106"/>
      <c r="N666" s="53"/>
    </row>
    <row r="667" spans="2:14" ht="42.75" customHeight="1">
      <c r="B667" s="207"/>
      <c r="C667" s="239">
        <v>89744</v>
      </c>
      <c r="D667" s="259" t="s">
        <v>7</v>
      </c>
      <c r="E667" s="689" t="str">
        <f>IFERROR(VLOOKUP($C667,'SINAPI JULHO 2021'!$1:$1048576,2,0),IFERROR(VLOOKUP($C667,'5-COMP. PROPRIA'!$B$4:$I$7999,4,0),""))</f>
        <v>JOELHO 90 GRAUS, PVC, SERIE NORMAL, ESGOTO PREDIAL, DN 100 MM, JUNTA ELÁSTICA, FORNECIDO E INSTALADO EM RAMAL DE DESCARGA OU RAMAL DE ESGOTO SANITÁRIO. AF_12/2014</v>
      </c>
      <c r="F667" s="690"/>
      <c r="G667" s="690"/>
      <c r="H667" s="690"/>
      <c r="I667" s="690"/>
      <c r="J667" s="691"/>
      <c r="K667" s="286">
        <v>30</v>
      </c>
      <c r="L667" s="468" t="str">
        <f>IFERROR(VLOOKUP($C667,'SINAPI JULHO 2021'!$1:$1048576,3,0),IFERROR(VLOOKUP($C667,'5-COMP. PROPRIA'!$B$4:$I$7999,5,0),""))</f>
        <v>UN</v>
      </c>
      <c r="M667" s="106"/>
      <c r="N667" s="53"/>
    </row>
    <row r="668" spans="2:14" ht="42.75" customHeight="1">
      <c r="B668" s="207"/>
      <c r="C668" s="69">
        <v>89731</v>
      </c>
      <c r="D668" s="259" t="s">
        <v>7</v>
      </c>
      <c r="E668" s="689" t="str">
        <f>IFERROR(VLOOKUP($C668,'SINAPI JULHO 2021'!$1:$1048576,2,0),IFERROR(VLOOKUP($C668,'5-COMP. PROPRIA'!$B$4:$I$7999,4,0),""))</f>
        <v>JOELHO 90 GRAUS, PVC, SERIE NORMAL, ESGOTO PREDIAL, DN 50 MM, JUNTA ELÁSTICA, FORNECIDO E INSTALADO EM RAMAL DE DESCARGA OU RAMAL DE ESGOTO SANITÁRIO. AF_12/2014</v>
      </c>
      <c r="F668" s="690"/>
      <c r="G668" s="690"/>
      <c r="H668" s="690"/>
      <c r="I668" s="690"/>
      <c r="J668" s="691"/>
      <c r="K668" s="286">
        <v>32</v>
      </c>
      <c r="L668" s="468" t="str">
        <f>IFERROR(VLOOKUP($C668,'SINAPI JULHO 2021'!$1:$1048576,3,0),IFERROR(VLOOKUP($C668,'5-COMP. PROPRIA'!$B$4:$I$7999,5,0),""))</f>
        <v>UN</v>
      </c>
      <c r="M668" s="106"/>
      <c r="N668" s="53"/>
    </row>
    <row r="669" spans="2:14" ht="42.75" customHeight="1">
      <c r="B669" s="207"/>
      <c r="C669" s="239">
        <v>89737</v>
      </c>
      <c r="D669" s="259" t="s">
        <v>7</v>
      </c>
      <c r="E669" s="689" t="str">
        <f>IFERROR(VLOOKUP($C669,'SINAPI JULHO 2021'!$1:$1048576,2,0),IFERROR(VLOOKUP($C669,'5-COMP. PROPRIA'!$B$4:$I$7999,4,0),""))</f>
        <v>JOELHO 90 GRAUS, PVC, SERIE NORMAL, ESGOTO PREDIAL, DN 75 MM, JUNTA ELÁSTICA, FORNECIDO E INSTALADO EM RAMAL DE DESCARGA OU RAMAL DE ESGOTO SANITÁRIO. AF_12/2014</v>
      </c>
      <c r="F669" s="690"/>
      <c r="G669" s="690"/>
      <c r="H669" s="690"/>
      <c r="I669" s="690"/>
      <c r="J669" s="691"/>
      <c r="K669" s="286">
        <v>10</v>
      </c>
      <c r="L669" s="468" t="str">
        <f>IFERROR(VLOOKUP($C669,'SINAPI JULHO 2021'!$1:$1048576,3,0),IFERROR(VLOOKUP($C669,'5-COMP. PROPRIA'!$B$4:$I$7999,5,0),""))</f>
        <v>UN</v>
      </c>
      <c r="M669" s="106"/>
      <c r="N669" s="53"/>
    </row>
    <row r="670" spans="2:14" ht="42.75" customHeight="1">
      <c r="B670" s="207"/>
      <c r="C670" s="239">
        <v>89724</v>
      </c>
      <c r="D670" s="259" t="s">
        <v>7</v>
      </c>
      <c r="E670" s="689" t="str">
        <f>IFERROR(VLOOKUP($C670,'SINAPI JULHO 2021'!$1:$1048576,2,0),IFERROR(VLOOKUP($C670,'5-COMP. PROPRIA'!$B$4:$I$7999,4,0),""))</f>
        <v>JOELHO 90 GRAUS, PVC, SERIE NORMAL, ESGOTO PREDIAL, DN 40 MM, JUNTA SOLDÁVEL, FORNECIDO E INSTALADO EM RAMAL DE DESCARGA OU RAMAL DE ESGOTO SANITÁRIO. AF_12/2014</v>
      </c>
      <c r="F670" s="690"/>
      <c r="G670" s="690"/>
      <c r="H670" s="690"/>
      <c r="I670" s="690"/>
      <c r="J670" s="691"/>
      <c r="K670" s="286">
        <v>43</v>
      </c>
      <c r="L670" s="468" t="str">
        <f>IFERROR(VLOOKUP($C670,'SINAPI JULHO 2021'!$1:$1048576,3,0),IFERROR(VLOOKUP($C670,'5-COMP. PROPRIA'!$B$4:$I$7999,5,0),""))</f>
        <v>UN</v>
      </c>
      <c r="M670" s="106"/>
      <c r="N670" s="53"/>
    </row>
    <row r="671" spans="2:14" ht="42.75" customHeight="1">
      <c r="B671" s="207"/>
      <c r="C671" s="69">
        <v>89795</v>
      </c>
      <c r="D671" s="259" t="s">
        <v>7</v>
      </c>
      <c r="E671" s="689" t="str">
        <f>IFERROR(VLOOKUP($C671,'SINAPI JULHO 2021'!$1:$1048576,2,0),IFERROR(VLOOKUP($C671,'5-COMP. PROPRIA'!$B$4:$I$7999,4,0),""))</f>
        <v>JUNÇÃO SIMPLES, PVC, SERIE NORMAL, ESGOTO PREDIAL, DN 75 X 75 MM, JUNTA ELÁSTICA, FORNECIDO E INSTALADO EM RAMAL DE DESCARGA OU RAMAL DE ESGOTO SANITÁRIO. AF_12/2014</v>
      </c>
      <c r="F671" s="690"/>
      <c r="G671" s="690"/>
      <c r="H671" s="690"/>
      <c r="I671" s="690"/>
      <c r="J671" s="691"/>
      <c r="K671" s="286">
        <v>1</v>
      </c>
      <c r="L671" s="468" t="str">
        <f>IFERROR(VLOOKUP($C671,'SINAPI JULHO 2021'!$1:$1048576,3,0),IFERROR(VLOOKUP($C671,'5-COMP. PROPRIA'!$B$4:$I$7999,5,0),""))</f>
        <v>UN</v>
      </c>
      <c r="M671" s="106"/>
      <c r="N671" s="53"/>
    </row>
    <row r="672" spans="2:14" ht="42.75" customHeight="1">
      <c r="B672" s="207"/>
      <c r="C672" s="239">
        <v>89797</v>
      </c>
      <c r="D672" s="259" t="s">
        <v>7</v>
      </c>
      <c r="E672" s="689" t="str">
        <f>IFERROR(VLOOKUP($C672,'SINAPI JULHO 2021'!$1:$1048576,2,0),IFERROR(VLOOKUP($C672,'5-COMP. PROPRIA'!$B$4:$I$7999,4,0),""))</f>
        <v>JUNÇÃO SIMPLES, PVC, SERIE NORMAL, ESGOTO PREDIAL, DN 100 X 100 MM, JUNTA ELÁSTICA, FORNECIDO E INSTALADO EM RAMAL DE DESCARGA OU RAMAL DE ESGOTO SANITÁRIO. AF_12/2014</v>
      </c>
      <c r="F672" s="690"/>
      <c r="G672" s="690"/>
      <c r="H672" s="690"/>
      <c r="I672" s="690"/>
      <c r="J672" s="691"/>
      <c r="K672" s="286">
        <v>21</v>
      </c>
      <c r="L672" s="468" t="str">
        <f>IFERROR(VLOOKUP($C672,'SINAPI JULHO 2021'!$1:$1048576,3,0),IFERROR(VLOOKUP($C672,'5-COMP. PROPRIA'!$B$4:$I$7999,5,0),""))</f>
        <v>UN</v>
      </c>
      <c r="M672" s="106"/>
      <c r="N672" s="53"/>
    </row>
    <row r="673" spans="2:14" ht="42.75" customHeight="1">
      <c r="B673" s="207"/>
      <c r="C673" s="239">
        <v>89785</v>
      </c>
      <c r="D673" s="259" t="s">
        <v>7</v>
      </c>
      <c r="E673" s="689" t="str">
        <f>IFERROR(VLOOKUP($C673,'SINAPI JULHO 2021'!$1:$1048576,2,0),IFERROR(VLOOKUP($C673,'5-COMP. PROPRIA'!$B$4:$I$7999,4,0),""))</f>
        <v>JUNÇÃO SIMPLES, PVC, SERIE NORMAL, ESGOTO PREDIAL, DN 50 X 50 MM, JUNTA ELÁSTICA, FORNECIDO E INSTALADO EM RAMAL DE DESCARGA OU RAMAL DE ESGOTO SANITÁRIO. AF_12/2014</v>
      </c>
      <c r="F673" s="690"/>
      <c r="G673" s="690"/>
      <c r="H673" s="690"/>
      <c r="I673" s="690"/>
      <c r="J673" s="691"/>
      <c r="K673" s="286">
        <v>3</v>
      </c>
      <c r="L673" s="468" t="str">
        <f>IFERROR(VLOOKUP($C673,'SINAPI JULHO 2021'!$1:$1048576,3,0),IFERROR(VLOOKUP($C673,'5-COMP. PROPRIA'!$B$4:$I$7999,5,0),""))</f>
        <v>UN</v>
      </c>
      <c r="M673" s="106"/>
      <c r="N673" s="53"/>
    </row>
    <row r="674" spans="2:14" ht="42.75" customHeight="1">
      <c r="B674" s="207"/>
      <c r="C674" s="239">
        <v>89752</v>
      </c>
      <c r="D674" s="259" t="s">
        <v>7</v>
      </c>
      <c r="E674" s="689" t="str">
        <f>IFERROR(VLOOKUP($C674,'SINAPI JULHO 2021'!$1:$1048576,2,0),IFERROR(VLOOKUP($C674,'5-COMP. PROPRIA'!$B$4:$I$7999,4,0),""))</f>
        <v>LUVA SIMPLES, PVC, SERIE NORMAL, ESGOTO PREDIAL, DN 40 MM, JUNTA SOLDÁVEL, FORNECIDO E INSTALADO EM RAMAL DE DESCARGA OU RAMAL DE ESGOTO SANITÁRIO. AF_12/2014</v>
      </c>
      <c r="F674" s="690"/>
      <c r="G674" s="690"/>
      <c r="H674" s="690"/>
      <c r="I674" s="690"/>
      <c r="J674" s="691"/>
      <c r="K674" s="286">
        <v>1</v>
      </c>
      <c r="L674" s="468" t="str">
        <f>IFERROR(VLOOKUP($C674,'SINAPI JULHO 2021'!$1:$1048576,3,0),IFERROR(VLOOKUP($C674,'5-COMP. PROPRIA'!$B$4:$I$7999,5,0),""))</f>
        <v>UN</v>
      </c>
      <c r="M674" s="106"/>
      <c r="N674" s="53"/>
    </row>
    <row r="675" spans="2:14" ht="42.75" customHeight="1">
      <c r="B675" s="207"/>
      <c r="C675" s="239">
        <v>89754</v>
      </c>
      <c r="D675" s="259" t="s">
        <v>7</v>
      </c>
      <c r="E675" s="689" t="str">
        <f>IFERROR(VLOOKUP($C675,'SINAPI JULHO 2021'!$1:$1048576,2,0),IFERROR(VLOOKUP($C675,'5-COMP. PROPRIA'!$B$4:$I$7999,4,0),""))</f>
        <v>LUVA DE CORRER, PVC, SERIE NORMAL, ESGOTO PREDIAL, DN 50 MM, JUNTA ELÁSTICA, FORNECIDO E INSTALADO EM RAMAL DE DESCARGA OU RAMAL DE ESGOTO SANITÁRIO. AF_12/2014</v>
      </c>
      <c r="F675" s="690"/>
      <c r="G675" s="690"/>
      <c r="H675" s="690"/>
      <c r="I675" s="690"/>
      <c r="J675" s="691"/>
      <c r="K675" s="286">
        <v>3</v>
      </c>
      <c r="L675" s="468" t="str">
        <f>IFERROR(VLOOKUP($C675,'SINAPI JULHO 2021'!$1:$1048576,3,0),IFERROR(VLOOKUP($C675,'5-COMP. PROPRIA'!$B$4:$I$7999,5,0),""))</f>
        <v>UN</v>
      </c>
      <c r="M675" s="106"/>
      <c r="N675" s="53"/>
    </row>
    <row r="676" spans="2:14" ht="42.75" customHeight="1">
      <c r="B676" s="207"/>
      <c r="C676" s="239">
        <v>89776</v>
      </c>
      <c r="D676" s="259" t="s">
        <v>7</v>
      </c>
      <c r="E676" s="689" t="str">
        <f>IFERROR(VLOOKUP($C676,'SINAPI JULHO 2021'!$1:$1048576,2,0),IFERROR(VLOOKUP($C676,'5-COMP. PROPRIA'!$B$4:$I$7999,4,0),""))</f>
        <v>LUVA DE CORRER, PVC, SERIE NORMAL, ESGOTO PREDIAL, DN 75 MM, JUNTA ELÁSTICA, FORNECIDO E INSTALADO EM RAMAL DE DESCARGA OU RAMAL DE ESGOTO SANITÁRIO. AF_12/2014</v>
      </c>
      <c r="F676" s="690"/>
      <c r="G676" s="690"/>
      <c r="H676" s="690"/>
      <c r="I676" s="690"/>
      <c r="J676" s="691"/>
      <c r="K676" s="286">
        <v>1</v>
      </c>
      <c r="L676" s="468" t="str">
        <f>IFERROR(VLOOKUP($C676,'SINAPI JULHO 2021'!$1:$1048576,3,0),IFERROR(VLOOKUP($C676,'5-COMP. PROPRIA'!$B$4:$I$7999,5,0),""))</f>
        <v>UN</v>
      </c>
      <c r="M676" s="106"/>
      <c r="N676" s="53"/>
    </row>
    <row r="677" spans="2:14" ht="42.75" customHeight="1">
      <c r="B677" s="207"/>
      <c r="C677" s="239">
        <v>89813</v>
      </c>
      <c r="D677" s="259" t="s">
        <v>7</v>
      </c>
      <c r="E677" s="689" t="str">
        <f>IFERROR(VLOOKUP($C677,'SINAPI JULHO 2021'!$1:$1048576,2,0),IFERROR(VLOOKUP($C677,'5-COMP. PROPRIA'!$B$4:$I$7999,4,0),""))</f>
        <v>LUVA SIMPLES, PVC, SERIE NORMAL, ESGOTO PREDIAL, DN 50 MM, JUNTA ELÁSTICA, FORNECIDO E INSTALADO EM PRUMADA DE ESGOTO SANITÁRIO OU VENTILAÇÃO. AF_12/2014</v>
      </c>
      <c r="F677" s="690"/>
      <c r="G677" s="690"/>
      <c r="H677" s="690"/>
      <c r="I677" s="690"/>
      <c r="J677" s="691"/>
      <c r="K677" s="286">
        <v>23</v>
      </c>
      <c r="L677" s="468" t="str">
        <f>IFERROR(VLOOKUP($C677,'SINAPI JULHO 2021'!$1:$1048576,3,0),IFERROR(VLOOKUP($C677,'5-COMP. PROPRIA'!$B$4:$I$7999,5,0),""))</f>
        <v>UN</v>
      </c>
      <c r="M677" s="106"/>
      <c r="N677" s="53"/>
    </row>
    <row r="678" spans="2:14" ht="42.75" customHeight="1">
      <c r="B678" s="207"/>
      <c r="C678" s="239">
        <v>89817</v>
      </c>
      <c r="D678" s="259" t="s">
        <v>7</v>
      </c>
      <c r="E678" s="689" t="str">
        <f>IFERROR(VLOOKUP($C678,'SINAPI JULHO 2021'!$1:$1048576,2,0),IFERROR(VLOOKUP($C678,'5-COMP. PROPRIA'!$B$4:$I$7999,4,0),""))</f>
        <v>LUVA SIMPLES, PVC, SERIE NORMAL, ESGOTO PREDIAL, DN 75 MM, JUNTA ELÁSTICA, FORNECIDO E INSTALADO EM PRUMADA DE ESGOTO SANITÁRIO OU VENTILAÇÃO. AF_12/2014</v>
      </c>
      <c r="F678" s="690"/>
      <c r="G678" s="690"/>
      <c r="H678" s="690"/>
      <c r="I678" s="690"/>
      <c r="J678" s="691"/>
      <c r="K678" s="286">
        <v>8</v>
      </c>
      <c r="L678" s="468" t="str">
        <f>IFERROR(VLOOKUP($C678,'SINAPI JULHO 2021'!$1:$1048576,3,0),IFERROR(VLOOKUP($C678,'5-COMP. PROPRIA'!$B$4:$I$7999,5,0),""))</f>
        <v>UN</v>
      </c>
      <c r="M678" s="106"/>
      <c r="N678" s="53"/>
    </row>
    <row r="679" spans="2:14" ht="42.75" customHeight="1">
      <c r="B679" s="207"/>
      <c r="C679" s="239">
        <v>89821</v>
      </c>
      <c r="D679" s="259" t="s">
        <v>7</v>
      </c>
      <c r="E679" s="689" t="str">
        <f>IFERROR(VLOOKUP($C679,'SINAPI JULHO 2021'!$1:$1048576,2,0),IFERROR(VLOOKUP($C679,'5-COMP. PROPRIA'!$B$4:$I$7999,4,0),""))</f>
        <v>LUVA SIMPLES, PVC, SERIE NORMAL, ESGOTO PREDIAL, DN 100 MM, JUNTA ELÁSTICA, FORNECIDO E INSTALADO EM PRUMADA DE ESGOTO SANITÁRIO OU VENTILAÇÃO. AF_12/2014</v>
      </c>
      <c r="F679" s="690"/>
      <c r="G679" s="690"/>
      <c r="H679" s="690"/>
      <c r="I679" s="690"/>
      <c r="J679" s="691"/>
      <c r="K679" s="286">
        <v>145</v>
      </c>
      <c r="L679" s="468" t="str">
        <f>IFERROR(VLOOKUP($C679,'SINAPI JULHO 2021'!$1:$1048576,3,0),IFERROR(VLOOKUP($C679,'5-COMP. PROPRIA'!$B$4:$I$7999,5,0),""))</f>
        <v>UN</v>
      </c>
      <c r="M679" s="106"/>
      <c r="N679" s="53"/>
    </row>
    <row r="680" spans="2:14" ht="42.75" customHeight="1">
      <c r="B680" s="207"/>
      <c r="C680" s="239">
        <v>89800</v>
      </c>
      <c r="D680" s="259" t="s">
        <v>7</v>
      </c>
      <c r="E680" s="689" t="str">
        <f>IFERROR(VLOOKUP($C680,'SINAPI JULHO 2021'!$1:$1048576,2,0),IFERROR(VLOOKUP($C680,'5-COMP. PROPRIA'!$B$4:$I$7999,4,0),""))</f>
        <v>TUBO PVC, SERIE NORMAL, ESGOTO PREDIAL, DN 100 MM, FORNECIDO E INSTALADO EM PRUMADA DE ESGOTO SANITÁRIO OU VENTILAÇÃO. AF_12/2014</v>
      </c>
      <c r="F680" s="690"/>
      <c r="G680" s="690"/>
      <c r="H680" s="690"/>
      <c r="I680" s="690"/>
      <c r="J680" s="691"/>
      <c r="K680" s="286">
        <v>166.58</v>
      </c>
      <c r="L680" s="468" t="str">
        <f>IFERROR(VLOOKUP($C680,'SINAPI JULHO 2021'!$1:$1048576,3,0),IFERROR(VLOOKUP($C680,'5-COMP. PROPRIA'!$B$4:$I$7999,5,0),""))</f>
        <v>M</v>
      </c>
      <c r="M680" s="106"/>
      <c r="N680" s="53"/>
    </row>
    <row r="681" spans="2:14" ht="42.75" customHeight="1">
      <c r="B681" s="207"/>
      <c r="C681" s="239">
        <v>89798</v>
      </c>
      <c r="D681" s="259" t="s">
        <v>7</v>
      </c>
      <c r="E681" s="689" t="str">
        <f>IFERROR(VLOOKUP($C681,'SINAPI JULHO 2021'!$1:$1048576,2,0),IFERROR(VLOOKUP($C681,'5-COMP. PROPRIA'!$B$4:$I$7999,4,0),""))</f>
        <v>TUBO PVC, SERIE NORMAL, ESGOTO PREDIAL, DN 50 MM, FORNECIDO E INSTALADO EM PRUMADA DE ESGOTO SANITÁRIO OU VENTILAÇÃO. AF_12/2014</v>
      </c>
      <c r="F681" s="690"/>
      <c r="G681" s="690"/>
      <c r="H681" s="690"/>
      <c r="I681" s="690"/>
      <c r="J681" s="691"/>
      <c r="K681" s="286">
        <v>117.11</v>
      </c>
      <c r="L681" s="468" t="str">
        <f>IFERROR(VLOOKUP($C681,'SINAPI JULHO 2021'!$1:$1048576,3,0),IFERROR(VLOOKUP($C681,'5-COMP. PROPRIA'!$B$4:$I$7999,5,0),""))</f>
        <v>M</v>
      </c>
      <c r="M681" s="106"/>
      <c r="N681" s="53"/>
    </row>
    <row r="682" spans="2:14" ht="42.75" customHeight="1">
      <c r="B682" s="207"/>
      <c r="C682" s="239">
        <v>89711</v>
      </c>
      <c r="D682" s="259" t="s">
        <v>7</v>
      </c>
      <c r="E682" s="689" t="str">
        <f>IFERROR(VLOOKUP($C682,'SINAPI JULHO 2021'!$1:$1048576,2,0),IFERROR(VLOOKUP($C682,'5-COMP. PROPRIA'!$B$4:$I$7999,4,0),""))</f>
        <v>TUBO PVC, SERIE NORMAL, ESGOTO PREDIAL, DN 40 MM, FORNECIDO E INSTALADO EM RAMAL DE DESCARGA OU RAMAL DE ESGOTO SANITÁRIO. AF_12/2014</v>
      </c>
      <c r="F682" s="690"/>
      <c r="G682" s="690"/>
      <c r="H682" s="690"/>
      <c r="I682" s="690"/>
      <c r="J682" s="691"/>
      <c r="K682" s="286">
        <v>77.53</v>
      </c>
      <c r="L682" s="468" t="str">
        <f>IFERROR(VLOOKUP($C682,'SINAPI JULHO 2021'!$1:$1048576,3,0),IFERROR(VLOOKUP($C682,'5-COMP. PROPRIA'!$B$4:$I$7999,5,0),""))</f>
        <v>M</v>
      </c>
      <c r="M682" s="106"/>
      <c r="N682" s="53"/>
    </row>
    <row r="683" spans="2:14" ht="42.75" customHeight="1">
      <c r="B683" s="207"/>
      <c r="C683" s="239">
        <v>89799</v>
      </c>
      <c r="D683" s="259" t="s">
        <v>7</v>
      </c>
      <c r="E683" s="689" t="str">
        <f>IFERROR(VLOOKUP($C683,'SINAPI JULHO 2021'!$1:$1048576,2,0),IFERROR(VLOOKUP($C683,'5-COMP. PROPRIA'!$B$4:$I$7999,4,0),""))</f>
        <v>TUBO PVC, SERIE NORMAL, ESGOTO PREDIAL, DN 75 MM, FORNECIDO E INSTALADO EM PRUMADA DE ESGOTO SANITÁRIO OU VENTILAÇÃO. AF_12/2014</v>
      </c>
      <c r="F683" s="690"/>
      <c r="G683" s="690"/>
      <c r="H683" s="690"/>
      <c r="I683" s="690"/>
      <c r="J683" s="691"/>
      <c r="K683" s="286">
        <v>44.59</v>
      </c>
      <c r="L683" s="468" t="str">
        <f>IFERROR(VLOOKUP($C683,'SINAPI JULHO 2021'!$1:$1048576,3,0),IFERROR(VLOOKUP($C683,'5-COMP. PROPRIA'!$B$4:$I$7999,5,0),""))</f>
        <v>M</v>
      </c>
      <c r="M683" s="106"/>
      <c r="N683" s="53"/>
    </row>
    <row r="684" spans="2:14" ht="42.75" customHeight="1">
      <c r="B684" s="207"/>
      <c r="C684" s="239">
        <v>89825</v>
      </c>
      <c r="D684" s="259" t="s">
        <v>7</v>
      </c>
      <c r="E684" s="689" t="str">
        <f>IFERROR(VLOOKUP($C684,'SINAPI JULHO 2021'!$1:$1048576,2,0),IFERROR(VLOOKUP($C684,'5-COMP. PROPRIA'!$B$4:$I$7999,4,0),""))</f>
        <v>TE, PVC, SERIE NORMAL, ESGOTO PREDIAL, DN 50 X 50 MM, JUNTA ELÁSTICA, FORNECIDO E INSTALADO EM PRUMADA DE ESGOTO SANITÁRIO OU VENTILAÇÃO. AF_12/2014</v>
      </c>
      <c r="F684" s="690"/>
      <c r="G684" s="690"/>
      <c r="H684" s="690"/>
      <c r="I684" s="690"/>
      <c r="J684" s="691"/>
      <c r="K684" s="286">
        <v>11</v>
      </c>
      <c r="L684" s="468" t="str">
        <f>IFERROR(VLOOKUP($C684,'SINAPI JULHO 2021'!$1:$1048576,3,0),IFERROR(VLOOKUP($C684,'5-COMP. PROPRIA'!$B$4:$I$7999,5,0),""))</f>
        <v>UN</v>
      </c>
      <c r="M684" s="106"/>
      <c r="N684" s="53"/>
    </row>
    <row r="685" spans="2:14" ht="24.75" customHeight="1">
      <c r="B685" s="207"/>
      <c r="C685" s="45">
        <v>89711</v>
      </c>
      <c r="D685" s="259" t="s">
        <v>7</v>
      </c>
      <c r="E685" s="719" t="str">
        <f>IFERROR(VLOOKUP($C685,'SINAPI JULHO 2021'!$1:$1048576,2,0),IFERROR(VLOOKUP($C685,'5-COMP. PROPRIA'!$B$1:$I$7981,4,0),""))</f>
        <v>TUBO PVC, SERIE NORMAL, ESGOTO PREDIAL, DN 40 MM, FORNECIDO E INSTALADO EM RAMAL DE DESCARGA OU RAMAL DE ESGOTO SANITÁRIO. AF_12/2014</v>
      </c>
      <c r="F685" s="720"/>
      <c r="G685" s="720"/>
      <c r="H685" s="720"/>
      <c r="I685" s="720"/>
      <c r="J685" s="721"/>
      <c r="K685" s="286">
        <v>22</v>
      </c>
      <c r="L685" s="468" t="str">
        <f>IFERROR(VLOOKUP($C685,'SINAPI JULHO 2021'!$1:$1048576,3,0),IFERROR(VLOOKUP($C685,'5-COMP. PROPRIA'!$B$1:$I$7981,5,0),""))</f>
        <v>M</v>
      </c>
      <c r="M685" s="106"/>
      <c r="N685" s="53"/>
    </row>
    <row r="686" spans="2:14" ht="30" customHeight="1">
      <c r="B686" s="207"/>
      <c r="C686" s="45">
        <v>98057</v>
      </c>
      <c r="D686" s="259" t="s">
        <v>7</v>
      </c>
      <c r="E686" s="719" t="str">
        <f>IFERROR(VLOOKUP($C686,'SINAPI JULHO 2021'!$1:$1048576,2,0),IFERROR(VLOOKUP($C686,'5-COMP. PROPRIA'!$B$1:$I$7981,4,0),""))</f>
        <v>TANQUE SÉPTICO CIRCULAR, EM CONCRETO PRÉ-MOLDADO, DIÂMETRO INTERNO = 2,88 M, ALTURA INTERNA = 2,50 M, VOLUME ÚTIL: 14657,4 L (PARA 105 CONTRIBUINTES). AF_12/2020</v>
      </c>
      <c r="F686" s="720"/>
      <c r="G686" s="720"/>
      <c r="H686" s="720"/>
      <c r="I686" s="720"/>
      <c r="J686" s="721"/>
      <c r="K686" s="286">
        <v>1</v>
      </c>
      <c r="L686" s="468" t="str">
        <f>IFERROR(VLOOKUP($C686,'SINAPI JULHO 2021'!$1:$1048576,3,0),IFERROR(VLOOKUP($C686,'5-COMP. PROPRIA'!$B$1:$I$7981,5,0),""))</f>
        <v>UN</v>
      </c>
      <c r="M686" s="106"/>
      <c r="N686" s="53"/>
    </row>
    <row r="687" spans="2:14" ht="24" customHeight="1">
      <c r="B687" s="207"/>
      <c r="C687" s="45">
        <v>98061</v>
      </c>
      <c r="D687" s="259" t="s">
        <v>7</v>
      </c>
      <c r="E687" s="719" t="str">
        <f>IFERROR(VLOOKUP($C687,'SINAPI JULHO 2021'!$1:$1048576,2,0),IFERROR(VLOOKUP($C687,'5-COMP. PROPRIA'!$B$1:$I$7981,4,0),""))</f>
        <v>FILTRO ANAERÓBIO CIRCULAR, EM CONCRETO PRÉ-MOLDADO, DIÂMETRO INTERNO = 2,88 M, ALTURA INTERNA = 1,50 M, VOLUME ÚTIL: 7817,3 L (PARA 75 CONTRIBUINTES). AF_12/2020</v>
      </c>
      <c r="F687" s="720"/>
      <c r="G687" s="720"/>
      <c r="H687" s="720"/>
      <c r="I687" s="720"/>
      <c r="J687" s="721"/>
      <c r="K687" s="286">
        <v>1</v>
      </c>
      <c r="L687" s="468" t="str">
        <f>IFERROR(VLOOKUP($C687,'SINAPI JULHO 2021'!$1:$1048576,3,0),IFERROR(VLOOKUP($C687,'5-COMP. PROPRIA'!$B$1:$I$7981,5,0),""))</f>
        <v>UN</v>
      </c>
      <c r="M687" s="106"/>
      <c r="N687" s="53"/>
    </row>
    <row r="688" spans="2:14" ht="31.5" customHeight="1">
      <c r="B688" s="207"/>
      <c r="C688" s="45">
        <v>98065</v>
      </c>
      <c r="D688" s="259" t="s">
        <v>7</v>
      </c>
      <c r="E688" s="719" t="str">
        <f>IFERROR(VLOOKUP($C688,'SINAPI JULHO 2021'!$1:$1048576,2,0),IFERROR(VLOOKUP($C688,'5-COMP. PROPRIA'!$B$1:$I$7981,4,0),""))</f>
        <v>SUMIDOURO CIRCULAR, EM CONCRETO PRÉ-MOLDADO, DIÂMETRO INTERNO = 2,88 M, ALTURA INTERNA = 3,0 M, ÁREA DE INFILTRAÇÃO: 31,4 M² (PARA 12 CONTRIBUINTES). AF_12/2020</v>
      </c>
      <c r="F688" s="720"/>
      <c r="G688" s="720"/>
      <c r="H688" s="720"/>
      <c r="I688" s="720"/>
      <c r="J688" s="721"/>
      <c r="K688" s="286">
        <v>3</v>
      </c>
      <c r="L688" s="468" t="str">
        <f>IFERROR(VLOOKUP($C688,'SINAPI JULHO 2021'!$1:$1048576,3,0),IFERROR(VLOOKUP($C688,'5-COMP. PROPRIA'!$B$1:$I$7981,5,0),""))</f>
        <v>UN</v>
      </c>
      <c r="M688" s="106"/>
      <c r="N688" s="53"/>
    </row>
    <row r="689" spans="2:14" ht="25.5" customHeight="1">
      <c r="B689" s="207"/>
      <c r="C689" s="45">
        <v>101808</v>
      </c>
      <c r="D689" s="259" t="s">
        <v>7</v>
      </c>
      <c r="E689" s="719" t="str">
        <f>IFERROR(VLOOKUP($C689,'SINAPI JULHO 2021'!$1:$1048576,2,0),IFERROR(VLOOKUP($C689,'5-COMP. PROPRIA'!$B$1:$I$7981,4,0),""))</f>
        <v>CAIXA ENTERRADA DISTRIBUIDORA DE VAZÃO (SUMIDOUROS MÚLTIPLOS), RETANGULAR, EM CONCRETO PRÉ-MOLDADO, DIMENSÕES INTERNAS: 0,60 X 0,60 X 0,50 M. AF_12/2020</v>
      </c>
      <c r="F689" s="720"/>
      <c r="G689" s="720"/>
      <c r="H689" s="720"/>
      <c r="I689" s="720"/>
      <c r="J689" s="721"/>
      <c r="K689" s="286">
        <v>1</v>
      </c>
      <c r="L689" s="468" t="str">
        <f>IFERROR(VLOOKUP($C689,'SINAPI JULHO 2021'!$1:$1048576,3,0),IFERROR(VLOOKUP($C689,'5-COMP. PROPRIA'!$B$1:$I$7981,5,0),""))</f>
        <v>UN</v>
      </c>
      <c r="M689" s="106"/>
      <c r="N689" s="53"/>
    </row>
    <row r="690" spans="2:14">
      <c r="B690" s="207"/>
      <c r="D690" s="47"/>
      <c r="E690" s="716" t="s">
        <v>5763</v>
      </c>
      <c r="F690" s="717"/>
      <c r="G690" s="717"/>
      <c r="H690" s="717"/>
      <c r="I690" s="717"/>
      <c r="J690" s="718"/>
      <c r="K690" s="180"/>
      <c r="L690" s="441"/>
      <c r="M690" s="106"/>
      <c r="N690" s="53"/>
    </row>
    <row r="691" spans="2:14" ht="38.25" customHeight="1">
      <c r="B691" s="207"/>
      <c r="C691" s="239">
        <v>94497</v>
      </c>
      <c r="D691" s="259" t="s">
        <v>7</v>
      </c>
      <c r="E691" s="689" t="str">
        <f>IFERROR(VLOOKUP($C691,'SINAPI JULHO 2021'!$1:$1048576,2,0),IFERROR(VLOOKUP($C691,'5-COMP. PROPRIA'!$B$4:$I$7999,4,0),""))</f>
        <v>REGISTRO DE GAVETA BRUTO, LATÃO, ROSCÁVEL, 1 1/2, INSTALADO EM RESERVAÇÃO DE ÁGUA DE EDIFICAÇÃO QUE POSSUA RESERVATÓRIO DE FIBRA/FIBROCIMENTO  FORNECIMENTO E INSTALAÇÃO. AF_06/2016</v>
      </c>
      <c r="F691" s="690"/>
      <c r="G691" s="690"/>
      <c r="H691" s="690"/>
      <c r="I691" s="690"/>
      <c r="J691" s="691"/>
      <c r="K691" s="286">
        <v>1</v>
      </c>
      <c r="L691" s="468" t="str">
        <f>IFERROR(VLOOKUP($C691,'SINAPI JULHO 2021'!$1:$1048576,3,0),IFERROR(VLOOKUP($C691,'5-COMP. PROPRIA'!$B$4:$I$7999,5,0),""))</f>
        <v>UN</v>
      </c>
      <c r="M691" s="106"/>
      <c r="N691" s="53"/>
    </row>
    <row r="692" spans="2:14" ht="38.25" customHeight="1">
      <c r="B692" s="207"/>
      <c r="C692" s="239">
        <v>94496</v>
      </c>
      <c r="D692" s="259" t="s">
        <v>7</v>
      </c>
      <c r="E692" s="689" t="str">
        <f>IFERROR(VLOOKUP($C692,'SINAPI JULHO 2021'!$1:$1048576,2,0),IFERROR(VLOOKUP($C692,'5-COMP. PROPRIA'!$B$4:$I$7999,4,0),""))</f>
        <v>REGISTRO DE GAVETA BRUTO, LATÃO, ROSCÁVEL, 1 1/4, INSTALADO EM RESERVAÇÃO DE ÁGUA DE EDIFICAÇÃO QUE POSSUA RESERVATÓRIO DE FIBRA/FIBROCIMENTO  FORNECIMENTO E INSTALAÇÃO. AF_06/2016</v>
      </c>
      <c r="F692" s="690"/>
      <c r="G692" s="690"/>
      <c r="H692" s="690"/>
      <c r="I692" s="690"/>
      <c r="J692" s="691"/>
      <c r="K692" s="286">
        <v>1</v>
      </c>
      <c r="L692" s="468" t="str">
        <f>IFERROR(VLOOKUP($C692,'SINAPI JULHO 2021'!$1:$1048576,3,0),IFERROR(VLOOKUP($C692,'5-COMP. PROPRIA'!$B$4:$I$7999,5,0),""))</f>
        <v>UN</v>
      </c>
      <c r="M692" s="106"/>
      <c r="N692" s="53"/>
    </row>
    <row r="693" spans="2:14" ht="38.25" customHeight="1">
      <c r="B693" s="207"/>
      <c r="C693" s="239">
        <v>94494</v>
      </c>
      <c r="D693" s="259" t="s">
        <v>7</v>
      </c>
      <c r="E693" s="689" t="str">
        <f>IFERROR(VLOOKUP($C693,'SINAPI JULHO 2021'!$1:$1048576,2,0),IFERROR(VLOOKUP($C693,'5-COMP. PROPRIA'!$B$4:$I$7999,4,0),""))</f>
        <v>REGISTRO DE GAVETA BRUTO, LATÃO, ROSCÁVEL, 3/4, INSTALADO EM RESERVAÇÃO DE ÁGUA DE EDIFICAÇÃO QUE POSSUA RESERVATÓRIO DE FIBRA/FIBROCIMENTO  FORNECIMENTO E INSTALAÇÃO. AF_06/2016</v>
      </c>
      <c r="F693" s="690"/>
      <c r="G693" s="690"/>
      <c r="H693" s="690"/>
      <c r="I693" s="690"/>
      <c r="J693" s="691"/>
      <c r="K693" s="286">
        <v>1</v>
      </c>
      <c r="L693" s="468" t="str">
        <f>IFERROR(VLOOKUP($C693,'SINAPI JULHO 2021'!$1:$1048576,3,0),IFERROR(VLOOKUP($C693,'5-COMP. PROPRIA'!$B$4:$I$7999,5,0),""))</f>
        <v>UN</v>
      </c>
      <c r="M693" s="106"/>
      <c r="N693" s="53"/>
    </row>
    <row r="694" spans="2:14" ht="38.25" customHeight="1">
      <c r="B694" s="207"/>
      <c r="C694" s="239">
        <v>94794</v>
      </c>
      <c r="D694" s="259" t="s">
        <v>7</v>
      </c>
      <c r="E694" s="689" t="str">
        <f>IFERROR(VLOOKUP($C694,'SINAPI JULHO 2021'!$1:$1048576,2,0),IFERROR(VLOOKUP($C694,'5-COMP. PROPRIA'!$B$4:$I$7999,4,0),""))</f>
        <v>REGISTRO DE GAVETA BRUTO, LATÃO, ROSCÁVEL, 1 1/2, COM ACABAMENTO E CANOPLA CROMADOS, INSTALADO EM RESERVAÇÃO DE ÁGUA DE EDIFICAÇÃO QUE POSSUA RESERVATÓRIO DE FIBRA/FIBROCIMENTO  FORNECIMENTO E INSTALAÇÃO. AF_06/2016</v>
      </c>
      <c r="F694" s="690"/>
      <c r="G694" s="690"/>
      <c r="H694" s="690"/>
      <c r="I694" s="690"/>
      <c r="J694" s="691"/>
      <c r="K694" s="286">
        <v>1</v>
      </c>
      <c r="L694" s="468" t="str">
        <f>IFERROR(VLOOKUP($C694,'SINAPI JULHO 2021'!$1:$1048576,3,0),IFERROR(VLOOKUP($C694,'5-COMP. PROPRIA'!$B$4:$I$7999,5,0),""))</f>
        <v>UN</v>
      </c>
      <c r="M694" s="106"/>
      <c r="N694" s="53"/>
    </row>
    <row r="695" spans="2:14" ht="38.25" customHeight="1">
      <c r="B695" s="207"/>
      <c r="C695" s="239">
        <v>89987</v>
      </c>
      <c r="D695" s="259" t="s">
        <v>7</v>
      </c>
      <c r="E695" s="689" t="str">
        <f>IFERROR(VLOOKUP($C695,'SINAPI JULHO 2021'!$1:$1048576,2,0),IFERROR(VLOOKUP($C695,'5-COMP. PROPRIA'!$B$4:$I$7999,4,0),""))</f>
        <v>REGISTRO DE GAVETA BRUTO, LATÃO, ROSCÁVEL, 3/4", COM ACABAMENTO E CANOPLA CROMADOS. FORNECIDO E INSTALADO EM RAMAL DE ÁGUA. AF_12/2014</v>
      </c>
      <c r="F695" s="690"/>
      <c r="G695" s="690"/>
      <c r="H695" s="690"/>
      <c r="I695" s="690"/>
      <c r="J695" s="691"/>
      <c r="K695" s="286">
        <v>1</v>
      </c>
      <c r="L695" s="468" t="str">
        <f>IFERROR(VLOOKUP($C695,'SINAPI JULHO 2021'!$1:$1048576,3,0),IFERROR(VLOOKUP($C695,'5-COMP. PROPRIA'!$B$4:$I$7999,5,0),""))</f>
        <v>UN</v>
      </c>
      <c r="M695" s="106"/>
      <c r="N695" s="53"/>
    </row>
    <row r="696" spans="2:14" ht="38.25" customHeight="1">
      <c r="B696" s="207"/>
      <c r="C696" s="239">
        <v>89985</v>
      </c>
      <c r="D696" s="259" t="s">
        <v>7</v>
      </c>
      <c r="E696" s="689" t="str">
        <f>IFERROR(VLOOKUP($C696,'SINAPI JULHO 2021'!$1:$1048576,2,0),IFERROR(VLOOKUP($C696,'5-COMP. PROPRIA'!$B$4:$I$7999,4,0),""))</f>
        <v>REGISTRO DE PRESSÃO BRUTO, LATÃO, ROSCÁVEL, 3/4", COM ACABAMENTO E CANOPLA CROMADOS. FORNECIDO E INSTALADO EM RAMAL DE ÁGUA. AF_12/2014</v>
      </c>
      <c r="F696" s="690"/>
      <c r="G696" s="690"/>
      <c r="H696" s="690"/>
      <c r="I696" s="690"/>
      <c r="J696" s="691"/>
      <c r="K696" s="286">
        <v>54</v>
      </c>
      <c r="L696" s="468" t="str">
        <f>IFERROR(VLOOKUP($C696,'SINAPI JULHO 2021'!$1:$1048576,3,0),IFERROR(VLOOKUP($C696,'5-COMP. PROPRIA'!$B$4:$I$7999,5,0),""))</f>
        <v>UN</v>
      </c>
      <c r="M696" s="106"/>
      <c r="N696" s="53"/>
    </row>
    <row r="697" spans="2:14" ht="38.25" customHeight="1">
      <c r="B697" s="207"/>
      <c r="C697" s="69">
        <v>90371</v>
      </c>
      <c r="D697" s="259" t="s">
        <v>7</v>
      </c>
      <c r="E697" s="689" t="str">
        <f>IFERROR(VLOOKUP($C697,'SINAPI JULHO 2021'!$1:$1048576,2,0),IFERROR(VLOOKUP($C697,'5-COMP. PROPRIA'!$B$4:$I$7999,4,0),""))</f>
        <v>REGISTRO DE ESFERA, PVC, ROSCÁVEL, 3/4", FORNECIDO E INSTALADO EM RAMAL DE ÁGUA. AF_03/2015</v>
      </c>
      <c r="F697" s="690"/>
      <c r="G697" s="690"/>
      <c r="H697" s="690"/>
      <c r="I697" s="690"/>
      <c r="J697" s="691"/>
      <c r="K697" s="286">
        <v>4</v>
      </c>
      <c r="L697" s="468" t="str">
        <f>IFERROR(VLOOKUP($C697,'SINAPI JULHO 2021'!$1:$1048576,3,0),IFERROR(VLOOKUP($C697,'5-COMP. PROPRIA'!$B$4:$I$7999,5,0),""))</f>
        <v>UN</v>
      </c>
      <c r="M697" s="106"/>
      <c r="N697" s="53"/>
    </row>
    <row r="698" spans="2:14" ht="38.25" customHeight="1">
      <c r="B698" s="207"/>
      <c r="C698" s="239">
        <v>99630</v>
      </c>
      <c r="D698" s="259" t="s">
        <v>7</v>
      </c>
      <c r="E698" s="689" t="str">
        <f>IFERROR(VLOOKUP($C698,'SINAPI JULHO 2021'!$1:$1048576,2,0),IFERROR(VLOOKUP($C698,'5-COMP. PROPRIA'!$B$4:$I$7999,4,0),""))</f>
        <v>VÁLVULA DE RETENÇÃO VERTICAL, DE BRONZE, ROSCÁVEL, 1 1/4" - FORNECIMENTO E INSTALAÇÃO. AF_01/2019</v>
      </c>
      <c r="F698" s="690"/>
      <c r="G698" s="690"/>
      <c r="H698" s="690"/>
      <c r="I698" s="690"/>
      <c r="J698" s="691"/>
      <c r="K698" s="286">
        <v>36</v>
      </c>
      <c r="L698" s="468" t="str">
        <f>IFERROR(VLOOKUP($C698,'SINAPI JULHO 2021'!$1:$1048576,3,0),IFERROR(VLOOKUP($C698,'5-COMP. PROPRIA'!$B$4:$I$7999,5,0),""))</f>
        <v>UN</v>
      </c>
      <c r="M698" s="106"/>
      <c r="N698" s="53"/>
    </row>
    <row r="699" spans="2:14" ht="38.25" customHeight="1">
      <c r="B699" s="207"/>
      <c r="C699" s="68">
        <v>99635</v>
      </c>
      <c r="D699" s="259" t="s">
        <v>7</v>
      </c>
      <c r="E699" s="689" t="str">
        <f>IFERROR(VLOOKUP($C699,'SINAPI JULHO 2021'!$1:$1048576,2,0),IFERROR(VLOOKUP($C699,'5-COMP. PROPRIA'!$B$4:$I$7999,4,0),""))</f>
        <v>VÁLVULA DE DESCARGA METÁLICA, BASE 1 1/2 ", ACABAMENTO METALICO CROMADO - FORNECIMENTO E INSTALAÇÃO. AF_01/2019</v>
      </c>
      <c r="F699" s="690"/>
      <c r="G699" s="690"/>
      <c r="H699" s="690"/>
      <c r="I699" s="690"/>
      <c r="J699" s="691"/>
      <c r="K699" s="286">
        <v>20</v>
      </c>
      <c r="L699" s="468" t="str">
        <f>IFERROR(VLOOKUP($C699,'SINAPI JULHO 2021'!$1:$1048576,3,0),IFERROR(VLOOKUP($C699,'5-COMP. PROPRIA'!$B$4:$I$7999,5,0),""))</f>
        <v>UN</v>
      </c>
      <c r="M699" s="106"/>
      <c r="N699" s="53"/>
    </row>
    <row r="700" spans="2:14" ht="38.25" customHeight="1">
      <c r="B700" s="207"/>
      <c r="C700" s="239">
        <v>99631</v>
      </c>
      <c r="D700" s="259" t="s">
        <v>7</v>
      </c>
      <c r="E700" s="689" t="str">
        <f>IFERROR(VLOOKUP($C700,'SINAPI JULHO 2021'!$1:$1048576,2,0),IFERROR(VLOOKUP($C700,'5-COMP. PROPRIA'!$B$4:$I$7999,4,0),""))</f>
        <v>VÁLVULA DE RETENÇÃO VERTICAL, DE BRONZE, ROSCÁVEL, 1 1/2" - FORNECIMENTO E INSTALAÇÃO. AF_01/2019</v>
      </c>
      <c r="F700" s="690"/>
      <c r="G700" s="690"/>
      <c r="H700" s="690"/>
      <c r="I700" s="690"/>
      <c r="J700" s="691"/>
      <c r="K700" s="286">
        <v>8</v>
      </c>
      <c r="L700" s="468" t="str">
        <f>IFERROR(VLOOKUP($C700,'SINAPI JULHO 2021'!$1:$1048576,3,0),IFERROR(VLOOKUP($C700,'5-COMP. PROPRIA'!$B$4:$I$7999,5,0),""))</f>
        <v>UN</v>
      </c>
      <c r="M700" s="106"/>
      <c r="N700" s="53"/>
    </row>
    <row r="701" spans="2:14" ht="38.25" customHeight="1">
      <c r="B701" s="207"/>
      <c r="C701" s="69">
        <v>89424</v>
      </c>
      <c r="D701" s="259" t="s">
        <v>7</v>
      </c>
      <c r="E701" s="689" t="str">
        <f>IFERROR(VLOOKUP($C701,'SINAPI JULHO 2021'!$1:$1048576,2,0),IFERROR(VLOOKUP($C701,'5-COMP. PROPRIA'!$B$4:$I$7999,4,0),""))</f>
        <v>LUVA, PVC, SOLDÁVEL, DN 25MM, INSTALADO EM RAMAL DE DISTRIBUIÇÃO DE ÁGUA - FORNECIMENTO E INSTALAÇÃO. AF_12/2014</v>
      </c>
      <c r="F701" s="690"/>
      <c r="G701" s="690"/>
      <c r="H701" s="690"/>
      <c r="I701" s="690"/>
      <c r="J701" s="691"/>
      <c r="K701" s="286">
        <v>3</v>
      </c>
      <c r="L701" s="468" t="str">
        <f>IFERROR(VLOOKUP($C701,'SINAPI JULHO 2021'!$1:$1048576,3,0),IFERROR(VLOOKUP($C701,'5-COMP. PROPRIA'!$B$4:$I$7999,5,0),""))</f>
        <v>UN</v>
      </c>
      <c r="M701" s="106"/>
      <c r="N701" s="53"/>
    </row>
    <row r="702" spans="2:14" ht="38.25" customHeight="1">
      <c r="B702" s="207"/>
      <c r="C702" s="69">
        <v>89408</v>
      </c>
      <c r="D702" s="259" t="s">
        <v>7</v>
      </c>
      <c r="E702" s="689" t="str">
        <f>IFERROR(VLOOKUP($C702,'SINAPI JULHO 2021'!$1:$1048576,2,0),IFERROR(VLOOKUP($C702,'5-COMP. PROPRIA'!$B$4:$I$7999,4,0),""))</f>
        <v>JOELHO 90 GRAUS, PVC, SOLDÁVEL, DN 25MM, INSTALADO EM RAMAL DE DISTRIBUIÇÃO DE ÁGUA - FORNECIMENTO E INSTALAÇÃO. AF_12/2014</v>
      </c>
      <c r="F702" s="690"/>
      <c r="G702" s="690"/>
      <c r="H702" s="690"/>
      <c r="I702" s="690"/>
      <c r="J702" s="691"/>
      <c r="K702" s="286">
        <v>79</v>
      </c>
      <c r="L702" s="468" t="str">
        <f>IFERROR(VLOOKUP($C702,'SINAPI JULHO 2021'!$1:$1048576,3,0),IFERROR(VLOOKUP($C702,'5-COMP. PROPRIA'!$B$4:$I$7999,5,0),""))</f>
        <v>UN</v>
      </c>
      <c r="M702" s="106"/>
      <c r="N702" s="53"/>
    </row>
    <row r="703" spans="2:14" ht="38.25" customHeight="1">
      <c r="B703" s="207"/>
      <c r="C703" s="239">
        <v>94708</v>
      </c>
      <c r="D703" s="259" t="s">
        <v>7</v>
      </c>
      <c r="E703" s="689" t="str">
        <f>IFERROR(VLOOKUP($C703,'SINAPI JULHO 2021'!$1:$1048576,2,0),IFERROR(VLOOKUP($C703,'5-COMP. PROPRIA'!$B$4:$I$7999,4,0),""))</f>
        <v>ADAPTADOR COM FLANGES LIVRES, PVC, SOLDÁVEL, DN  25 MM X 3/4 , INSTALADO EM RESERVAÇÃO DE ÁGUA DE EDIFICAÇÃO QUE POSSUA RESERVATÓRIO DE FIBRA/FIBROCIMENTO   FORNECIMENTO E INSTALAÇÃO. AF_06/2016</v>
      </c>
      <c r="F703" s="690"/>
      <c r="G703" s="690"/>
      <c r="H703" s="690"/>
      <c r="I703" s="690"/>
      <c r="J703" s="691"/>
      <c r="K703" s="286">
        <v>1</v>
      </c>
      <c r="L703" s="468" t="str">
        <f>IFERROR(VLOOKUP($C703,'SINAPI JULHO 2021'!$1:$1048576,3,0),IFERROR(VLOOKUP($C703,'5-COMP. PROPRIA'!$B$4:$I$7999,5,0),""))</f>
        <v>UN</v>
      </c>
      <c r="M703" s="106"/>
      <c r="N703" s="53"/>
    </row>
    <row r="704" spans="2:14" ht="38.25" customHeight="1">
      <c r="B704" s="207"/>
      <c r="C704" s="239">
        <v>94709</v>
      </c>
      <c r="D704" s="259" t="s">
        <v>7</v>
      </c>
      <c r="E704" s="689" t="str">
        <f>IFERROR(VLOOKUP($C704,'SINAPI JULHO 2021'!$1:$1048576,2,0),IFERROR(VLOOKUP($C704,'5-COMP. PROPRIA'!$B$4:$I$7999,4,0),""))</f>
        <v>ADAPTADOR COM FLANGES LIVRES, PVC, SOLDÁVEL, DN 32 MM X 1 , INSTALADO EM RESERVAÇÃO DE ÁGUA DE EDIFICAÇÃO QUE POSSUA RESERVATÓRIO DE FIBRA/FIBROCIMENTO   FORNECIMENTO E INSTALAÇÃO. AF_06/2016</v>
      </c>
      <c r="F704" s="690"/>
      <c r="G704" s="690"/>
      <c r="H704" s="690"/>
      <c r="I704" s="690"/>
      <c r="J704" s="691"/>
      <c r="K704" s="286">
        <v>1</v>
      </c>
      <c r="L704" s="468" t="str">
        <f>IFERROR(VLOOKUP($C704,'SINAPI JULHO 2021'!$1:$1048576,3,0),IFERROR(VLOOKUP($C704,'5-COMP. PROPRIA'!$B$4:$I$7999,5,0),""))</f>
        <v>UN</v>
      </c>
      <c r="M704" s="106"/>
      <c r="N704" s="53"/>
    </row>
    <row r="705" spans="2:14" ht="38.25" customHeight="1">
      <c r="B705" s="207"/>
      <c r="C705" s="239">
        <v>94710</v>
      </c>
      <c r="D705" s="259" t="s">
        <v>7</v>
      </c>
      <c r="E705" s="689" t="str">
        <f>IFERROR(VLOOKUP($C705,'SINAPI JULHO 2021'!$1:$1048576,2,0),IFERROR(VLOOKUP($C705,'5-COMP. PROPRIA'!$B$4:$I$7999,4,0),""))</f>
        <v>ADAPTADOR COM FLANGES LIVRES, PVC, SOLDÁVEL, DN 40 MM X 1 1/4 , INSTALADO EM RESERVAÇÃO DE ÁGUA DE EDIFICAÇÃO QUE POSSUA RESERVATÓRIO DE FIBRA/FIBROCIMENTO   FORNECIMENTO E INSTALAÇÃO. AF_06/2016</v>
      </c>
      <c r="F705" s="690"/>
      <c r="G705" s="690"/>
      <c r="H705" s="690"/>
      <c r="I705" s="690"/>
      <c r="J705" s="691"/>
      <c r="K705" s="286">
        <v>1</v>
      </c>
      <c r="L705" s="468" t="str">
        <f>IFERROR(VLOOKUP($C705,'SINAPI JULHO 2021'!$1:$1048576,3,0),IFERROR(VLOOKUP($C705,'5-COMP. PROPRIA'!$B$4:$I$7999,5,0),""))</f>
        <v>UN</v>
      </c>
      <c r="M705" s="106"/>
      <c r="N705" s="53"/>
    </row>
    <row r="706" spans="2:14" ht="38.25" customHeight="1">
      <c r="B706" s="207"/>
      <c r="C706" s="239">
        <v>94711</v>
      </c>
      <c r="D706" s="259" t="s">
        <v>7</v>
      </c>
      <c r="E706" s="689" t="str">
        <f>IFERROR(VLOOKUP($C706,'SINAPI JULHO 2021'!$1:$1048576,2,0),IFERROR(VLOOKUP($C706,'5-COMP. PROPRIA'!$B$4:$I$7999,4,0),""))</f>
        <v>ADAPTADOR COM FLANGES LIVRES, PVC, SOLDÁVEL, DN 50 MM X 1 1/2 , INSTALADO EM RESERVAÇÃO DE ÁGUA DE EDIFICAÇÃO QUE POSSUA RESERVATÓRIO DE FIBRA/FIBROCIMENTO   FORNECIMENTO E INSTALAÇÃO. AF_06/2016</v>
      </c>
      <c r="F706" s="690"/>
      <c r="G706" s="690"/>
      <c r="H706" s="690"/>
      <c r="I706" s="690"/>
      <c r="J706" s="691"/>
      <c r="K706" s="286">
        <v>1</v>
      </c>
      <c r="L706" s="468" t="str">
        <f>IFERROR(VLOOKUP($C706,'SINAPI JULHO 2021'!$1:$1048576,3,0),IFERROR(VLOOKUP($C706,'5-COMP. PROPRIA'!$B$4:$I$7999,5,0),""))</f>
        <v>UN</v>
      </c>
      <c r="M706" s="106"/>
      <c r="N706" s="53"/>
    </row>
    <row r="707" spans="2:14" ht="38.25" customHeight="1">
      <c r="B707" s="207"/>
      <c r="C707" s="239">
        <v>94714</v>
      </c>
      <c r="D707" s="259" t="s">
        <v>7</v>
      </c>
      <c r="E707" s="689" t="str">
        <f>IFERROR(VLOOKUP($C707,'SINAPI JULHO 2021'!$1:$1048576,2,0),IFERROR(VLOOKUP($C707,'5-COMP. PROPRIA'!$B$4:$I$7999,4,0),""))</f>
        <v>ADAPTADOR COM FLANGES LIVRES, PVC, SOLDÁVEL, DN 85 MM X 3 , INSTALADO EM RESERVAÇÃO DE ÁGUA DE EDIFICAÇÃO QUE POSSUA RESERVATÓRIO DE FIBRA/FIBROCIMENTO   FORNECIMENTO E INSTALAÇÃO. AF_06/2016</v>
      </c>
      <c r="F707" s="690"/>
      <c r="G707" s="690"/>
      <c r="H707" s="690"/>
      <c r="I707" s="690"/>
      <c r="J707" s="691"/>
      <c r="K707" s="286">
        <v>1</v>
      </c>
      <c r="L707" s="468" t="str">
        <f>IFERROR(VLOOKUP($C707,'SINAPI JULHO 2021'!$1:$1048576,3,0),IFERROR(VLOOKUP($C707,'5-COMP. PROPRIA'!$B$4:$I$7999,5,0),""))</f>
        <v>UN</v>
      </c>
      <c r="M707" s="106"/>
      <c r="N707" s="53"/>
    </row>
    <row r="708" spans="2:14" ht="38.25" customHeight="1">
      <c r="B708" s="207"/>
      <c r="C708" s="239">
        <v>89383</v>
      </c>
      <c r="D708" s="259" t="s">
        <v>7</v>
      </c>
      <c r="E708" s="689" t="str">
        <f>IFERROR(VLOOKUP($C708,'SINAPI JULHO 2021'!$1:$1048576,2,0),IFERROR(VLOOKUP($C708,'5-COMP. PROPRIA'!$B$4:$I$7999,4,0),""))</f>
        <v>ADAPTADOR CURTO COM BOLSA E ROSCA PARA REGISTRO, PVC, SOLDÁVEL, DN 25MM X 3/4, INSTALADO EM RAMAL OU SUB-RAMAL DE ÁGUA - FORNECIMENTO E INSTALAÇÃO. AF_12/2014</v>
      </c>
      <c r="F708" s="690"/>
      <c r="G708" s="690"/>
      <c r="H708" s="690"/>
      <c r="I708" s="690"/>
      <c r="J708" s="691"/>
      <c r="K708" s="286">
        <v>54</v>
      </c>
      <c r="L708" s="468" t="str">
        <f>IFERROR(VLOOKUP($C708,'SINAPI JULHO 2021'!$1:$1048576,3,0),IFERROR(VLOOKUP($C708,'5-COMP. PROPRIA'!$B$4:$I$7999,5,0),""))</f>
        <v>UN</v>
      </c>
      <c r="M708" s="106"/>
      <c r="N708" s="53"/>
    </row>
    <row r="709" spans="2:14" ht="38.25" customHeight="1">
      <c r="B709" s="207"/>
      <c r="C709" s="239">
        <v>89570</v>
      </c>
      <c r="D709" s="259" t="s">
        <v>7</v>
      </c>
      <c r="E709" s="689" t="str">
        <f>IFERROR(VLOOKUP($C709,'SINAPI JULHO 2021'!$1:$1048576,2,0),IFERROR(VLOOKUP($C709,'5-COMP. PROPRIA'!$B$4:$I$7999,4,0),""))</f>
        <v>ADAPTADOR CURTO COM BOLSA E ROSCA PARA REGISTRO, PVC, SOLDÁVEL, DN 40MM X 1.1/2, INSTALADO EM PRUMADA DE ÁGUA - FORNECIMENTO E INSTALAÇÃO. AF_12/2014</v>
      </c>
      <c r="F709" s="690"/>
      <c r="G709" s="690"/>
      <c r="H709" s="690"/>
      <c r="I709" s="690"/>
      <c r="J709" s="691"/>
      <c r="K709" s="286">
        <v>4</v>
      </c>
      <c r="L709" s="468" t="str">
        <f>IFERROR(VLOOKUP($C709,'SINAPI JULHO 2021'!$1:$1048576,3,0),IFERROR(VLOOKUP($C709,'5-COMP. PROPRIA'!$B$4:$I$7999,5,0),""))</f>
        <v>UN</v>
      </c>
      <c r="M709" s="106"/>
      <c r="N709" s="53"/>
    </row>
    <row r="710" spans="2:14" ht="38.25" customHeight="1">
      <c r="B710" s="207"/>
      <c r="C710" s="69">
        <v>89595</v>
      </c>
      <c r="D710" s="259" t="s">
        <v>7</v>
      </c>
      <c r="E710" s="689" t="str">
        <f>IFERROR(VLOOKUP($C710,'SINAPI JULHO 2021'!$1:$1048576,2,0),IFERROR(VLOOKUP($C710,'5-COMP. PROPRIA'!$B$4:$I$7999,4,0),""))</f>
        <v>ADAPTADOR CURTO COM BOLSA E ROSCA PARA REGISTRO, PVC, SOLDÁVEL, DN 50MM X 1.1/4, INSTALADO EM PRUMADA DE ÁGUA - FORNECIMENTO E INSTALAÇÃO. AF_12/2014</v>
      </c>
      <c r="F710" s="690"/>
      <c r="G710" s="690"/>
      <c r="H710" s="690"/>
      <c r="I710" s="690"/>
      <c r="J710" s="691"/>
      <c r="K710" s="286">
        <v>36</v>
      </c>
      <c r="L710" s="468" t="str">
        <f>IFERROR(VLOOKUP($C710,'SINAPI JULHO 2021'!$1:$1048576,3,0),IFERROR(VLOOKUP($C710,'5-COMP. PROPRIA'!$B$4:$I$7999,5,0),""))</f>
        <v>UN</v>
      </c>
      <c r="M710" s="106"/>
      <c r="N710" s="53"/>
    </row>
    <row r="711" spans="2:14" ht="38.25" customHeight="1">
      <c r="B711" s="207"/>
      <c r="C711" s="69">
        <v>89605</v>
      </c>
      <c r="D711" s="259" t="s">
        <v>7</v>
      </c>
      <c r="E711" s="689" t="str">
        <f>IFERROR(VLOOKUP($C711,'SINAPI JULHO 2021'!$1:$1048576,2,0),IFERROR(VLOOKUP($C711,'5-COMP. PROPRIA'!$B$4:$I$7999,4,0),""))</f>
        <v>LUVA DE REDUÇÃO, PVC, SOLDÁVEL, DN 60MM X 50MM, INSTALADO EM PRUMADA DE ÁGUA - FORNECIMENTO E INSTALAÇÃO. AF_12/2014</v>
      </c>
      <c r="F711" s="690"/>
      <c r="G711" s="690"/>
      <c r="H711" s="690"/>
      <c r="I711" s="690"/>
      <c r="J711" s="691"/>
      <c r="K711" s="286">
        <v>20</v>
      </c>
      <c r="L711" s="468" t="str">
        <f>IFERROR(VLOOKUP($C711,'SINAPI JULHO 2021'!$1:$1048576,3,0),IFERROR(VLOOKUP($C711,'5-COMP. PROPRIA'!$B$4:$I$7999,5,0),""))</f>
        <v>UN</v>
      </c>
      <c r="M711" s="106"/>
      <c r="N711" s="53"/>
    </row>
    <row r="712" spans="2:14" ht="38.25" customHeight="1">
      <c r="B712" s="207"/>
      <c r="C712" s="69">
        <v>89579</v>
      </c>
      <c r="D712" s="259" t="s">
        <v>7</v>
      </c>
      <c r="E712" s="689" t="str">
        <f>IFERROR(VLOOKUP($C712,'SINAPI JULHO 2021'!$1:$1048576,2,0),IFERROR(VLOOKUP($C712,'5-COMP. PROPRIA'!$B$4:$I$7999,4,0),""))</f>
        <v>LUVA DE REDUÇÃO, PVC, SOLDÁVEL, DN 50MM X 25MM, INSTALADO EM PRUMADA DE ÁGUA   FORNECIMENTO E INSTALAÇÃO. AF_12/2014</v>
      </c>
      <c r="F712" s="690"/>
      <c r="G712" s="690"/>
      <c r="H712" s="690"/>
      <c r="I712" s="690"/>
      <c r="J712" s="691"/>
      <c r="K712" s="286">
        <v>8</v>
      </c>
      <c r="L712" s="468" t="str">
        <f>IFERROR(VLOOKUP($C712,'SINAPI JULHO 2021'!$1:$1048576,3,0),IFERROR(VLOOKUP($C712,'5-COMP. PROPRIA'!$B$4:$I$7999,5,0),""))</f>
        <v>UN</v>
      </c>
      <c r="M712" s="106"/>
      <c r="N712" s="53"/>
    </row>
    <row r="713" spans="2:14" ht="38.25" customHeight="1">
      <c r="B713" s="207"/>
      <c r="C713" s="69">
        <v>89525</v>
      </c>
      <c r="D713" s="259" t="s">
        <v>7</v>
      </c>
      <c r="E713" s="689" t="str">
        <f>IFERROR(VLOOKUP($C713,'SINAPI JULHO 2021'!$1:$1048576,2,0),IFERROR(VLOOKUP($C713,'5-COMP. PROPRIA'!$B$4:$I$7999,4,0),""))</f>
        <v>CURVA 90 GRAUS, PVC, SOLDÁVEL, DN 85MM, INSTALADO EM PRUMADA DE ÁGUA - FORNECIMENTO E INSTALAÇÃO. AF_12/2014</v>
      </c>
      <c r="F713" s="690"/>
      <c r="G713" s="690"/>
      <c r="H713" s="690"/>
      <c r="I713" s="690"/>
      <c r="J713" s="691"/>
      <c r="K713" s="286">
        <v>3</v>
      </c>
      <c r="L713" s="468" t="str">
        <f>IFERROR(VLOOKUP($C713,'SINAPI JULHO 2021'!$1:$1048576,3,0),IFERROR(VLOOKUP($C713,'5-COMP. PROPRIA'!$B$4:$I$7999,5,0),""))</f>
        <v>UN</v>
      </c>
      <c r="M713" s="106"/>
      <c r="N713" s="53"/>
    </row>
    <row r="714" spans="2:14" ht="38.25" customHeight="1">
      <c r="B714" s="207"/>
      <c r="C714" s="69">
        <v>90373</v>
      </c>
      <c r="D714" s="259" t="s">
        <v>7</v>
      </c>
      <c r="E714" s="689" t="str">
        <f>IFERROR(VLOOKUP($C714,'SINAPI JULHO 2021'!$1:$1048576,2,0),IFERROR(VLOOKUP($C714,'5-COMP. PROPRIA'!$B$4:$I$7999,4,0),""))</f>
        <v>JOELHO 90 GRAUS COM BUCHA DE LATÃO, PVC, SOLDÁVEL, DN 25MM, X 1/2 INSTALADO EM RAMAL OU SUB-RAMAL DE ÁGUA - FORNECIMENTO E INSTALAÇÃO. AF_12/2014</v>
      </c>
      <c r="F714" s="690"/>
      <c r="G714" s="690"/>
      <c r="H714" s="690"/>
      <c r="I714" s="690"/>
      <c r="J714" s="691"/>
      <c r="K714" s="286">
        <v>61</v>
      </c>
      <c r="L714" s="468" t="str">
        <f>IFERROR(VLOOKUP($C714,'SINAPI JULHO 2021'!$1:$1048576,3,0),IFERROR(VLOOKUP($C714,'5-COMP. PROPRIA'!$B$4:$I$7999,5,0),""))</f>
        <v>UN</v>
      </c>
      <c r="M714" s="106"/>
      <c r="N714" s="53"/>
    </row>
    <row r="715" spans="2:14" ht="38.25" customHeight="1">
      <c r="B715" s="207"/>
      <c r="C715" s="69">
        <v>89481</v>
      </c>
      <c r="D715" s="259" t="s">
        <v>7</v>
      </c>
      <c r="E715" s="689" t="str">
        <f>IFERROR(VLOOKUP($C715,'SINAPI JULHO 2021'!$1:$1048576,2,0),IFERROR(VLOOKUP($C715,'5-COMP. PROPRIA'!$B$4:$I$7999,4,0),""))</f>
        <v>JOELHO 90 GRAUS, PVC, SOLDÁVEL, DN 25MM, INSTALADO EM PRUMADA DE ÁGUA - FORNECIMENTO E INSTALAÇÃO. AF_12/2014</v>
      </c>
      <c r="F715" s="690"/>
      <c r="G715" s="690"/>
      <c r="H715" s="690"/>
      <c r="I715" s="690"/>
      <c r="J715" s="691"/>
      <c r="K715" s="286">
        <v>79</v>
      </c>
      <c r="L715" s="468" t="str">
        <f>IFERROR(VLOOKUP($C715,'SINAPI JULHO 2021'!$1:$1048576,3,0),IFERROR(VLOOKUP($C715,'5-COMP. PROPRIA'!$B$4:$I$7999,5,0),""))</f>
        <v>UN</v>
      </c>
      <c r="M715" s="106"/>
      <c r="N715" s="53"/>
    </row>
    <row r="716" spans="2:14" ht="38.25" customHeight="1">
      <c r="B716" s="207"/>
      <c r="C716" s="239">
        <v>89497</v>
      </c>
      <c r="D716" s="259" t="s">
        <v>7</v>
      </c>
      <c r="E716" s="689" t="str">
        <f>IFERROR(VLOOKUP($C716,'SINAPI JULHO 2021'!$1:$1048576,2,0),IFERROR(VLOOKUP($C716,'5-COMP. PROPRIA'!$B$4:$I$7999,4,0),""))</f>
        <v>JOELHO 90 GRAUS, PVC, SOLDÁVEL, DN 40MM, INSTALADO EM PRUMADA DE ÁGUA - FORNECIMENTO E INSTALAÇÃO. AF_12/2014</v>
      </c>
      <c r="F716" s="690"/>
      <c r="G716" s="690"/>
      <c r="H716" s="690"/>
      <c r="I716" s="690"/>
      <c r="J716" s="691"/>
      <c r="K716" s="286">
        <v>6</v>
      </c>
      <c r="L716" s="468" t="str">
        <f>IFERROR(VLOOKUP($C716,'SINAPI JULHO 2021'!$1:$1048576,3,0),IFERROR(VLOOKUP($C716,'5-COMP. PROPRIA'!$B$4:$I$7999,5,0),""))</f>
        <v>UN</v>
      </c>
      <c r="M716" s="106"/>
      <c r="N716" s="53"/>
    </row>
    <row r="717" spans="2:14" ht="38.25" customHeight="1">
      <c r="B717" s="207"/>
      <c r="C717" s="239">
        <v>89501</v>
      </c>
      <c r="D717" s="259" t="s">
        <v>7</v>
      </c>
      <c r="E717" s="689" t="str">
        <f>IFERROR(VLOOKUP($C717,'SINAPI JULHO 2021'!$1:$1048576,2,0),IFERROR(VLOOKUP($C717,'5-COMP. PROPRIA'!$B$4:$I$7999,4,0),""))</f>
        <v>JOELHO 90 GRAUS, PVC, SOLDÁVEL, DN 50MM, INSTALADO EM PRUMADA DE ÁGUA - FORNECIMENTO E INSTALAÇÃO. AF_12/2014</v>
      </c>
      <c r="F717" s="690"/>
      <c r="G717" s="690"/>
      <c r="H717" s="690"/>
      <c r="I717" s="690"/>
      <c r="J717" s="691"/>
      <c r="K717" s="286">
        <v>40</v>
      </c>
      <c r="L717" s="468" t="str">
        <f>IFERROR(VLOOKUP($C717,'SINAPI JULHO 2021'!$1:$1048576,3,0),IFERROR(VLOOKUP($C717,'5-COMP. PROPRIA'!$B$4:$I$7999,5,0),""))</f>
        <v>UN</v>
      </c>
      <c r="M717" s="106"/>
      <c r="N717" s="53"/>
    </row>
    <row r="718" spans="2:14" ht="38.25" customHeight="1">
      <c r="B718" s="207"/>
      <c r="C718" s="239">
        <v>89513</v>
      </c>
      <c r="D718" s="259" t="s">
        <v>7</v>
      </c>
      <c r="E718" s="689" t="str">
        <f>IFERROR(VLOOKUP($C718,'SINAPI JULHO 2021'!$1:$1048576,2,0),IFERROR(VLOOKUP($C718,'5-COMP. PROPRIA'!$B$4:$I$7999,4,0),""))</f>
        <v>JOELHO 90 GRAUS, PVC, SOLDÁVEL, DN 75MM, INSTALADO EM PRUMADA DE ÁGUA - FORNECIMENTO E INSTALAÇÃO. AF_12/2014</v>
      </c>
      <c r="F718" s="690"/>
      <c r="G718" s="690"/>
      <c r="H718" s="690"/>
      <c r="I718" s="690"/>
      <c r="J718" s="691"/>
      <c r="K718" s="286">
        <v>3</v>
      </c>
      <c r="L718" s="468" t="str">
        <f>IFERROR(VLOOKUP($C718,'SINAPI JULHO 2021'!$1:$1048576,3,0),IFERROR(VLOOKUP($C718,'5-COMP. PROPRIA'!$B$4:$I$7999,5,0),""))</f>
        <v>UN</v>
      </c>
      <c r="M718" s="106"/>
      <c r="N718" s="53"/>
    </row>
    <row r="719" spans="2:14" ht="38.25" customHeight="1">
      <c r="B719" s="207"/>
      <c r="C719" s="239">
        <v>89577</v>
      </c>
      <c r="D719" s="259" t="s">
        <v>7</v>
      </c>
      <c r="E719" s="689" t="str">
        <f>IFERROR(VLOOKUP($C719,'SINAPI JULHO 2021'!$1:$1048576,2,0),IFERROR(VLOOKUP($C719,'5-COMP. PROPRIA'!$B$4:$I$7999,4,0),""))</f>
        <v>LUVA DE CORRER, PVC, SOLDÁVEL, DN 50MM, INSTALADO EM PRUMADA DE ÁGUA - FORNECIMENTO E INSTALAÇÃO. AF_12/2014</v>
      </c>
      <c r="F719" s="690"/>
      <c r="G719" s="690"/>
      <c r="H719" s="690"/>
      <c r="I719" s="690"/>
      <c r="J719" s="691"/>
      <c r="K719" s="286">
        <v>15</v>
      </c>
      <c r="L719" s="468" t="str">
        <f>IFERROR(VLOOKUP($C719,'SINAPI JULHO 2021'!$1:$1048576,3,0),IFERROR(VLOOKUP($C719,'5-COMP. PROPRIA'!$B$4:$I$7999,5,0),""))</f>
        <v>UN</v>
      </c>
      <c r="M719" s="106"/>
      <c r="N719" s="53"/>
    </row>
    <row r="720" spans="2:14" ht="38.25" customHeight="1">
      <c r="B720" s="207"/>
      <c r="C720" s="239">
        <v>89425</v>
      </c>
      <c r="D720" s="259" t="s">
        <v>7</v>
      </c>
      <c r="E720" s="689" t="str">
        <f>IFERROR(VLOOKUP($C720,'SINAPI JULHO 2021'!$1:$1048576,2,0),IFERROR(VLOOKUP($C720,'5-COMP. PROPRIA'!$B$4:$I$7999,4,0),""))</f>
        <v>LUVA DE CORRER, PVC, SOLDÁVEL, DN 25MM, INSTALADO EM RAMAL DE DISTRIBUIÇÃO DE ÁGUA - FORNECIMENTO E INSTALAÇÃO. AF_12/2014</v>
      </c>
      <c r="F720" s="690"/>
      <c r="G720" s="690"/>
      <c r="H720" s="690"/>
      <c r="I720" s="690"/>
      <c r="J720" s="691"/>
      <c r="K720" s="286">
        <v>25</v>
      </c>
      <c r="L720" s="468" t="str">
        <f>IFERROR(VLOOKUP($C720,'SINAPI JULHO 2021'!$1:$1048576,3,0),IFERROR(VLOOKUP($C720,'5-COMP. PROPRIA'!$B$4:$I$7999,5,0),""))</f>
        <v>UN</v>
      </c>
      <c r="M720" s="106"/>
      <c r="N720" s="53"/>
    </row>
    <row r="721" spans="2:14" ht="38.25" customHeight="1">
      <c r="B721" s="207"/>
      <c r="C721" s="239">
        <v>89579</v>
      </c>
      <c r="D721" s="259" t="s">
        <v>7</v>
      </c>
      <c r="E721" s="689" t="str">
        <f>IFERROR(VLOOKUP($C721,'SINAPI JULHO 2021'!$1:$1048576,2,0),IFERROR(VLOOKUP($C721,'5-COMP. PROPRIA'!$B$4:$I$7999,4,0),""))</f>
        <v>LUVA DE REDUÇÃO, PVC, SOLDÁVEL, DN 50MM X 25MM, INSTALADO EM PRUMADA DE ÁGUA   FORNECIMENTO E INSTALAÇÃO. AF_12/2014</v>
      </c>
      <c r="F721" s="690"/>
      <c r="G721" s="690"/>
      <c r="H721" s="690"/>
      <c r="I721" s="690"/>
      <c r="J721" s="691"/>
      <c r="K721" s="286">
        <v>5</v>
      </c>
      <c r="L721" s="468" t="str">
        <f>IFERROR(VLOOKUP($C721,'SINAPI JULHO 2021'!$1:$1048576,3,0),IFERROR(VLOOKUP($C721,'5-COMP. PROPRIA'!$B$4:$I$7999,5,0),""))</f>
        <v>UN</v>
      </c>
      <c r="M721" s="106"/>
      <c r="N721" s="53"/>
    </row>
    <row r="722" spans="2:14" ht="38.25" customHeight="1">
      <c r="B722" s="207"/>
      <c r="C722" s="239">
        <v>89356</v>
      </c>
      <c r="D722" s="259" t="s">
        <v>7</v>
      </c>
      <c r="E722" s="689" t="str">
        <f>IFERROR(VLOOKUP($C722,'SINAPI JULHO 2021'!$1:$1048576,2,0),IFERROR(VLOOKUP($C722,'5-COMP. PROPRIA'!$B$4:$I$7999,4,0),""))</f>
        <v>TUBO, PVC, SOLDÁVEL, DN 25MM, INSTALADO EM RAMAL OU SUB-RAMAL DE ÁGUA - FORNECIMENTO E INSTALAÇÃO. AF_12/2014</v>
      </c>
      <c r="F722" s="690"/>
      <c r="G722" s="690"/>
      <c r="H722" s="690"/>
      <c r="I722" s="690"/>
      <c r="J722" s="691"/>
      <c r="K722" s="286">
        <v>247.58</v>
      </c>
      <c r="L722" s="468" t="str">
        <f>IFERROR(VLOOKUP($C722,'SINAPI JULHO 2021'!$1:$1048576,3,0),IFERROR(VLOOKUP($C722,'5-COMP. PROPRIA'!$B$4:$I$7999,5,0),""))</f>
        <v>M</v>
      </c>
      <c r="M722" s="106"/>
      <c r="N722" s="53"/>
    </row>
    <row r="723" spans="2:14" ht="38.25" customHeight="1">
      <c r="B723" s="207"/>
      <c r="C723" s="239">
        <v>89448</v>
      </c>
      <c r="D723" s="259" t="s">
        <v>7</v>
      </c>
      <c r="E723" s="689" t="str">
        <f>IFERROR(VLOOKUP($C723,'SINAPI JULHO 2021'!$1:$1048576,2,0),IFERROR(VLOOKUP($C723,'5-COMP. PROPRIA'!$B$4:$I$7999,4,0),""))</f>
        <v>TUBO, PVC, SOLDÁVEL, DN 40MM, INSTALADO EM PRUMADA DE ÁGUA - FORNECIMENTO E INSTALAÇÃO. AF_12/2014</v>
      </c>
      <c r="F723" s="690"/>
      <c r="G723" s="690"/>
      <c r="H723" s="690"/>
      <c r="I723" s="690"/>
      <c r="J723" s="691"/>
      <c r="K723" s="286">
        <v>14.99</v>
      </c>
      <c r="L723" s="468" t="str">
        <f>IFERROR(VLOOKUP($C723,'SINAPI JULHO 2021'!$1:$1048576,3,0),IFERROR(VLOOKUP($C723,'5-COMP. PROPRIA'!$B$4:$I$7999,5,0),""))</f>
        <v>M</v>
      </c>
      <c r="M723" s="106"/>
      <c r="N723" s="53"/>
    </row>
    <row r="724" spans="2:14" ht="38.25" customHeight="1">
      <c r="B724" s="207"/>
      <c r="C724" s="239">
        <v>89449</v>
      </c>
      <c r="D724" s="259" t="s">
        <v>7</v>
      </c>
      <c r="E724" s="689" t="str">
        <f>IFERROR(VLOOKUP($C724,'SINAPI JULHO 2021'!$1:$1048576,2,0),IFERROR(VLOOKUP($C724,'5-COMP. PROPRIA'!$B$4:$I$7999,4,0),""))</f>
        <v>TUBO, PVC, SOLDÁVEL, DN 50MM, INSTALADO EM PRUMADA DE ÁGUA - FORNECIMENTO E INSTALAÇÃO. AF_12/2014</v>
      </c>
      <c r="F724" s="690"/>
      <c r="G724" s="690"/>
      <c r="H724" s="690"/>
      <c r="I724" s="690"/>
      <c r="J724" s="691"/>
      <c r="K724" s="286">
        <v>102.89</v>
      </c>
      <c r="L724" s="468" t="str">
        <f>IFERROR(VLOOKUP($C724,'SINAPI JULHO 2021'!$1:$1048576,3,0),IFERROR(VLOOKUP($C724,'5-COMP. PROPRIA'!$B$4:$I$7999,5,0),""))</f>
        <v>M</v>
      </c>
      <c r="M724" s="106"/>
      <c r="N724" s="53"/>
    </row>
    <row r="725" spans="2:14" ht="38.25" customHeight="1">
      <c r="B725" s="207"/>
      <c r="C725" s="239">
        <v>89450</v>
      </c>
      <c r="D725" s="259" t="s">
        <v>7</v>
      </c>
      <c r="E725" s="689" t="str">
        <f>IFERROR(VLOOKUP($C725,'SINAPI JULHO 2021'!$1:$1048576,2,0),IFERROR(VLOOKUP($C725,'5-COMP. PROPRIA'!$B$4:$I$7999,4,0),""))</f>
        <v>TUBO, PVC, SOLDÁVEL, DN 60MM, INSTALADO EM PRUMADA DE ÁGUA - FORNECIMENTO E INSTALAÇÃO. AF_12/2014</v>
      </c>
      <c r="F725" s="690"/>
      <c r="G725" s="690"/>
      <c r="H725" s="690"/>
      <c r="I725" s="690"/>
      <c r="J725" s="691"/>
      <c r="K725" s="286">
        <v>6.86</v>
      </c>
      <c r="L725" s="468" t="str">
        <f>IFERROR(VLOOKUP($C725,'SINAPI JULHO 2021'!$1:$1048576,3,0),IFERROR(VLOOKUP($C725,'5-COMP. PROPRIA'!$B$4:$I$7999,5,0),""))</f>
        <v>M</v>
      </c>
      <c r="M725" s="106"/>
      <c r="N725" s="53"/>
    </row>
    <row r="726" spans="2:14" ht="38.25" customHeight="1">
      <c r="B726" s="207"/>
      <c r="C726" s="239">
        <v>89451</v>
      </c>
      <c r="D726" s="259" t="s">
        <v>7</v>
      </c>
      <c r="E726" s="689" t="str">
        <f>IFERROR(VLOOKUP($C726,'SINAPI JULHO 2021'!$1:$1048576,2,0),IFERROR(VLOOKUP($C726,'5-COMP. PROPRIA'!$B$4:$I$7999,4,0),""))</f>
        <v>TUBO, PVC, SOLDÁVEL, DN 75MM, INSTALADO EM PRUMADA DE ÁGUA - FORNECIMENTO E INSTALAÇÃO. AF_12/2014</v>
      </c>
      <c r="F726" s="690"/>
      <c r="G726" s="690"/>
      <c r="H726" s="690"/>
      <c r="I726" s="690"/>
      <c r="J726" s="691"/>
      <c r="K726" s="286">
        <v>49.99</v>
      </c>
      <c r="L726" s="468" t="str">
        <f>IFERROR(VLOOKUP($C726,'SINAPI JULHO 2021'!$1:$1048576,3,0),IFERROR(VLOOKUP($C726,'5-COMP. PROPRIA'!$B$4:$I$7999,5,0),""))</f>
        <v>M</v>
      </c>
      <c r="M726" s="106"/>
      <c r="N726" s="53"/>
    </row>
    <row r="727" spans="2:14" ht="38.25" customHeight="1">
      <c r="B727" s="207"/>
      <c r="C727" s="239">
        <v>89452</v>
      </c>
      <c r="D727" s="259" t="s">
        <v>7</v>
      </c>
      <c r="E727" s="689" t="str">
        <f>IFERROR(VLOOKUP($C727,'SINAPI JULHO 2021'!$1:$1048576,2,0),IFERROR(VLOOKUP($C727,'5-COMP. PROPRIA'!$B$4:$I$7999,4,0),""))</f>
        <v>TUBO, PVC, SOLDÁVEL, DN 85MM, INSTALADO EM PRUMADA DE ÁGUA - FORNECIMENTO E INSTALAÇÃO. AF_12/2014</v>
      </c>
      <c r="F727" s="690"/>
      <c r="G727" s="690"/>
      <c r="H727" s="690"/>
      <c r="I727" s="690"/>
      <c r="J727" s="691"/>
      <c r="K727" s="286">
        <v>29.45</v>
      </c>
      <c r="L727" s="468" t="str">
        <f>IFERROR(VLOOKUP($C727,'SINAPI JULHO 2021'!$1:$1048576,3,0),IFERROR(VLOOKUP($C727,'5-COMP. PROPRIA'!$B$4:$I$7999,5,0),""))</f>
        <v>M</v>
      </c>
      <c r="M727" s="106"/>
      <c r="N727" s="53"/>
    </row>
    <row r="728" spans="2:14" ht="38.25" customHeight="1">
      <c r="B728" s="207"/>
      <c r="C728" s="239">
        <v>89440</v>
      </c>
      <c r="D728" s="259" t="s">
        <v>7</v>
      </c>
      <c r="E728" s="689" t="str">
        <f>IFERROR(VLOOKUP($C728,'SINAPI JULHO 2021'!$1:$1048576,2,0),IFERROR(VLOOKUP($C728,'5-COMP. PROPRIA'!$B$4:$I$7999,4,0),""))</f>
        <v>TE, PVC, SOLDÁVEL, DN 25MM, INSTALADO EM RAMAL DE DISTRIBUIÇÃO DE ÁGUA - FORNECIMENTO E INSTALAÇÃO. AF_12/2014</v>
      </c>
      <c r="F728" s="690"/>
      <c r="G728" s="690"/>
      <c r="H728" s="690"/>
      <c r="I728" s="690"/>
      <c r="J728" s="691"/>
      <c r="K728" s="286">
        <v>47</v>
      </c>
      <c r="L728" s="468" t="str">
        <f>IFERROR(VLOOKUP($C728,'SINAPI JULHO 2021'!$1:$1048576,3,0),IFERROR(VLOOKUP($C728,'5-COMP. PROPRIA'!$B$4:$I$7999,5,0),""))</f>
        <v>UN</v>
      </c>
      <c r="M728" s="106"/>
      <c r="N728" s="53"/>
    </row>
    <row r="729" spans="2:14" ht="38.25" customHeight="1">
      <c r="B729" s="207"/>
      <c r="C729" s="239">
        <v>89628</v>
      </c>
      <c r="D729" s="259" t="s">
        <v>7</v>
      </c>
      <c r="E729" s="689" t="str">
        <f>IFERROR(VLOOKUP($C729,'SINAPI JULHO 2021'!$1:$1048576,2,0),IFERROR(VLOOKUP($C729,'5-COMP. PROPRIA'!$B$4:$I$7999,4,0),""))</f>
        <v>TE, PVC, SOLDÁVEL, DN 60MM, INSTALADO EM PRUMADA DE ÁGUA - FORNECIMENTO E INSTALAÇÃO. AF_12/2014</v>
      </c>
      <c r="F729" s="690"/>
      <c r="G729" s="690"/>
      <c r="H729" s="690"/>
      <c r="I729" s="690"/>
      <c r="J729" s="691"/>
      <c r="K729" s="286">
        <v>19</v>
      </c>
      <c r="L729" s="468" t="str">
        <f>IFERROR(VLOOKUP($C729,'SINAPI JULHO 2021'!$1:$1048576,3,0),IFERROR(VLOOKUP($C729,'5-COMP. PROPRIA'!$B$4:$I$7999,5,0),""))</f>
        <v>UN</v>
      </c>
      <c r="M729" s="106"/>
      <c r="N729" s="53"/>
    </row>
    <row r="730" spans="2:14" ht="38.25" customHeight="1">
      <c r="B730" s="207"/>
      <c r="C730" s="239">
        <v>89628</v>
      </c>
      <c r="D730" s="259" t="s">
        <v>7</v>
      </c>
      <c r="E730" s="689" t="str">
        <f>IFERROR(VLOOKUP($C730,'SINAPI JULHO 2021'!$1:$1048576,2,0),IFERROR(VLOOKUP($C730,'5-COMP. PROPRIA'!$B$4:$I$7999,4,0),""))</f>
        <v>TE, PVC, SOLDÁVEL, DN 60MM, INSTALADO EM PRUMADA DE ÁGUA - FORNECIMENTO E INSTALAÇÃO. AF_12/2014</v>
      </c>
      <c r="F730" s="690"/>
      <c r="G730" s="690"/>
      <c r="H730" s="690"/>
      <c r="I730" s="690"/>
      <c r="J730" s="691"/>
      <c r="K730" s="286">
        <v>8</v>
      </c>
      <c r="L730" s="468" t="str">
        <f>IFERROR(VLOOKUP($C730,'SINAPI JULHO 2021'!$1:$1048576,3,0),IFERROR(VLOOKUP($C730,'5-COMP. PROPRIA'!$B$4:$I$7999,5,0),""))</f>
        <v>UN</v>
      </c>
      <c r="M730" s="106"/>
      <c r="N730" s="53"/>
    </row>
    <row r="731" spans="2:14" ht="38.25" customHeight="1">
      <c r="B731" s="207"/>
      <c r="C731" s="239">
        <v>89629</v>
      </c>
      <c r="D731" s="259" t="s">
        <v>7</v>
      </c>
      <c r="E731" s="689" t="str">
        <f>IFERROR(VLOOKUP($C731,'SINAPI JULHO 2021'!$1:$1048576,2,0),IFERROR(VLOOKUP($C731,'5-COMP. PROPRIA'!$B$4:$I$7999,4,0),""))</f>
        <v>TE, PVC, SOLDÁVEL, DN 75MM, INSTALADO EM PRUMADA DE ÁGUA - FORNECIMENTO E INSTALAÇÃO. AF_12/2014</v>
      </c>
      <c r="F731" s="690"/>
      <c r="G731" s="690"/>
      <c r="H731" s="690"/>
      <c r="I731" s="690"/>
      <c r="J731" s="691"/>
      <c r="K731" s="286">
        <v>5</v>
      </c>
      <c r="L731" s="468" t="str">
        <f>IFERROR(VLOOKUP($C731,'SINAPI JULHO 2021'!$1:$1048576,3,0),IFERROR(VLOOKUP($C731,'5-COMP. PROPRIA'!$B$4:$I$7999,5,0),""))</f>
        <v>UN</v>
      </c>
      <c r="M731" s="106"/>
      <c r="N731" s="53"/>
    </row>
    <row r="732" spans="2:14" ht="38.25" customHeight="1">
      <c r="B732" s="207"/>
      <c r="C732" s="239">
        <v>94699</v>
      </c>
      <c r="D732" s="259" t="s">
        <v>7</v>
      </c>
      <c r="E732" s="689" t="str">
        <f>IFERROR(VLOOKUP($C732,'SINAPI JULHO 2021'!$1:$1048576,2,0),IFERROR(VLOOKUP($C732,'5-COMP. PROPRIA'!$B$4:$I$7999,4,0),""))</f>
        <v>TÊ, PVC, SOLDÁVEL, DN 85 MM INSTALADO EM RESERVAÇÃO DE ÁGUA DE EDIFICAÇÃO QUE POSSUA RESERVATÓRIO DE FIBRA/FIBROCIMENTO   FORNECIMENTO E INSTALAÇÃO. AF_06/2016</v>
      </c>
      <c r="F732" s="690"/>
      <c r="G732" s="690"/>
      <c r="H732" s="690"/>
      <c r="I732" s="690"/>
      <c r="J732" s="691"/>
      <c r="K732" s="286">
        <v>1</v>
      </c>
      <c r="L732" s="468" t="str">
        <f>IFERROR(VLOOKUP($C732,'SINAPI JULHO 2021'!$1:$1048576,3,0),IFERROR(VLOOKUP($C732,'5-COMP. PROPRIA'!$B$4:$I$7999,5,0),""))</f>
        <v>UN</v>
      </c>
      <c r="M732" s="106"/>
      <c r="N732" s="53"/>
    </row>
    <row r="733" spans="2:14" ht="38.25" customHeight="1">
      <c r="B733" s="207"/>
      <c r="C733" s="239">
        <v>89627</v>
      </c>
      <c r="D733" s="259" t="s">
        <v>7</v>
      </c>
      <c r="E733" s="689" t="str">
        <f>IFERROR(VLOOKUP($C733,'SINAPI JULHO 2021'!$1:$1048576,2,0),IFERROR(VLOOKUP($C733,'5-COMP. PROPRIA'!$B$4:$I$7999,4,0),""))</f>
        <v>TÊ DE REDUÇÃO, PVC, SOLDÁVEL, DN 50MM X 25MM, INSTALADO EM PRUMADA DE ÁGUA - FORNECIMENTO E INSTALAÇÃO. AF_12/2014</v>
      </c>
      <c r="F733" s="690"/>
      <c r="G733" s="690"/>
      <c r="H733" s="690"/>
      <c r="I733" s="690"/>
      <c r="J733" s="691"/>
      <c r="K733" s="286">
        <v>1</v>
      </c>
      <c r="L733" s="468" t="str">
        <f>IFERROR(VLOOKUP($C733,'SINAPI JULHO 2021'!$1:$1048576,3,0),IFERROR(VLOOKUP($C733,'5-COMP. PROPRIA'!$B$4:$I$7999,5,0),""))</f>
        <v>UN</v>
      </c>
      <c r="M733" s="106"/>
      <c r="N733" s="53"/>
    </row>
    <row r="734" spans="2:14" ht="38.25" customHeight="1">
      <c r="B734" s="207"/>
      <c r="C734" s="239">
        <v>89630</v>
      </c>
      <c r="D734" s="259" t="s">
        <v>7</v>
      </c>
      <c r="E734" s="689" t="str">
        <f>IFERROR(VLOOKUP($C734,'SINAPI JULHO 2021'!$1:$1048576,2,0),IFERROR(VLOOKUP($C734,'5-COMP. PROPRIA'!$B$4:$I$7999,4,0),""))</f>
        <v>TE DE REDUÇÃO, PVC, SOLDÁVEL, DN 75MM X 50MM, INSTALADO EM PRUMADA DE ÁGUA - FORNECIMENTO E INSTALAÇÃO. AF_12/2014</v>
      </c>
      <c r="F734" s="690"/>
      <c r="G734" s="690"/>
      <c r="H734" s="690"/>
      <c r="I734" s="690"/>
      <c r="J734" s="691"/>
      <c r="K734" s="286">
        <v>3</v>
      </c>
      <c r="L734" s="468" t="str">
        <f>IFERROR(VLOOKUP($C734,'SINAPI JULHO 2021'!$1:$1048576,3,0),IFERROR(VLOOKUP($C734,'5-COMP. PROPRIA'!$B$4:$I$7999,5,0),""))</f>
        <v>UN</v>
      </c>
      <c r="M734" s="106"/>
      <c r="N734" s="53"/>
    </row>
    <row r="735" spans="2:14" ht="38.25" customHeight="1">
      <c r="B735" s="207"/>
      <c r="C735" s="239">
        <v>94698</v>
      </c>
      <c r="D735" s="259" t="s">
        <v>7</v>
      </c>
      <c r="E735" s="689" t="str">
        <f>IFERROR(VLOOKUP($C735,'SINAPI JULHO 2021'!$1:$1048576,2,0),IFERROR(VLOOKUP($C735,'5-COMP. PROPRIA'!$B$4:$I$7999,4,0),""))</f>
        <v>TÊ DE REDUÇÃO, PVC, SOLDÁVEL, DN 75 MM X 50 MM, INSTALADO EM RESERVAÇÃO DE ÁGUA DE EDIFICAÇÃO QUE POSSUA RESERVATÓRIO DE FIBRA/FIBROCIMENTO   FORNECIMENTO E INSTALAÇÃO. AF_06/2016</v>
      </c>
      <c r="F735" s="690"/>
      <c r="G735" s="690"/>
      <c r="H735" s="690"/>
      <c r="I735" s="690"/>
      <c r="J735" s="691"/>
      <c r="K735" s="286">
        <v>2</v>
      </c>
      <c r="L735" s="468" t="str">
        <f>IFERROR(VLOOKUP($C735,'SINAPI JULHO 2021'!$1:$1048576,3,0),IFERROR(VLOOKUP($C735,'5-COMP. PROPRIA'!$B$4:$I$7999,5,0),""))</f>
        <v>UN</v>
      </c>
      <c r="M735" s="106"/>
      <c r="N735" s="53"/>
    </row>
    <row r="736" spans="2:14" ht="38.25" customHeight="1">
      <c r="B736" s="207"/>
      <c r="C736" s="239">
        <v>94700</v>
      </c>
      <c r="D736" s="259" t="s">
        <v>7</v>
      </c>
      <c r="E736" s="689" t="str">
        <f>IFERROR(VLOOKUP($C736,'SINAPI JULHO 2021'!$1:$1048576,2,0),IFERROR(VLOOKUP($C736,'5-COMP. PROPRIA'!$B$4:$I$7999,4,0),""))</f>
        <v>TÊ DE REDUÇÃO, PVC, SOLDÁVEL, DN 85 MM X 60 MM, INSTALADO EM RESERVAÇÃO DE ÁGUA DE EDIFICAÇÃO QUE POSSUA RESERVATÓRIO DE FIBRA/FIBROCIMENTO   FORNECIMENTO E INSTALAÇÃO. AF_06/2016</v>
      </c>
      <c r="F736" s="690"/>
      <c r="G736" s="690"/>
      <c r="H736" s="690"/>
      <c r="I736" s="690"/>
      <c r="J736" s="691"/>
      <c r="K736" s="286">
        <v>1</v>
      </c>
      <c r="L736" s="468" t="str">
        <f>IFERROR(VLOOKUP($C736,'SINAPI JULHO 2021'!$1:$1048576,3,0),IFERROR(VLOOKUP($C736,'5-COMP. PROPRIA'!$B$4:$I$7999,5,0),""))</f>
        <v>UN</v>
      </c>
      <c r="M736" s="106"/>
      <c r="N736" s="53"/>
    </row>
    <row r="737" spans="2:14" ht="38.25" customHeight="1">
      <c r="B737" s="207"/>
      <c r="C737" s="239">
        <v>89594</v>
      </c>
      <c r="D737" s="259" t="s">
        <v>7</v>
      </c>
      <c r="E737" s="689" t="str">
        <f>IFERROR(VLOOKUP($C737,'SINAPI JULHO 2021'!$1:$1048576,2,0),IFERROR(VLOOKUP($C737,'5-COMP. PROPRIA'!$B$4:$I$7999,4,0),""))</f>
        <v>UNIÃO, PVC, SOLDÁVEL, DN 50MM, INSTALADO EM PRUMADA DE ÁGUA - FORNECIMENTO E INSTALAÇÃO. AF_12/2014</v>
      </c>
      <c r="F737" s="690"/>
      <c r="G737" s="690"/>
      <c r="H737" s="690"/>
      <c r="I737" s="690"/>
      <c r="J737" s="691"/>
      <c r="K737" s="286">
        <v>5</v>
      </c>
      <c r="L737" s="468" t="str">
        <f>IFERROR(VLOOKUP($C737,'SINAPI JULHO 2021'!$1:$1048576,3,0),IFERROR(VLOOKUP($C737,'5-COMP. PROPRIA'!$B$4:$I$7999,5,0),""))</f>
        <v>UN</v>
      </c>
      <c r="M737" s="106"/>
      <c r="N737" s="53"/>
    </row>
    <row r="738" spans="2:14" ht="49.5" customHeight="1">
      <c r="B738" s="207"/>
      <c r="C738" s="239">
        <v>89536</v>
      </c>
      <c r="D738" s="259" t="s">
        <v>7</v>
      </c>
      <c r="E738" s="689" t="str">
        <f>IFERROR(VLOOKUP($C738,'SINAPI JULHO 2021'!$1:$1048576,2,0),IFERROR(VLOOKUP($C738,'5-COMP. PROPRIA'!$B$4:$I$7999,4,0),""))</f>
        <v>UNIÃO, PVC, SOLDÁVEL, DN 25MM, INSTALADO EM PRUMADA DE ÁGUA - FORNECIMENTO E INSTALAÇÃO. AF_12/2014</v>
      </c>
      <c r="F738" s="690"/>
      <c r="G738" s="690"/>
      <c r="H738" s="690"/>
      <c r="I738" s="690"/>
      <c r="J738" s="691"/>
      <c r="K738" s="286">
        <v>2</v>
      </c>
      <c r="L738" s="468" t="str">
        <f>IFERROR(VLOOKUP($C738,'SINAPI JULHO 2021'!$1:$1048576,3,0),IFERROR(VLOOKUP($C738,'5-COMP. PROPRIA'!$B$4:$I$7999,5,0),""))</f>
        <v>UN</v>
      </c>
      <c r="M738" s="106"/>
      <c r="N738" s="53"/>
    </row>
    <row r="739" spans="2:14" ht="28.5" customHeight="1">
      <c r="B739" s="207"/>
      <c r="C739" s="239">
        <v>95676</v>
      </c>
      <c r="D739" s="259" t="s">
        <v>7</v>
      </c>
      <c r="E739" s="689" t="str">
        <f>IFERROR(VLOOKUP($C739,'SINAPI JULHO 2021'!$1:$1048576,2,0),IFERROR(VLOOKUP($C739,'5-COMP. PROPRIA'!$B$4:$I$7999,4,0),""))</f>
        <v>CAIXA EM CONCRETO PRÉ-MOLDADO PARA ABRIGO DE HIDRÔMETRO COM DN 20 (½)  FORNECIMENTO E INSTALAÇÃO. AF_11/2016</v>
      </c>
      <c r="F739" s="690"/>
      <c r="G739" s="690"/>
      <c r="H739" s="690"/>
      <c r="I739" s="690"/>
      <c r="J739" s="691"/>
      <c r="K739" s="286">
        <v>3</v>
      </c>
      <c r="L739" s="468" t="str">
        <f>IFERROR(VLOOKUP($C739,'SINAPI JULHO 2021'!$1:$1048576,3,0),IFERROR(VLOOKUP($C739,'5-COMP. PROPRIA'!$B$4:$I$7999,5,0),""))</f>
        <v>UN</v>
      </c>
      <c r="M739" s="106"/>
      <c r="N739" s="53"/>
    </row>
    <row r="740" spans="2:14" ht="96.75" customHeight="1">
      <c r="B740" s="391" t="s">
        <v>7379</v>
      </c>
      <c r="C740" s="69" t="str">
        <f>'5-COMP. PROPRIA'!B181</f>
        <v>CP-RES-01</v>
      </c>
      <c r="D740" s="137" t="s">
        <v>4271</v>
      </c>
      <c r="E740" s="754" t="str">
        <f>IFERROR(VLOOKUP($C740,'SINAPI JULHO 2021'!$1:$1048576,2,0),IFERROR(VLOOKUP($C740,'5-COMP. PROPRIA'!$B$4:$I$7999,4,0),""))</f>
        <v>FORNECIMENTO E MONTAGEM DE RESERVATÓRIO METALICO TIPO TAÇA; CAP. 40.000L, COM AS SEGUINTES DIMENSÕES: -COLUNA SECA: Ø 1,45 X 7,50M; -RESERVA: Ø 2,90M x 6,00M; -CONE: 0,45M DE ALTURA; -ALTURA TOTAL: 13,95M;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 E SPDA.</v>
      </c>
      <c r="F740" s="755"/>
      <c r="G740" s="755"/>
      <c r="H740" s="755"/>
      <c r="I740" s="755"/>
      <c r="J740" s="756"/>
      <c r="K740" s="270">
        <v>1</v>
      </c>
      <c r="L740" s="468" t="str">
        <f>IFERROR(VLOOKUP($C740,'SINAPI JULHO 2021'!$1:$1048576,3,0),IFERROR(VLOOKUP($C740,'5-COMP. PROPRIA'!$B$4:$I$7999,5,0),""))</f>
        <v xml:space="preserve">UN    </v>
      </c>
      <c r="M740" s="106"/>
      <c r="N740" s="53"/>
    </row>
    <row r="741" spans="2:14" ht="77.25" customHeight="1">
      <c r="B741" s="391" t="s">
        <v>7378</v>
      </c>
      <c r="C741" s="69" t="str">
        <f>'5-COMP. PROPRIA'!B217</f>
        <v>CP-RES-02</v>
      </c>
      <c r="D741" s="137" t="s">
        <v>4271</v>
      </c>
      <c r="E741" s="754" t="str">
        <f>IFERROR(VLOOKUP($C741,'SINAPI JULHO 2021'!$1:$1048576,2,0),IFERROR(VLOOKUP($C741,'5-COMP. PROPRIA'!$B$4:$I$7999,4,0),""))</f>
        <v>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v>
      </c>
      <c r="F741" s="755"/>
      <c r="G741" s="755"/>
      <c r="H741" s="755"/>
      <c r="I741" s="755"/>
      <c r="J741" s="756"/>
      <c r="K741" s="270">
        <v>1</v>
      </c>
      <c r="L741" s="468" t="str">
        <f>IFERROR(VLOOKUP($C741,'SINAPI JULHO 2021'!$1:$1048576,3,0),IFERROR(VLOOKUP($C741,'5-COMP. PROPRIA'!$B$4:$I$7999,5,0),""))</f>
        <v xml:space="preserve">UN    </v>
      </c>
      <c r="M741" s="106"/>
      <c r="N741" s="53"/>
    </row>
    <row r="742" spans="2:14" ht="29.25" customHeight="1">
      <c r="B742" s="391"/>
      <c r="C742" s="69" t="str">
        <f>'5-COMP. PROPRIA'!B240</f>
        <v>CP-RES-03</v>
      </c>
      <c r="D742" s="137" t="s">
        <v>4271</v>
      </c>
      <c r="E742" s="754" t="str">
        <f>IFERROR(VLOOKUP($C742,'SINAPI JULHO 2021'!$1:$1048576,2,0),IFERROR(VLOOKUP($C742,'5-COMP. PROPRIA'!$B$4:$I$7999,4,0),""))</f>
        <v>FORNECIMENTO E INSTALAÇÃO DE CASA DE BOMBA (HIDRANTES/RESERVATÓRIO) DE 2,00X1,50 INCLUSIVE BOMBAS COM PAINEL DE CONTROLE - FORNECIMENTO E INSTALAÇÃO</v>
      </c>
      <c r="F742" s="755"/>
      <c r="G742" s="755"/>
      <c r="H742" s="755"/>
      <c r="I742" s="755"/>
      <c r="J742" s="756"/>
      <c r="K742" s="270">
        <v>1</v>
      </c>
      <c r="L742" s="468" t="str">
        <f>IFERROR(VLOOKUP($C742,'SINAPI JULHO 2021'!$1:$1048576,3,0),IFERROR(VLOOKUP($C742,'5-COMP. PROPRIA'!$B$4:$I$7999,5,0),""))</f>
        <v>UN</v>
      </c>
      <c r="M742" s="106"/>
      <c r="N742" s="53"/>
    </row>
    <row r="743" spans="2:14">
      <c r="B743" s="207"/>
      <c r="D743" s="47"/>
      <c r="E743" s="716" t="s">
        <v>5764</v>
      </c>
      <c r="F743" s="717"/>
      <c r="G743" s="717"/>
      <c r="H743" s="717"/>
      <c r="I743" s="717"/>
      <c r="J743" s="718"/>
      <c r="K743" s="180"/>
      <c r="L743" s="441"/>
      <c r="M743" s="106"/>
      <c r="N743" s="53"/>
    </row>
    <row r="744" spans="2:14" ht="36" customHeight="1">
      <c r="B744" s="207"/>
      <c r="C744" s="45">
        <v>100860</v>
      </c>
      <c r="D744" s="17" t="s">
        <v>7</v>
      </c>
      <c r="E744" s="689" t="str">
        <f>IFERROR(VLOOKUP($C744,'SINAPI JULHO 2021'!$1:$1048576,2,0),IFERROR(VLOOKUP($C744,'5-COMP. PROPRIA'!$B$4:$I$7999,4,0),""))</f>
        <v>CHUVEIRO ELÉTRICO COMUM CORPO PLÁSTICO, TIPO DUCHA  FORNECIMENTO E INSTALAÇÃO. AF_01/2020</v>
      </c>
      <c r="F744" s="690"/>
      <c r="G744" s="690"/>
      <c r="H744" s="690"/>
      <c r="I744" s="690"/>
      <c r="J744" s="691"/>
      <c r="K744" s="270">
        <v>8</v>
      </c>
      <c r="L744" s="468" t="str">
        <f>IFERROR(VLOOKUP($C744,'SINAPI JULHO 2021'!$1:$1048576,3,0),IFERROR(VLOOKUP($C744,'5-COMP. PROPRIA'!$B$4:$I$7999,5,0),""))</f>
        <v>UN</v>
      </c>
      <c r="M744" s="106"/>
      <c r="N744" s="53"/>
    </row>
    <row r="745" spans="2:14" ht="38.25" customHeight="1">
      <c r="B745" s="207"/>
      <c r="C745" s="239">
        <v>86920</v>
      </c>
      <c r="D745" s="17" t="s">
        <v>7</v>
      </c>
      <c r="E745" s="689" t="str">
        <f>IFERROR(VLOOKUP($C745,'SINAPI JULHO 2021'!$1:$1048576,2,0),IFERROR(VLOOKUP($C745,'5-COMP. PROPRIA'!$B$4:$I$7999,4,0),""))</f>
        <v>TANQUE DE LOUÇA BRANCA COM COLUNA, 30L OU EQUIVALENTE, INCLUSO SIFÃO FLEXÍVEL EM PVC, VÁLVULA PLÁSTICA E TORNEIRA DE METAL CROMADO PADRÃO POPULAR - FORNECIMENTO E INSTALAÇÃO. AF_01/2020</v>
      </c>
      <c r="F745" s="690"/>
      <c r="G745" s="690"/>
      <c r="H745" s="690"/>
      <c r="I745" s="690"/>
      <c r="J745" s="691"/>
      <c r="K745" s="270">
        <v>4</v>
      </c>
      <c r="L745" s="468" t="str">
        <f>IFERROR(VLOOKUP($C745,'SINAPI JULHO 2021'!$1:$1048576,3,0),IFERROR(VLOOKUP($C745,'5-COMP. PROPRIA'!$B$4:$I$7999,5,0),""))</f>
        <v>UN</v>
      </c>
      <c r="M745" s="106"/>
      <c r="N745" s="53"/>
    </row>
    <row r="746" spans="2:14" ht="37.5" customHeight="1">
      <c r="B746" s="207"/>
      <c r="C746" s="239">
        <v>86938</v>
      </c>
      <c r="D746" s="17" t="s">
        <v>7</v>
      </c>
      <c r="E746" s="689" t="str">
        <f>IFERROR(VLOOKUP($C746,'SINAPI JULHO 2021'!$1:$1048576,2,0),IFERROR(VLOOKUP($C746,'5-COMP. PROPRIA'!$B$4:$I$7999,4,0),""))</f>
        <v>CUBA DE EMBUTIR OVAL EM LOUÇA BRANCA, 35 X 50CM OU EQUIVALENTE, INCLUSO VÁLVULA E SIFÃO TIPO GARRAFA EM METAL CROMADO - FORNECIMENTO E INSTALAÇÃO. AF_01/2020</v>
      </c>
      <c r="F746" s="690"/>
      <c r="G746" s="690"/>
      <c r="H746" s="690"/>
      <c r="I746" s="690"/>
      <c r="J746" s="691"/>
      <c r="K746" s="270">
        <v>27</v>
      </c>
      <c r="L746" s="468" t="str">
        <f>IFERROR(VLOOKUP($C746,'SINAPI JULHO 2021'!$1:$1048576,3,0),IFERROR(VLOOKUP($C746,'5-COMP. PROPRIA'!$B$4:$I$7999,5,0),""))</f>
        <v>UN</v>
      </c>
      <c r="M746" s="106"/>
      <c r="N746" s="53"/>
    </row>
    <row r="747" spans="2:14" ht="45" customHeight="1">
      <c r="B747" s="207"/>
      <c r="C747" s="239">
        <v>86936</v>
      </c>
      <c r="D747" s="17" t="s">
        <v>7</v>
      </c>
      <c r="E747" s="689" t="str">
        <f>IFERROR(VLOOKUP($C747,'SINAPI JULHO 2021'!$1:$1048576,2,0),IFERROR(VLOOKUP($C747,'5-COMP. PROPRIA'!$B$4:$I$7999,4,0),""))</f>
        <v>CUBA DE EMBUTIR DE AÇO INOXIDÁVEL MÉDIA, INCLUSO VÁLVULA TIPO AMERICANA E SIFÃO TIPO GARRAFA EM METAL CROMADO - FORNECIMENTO E INSTALAÇÃO. AF_01/2020</v>
      </c>
      <c r="F747" s="690"/>
      <c r="G747" s="690"/>
      <c r="H747" s="690"/>
      <c r="I747" s="690"/>
      <c r="J747" s="691"/>
      <c r="K747" s="270">
        <v>6</v>
      </c>
      <c r="L747" s="468" t="str">
        <f>IFERROR(VLOOKUP($C747,'SINAPI JULHO 2021'!$1:$1048576,3,0),IFERROR(VLOOKUP($C747,'5-COMP. PROPRIA'!$B$4:$I$7999,5,0),""))</f>
        <v>UN</v>
      </c>
      <c r="M747" s="106"/>
      <c r="N747" s="53"/>
    </row>
    <row r="748" spans="2:14" ht="51" customHeight="1">
      <c r="B748" s="207"/>
      <c r="C748" s="239" t="str">
        <f>'5-COMP. PROPRIA'!B261</f>
        <v>CP-HID-01</v>
      </c>
      <c r="D748" s="137" t="s">
        <v>4271</v>
      </c>
      <c r="E748" s="689" t="str">
        <f>IFERROR(VLOOKUP($C748,'SINAPI JULHO 2021'!$1:$1048576,2,0),IFERROR(VLOOKUP($C748,'5-COMP. PROPRIA'!$B$4:$I$7999,4,0),""))</f>
        <v>MICTÓRIO COLETIVO ACO INOX (AISI 304), E = 0,8 MM, DE *100 X 50 X 35* CM (C X A X P), ENGATE FLEXIVEL EM INOX E SIFÃO CROMADO TIPO GARRAFA - FORNECIMENTO E INSTALAÇÃO</v>
      </c>
      <c r="F748" s="690"/>
      <c r="G748" s="690"/>
      <c r="H748" s="690"/>
      <c r="I748" s="690"/>
      <c r="J748" s="691"/>
      <c r="K748" s="270">
        <v>4</v>
      </c>
      <c r="L748" s="468" t="str">
        <f>IFERROR(VLOOKUP($C748,'SINAPI JULHO 2021'!$1:$1048576,3,0),IFERROR(VLOOKUP($C748,'5-COMP. PROPRIA'!$B$4:$I$7999,5,0),""))</f>
        <v xml:space="preserve">UN    </v>
      </c>
      <c r="M748" s="106"/>
      <c r="N748" s="53"/>
    </row>
    <row r="749" spans="2:14" ht="41.25" customHeight="1">
      <c r="B749" s="207"/>
      <c r="C749" s="239">
        <v>95472</v>
      </c>
      <c r="D749" s="17" t="s">
        <v>7</v>
      </c>
      <c r="E749" s="689" t="str">
        <f>IFERROR(VLOOKUP($C749,'SINAPI JULHO 2021'!$1:$1048576,2,0),IFERROR(VLOOKUP($C749,'5-COMP. PROPRIA'!$B$4:$I$7999,4,0),""))</f>
        <v>VASO SANITARIO SIFONADO CONVENCIONAL PARA PCD SEM FURO FRONTAL COM LOUÇA BRANCA SEM ASSENTO, INCLUSO CONJUNTO DE LIGAÇÃO PARA BACIA SANITÁRIA AJUSTÁVEL - FORNECIMENTO E INSTALAÇÃO. AF_01/2020</v>
      </c>
      <c r="F749" s="690"/>
      <c r="G749" s="690"/>
      <c r="H749" s="690"/>
      <c r="I749" s="690"/>
      <c r="J749" s="691"/>
      <c r="K749" s="270">
        <v>4</v>
      </c>
      <c r="L749" s="468" t="str">
        <f>IFERROR(VLOOKUP($C749,'SINAPI JULHO 2021'!$1:$1048576,3,0),IFERROR(VLOOKUP($C749,'5-COMP. PROPRIA'!$B$4:$I$7999,5,0),""))</f>
        <v>UN</v>
      </c>
      <c r="M749" s="106"/>
      <c r="N749" s="53"/>
    </row>
    <row r="750" spans="2:14" ht="15">
      <c r="B750" s="207"/>
      <c r="C750" s="239" t="str">
        <f>'5-COMP. PROPRIA'!B272</f>
        <v>CP-HID-02</v>
      </c>
      <c r="D750" s="137" t="s">
        <v>4271</v>
      </c>
      <c r="E750" s="689" t="str">
        <f>IFERROR(VLOOKUP($C750,'SINAPI JULHO 2021'!$1:$1048576,2,0),IFERROR(VLOOKUP($C750,'5-COMP. PROPRIA'!$B$4:$I$7999,4,0),""))</f>
        <v>ASSENTO SANITÁRIO ELEVADO PARA PNE- FORNECIMENTO E INSTALAÇÃO</v>
      </c>
      <c r="F750" s="690"/>
      <c r="G750" s="690"/>
      <c r="H750" s="690"/>
      <c r="I750" s="690"/>
      <c r="J750" s="691"/>
      <c r="K750" s="270">
        <f>K749</f>
        <v>4</v>
      </c>
      <c r="L750" s="468" t="str">
        <f>IFERROR(VLOOKUP($C750,'SINAPI JULHO 2021'!$1:$1048576,3,0),IFERROR(VLOOKUP($C750,'5-COMP. PROPRIA'!$B$4:$I$7999,5,0),""))</f>
        <v xml:space="preserve">UN    </v>
      </c>
      <c r="M750" s="106"/>
      <c r="N750" s="53"/>
    </row>
    <row r="751" spans="2:14" ht="41.25" customHeight="1">
      <c r="B751" s="207"/>
      <c r="C751" s="239">
        <v>95470</v>
      </c>
      <c r="D751" s="17" t="s">
        <v>7</v>
      </c>
      <c r="E751" s="689" t="str">
        <f>IFERROR(VLOOKUP($C751,'SINAPI JULHO 2021'!$1:$1048576,2,0),IFERROR(VLOOKUP($C751,'5-COMP. PROPRIA'!$B$4:$I$7999,4,0),""))</f>
        <v>VASO SANITARIO SIFONADO CONVENCIONAL COM LOUÇA BRANCA, INCLUSO CONJUNTO DE LIGAÇÃO PARA BACIA SANITÁRIA AJUSTÁVEL - FORNECIMENTO E INSTALAÇÃO. AF_10/2016</v>
      </c>
      <c r="F751" s="690"/>
      <c r="G751" s="690"/>
      <c r="H751" s="690"/>
      <c r="I751" s="690"/>
      <c r="J751" s="691"/>
      <c r="K751" s="270">
        <v>19</v>
      </c>
      <c r="L751" s="468" t="str">
        <f>IFERROR(VLOOKUP($C751,'SINAPI JULHO 2021'!$1:$1048576,3,0),IFERROR(VLOOKUP($C751,'5-COMP. PROPRIA'!$B$4:$I$7999,5,0),""))</f>
        <v>UN</v>
      </c>
      <c r="M751" s="106"/>
      <c r="N751" s="53"/>
    </row>
    <row r="752" spans="2:14" ht="15">
      <c r="B752" s="207"/>
      <c r="C752" s="239">
        <v>100849</v>
      </c>
      <c r="D752" s="17" t="s">
        <v>7</v>
      </c>
      <c r="E752" s="689" t="str">
        <f>IFERROR(VLOOKUP($C752,'SINAPI JULHO 2021'!$1:$1048576,2,0),IFERROR(VLOOKUP($C752,'5-COMP. PROPRIA'!$B$4:$I$7999,4,0),""))</f>
        <v>ASSENTO SANITÁRIO CONVENCIONAL - FORNECIMENTO E INSTALACAO. AF_01/2020</v>
      </c>
      <c r="F752" s="690"/>
      <c r="G752" s="690"/>
      <c r="H752" s="690"/>
      <c r="I752" s="690"/>
      <c r="J752" s="691"/>
      <c r="K752" s="270">
        <f>K751</f>
        <v>19</v>
      </c>
      <c r="L752" s="468" t="str">
        <f>IFERROR(VLOOKUP($C752,'SINAPI JULHO 2021'!$1:$1048576,3,0),IFERROR(VLOOKUP($C752,'5-COMP. PROPRIA'!$B$4:$I$7999,5,0),""))</f>
        <v>UN</v>
      </c>
      <c r="M752" s="106"/>
      <c r="N752" s="53"/>
    </row>
    <row r="753" spans="2:14" ht="15">
      <c r="B753" s="207"/>
      <c r="C753" s="239">
        <v>100848</v>
      </c>
      <c r="D753" s="17" t="s">
        <v>7</v>
      </c>
      <c r="E753" s="689" t="str">
        <f>IFERROR(VLOOKUP($C753,'SINAPI JULHO 2021'!$1:$1048576,2,0),IFERROR(VLOOKUP($C753,'5-COMP. PROPRIA'!$B$4:$I$7999,4,0),""))</f>
        <v>VASO SANITÁRIO INFANTIL LOUÇA BRANCA - FORNECIMENTO E INSTALACAO. AF_01/2020</v>
      </c>
      <c r="F753" s="690"/>
      <c r="G753" s="690"/>
      <c r="H753" s="690"/>
      <c r="I753" s="690"/>
      <c r="J753" s="691"/>
      <c r="K753" s="270">
        <v>4</v>
      </c>
      <c r="L753" s="468" t="str">
        <f>IFERROR(VLOOKUP($C753,'SINAPI JULHO 2021'!$1:$1048576,3,0),IFERROR(VLOOKUP($C753,'5-COMP. PROPRIA'!$B$4:$I$7999,5,0),""))</f>
        <v>UN</v>
      </c>
      <c r="M753" s="106"/>
      <c r="N753" s="53"/>
    </row>
    <row r="754" spans="2:14" ht="15">
      <c r="B754" s="207"/>
      <c r="C754" s="239">
        <v>100851</v>
      </c>
      <c r="D754" s="17" t="s">
        <v>7</v>
      </c>
      <c r="E754" s="689" t="str">
        <f>IFERROR(VLOOKUP($C754,'SINAPI JULHO 2021'!$1:$1048576,2,0),IFERROR(VLOOKUP($C754,'5-COMP. PROPRIA'!$B$4:$I$7999,4,0),""))</f>
        <v>ASSENTO SANITÁRIO INFANTIL - FORNECIMENTO E INSTALACAO. AF_01/2020</v>
      </c>
      <c r="F754" s="690"/>
      <c r="G754" s="690"/>
      <c r="H754" s="690"/>
      <c r="I754" s="690"/>
      <c r="J754" s="691"/>
      <c r="K754" s="270">
        <f>K753</f>
        <v>4</v>
      </c>
      <c r="L754" s="468" t="str">
        <f>IFERROR(VLOOKUP($C754,'SINAPI JULHO 2021'!$1:$1048576,3,0),IFERROR(VLOOKUP($C754,'5-COMP. PROPRIA'!$B$4:$I$7999,5,0),""))</f>
        <v>UN</v>
      </c>
      <c r="M754" s="106"/>
      <c r="N754" s="53"/>
    </row>
    <row r="755" spans="2:14" ht="49.5" customHeight="1">
      <c r="B755" s="207"/>
      <c r="C755" s="239">
        <v>86939</v>
      </c>
      <c r="D755" s="17" t="s">
        <v>7</v>
      </c>
      <c r="E755" s="689" t="str">
        <f>IFERROR(VLOOKUP($C755,'SINAPI JULHO 2021'!$1:$1048576,2,0),IFERROR(VLOOKUP($C755,'5-COMP. PROPRIA'!$B$4:$I$7999,4,0),""))</f>
        <v>LAVATÓRIO LOUÇA BRANCA COM COLUNA, *44 X 35,5* CM, PADRÃO POPULAR, INCLUSO SIFÃO FLEXÍVEL EM PVC, VÁLVULA E ENGATE FLEXÍVEL 30CM EM PLÁSTICO E COM TORNEIRA CROMADA PADRÃO POPULAR - FORNECIMENTO E INSTALAÇÃO. AF_01/2020</v>
      </c>
      <c r="F755" s="690"/>
      <c r="G755" s="690"/>
      <c r="H755" s="690"/>
      <c r="I755" s="690"/>
      <c r="J755" s="691"/>
      <c r="K755" s="270">
        <v>5</v>
      </c>
      <c r="L755" s="468" t="str">
        <f>IFERROR(VLOOKUP($C755,'SINAPI JULHO 2021'!$1:$1048576,3,0),IFERROR(VLOOKUP($C755,'5-COMP. PROPRIA'!$B$4:$I$7999,5,0),""))</f>
        <v>UN</v>
      </c>
      <c r="M755" s="106"/>
      <c r="N755" s="53"/>
    </row>
    <row r="756" spans="2:14" ht="29.25" customHeight="1">
      <c r="B756" s="207"/>
      <c r="C756" s="239">
        <v>86913</v>
      </c>
      <c r="D756" s="17" t="s">
        <v>7</v>
      </c>
      <c r="E756" s="689" t="str">
        <f>IFERROR(VLOOKUP($C756,'SINAPI JULHO 2021'!$1:$1048576,2,0),IFERROR(VLOOKUP($C756,'5-COMP. PROPRIA'!$B$4:$I$7999,4,0),""))</f>
        <v>TORNEIRA CROMADA 1/2 OU 3/4 PARA TANQUE, PADRÃO POPULAR - FORNECIMENTO E INSTALAÇÃO. AF_01/2020</v>
      </c>
      <c r="F756" s="690"/>
      <c r="G756" s="690"/>
      <c r="H756" s="690"/>
      <c r="I756" s="690"/>
      <c r="J756" s="691"/>
      <c r="K756" s="270">
        <v>4</v>
      </c>
      <c r="L756" s="468" t="str">
        <f>IFERROR(VLOOKUP($C756,'SINAPI JULHO 2021'!$1:$1048576,3,0),IFERROR(VLOOKUP($C756,'5-COMP. PROPRIA'!$B$4:$I$7999,5,0),""))</f>
        <v>UN</v>
      </c>
      <c r="M756" s="106"/>
      <c r="N756" s="53"/>
    </row>
    <row r="757" spans="2:14" ht="33" customHeight="1">
      <c r="B757" s="207"/>
      <c r="C757" s="239">
        <v>86906</v>
      </c>
      <c r="D757" s="17" t="s">
        <v>7</v>
      </c>
      <c r="E757" s="689" t="str">
        <f>IFERROR(VLOOKUP($C757,'SINAPI JULHO 2021'!$1:$1048576,2,0),IFERROR(VLOOKUP($C757,'5-COMP. PROPRIA'!$B$4:$I$7999,4,0),""))</f>
        <v>TORNEIRA CROMADA DE MESA, 1/2 OU 3/4, PARA LAVATÓRIO, PADRÃO POPULAR - FORNECIMENTO E INSTALAÇÃO. AF_01/2020</v>
      </c>
      <c r="F757" s="690"/>
      <c r="G757" s="690"/>
      <c r="H757" s="690"/>
      <c r="I757" s="690"/>
      <c r="J757" s="691"/>
      <c r="K757" s="270">
        <v>32</v>
      </c>
      <c r="L757" s="468" t="str">
        <f>IFERROR(VLOOKUP($C757,'SINAPI JULHO 2021'!$1:$1048576,3,0),IFERROR(VLOOKUP($C757,'5-COMP. PROPRIA'!$B$4:$I$7999,5,0),""))</f>
        <v>UN</v>
      </c>
      <c r="M757" s="106"/>
      <c r="N757" s="53"/>
    </row>
    <row r="758" spans="2:14" ht="39" customHeight="1">
      <c r="B758" s="207"/>
      <c r="C758" s="239">
        <v>86911</v>
      </c>
      <c r="D758" s="17" t="s">
        <v>7</v>
      </c>
      <c r="E758" s="689" t="str">
        <f>IFERROR(VLOOKUP($C758,'SINAPI JULHO 2021'!$1:$1048576,2,0),IFERROR(VLOOKUP($C758,'5-COMP. PROPRIA'!$B$4:$I$7999,4,0),""))</f>
        <v>TORNEIRA CROMADA LONGA, DE PAREDE, 1/2 OU 3/4, PARA PIA DE COZINHA, PADRÃO POPULAR - FORNECIMENTO E INSTALAÇÃO. AF_01/2020</v>
      </c>
      <c r="F758" s="690"/>
      <c r="G758" s="690"/>
      <c r="H758" s="690"/>
      <c r="I758" s="690"/>
      <c r="J758" s="691"/>
      <c r="K758" s="270">
        <v>6</v>
      </c>
      <c r="L758" s="468" t="str">
        <f>IFERROR(VLOOKUP($C758,'SINAPI JULHO 2021'!$1:$1048576,3,0),IFERROR(VLOOKUP($C758,'5-COMP. PROPRIA'!$B$4:$I$7999,5,0),""))</f>
        <v>UN</v>
      </c>
      <c r="M758" s="106"/>
      <c r="N758" s="53"/>
    </row>
    <row r="759" spans="2:14" ht="24.75" customHeight="1">
      <c r="B759" s="207"/>
      <c r="C759" s="239">
        <v>95544</v>
      </c>
      <c r="D759" s="17" t="s">
        <v>7</v>
      </c>
      <c r="E759" s="689" t="str">
        <f>IFERROR(VLOOKUP($C759,'SINAPI JULHO 2021'!$1:$1048576,2,0),IFERROR(VLOOKUP($C759,'5-COMP. PROPRIA'!$B$4:$I$7999,4,0),""))</f>
        <v>PAPELEIRA DE PAREDE EM METAL CROMADO SEM TAMPA, INCLUSO FIXAÇÃO. AF_01/2020</v>
      </c>
      <c r="F759" s="690"/>
      <c r="G759" s="690"/>
      <c r="H759" s="690"/>
      <c r="I759" s="690"/>
      <c r="J759" s="691"/>
      <c r="K759" s="270">
        <v>27</v>
      </c>
      <c r="L759" s="468" t="str">
        <f>IFERROR(VLOOKUP($C759,'SINAPI JULHO 2021'!$1:$1048576,3,0),IFERROR(VLOOKUP($C759,'5-COMP. PROPRIA'!$B$4:$I$7999,5,0),""))</f>
        <v>UN</v>
      </c>
      <c r="M759" s="106"/>
      <c r="N759" s="53"/>
    </row>
    <row r="760" spans="2:14" ht="25.5" customHeight="1">
      <c r="B760" s="207"/>
      <c r="C760" s="239" t="str">
        <f>'5-COMP. PROPRIA'!B277</f>
        <v>CP-HID-03</v>
      </c>
      <c r="D760" s="68" t="s">
        <v>4271</v>
      </c>
      <c r="E760" s="689" t="str">
        <f>IFERROR(VLOOKUP($C760,'SINAPI JULHO 2021'!$1:$1048576,2,0),IFERROR(VLOOKUP($C760,'5-COMP. PROPRIA'!$B$4:$I$7999,4,0),""))</f>
        <v>BEBEDOURO INDUSTRIAL SUSPENSO EM INOX E CUBA DE INOX COM 4 TORNEIRAS - FORNECIMENTO E INSTALAÇÃO</v>
      </c>
      <c r="F760" s="690"/>
      <c r="G760" s="690"/>
      <c r="H760" s="690"/>
      <c r="I760" s="690"/>
      <c r="J760" s="691"/>
      <c r="K760" s="270">
        <v>2</v>
      </c>
      <c r="L760" s="468" t="str">
        <f>IFERROR(VLOOKUP($C760,'SINAPI JULHO 2021'!$1:$1048576,3,0),IFERROR(VLOOKUP($C760,'5-COMP. PROPRIA'!$B$4:$I$7999,5,0),""))</f>
        <v xml:space="preserve">UN    </v>
      </c>
      <c r="M760" s="106"/>
      <c r="N760" s="53"/>
    </row>
    <row r="761" spans="2:14" ht="30.75" customHeight="1">
      <c r="B761" s="384" t="s">
        <v>7376</v>
      </c>
      <c r="C761" s="45">
        <v>100869</v>
      </c>
      <c r="D761" s="17" t="s">
        <v>7</v>
      </c>
      <c r="E761" s="689" t="str">
        <f>IFERROR(VLOOKUP($C761,'SINAPI JULHO 2021'!$1:$1048576,2,0),IFERROR(VLOOKUP($C761,'5-COMP. PROPRIA'!$B$4:$I$7999,4,0),""))</f>
        <v>BARRA DE APOIO RETA, EM ACO INOX POLIDO, COMPRIMENTO 90 CM,  FIXADA NA PAREDE - FORNECIMENTO E INSTALAÇÃO. AF_01/2020</v>
      </c>
      <c r="F761" s="690"/>
      <c r="G761" s="690"/>
      <c r="H761" s="690"/>
      <c r="I761" s="690"/>
      <c r="J761" s="691"/>
      <c r="K761" s="270">
        <v>8</v>
      </c>
      <c r="L761" s="468" t="str">
        <f>IFERROR(VLOOKUP($C761,'SINAPI JULHO 2021'!$1:$1048576,3,0),IFERROR(VLOOKUP($C761,'5-COMP. PROPRIA'!$B$4:$I$7999,5,0),""))</f>
        <v>UN</v>
      </c>
      <c r="M761" s="106"/>
      <c r="N761" s="53"/>
    </row>
    <row r="762" spans="2:14" ht="36" customHeight="1">
      <c r="B762" s="384" t="s">
        <v>7377</v>
      </c>
      <c r="C762" s="45">
        <v>100874</v>
      </c>
      <c r="D762" s="17" t="s">
        <v>7</v>
      </c>
      <c r="E762" s="689" t="str">
        <f>IFERROR(VLOOKUP($C762,'SINAPI JULHO 2021'!$1:$1048576,2,0),IFERROR(VLOOKUP($C762,'5-COMP. PROPRIA'!$B$4:$I$7999,4,0),""))</f>
        <v>PUXADOR PARA PCD, FIXADO NA PORTA - FORNECIMENTO E INSTALAÇÃO. AF_01/2020</v>
      </c>
      <c r="F762" s="690"/>
      <c r="G762" s="690"/>
      <c r="H762" s="690"/>
      <c r="I762" s="690"/>
      <c r="J762" s="691"/>
      <c r="K762" s="270">
        <v>4</v>
      </c>
      <c r="L762" s="468" t="str">
        <f>IFERROR(VLOOKUP($C762,'SINAPI JULHO 2021'!$1:$1048576,3,0),IFERROR(VLOOKUP($C762,'5-COMP. PROPRIA'!$B$4:$I$7999,5,0),""))</f>
        <v>UN</v>
      </c>
      <c r="M762" s="106"/>
      <c r="N762" s="53"/>
    </row>
    <row r="763" spans="2:14" ht="32.25" customHeight="1">
      <c r="B763" s="207"/>
      <c r="C763" s="239">
        <v>86884</v>
      </c>
      <c r="D763" s="17" t="s">
        <v>7</v>
      </c>
      <c r="E763" s="689" t="str">
        <f>IFERROR(VLOOKUP($C763,'SINAPI JULHO 2021'!$1:$1048576,2,0),IFERROR(VLOOKUP($C763,'5-COMP. PROPRIA'!$B$4:$I$7999,4,0),""))</f>
        <v>ENGATE FLEXÍVEL EM PLÁSTICO BRANCO, 1/2 X 30CM - FORNECIMENTO E INSTALAÇÃO. AF_01/2020</v>
      </c>
      <c r="F763" s="690"/>
      <c r="G763" s="690"/>
      <c r="H763" s="690"/>
      <c r="I763" s="690"/>
      <c r="J763" s="691"/>
      <c r="K763" s="270">
        <v>49</v>
      </c>
      <c r="L763" s="468" t="str">
        <f>IFERROR(VLOOKUP($C763,'SINAPI JULHO 2021'!$1:$1048576,3,0),IFERROR(VLOOKUP($C763,'5-COMP. PROPRIA'!$B$4:$I$7999,5,0),""))</f>
        <v>UN</v>
      </c>
      <c r="M763" s="106"/>
      <c r="N763" s="53"/>
    </row>
    <row r="764" spans="2:14" ht="42.75" customHeight="1">
      <c r="B764" s="207"/>
      <c r="C764" s="239">
        <v>89709</v>
      </c>
      <c r="D764" s="17" t="s">
        <v>7</v>
      </c>
      <c r="E764" s="689" t="str">
        <f>IFERROR(VLOOKUP($C764,'SINAPI JULHO 2021'!$1:$1048576,2,0),IFERROR(VLOOKUP($C764,'5-COMP. PROPRIA'!$B$4:$I$7999,4,0),""))</f>
        <v>RALO SIFONADO, PVC, DN 100 X 40 MM, JUNTA SOLDÁVEL, FORNECIDO E INSTALADO EM RAMAL DE DESCARGA OU EM RAMAL DE ESGOTO SANITÁRIO. AF_12/2014</v>
      </c>
      <c r="F764" s="690"/>
      <c r="G764" s="690"/>
      <c r="H764" s="690"/>
      <c r="I764" s="690"/>
      <c r="J764" s="691"/>
      <c r="K764" s="270">
        <v>8</v>
      </c>
      <c r="L764" s="468" t="str">
        <f>IFERROR(VLOOKUP($C764,'SINAPI JULHO 2021'!$1:$1048576,3,0),IFERROR(VLOOKUP($C764,'5-COMP. PROPRIA'!$B$4:$I$7999,5,0),""))</f>
        <v>UN</v>
      </c>
      <c r="M764" s="106"/>
      <c r="N764" s="53"/>
    </row>
    <row r="765" spans="2:14" ht="32.25" customHeight="1">
      <c r="B765" s="207"/>
      <c r="C765" s="239">
        <v>86882</v>
      </c>
      <c r="D765" s="17" t="s">
        <v>7</v>
      </c>
      <c r="E765" s="689" t="str">
        <f>IFERROR(VLOOKUP($C765,'SINAPI JULHO 2021'!$1:$1048576,2,0),IFERROR(VLOOKUP($C765,'5-COMP. PROPRIA'!$B$4:$I$7999,4,0),""))</f>
        <v>SIFÃO DO TIPO GARRAFA/COPO EM PVC 1.1/4  X 1.1/2 - FORNECIMENTO E INSTALAÇÃO. AF_01/2020</v>
      </c>
      <c r="F765" s="690"/>
      <c r="G765" s="690"/>
      <c r="H765" s="690"/>
      <c r="I765" s="690"/>
      <c r="J765" s="691"/>
      <c r="K765" s="270">
        <v>47</v>
      </c>
      <c r="L765" s="468" t="str">
        <f>IFERROR(VLOOKUP($C765,'SINAPI JULHO 2021'!$1:$1048576,3,0),IFERROR(VLOOKUP($C765,'5-COMP. PROPRIA'!$B$4:$I$7999,5,0),""))</f>
        <v>UN</v>
      </c>
      <c r="M765" s="106"/>
      <c r="N765" s="53"/>
    </row>
    <row r="766" spans="2:14" ht="32.25" customHeight="1">
      <c r="B766" s="207"/>
      <c r="C766" s="239">
        <v>86883</v>
      </c>
      <c r="D766" s="17" t="s">
        <v>7</v>
      </c>
      <c r="E766" s="689" t="str">
        <f>IFERROR(VLOOKUP($C766,'SINAPI JULHO 2021'!$1:$1048576,2,0),IFERROR(VLOOKUP($C766,'5-COMP. PROPRIA'!$B$4:$I$7999,4,0),""))</f>
        <v>SIFÃO DO TIPO FLEXÍVEL EM PVC 1  X 1.1/2  - FORNECIMENTO E INSTALAÇÃO. AF_01/2020</v>
      </c>
      <c r="F766" s="690"/>
      <c r="G766" s="690"/>
      <c r="H766" s="690"/>
      <c r="I766" s="690"/>
      <c r="J766" s="691"/>
      <c r="K766" s="270">
        <v>4</v>
      </c>
      <c r="L766" s="468" t="str">
        <f>IFERROR(VLOOKUP($C766,'SINAPI JULHO 2021'!$1:$1048576,3,0),IFERROR(VLOOKUP($C766,'5-COMP. PROPRIA'!$B$4:$I$7999,5,0),""))</f>
        <v>UN</v>
      </c>
      <c r="M766" s="106"/>
      <c r="N766" s="53"/>
    </row>
    <row r="767" spans="2:14" ht="30" customHeight="1">
      <c r="B767" s="207"/>
      <c r="C767" s="239">
        <v>86879</v>
      </c>
      <c r="D767" s="17" t="s">
        <v>7</v>
      </c>
      <c r="E767" s="689" t="str">
        <f>IFERROR(VLOOKUP($C767,'SINAPI JULHO 2021'!$1:$1048576,2,0),IFERROR(VLOOKUP($C767,'5-COMP. PROPRIA'!$B$4:$I$7999,4,0),""))</f>
        <v>VÁLVULA EM PLÁSTICO 1 PARA PIA, TANQUE OU LAVATÓRIO, COM OU SEM LADRÃO - FORNECIMENTO E INSTALAÇÃO. AF_01/2020</v>
      </c>
      <c r="F767" s="690"/>
      <c r="G767" s="690"/>
      <c r="H767" s="690"/>
      <c r="I767" s="690"/>
      <c r="J767" s="691"/>
      <c r="K767" s="270">
        <v>45</v>
      </c>
      <c r="L767" s="468" t="str">
        <f>IFERROR(VLOOKUP($C767,'SINAPI JULHO 2021'!$1:$1048576,3,0),IFERROR(VLOOKUP($C767,'5-COMP. PROPRIA'!$B$4:$I$7999,5,0),""))</f>
        <v>UN</v>
      </c>
      <c r="M767" s="106"/>
      <c r="N767" s="53"/>
    </row>
    <row r="768" spans="2:14" ht="29.25" customHeight="1" thickBot="1">
      <c r="B768" s="207"/>
      <c r="C768" s="239">
        <v>86880</v>
      </c>
      <c r="D768" s="17" t="s">
        <v>7</v>
      </c>
      <c r="E768" s="689" t="str">
        <f>IFERROR(VLOOKUP($C768,'SINAPI JULHO 2021'!$1:$1048576,2,0),IFERROR(VLOOKUP($C768,'5-COMP. PROPRIA'!$B$4:$I$7999,4,0),""))</f>
        <v>VÁLVULA EM PLÁSTICO CROMADO TIPO AMERICANA 3.1/2 X 1.1/2 SEM ADAPTADOR PARA PIA - FORNECIMENTO E INSTALAÇÃO. AF_01/2020</v>
      </c>
      <c r="F768" s="690"/>
      <c r="G768" s="690"/>
      <c r="H768" s="690"/>
      <c r="I768" s="690"/>
      <c r="J768" s="691"/>
      <c r="K768" s="270">
        <v>4</v>
      </c>
      <c r="L768" s="468" t="str">
        <f>IFERROR(VLOOKUP($C768,'SINAPI JULHO 2021'!$1:$1048576,3,0),IFERROR(VLOOKUP($C768,'5-COMP. PROPRIA'!$B$4:$I$7999,5,0),""))</f>
        <v>UN</v>
      </c>
      <c r="M768" s="106"/>
      <c r="N768" s="53"/>
    </row>
    <row r="769" spans="2:14" ht="13.5" thickBot="1">
      <c r="B769" s="207"/>
      <c r="C769" s="239"/>
      <c r="D769" s="17"/>
      <c r="E769" s="698" t="s">
        <v>7397</v>
      </c>
      <c r="F769" s="699"/>
      <c r="G769" s="699"/>
      <c r="H769" s="699"/>
      <c r="I769" s="699"/>
      <c r="J769" s="700"/>
      <c r="K769" s="154"/>
      <c r="L769" s="33"/>
      <c r="M769" s="106"/>
      <c r="N769" s="53"/>
    </row>
    <row r="770" spans="2:14" ht="15.75" thickBot="1">
      <c r="B770" s="207"/>
      <c r="C770" s="239"/>
      <c r="D770" s="17"/>
      <c r="E770" s="695" t="s">
        <v>7396</v>
      </c>
      <c r="F770" s="696"/>
      <c r="G770" s="696"/>
      <c r="H770" s="696"/>
      <c r="I770" s="696"/>
      <c r="J770" s="697"/>
      <c r="K770" s="154"/>
      <c r="L770" s="33"/>
      <c r="M770" s="106"/>
      <c r="N770" s="53"/>
    </row>
    <row r="771" spans="2:14" ht="26.25" customHeight="1">
      <c r="B771" s="207"/>
      <c r="C771" s="239">
        <v>91926</v>
      </c>
      <c r="D771" s="137" t="s">
        <v>7</v>
      </c>
      <c r="E771" s="689" t="str">
        <f>IFERROR(VLOOKUP($C771,'SINAPI JULHO 2021'!$1:$1048576,2,0),IFERROR(VLOOKUP($C771,'5-COMP. PROPRIA'!$B$4:$I$7999,4,0),""))</f>
        <v>CABO DE COBRE FLEXÍVEL ISOLADO, 2,5 MM², ANTI-CHAMA 450/750 V, PARA CIRCUITOS TERMINAIS - FORNECIMENTO E INSTALAÇÃO. AF_12/2015</v>
      </c>
      <c r="F771" s="690"/>
      <c r="G771" s="690"/>
      <c r="H771" s="690"/>
      <c r="I771" s="690"/>
      <c r="J771" s="691"/>
      <c r="K771" s="404">
        <v>10252.9</v>
      </c>
      <c r="L771" s="468" t="str">
        <f>IFERROR(VLOOKUP($C771,'SINAPI JULHO 2021'!$1:$1048576,3,0),IFERROR(VLOOKUP($C771,'5-COMP. PROPRIA'!$B$4:$I$7999,5,0),""))</f>
        <v>M</v>
      </c>
      <c r="M771" s="106"/>
      <c r="N771" s="53"/>
    </row>
    <row r="772" spans="2:14" ht="33" customHeight="1">
      <c r="B772" s="207"/>
      <c r="C772" s="239">
        <v>91928</v>
      </c>
      <c r="D772" s="137" t="s">
        <v>7</v>
      </c>
      <c r="E772" s="689" t="str">
        <f>IFERROR(VLOOKUP($C772,'SINAPI JULHO 2021'!$1:$1048576,2,0),IFERROR(VLOOKUP($C772,'5-COMP. PROPRIA'!$B$4:$I$7999,4,0),""))</f>
        <v>CABO DE COBRE FLEXÍVEL ISOLADO, 4 MM², ANTI-CHAMA 450/750 V, PARA CIRCUITOS TERMINAIS - FORNECIMENTO E INSTALAÇÃO. AF_12/2015</v>
      </c>
      <c r="F772" s="690"/>
      <c r="G772" s="690"/>
      <c r="H772" s="690"/>
      <c r="I772" s="690"/>
      <c r="J772" s="691"/>
      <c r="K772" s="404">
        <v>3175.8</v>
      </c>
      <c r="L772" s="468" t="str">
        <f>IFERROR(VLOOKUP($C772,'SINAPI JULHO 2021'!$1:$1048576,3,0),IFERROR(VLOOKUP($C772,'5-COMP. PROPRIA'!$B$4:$I$7999,5,0),""))</f>
        <v>M</v>
      </c>
      <c r="M772" s="106"/>
      <c r="N772" s="53"/>
    </row>
    <row r="773" spans="2:14" ht="33.75" customHeight="1">
      <c r="B773" s="207"/>
      <c r="C773" s="239">
        <v>91930</v>
      </c>
      <c r="D773" s="137" t="s">
        <v>7</v>
      </c>
      <c r="E773" s="689" t="str">
        <f>IFERROR(VLOOKUP($C773,'SINAPI JULHO 2021'!$1:$1048576,2,0),IFERROR(VLOOKUP($C773,'5-COMP. PROPRIA'!$B$4:$I$7999,4,0),""))</f>
        <v>CABO DE COBRE FLEXÍVEL ISOLADO, 6 MM², ANTI-CHAMA 450/750 V, PARA CIRCUITOS TERMINAIS - FORNECIMENTO E INSTALAÇÃO. AF_12/2015</v>
      </c>
      <c r="F773" s="690"/>
      <c r="G773" s="690"/>
      <c r="H773" s="690"/>
      <c r="I773" s="690"/>
      <c r="J773" s="691"/>
      <c r="K773" s="404">
        <v>20</v>
      </c>
      <c r="L773" s="468" t="str">
        <f>IFERROR(VLOOKUP($C773,'SINAPI JULHO 2021'!$1:$1048576,3,0),IFERROR(VLOOKUP($C773,'5-COMP. PROPRIA'!$B$4:$I$7999,5,0),""))</f>
        <v>M</v>
      </c>
      <c r="M773" s="106"/>
      <c r="N773" s="53"/>
    </row>
    <row r="774" spans="2:14" ht="27" customHeight="1">
      <c r="B774" s="207"/>
      <c r="C774" s="239">
        <v>91932</v>
      </c>
      <c r="D774" s="137" t="s">
        <v>7</v>
      </c>
      <c r="E774" s="689" t="str">
        <f>IFERROR(VLOOKUP($C774,'SINAPI JULHO 2021'!$1:$1048576,2,0),IFERROR(VLOOKUP($C774,'5-COMP. PROPRIA'!$B$4:$I$7999,4,0),""))</f>
        <v>CABO DE COBRE FLEXÍVEL ISOLADO, 10 MM², ANTI-CHAMA 450/750 V, PARA CIRCUITOS TERMINAIS - FORNECIMENTO E INSTALAÇÃO. AF_12/2015</v>
      </c>
      <c r="F774" s="690"/>
      <c r="G774" s="690"/>
      <c r="H774" s="690"/>
      <c r="I774" s="690"/>
      <c r="J774" s="691"/>
      <c r="K774" s="404">
        <v>1199</v>
      </c>
      <c r="L774" s="468" t="str">
        <f>IFERROR(VLOOKUP($C774,'SINAPI JULHO 2021'!$1:$1048576,3,0),IFERROR(VLOOKUP($C774,'5-COMP. PROPRIA'!$B$4:$I$7999,5,0),""))</f>
        <v>M</v>
      </c>
      <c r="M774" s="106"/>
      <c r="N774" s="53"/>
    </row>
    <row r="775" spans="2:14" ht="27" customHeight="1">
      <c r="B775" s="207"/>
      <c r="C775" s="239">
        <v>92980</v>
      </c>
      <c r="D775" s="137" t="s">
        <v>7</v>
      </c>
      <c r="E775" s="689" t="str">
        <f>IFERROR(VLOOKUP($C775,'SINAPI JULHO 2021'!$1:$1048576,2,0),IFERROR(VLOOKUP($C775,'5-COMP. PROPRIA'!$B$4:$I$7999,4,0),""))</f>
        <v>CABO DE COBRE FLEXÍVEL ISOLADO, 10 MM², ANTI-CHAMA 0,6/1,0 KV, PARA DISTRIBUIÇÃO - FORNECIMENTO E INSTALAÇÃO. AF_12/2015</v>
      </c>
      <c r="F775" s="690"/>
      <c r="G775" s="690"/>
      <c r="H775" s="690"/>
      <c r="I775" s="690"/>
      <c r="J775" s="691"/>
      <c r="K775" s="404">
        <v>607</v>
      </c>
      <c r="L775" s="468" t="str">
        <f>IFERROR(VLOOKUP($C775,'SINAPI JULHO 2021'!$1:$1048576,3,0),IFERROR(VLOOKUP($C775,'5-COMP. PROPRIA'!$B$4:$I$7999,5,0),""))</f>
        <v>M</v>
      </c>
      <c r="M775" s="106"/>
      <c r="N775" s="53"/>
    </row>
    <row r="776" spans="2:14" ht="38.25" customHeight="1">
      <c r="B776" s="207"/>
      <c r="C776" s="239">
        <v>92982</v>
      </c>
      <c r="D776" s="137" t="s">
        <v>7</v>
      </c>
      <c r="E776" s="689" t="str">
        <f>IFERROR(VLOOKUP($C776,'SINAPI JULHO 2021'!$1:$1048576,2,0),IFERROR(VLOOKUP($C776,'5-COMP. PROPRIA'!$B$4:$I$7999,4,0),""))</f>
        <v>CABO DE COBRE FLEXÍVEL ISOLADO, 16 MM², ANTI-CHAMA 0,6/1,0 KV, PARA DISTRIBUIÇÃO - FORNECIMENTO E INSTALAÇÃO. AF_12/2015</v>
      </c>
      <c r="F776" s="690"/>
      <c r="G776" s="690"/>
      <c r="H776" s="690"/>
      <c r="I776" s="690"/>
      <c r="J776" s="691"/>
      <c r="K776" s="404">
        <v>272</v>
      </c>
      <c r="L776" s="468" t="str">
        <f>IFERROR(VLOOKUP($C776,'SINAPI JULHO 2021'!$1:$1048576,3,0),IFERROR(VLOOKUP($C776,'5-COMP. PROPRIA'!$B$4:$I$7999,5,0),""))</f>
        <v>M</v>
      </c>
      <c r="M776" s="106"/>
      <c r="N776" s="53"/>
    </row>
    <row r="777" spans="2:14" ht="38.25" customHeight="1">
      <c r="B777" s="207"/>
      <c r="C777" s="239">
        <v>92984</v>
      </c>
      <c r="D777" s="137" t="s">
        <v>7</v>
      </c>
      <c r="E777" s="689" t="str">
        <f>IFERROR(VLOOKUP($C777,'SINAPI JULHO 2021'!$1:$1048576,2,0),IFERROR(VLOOKUP($C777,'5-COMP. PROPRIA'!$B$4:$I$7999,4,0),""))</f>
        <v>CABO DE COBRE FLEXÍVEL ISOLADO, 25 MM², ANTI-CHAMA 0,6/1,0 KV, PARA DISTRIBUIÇÃO - FORNECIMENTO E INSTALAÇÃO. AF_12/2015</v>
      </c>
      <c r="F777" s="690"/>
      <c r="G777" s="690"/>
      <c r="H777" s="690"/>
      <c r="I777" s="690"/>
      <c r="J777" s="691"/>
      <c r="K777" s="404">
        <v>31.3</v>
      </c>
      <c r="L777" s="468" t="str">
        <f>IFERROR(VLOOKUP($C777,'SINAPI JULHO 2021'!$1:$1048576,3,0),IFERROR(VLOOKUP($C777,'5-COMP. PROPRIA'!$B$4:$I$7999,5,0),""))</f>
        <v>M</v>
      </c>
      <c r="M777" s="106"/>
      <c r="N777" s="53"/>
    </row>
    <row r="778" spans="2:14" ht="38.25" customHeight="1">
      <c r="B778" s="207"/>
      <c r="C778" s="239">
        <v>92986</v>
      </c>
      <c r="D778" s="137" t="s">
        <v>7</v>
      </c>
      <c r="E778" s="689" t="str">
        <f>IFERROR(VLOOKUP($C778,'SINAPI JULHO 2021'!$1:$1048576,2,0),IFERROR(VLOOKUP($C778,'5-COMP. PROPRIA'!$B$4:$I$7999,4,0),""))</f>
        <v>CABO DE COBRE FLEXÍVEL ISOLADO, 35 MM², ANTI-CHAMA 0,6/1,0 KV, PARA DISTRIBUIÇÃO - FORNECIMENTO E INSTALAÇÃO. AF_12/2015</v>
      </c>
      <c r="F778" s="690"/>
      <c r="G778" s="690"/>
      <c r="H778" s="690"/>
      <c r="I778" s="690"/>
      <c r="J778" s="691"/>
      <c r="K778" s="404">
        <v>162.6</v>
      </c>
      <c r="L778" s="468" t="str">
        <f>IFERROR(VLOOKUP($C778,'SINAPI JULHO 2021'!$1:$1048576,3,0),IFERROR(VLOOKUP($C778,'5-COMP. PROPRIA'!$B$4:$I$7999,5,0),""))</f>
        <v>M</v>
      </c>
      <c r="M778" s="106"/>
      <c r="N778" s="53"/>
    </row>
    <row r="779" spans="2:14" ht="36" customHeight="1" thickBot="1">
      <c r="B779" s="207"/>
      <c r="C779" s="239">
        <v>92988</v>
      </c>
      <c r="D779" s="137" t="s">
        <v>7</v>
      </c>
      <c r="E779" s="689" t="str">
        <f>IFERROR(VLOOKUP($C779,'SINAPI JULHO 2021'!$1:$1048576,2,0),IFERROR(VLOOKUP($C779,'5-COMP. PROPRIA'!$B$4:$I$7999,4,0),""))</f>
        <v>CABO DE COBRE FLEXÍVEL ISOLADO, 50 MM², ANTI-CHAMA 0,6/1,0 KV, PARA DISTRIBUIÇÃO - FORNECIMENTO E INSTALAÇÃO. AF_12/2015</v>
      </c>
      <c r="F779" s="690"/>
      <c r="G779" s="690"/>
      <c r="H779" s="690"/>
      <c r="I779" s="690"/>
      <c r="J779" s="691"/>
      <c r="K779" s="404">
        <v>93.8</v>
      </c>
      <c r="L779" s="468" t="str">
        <f>IFERROR(VLOOKUP($C779,'SINAPI JULHO 2021'!$1:$1048576,3,0),IFERROR(VLOOKUP($C779,'5-COMP. PROPRIA'!$B$4:$I$7999,5,0),""))</f>
        <v>M</v>
      </c>
      <c r="M779" s="106"/>
      <c r="N779" s="53"/>
    </row>
    <row r="780" spans="2:14" ht="13.5" customHeight="1" thickBot="1">
      <c r="B780" s="207"/>
      <c r="C780" s="239"/>
      <c r="D780" s="17"/>
      <c r="E780" s="695" t="s">
        <v>7398</v>
      </c>
      <c r="F780" s="696"/>
      <c r="G780" s="696"/>
      <c r="H780" s="696"/>
      <c r="I780" s="696"/>
      <c r="J780" s="697"/>
      <c r="K780" s="154"/>
      <c r="L780" s="33"/>
      <c r="M780" s="106"/>
      <c r="N780" s="53"/>
    </row>
    <row r="781" spans="2:14" ht="27" customHeight="1">
      <c r="B781" s="207"/>
      <c r="C781" s="239">
        <v>91955</v>
      </c>
      <c r="D781" s="137" t="s">
        <v>7</v>
      </c>
      <c r="E781" s="689" t="str">
        <f>IFERROR(VLOOKUP($C781,'SINAPI JULHO 2021'!$1:$1048576,2,0),IFERROR(VLOOKUP($C781,'5-COMP. PROPRIA'!$B$4:$I$7999,4,0),""))</f>
        <v>INTERRUPTOR PARALELO (1 MÓDULO), 10A/250V, INCLUINDO SUPORTE E PLACA - FORNECIMENTO E INSTALAÇÃO. AF_12/2015</v>
      </c>
      <c r="F781" s="690"/>
      <c r="G781" s="690"/>
      <c r="H781" s="690"/>
      <c r="I781" s="690"/>
      <c r="J781" s="691"/>
      <c r="K781" s="286">
        <v>7</v>
      </c>
      <c r="L781" s="468" t="str">
        <f>IFERROR(VLOOKUP($C781,'SINAPI JULHO 2021'!$1:$1048576,3,0),IFERROR(VLOOKUP($C781,'5-COMP. PROPRIA'!$B$4:$I$7999,5,0),""))</f>
        <v>UN</v>
      </c>
      <c r="M781" s="106"/>
      <c r="N781" s="53"/>
    </row>
    <row r="782" spans="2:14" ht="48.75" customHeight="1">
      <c r="B782" s="207"/>
      <c r="C782" s="239">
        <v>91953</v>
      </c>
      <c r="D782" s="137" t="s">
        <v>7</v>
      </c>
      <c r="E782" s="689" t="str">
        <f>IFERROR(VLOOKUP($C782,'SINAPI JULHO 2021'!$1:$1048576,2,0),IFERROR(VLOOKUP($C782,'5-COMP. PROPRIA'!$B$4:$I$7999,4,0),""))</f>
        <v>INTERRUPTOR SIMPLES (1 MÓDULO), 10A/250V, INCLUINDO SUPORTE E PLACA - FORNECIMENTO E INSTALAÇÃO. AF_12/2015</v>
      </c>
      <c r="F782" s="690"/>
      <c r="G782" s="690"/>
      <c r="H782" s="690"/>
      <c r="I782" s="690"/>
      <c r="J782" s="691"/>
      <c r="K782" s="286">
        <v>10</v>
      </c>
      <c r="L782" s="468" t="str">
        <f>IFERROR(VLOOKUP($C782,'SINAPI JULHO 2021'!$1:$1048576,3,0),IFERROR(VLOOKUP($C782,'5-COMP. PROPRIA'!$B$4:$I$7999,5,0),""))</f>
        <v>UN</v>
      </c>
      <c r="M782" s="106"/>
      <c r="N782" s="53"/>
    </row>
    <row r="783" spans="2:14" ht="48.75" customHeight="1">
      <c r="B783" s="207"/>
      <c r="C783" s="239">
        <v>91959</v>
      </c>
      <c r="D783" s="137" t="s">
        <v>7</v>
      </c>
      <c r="E783" s="689" t="str">
        <f>IFERROR(VLOOKUP($C783,'SINAPI JULHO 2021'!$1:$1048576,2,0),IFERROR(VLOOKUP($C783,'5-COMP. PROPRIA'!$B$4:$I$7999,4,0),""))</f>
        <v>INTERRUPTOR SIMPLES (2 MÓDULOS), 10A/250V, INCLUINDO SUPORTE E PLACA - FORNECIMENTO E INSTALAÇÃO. AF_12/2015</v>
      </c>
      <c r="F783" s="690"/>
      <c r="G783" s="690"/>
      <c r="H783" s="690"/>
      <c r="I783" s="690"/>
      <c r="J783" s="691"/>
      <c r="K783" s="286">
        <v>4</v>
      </c>
      <c r="L783" s="468" t="str">
        <f>IFERROR(VLOOKUP($C783,'SINAPI JULHO 2021'!$1:$1048576,3,0),IFERROR(VLOOKUP($C783,'5-COMP. PROPRIA'!$B$4:$I$7999,5,0),""))</f>
        <v>UN</v>
      </c>
      <c r="M783" s="106"/>
      <c r="N783" s="53"/>
    </row>
    <row r="784" spans="2:14" ht="48.75" customHeight="1">
      <c r="B784" s="207"/>
      <c r="C784" s="239">
        <v>91967</v>
      </c>
      <c r="D784" s="137" t="s">
        <v>7</v>
      </c>
      <c r="E784" s="689" t="str">
        <f>IFERROR(VLOOKUP($C784,'SINAPI JULHO 2021'!$1:$1048576,2,0),IFERROR(VLOOKUP($C784,'5-COMP. PROPRIA'!$B$4:$I$7999,4,0),""))</f>
        <v>INTERRUPTOR SIMPLES (3 MÓDULOS), 10A/250V, INCLUINDO SUPORTE E PLACA - FORNECIMENTO E INSTALAÇÃO. AF_12/2015</v>
      </c>
      <c r="F784" s="690"/>
      <c r="G784" s="690"/>
      <c r="H784" s="690"/>
      <c r="I784" s="690"/>
      <c r="J784" s="691"/>
      <c r="K784" s="286">
        <v>18</v>
      </c>
      <c r="L784" s="468" t="str">
        <f>IFERROR(VLOOKUP($C784,'SINAPI JULHO 2021'!$1:$1048576,3,0),IFERROR(VLOOKUP($C784,'5-COMP. PROPRIA'!$B$4:$I$7999,5,0),""))</f>
        <v>UN</v>
      </c>
      <c r="M784" s="106"/>
      <c r="N784" s="53"/>
    </row>
    <row r="785" spans="2:14" ht="48.75" customHeight="1">
      <c r="B785" s="207"/>
      <c r="C785" s="239">
        <v>92023</v>
      </c>
      <c r="D785" s="137" t="s">
        <v>7</v>
      </c>
      <c r="E785" s="689" t="str">
        <f>IFERROR(VLOOKUP($C785,'SINAPI JULHO 2021'!$1:$1048576,2,0),IFERROR(VLOOKUP($C785,'5-COMP. PROPRIA'!$B$4:$I$7999,4,0),""))</f>
        <v>INTERRUPTOR SIMPLES (1 MÓDULO) COM 1 TOMADA DE EMBUTIR 2P+T 10 A,  INCLUINDO SUPORTE E PLACA - FORNECIMENTO E INSTALAÇÃO. AF_12/2015</v>
      </c>
      <c r="F785" s="690"/>
      <c r="G785" s="690"/>
      <c r="H785" s="690"/>
      <c r="I785" s="690"/>
      <c r="J785" s="691"/>
      <c r="K785" s="286">
        <v>2</v>
      </c>
      <c r="L785" s="468" t="str">
        <f>IFERROR(VLOOKUP($C785,'SINAPI JULHO 2021'!$1:$1048576,3,0),IFERROR(VLOOKUP($C785,'5-COMP. PROPRIA'!$B$4:$I$7999,5,0),""))</f>
        <v>UN</v>
      </c>
      <c r="M785" s="106"/>
      <c r="N785" s="53"/>
    </row>
    <row r="786" spans="2:14" ht="48.75" customHeight="1">
      <c r="B786" s="207"/>
      <c r="C786" s="239">
        <v>92027</v>
      </c>
      <c r="D786" s="137" t="s">
        <v>7</v>
      </c>
      <c r="E786" s="689" t="str">
        <f>IFERROR(VLOOKUP($C786,'SINAPI JULHO 2021'!$1:$1048576,2,0),IFERROR(VLOOKUP($C786,'5-COMP. PROPRIA'!$B$4:$I$7999,4,0),""))</f>
        <v>INTERRUPTOR SIMPLES (2 MÓDULOS) COM 1 TOMADA DE EMBUTIR 2P+T 10 A,  INCLUINDO SUPORTE E PLACA - FORNECIMENTO E INSTALAÇÃO. AF_12/2015</v>
      </c>
      <c r="F786" s="690"/>
      <c r="G786" s="690"/>
      <c r="H786" s="690"/>
      <c r="I786" s="690"/>
      <c r="J786" s="691"/>
      <c r="K786" s="286">
        <v>21</v>
      </c>
      <c r="L786" s="468" t="str">
        <f>IFERROR(VLOOKUP($C786,'SINAPI JULHO 2021'!$1:$1048576,3,0),IFERROR(VLOOKUP($C786,'5-COMP. PROPRIA'!$B$4:$I$7999,5,0),""))</f>
        <v>UN</v>
      </c>
      <c r="M786" s="106"/>
      <c r="N786" s="53"/>
    </row>
    <row r="787" spans="2:14" ht="48.75" customHeight="1">
      <c r="B787" s="207"/>
      <c r="C787" s="239">
        <v>91992</v>
      </c>
      <c r="D787" s="137" t="s">
        <v>7</v>
      </c>
      <c r="E787" s="689" t="str">
        <f>IFERROR(VLOOKUP($C787,'SINAPI JULHO 2021'!$1:$1048576,2,0),IFERROR(VLOOKUP($C787,'5-COMP. PROPRIA'!$B$4:$I$7999,4,0),""))</f>
        <v>TOMADA ALTA DE EMBUTIR (1 MÓDULO), 2P+T 10 A, INCLUINDO SUPORTE E PLACA - FORNECIMENTO E INSTALAÇÃO. AF_12/2015</v>
      </c>
      <c r="F787" s="690"/>
      <c r="G787" s="690"/>
      <c r="H787" s="690"/>
      <c r="I787" s="690"/>
      <c r="J787" s="691"/>
      <c r="K787" s="286">
        <v>35</v>
      </c>
      <c r="L787" s="468" t="str">
        <f>IFERROR(VLOOKUP($C787,'SINAPI JULHO 2021'!$1:$1048576,3,0),IFERROR(VLOOKUP($C787,'5-COMP. PROPRIA'!$B$4:$I$7999,5,0),""))</f>
        <v>UN</v>
      </c>
      <c r="M787" s="106"/>
      <c r="N787" s="53"/>
    </row>
    <row r="788" spans="2:14" ht="48.75" customHeight="1">
      <c r="B788" s="207"/>
      <c r="C788" s="239">
        <v>91996</v>
      </c>
      <c r="D788" s="137" t="s">
        <v>7</v>
      </c>
      <c r="E788" s="689" t="str">
        <f>IFERROR(VLOOKUP($C788,'SINAPI JULHO 2021'!$1:$1048576,2,0),IFERROR(VLOOKUP($C788,'5-COMP. PROPRIA'!$B$4:$I$7999,4,0),""))</f>
        <v>TOMADA MÉDIA DE EMBUTIR (1 MÓDULO), 2P+T 10 A, INCLUINDO SUPORTE E PLACA - FORNECIMENTO E INSTALAÇÃO. AF_12/2015</v>
      </c>
      <c r="F788" s="690"/>
      <c r="G788" s="690"/>
      <c r="H788" s="690"/>
      <c r="I788" s="690"/>
      <c r="J788" s="691"/>
      <c r="K788" s="286">
        <v>10</v>
      </c>
      <c r="L788" s="468" t="str">
        <f>IFERROR(VLOOKUP($C788,'SINAPI JULHO 2021'!$1:$1048576,3,0),IFERROR(VLOOKUP($C788,'5-COMP. PROPRIA'!$B$4:$I$7999,5,0),""))</f>
        <v>UN</v>
      </c>
      <c r="M788" s="106"/>
      <c r="N788" s="53"/>
    </row>
    <row r="789" spans="2:14" ht="48.75" customHeight="1">
      <c r="B789" s="207"/>
      <c r="C789" s="239">
        <v>92000</v>
      </c>
      <c r="D789" s="137" t="s">
        <v>7</v>
      </c>
      <c r="E789" s="689" t="str">
        <f>IFERROR(VLOOKUP($C789,'SINAPI JULHO 2021'!$1:$1048576,2,0),IFERROR(VLOOKUP($C789,'5-COMP. PROPRIA'!$B$4:$I$7999,4,0),""))</f>
        <v>TOMADA BAIXA DE EMBUTIR (1 MÓDULO), 2P+T 10 A, INCLUINDO SUPORTE E PLACA - FORNECIMENTO E INSTALAÇÃO. AF_12/2015</v>
      </c>
      <c r="F789" s="690"/>
      <c r="G789" s="690"/>
      <c r="H789" s="690"/>
      <c r="I789" s="690"/>
      <c r="J789" s="691"/>
      <c r="K789" s="286">
        <v>1</v>
      </c>
      <c r="L789" s="468" t="str">
        <f>IFERROR(VLOOKUP($C789,'SINAPI JULHO 2021'!$1:$1048576,3,0),IFERROR(VLOOKUP($C789,'5-COMP. PROPRIA'!$B$4:$I$7999,5,0),""))</f>
        <v>UN</v>
      </c>
      <c r="M789" s="106"/>
      <c r="N789" s="53"/>
    </row>
    <row r="790" spans="2:14" ht="48.75" customHeight="1">
      <c r="B790" s="207"/>
      <c r="C790" s="239">
        <v>92008</v>
      </c>
      <c r="D790" s="137" t="s">
        <v>7</v>
      </c>
      <c r="E790" s="689" t="str">
        <f>IFERROR(VLOOKUP($C790,'SINAPI JULHO 2021'!$1:$1048576,2,0),IFERROR(VLOOKUP($C790,'5-COMP. PROPRIA'!$B$4:$I$7999,4,0),""))</f>
        <v>TOMADA BAIXA DE EMBUTIR (2 MÓDULOS), 2P+T 10 A, INCLUINDO SUPORTE E PLACA - FORNECIMENTO E INSTALAÇÃO. AF_12/2015</v>
      </c>
      <c r="F790" s="690"/>
      <c r="G790" s="690"/>
      <c r="H790" s="690"/>
      <c r="I790" s="690"/>
      <c r="J790" s="691"/>
      <c r="K790" s="286">
        <v>59</v>
      </c>
      <c r="L790" s="468" t="str">
        <f>IFERROR(VLOOKUP($C790,'SINAPI JULHO 2021'!$1:$1048576,3,0),IFERROR(VLOOKUP($C790,'5-COMP. PROPRIA'!$B$4:$I$7999,5,0),""))</f>
        <v>UN</v>
      </c>
      <c r="M790" s="106"/>
      <c r="N790" s="53"/>
    </row>
    <row r="791" spans="2:14" ht="15">
      <c r="B791" s="207"/>
      <c r="C791" s="239" t="str">
        <f>'5-COMP. PROPRIA'!B690</f>
        <v>CP-ELE-07</v>
      </c>
      <c r="D791" s="137" t="s">
        <v>4271</v>
      </c>
      <c r="E791" s="689" t="str">
        <f>IFERROR(VLOOKUP($C791,'SINAPI JULHO 2021'!$1:$1048576,2,0),IFERROR(VLOOKUP($C791,'5-COMP. PROPRIA'!$B$4:$I$7999,4,0),""))</f>
        <v>PLACA CEGA COM FURO CENTRAL 9,5MM - FORNECIMENTO E INSTALAÇÃO</v>
      </c>
      <c r="F791" s="690"/>
      <c r="G791" s="690"/>
      <c r="H791" s="690"/>
      <c r="I791" s="690"/>
      <c r="J791" s="691"/>
      <c r="K791" s="286">
        <v>30</v>
      </c>
      <c r="L791" s="468" t="str">
        <f>IFERROR(VLOOKUP($C791,'SINAPI JULHO 2021'!$1:$1048576,3,0),IFERROR(VLOOKUP($C791,'5-COMP. PROPRIA'!$B$4:$I$7999,5,0),""))</f>
        <v>UNI</v>
      </c>
      <c r="M791" s="106"/>
      <c r="N791" s="53"/>
    </row>
    <row r="792" spans="2:14" ht="15.75" thickBot="1">
      <c r="B792" s="207"/>
      <c r="C792" s="239" t="str">
        <f>'5-COMP. PROPRIA'!B711</f>
        <v>CP-ELE-11</v>
      </c>
      <c r="D792" s="137" t="s">
        <v>4271</v>
      </c>
      <c r="E792" s="689" t="str">
        <f>IFERROR(VLOOKUP($C792,'SINAPI JULHO 2021'!$1:$1048576,2,0),IFERROR(VLOOKUP($C792,'5-COMP. PROPRIA'!$B$4:$I$7999,4,0),""))</f>
        <v>VENTILADOR DE TETO - FORNECIMENTO E INSTALAÇÃO</v>
      </c>
      <c r="F792" s="690"/>
      <c r="G792" s="690"/>
      <c r="H792" s="690"/>
      <c r="I792" s="690"/>
      <c r="J792" s="691"/>
      <c r="K792" s="286">
        <f>K786+K787</f>
        <v>56</v>
      </c>
      <c r="L792" s="468" t="str">
        <f>IFERROR(VLOOKUP($C792,'SINAPI JULHO 2021'!$1:$1048576,3,0),IFERROR(VLOOKUP($C792,'5-COMP. PROPRIA'!$B$4:$I$7999,5,0),""))</f>
        <v>UNI</v>
      </c>
      <c r="M792" s="106"/>
      <c r="N792" s="53"/>
    </row>
    <row r="793" spans="2:14" ht="15.75" thickBot="1">
      <c r="B793" s="207"/>
      <c r="C793" s="239"/>
      <c r="D793" s="17"/>
      <c r="E793" s="695" t="s">
        <v>7580</v>
      </c>
      <c r="F793" s="696"/>
      <c r="G793" s="696"/>
      <c r="H793" s="696"/>
      <c r="I793" s="696"/>
      <c r="J793" s="697"/>
      <c r="K793" s="154"/>
      <c r="L793" s="33"/>
      <c r="M793" s="106"/>
      <c r="N793" s="53"/>
    </row>
    <row r="794" spans="2:14" ht="42.75" customHeight="1">
      <c r="B794" s="207"/>
      <c r="C794" s="239">
        <v>93654</v>
      </c>
      <c r="D794" s="17" t="s">
        <v>7</v>
      </c>
      <c r="E794" s="689" t="str">
        <f>IFERROR(VLOOKUP($C794,'SINAPI JULHO 2021'!$1:$1048576,2,0),IFERROR(VLOOKUP($C794,'5-COMP. PROPRIA'!$B$4:$I$7999,4,0),""))</f>
        <v>DISJUNTOR MONOPOLAR TIPO DIN, CORRENTE NOMINAL DE 16A - FORNECIMENTO E INSTALAÇÃO. AF_10/2020</v>
      </c>
      <c r="F794" s="690"/>
      <c r="G794" s="690"/>
      <c r="H794" s="690"/>
      <c r="I794" s="690"/>
      <c r="J794" s="691"/>
      <c r="K794" s="404">
        <v>62</v>
      </c>
      <c r="L794" s="468" t="str">
        <f>IFERROR(VLOOKUP($C794,'SINAPI JULHO 2021'!$1:$1048576,3,0),IFERROR(VLOOKUP($C794,'5-COMP. PROPRIA'!$B$4:$I$7999,5,0),""))</f>
        <v>UN</v>
      </c>
      <c r="M794" s="106"/>
      <c r="N794" s="53"/>
    </row>
    <row r="795" spans="2:14" ht="42.75" customHeight="1">
      <c r="B795" s="207"/>
      <c r="C795" s="239">
        <v>93655</v>
      </c>
      <c r="D795" s="137" t="s">
        <v>7</v>
      </c>
      <c r="E795" s="689" t="str">
        <f>IFERROR(VLOOKUP($C795,'SINAPI JULHO 2021'!$1:$1048576,2,0),IFERROR(VLOOKUP($C795,'5-COMP. PROPRIA'!$B$4:$I$7999,4,0),""))</f>
        <v>DISJUNTOR MONOPOLAR TIPO DIN, CORRENTE NOMINAL DE 20A - FORNECIMENTO E INSTALAÇÃO. AF_10/2020</v>
      </c>
      <c r="F795" s="690"/>
      <c r="G795" s="690"/>
      <c r="H795" s="690"/>
      <c r="I795" s="690"/>
      <c r="J795" s="691"/>
      <c r="K795" s="404">
        <v>1</v>
      </c>
      <c r="L795" s="468" t="str">
        <f>IFERROR(VLOOKUP($C795,'SINAPI JULHO 2021'!$1:$1048576,3,0),IFERROR(VLOOKUP($C795,'5-COMP. PROPRIA'!$B$4:$I$7999,5,0),""))</f>
        <v>UN</v>
      </c>
      <c r="M795" s="106"/>
      <c r="N795" s="53"/>
    </row>
    <row r="796" spans="2:14" ht="42.75" customHeight="1">
      <c r="B796" s="207"/>
      <c r="C796" s="239">
        <v>93661</v>
      </c>
      <c r="D796" s="17" t="s">
        <v>7</v>
      </c>
      <c r="E796" s="689" t="str">
        <f>IFERROR(VLOOKUP($C796,'SINAPI JULHO 2021'!$1:$1048576,2,0),IFERROR(VLOOKUP($C796,'5-COMP. PROPRIA'!$B$4:$I$7999,4,0),""))</f>
        <v>DISJUNTOR BIPOLAR TIPO DIN, CORRENTE NOMINAL DE 16A - FORNECIMENTO E INSTALAÇÃO. AF_10/2020</v>
      </c>
      <c r="F796" s="690"/>
      <c r="G796" s="690"/>
      <c r="H796" s="690"/>
      <c r="I796" s="690"/>
      <c r="J796" s="691"/>
      <c r="K796" s="404">
        <v>1</v>
      </c>
      <c r="L796" s="468" t="str">
        <f>IFERROR(VLOOKUP($C796,'SINAPI JULHO 2021'!$1:$1048576,3,0),IFERROR(VLOOKUP($C796,'5-COMP. PROPRIA'!$B$4:$I$7999,5,0),""))</f>
        <v>UN</v>
      </c>
      <c r="M796" s="106"/>
      <c r="N796" s="53"/>
    </row>
    <row r="797" spans="2:14" ht="42.75" customHeight="1">
      <c r="B797" s="207"/>
      <c r="C797" s="239">
        <v>93663</v>
      </c>
      <c r="D797" s="17" t="s">
        <v>7</v>
      </c>
      <c r="E797" s="689" t="str">
        <f>IFERROR(VLOOKUP($C797,'SINAPI JULHO 2021'!$1:$1048576,2,0),IFERROR(VLOOKUP($C797,'5-COMP. PROPRIA'!$B$4:$I$7999,4,0),""))</f>
        <v>DISJUNTOR BIPOLAR TIPO DIN, CORRENTE NOMINAL DE 25A - FORNECIMENTO E INSTALAÇÃO. AF_10/2020</v>
      </c>
      <c r="F797" s="690"/>
      <c r="G797" s="690"/>
      <c r="H797" s="690"/>
      <c r="I797" s="690"/>
      <c r="J797" s="691"/>
      <c r="K797" s="404">
        <v>43</v>
      </c>
      <c r="L797" s="468" t="str">
        <f>IFERROR(VLOOKUP($C797,'SINAPI JULHO 2021'!$1:$1048576,3,0),IFERROR(VLOOKUP($C797,'5-COMP. PROPRIA'!$B$4:$I$7999,5,0),""))</f>
        <v>UN</v>
      </c>
      <c r="M797" s="106"/>
      <c r="N797" s="53"/>
    </row>
    <row r="798" spans="2:14" ht="42.75" customHeight="1">
      <c r="B798" s="207"/>
      <c r="C798" s="239">
        <v>93664</v>
      </c>
      <c r="D798" s="17" t="s">
        <v>7</v>
      </c>
      <c r="E798" s="689" t="str">
        <f>IFERROR(VLOOKUP($C798,'SINAPI JULHO 2021'!$1:$1048576,2,0),IFERROR(VLOOKUP($C798,'5-COMP. PROPRIA'!$B$4:$I$7999,4,0),""))</f>
        <v>DISJUNTOR BIPOLAR TIPO DIN, CORRENTE NOMINAL DE 32A - FORNECIMENTO E INSTALAÇÃO. AF_10/2020</v>
      </c>
      <c r="F798" s="690"/>
      <c r="G798" s="690"/>
      <c r="H798" s="690"/>
      <c r="I798" s="690"/>
      <c r="J798" s="691"/>
      <c r="K798" s="404">
        <v>5</v>
      </c>
      <c r="L798" s="468" t="str">
        <f>IFERROR(VLOOKUP($C798,'SINAPI JULHO 2021'!$1:$1048576,3,0),IFERROR(VLOOKUP($C798,'5-COMP. PROPRIA'!$B$4:$I$7999,5,0),""))</f>
        <v>UN</v>
      </c>
      <c r="M798" s="106"/>
      <c r="N798" s="53"/>
    </row>
    <row r="799" spans="2:14" ht="42.75" customHeight="1">
      <c r="B799" s="207"/>
      <c r="C799" s="239">
        <v>93670</v>
      </c>
      <c r="D799" s="137" t="s">
        <v>7</v>
      </c>
      <c r="E799" s="689" t="str">
        <f>IFERROR(VLOOKUP($C799,'SINAPI JULHO 2021'!$1:$1048576,2,0),IFERROR(VLOOKUP($C799,'5-COMP. PROPRIA'!$B$4:$I$7999,4,0),""))</f>
        <v>DISJUNTOR TRIPOLAR TIPO DIN, CORRENTE NOMINAL DE 25A - FORNECIMENTO E INSTALAÇÃO. AF_10/2020</v>
      </c>
      <c r="F799" s="690"/>
      <c r="G799" s="690"/>
      <c r="H799" s="690"/>
      <c r="I799" s="690"/>
      <c r="J799" s="691"/>
      <c r="K799" s="404">
        <v>1</v>
      </c>
      <c r="L799" s="468" t="str">
        <f>IFERROR(VLOOKUP($C799,'SINAPI JULHO 2021'!$1:$1048576,3,0),IFERROR(VLOOKUP($C799,'5-COMP. PROPRIA'!$B$4:$I$7999,5,0),""))</f>
        <v>UN</v>
      </c>
      <c r="M799" s="106"/>
      <c r="N799" s="53"/>
    </row>
    <row r="800" spans="2:14" ht="42.75" customHeight="1">
      <c r="B800" s="207"/>
      <c r="C800" s="239">
        <v>93671</v>
      </c>
      <c r="D800" s="17" t="s">
        <v>7</v>
      </c>
      <c r="E800" s="689" t="str">
        <f>IFERROR(VLOOKUP($C800,'SINAPI JULHO 2021'!$1:$1048576,2,0),IFERROR(VLOOKUP($C800,'5-COMP. PROPRIA'!$B$4:$I$7999,4,0),""))</f>
        <v>DISJUNTOR TRIPOLAR TIPO DIN, CORRENTE NOMINAL DE 32A - FORNECIMENTO E INSTALAÇÃO. AF_10/2020</v>
      </c>
      <c r="F800" s="690"/>
      <c r="G800" s="690"/>
      <c r="H800" s="690"/>
      <c r="I800" s="690"/>
      <c r="J800" s="691"/>
      <c r="K800" s="404">
        <v>1</v>
      </c>
      <c r="L800" s="468" t="str">
        <f>IFERROR(VLOOKUP($C800,'SINAPI JULHO 2021'!$1:$1048576,3,0),IFERROR(VLOOKUP($C800,'5-COMP. PROPRIA'!$B$4:$I$7999,5,0),""))</f>
        <v>UN</v>
      </c>
      <c r="M800" s="106"/>
      <c r="N800" s="53"/>
    </row>
    <row r="801" spans="2:14" ht="42.75" customHeight="1">
      <c r="B801" s="207"/>
      <c r="C801" s="239">
        <v>93672</v>
      </c>
      <c r="D801" s="17" t="s">
        <v>7</v>
      </c>
      <c r="E801" s="689" t="str">
        <f>IFERROR(VLOOKUP($C801,'SINAPI JULHO 2021'!$1:$1048576,2,0),IFERROR(VLOOKUP($C801,'5-COMP. PROPRIA'!$B$4:$I$7999,4,0),""))</f>
        <v>DISJUNTOR TRIPOLAR TIPO DIN, CORRENTE NOMINAL DE 40A - FORNECIMENTO E INSTALAÇÃO. AF_10/2020</v>
      </c>
      <c r="F801" s="690"/>
      <c r="G801" s="690"/>
      <c r="H801" s="690"/>
      <c r="I801" s="690"/>
      <c r="J801" s="691"/>
      <c r="K801" s="404">
        <v>3</v>
      </c>
      <c r="L801" s="468" t="str">
        <f>IFERROR(VLOOKUP($C801,'SINAPI JULHO 2021'!$1:$1048576,3,0),IFERROR(VLOOKUP($C801,'5-COMP. PROPRIA'!$B$4:$I$7999,5,0),""))</f>
        <v>UN</v>
      </c>
      <c r="M801" s="106"/>
      <c r="N801" s="53"/>
    </row>
    <row r="802" spans="2:14" ht="42.75" customHeight="1">
      <c r="B802" s="207"/>
      <c r="C802" s="239" t="str">
        <f>'5-COMP. PROPRIA'!B643</f>
        <v>CP-PTR-60</v>
      </c>
      <c r="D802" s="137" t="s">
        <v>4271</v>
      </c>
      <c r="E802" s="689" t="str">
        <f>IFERROR(VLOOKUP($C802,'SINAPI JULHO 2021'!$1:$1048576,2,0),IFERROR(VLOOKUP($C802,'5-COMP. PROPRIA'!$B$4:$I$7999,4,0),""))</f>
        <v>DISJUNTOR TERMOMAGNÉTICO DIN TRIPOLAR 63A - FORNECIMENTO E INSTALAÇÃO</v>
      </c>
      <c r="F802" s="690"/>
      <c r="G802" s="690"/>
      <c r="H802" s="690"/>
      <c r="I802" s="690"/>
      <c r="J802" s="691"/>
      <c r="K802" s="404">
        <v>2</v>
      </c>
      <c r="L802" s="468" t="str">
        <f>IFERROR(VLOOKUP($C802,'SINAPI JULHO 2021'!$1:$1048576,3,0),IFERROR(VLOOKUP($C802,'5-COMP. PROPRIA'!$B$4:$I$7999,5,0),""))</f>
        <v>UNI</v>
      </c>
      <c r="M802" s="106"/>
      <c r="N802" s="53"/>
    </row>
    <row r="803" spans="2:14" ht="42.75" customHeight="1">
      <c r="B803" s="207"/>
      <c r="C803" s="239" t="str">
        <f>'5-COMP. PROPRIA'!B637</f>
        <v>CP-PTR-59</v>
      </c>
      <c r="D803" s="137" t="s">
        <v>4271</v>
      </c>
      <c r="E803" s="689" t="str">
        <f>IFERROR(VLOOKUP($C803,'SINAPI JULHO 2021'!$1:$1048576,2,0),IFERROR(VLOOKUP($C803,'5-COMP. PROPRIA'!$B$4:$I$7999,4,0),""))</f>
        <v>DISJUNTOR TERMOMAGNÉTICO DIN TRIPOLAR 100A - FORNECIMENTO E INSTALAÇÃO</v>
      </c>
      <c r="F803" s="690"/>
      <c r="G803" s="690"/>
      <c r="H803" s="690"/>
      <c r="I803" s="690"/>
      <c r="J803" s="691"/>
      <c r="K803" s="404">
        <v>2</v>
      </c>
      <c r="L803" s="468" t="str">
        <f>IFERROR(VLOOKUP($C803,'SINAPI JULHO 2021'!$1:$1048576,3,0),IFERROR(VLOOKUP($C803,'5-COMP. PROPRIA'!$B$4:$I$7999,5,0),""))</f>
        <v>UNI</v>
      </c>
      <c r="M803" s="106"/>
      <c r="N803" s="53"/>
    </row>
    <row r="804" spans="2:14" ht="42.75" customHeight="1">
      <c r="B804" s="207"/>
      <c r="C804" s="239" t="str">
        <f>'5-COMP. PROPRIA'!B631</f>
        <v>CP-PTR-58</v>
      </c>
      <c r="D804" s="137" t="s">
        <v>4271</v>
      </c>
      <c r="E804" s="689" t="str">
        <f>IFERROR(VLOOKUP($C804,'SINAPI JULHO 2021'!$1:$1048576,2,0),IFERROR(VLOOKUP($C804,'5-COMP. PROPRIA'!$B$4:$I$7999,4,0),""))</f>
        <v>DISJUNTOR TERMOMAGNETICO CAIXA MOLDADA TRIPOLAR 150A - FORNECIMENTO E INSTALAÇÃO</v>
      </c>
      <c r="F804" s="690"/>
      <c r="G804" s="690"/>
      <c r="H804" s="690"/>
      <c r="I804" s="690"/>
      <c r="J804" s="691"/>
      <c r="K804" s="404">
        <v>2</v>
      </c>
      <c r="L804" s="468" t="str">
        <f>IFERROR(VLOOKUP($C804,'SINAPI JULHO 2021'!$1:$1048576,3,0),IFERROR(VLOOKUP($C804,'5-COMP. PROPRIA'!$B$4:$I$7999,5,0),""))</f>
        <v>UNI</v>
      </c>
      <c r="M804" s="106"/>
      <c r="N804" s="53"/>
    </row>
    <row r="805" spans="2:14" ht="42.75" customHeight="1">
      <c r="B805" s="207"/>
      <c r="C805" s="239" t="str">
        <f>'5-COMP. PROPRIA'!B670</f>
        <v>CP-ELE-03</v>
      </c>
      <c r="D805" s="137" t="s">
        <v>4271</v>
      </c>
      <c r="E805" s="689" t="str">
        <f>IFERROR(VLOOKUP($C805,'SINAPI JULHO 2021'!$1:$1048576,2,0),IFERROR(VLOOKUP($C805,'5-COMP. PROPRIA'!$B$4:$I$7999,4,0),""))</f>
        <v>DISPOSITIVO DPS CLASSE II, 1 POLO, TENSAO MAXIMA DE 175 V, CORRENTE MAXIMA DE *45* KA (TIPO AC) - FORNECIMENTO E INSTALAÇÃO</v>
      </c>
      <c r="F805" s="690"/>
      <c r="G805" s="690"/>
      <c r="H805" s="690"/>
      <c r="I805" s="690"/>
      <c r="J805" s="691"/>
      <c r="K805" s="404">
        <v>32</v>
      </c>
      <c r="L805" s="468" t="str">
        <f>IFERROR(VLOOKUP($C805,'SINAPI JULHO 2021'!$1:$1048576,3,0),IFERROR(VLOOKUP($C805,'5-COMP. PROPRIA'!$B$4:$I$7999,5,0),""))</f>
        <v>UNI</v>
      </c>
      <c r="M805" s="106"/>
      <c r="N805" s="53"/>
    </row>
    <row r="806" spans="2:14" ht="42.75" customHeight="1">
      <c r="B806" s="207"/>
      <c r="C806" s="239" t="str">
        <f>'5-COMP. PROPRIA'!B675</f>
        <v>CP-ELE-04</v>
      </c>
      <c r="D806" s="137" t="s">
        <v>4271</v>
      </c>
      <c r="E806" s="689" t="str">
        <f>IFERROR(VLOOKUP($C806,'SINAPI JULHO 2021'!$1:$1048576,2,0),IFERROR(VLOOKUP($C806,'5-COMP. PROPRIA'!$B$4:$I$7999,4,0),""))</f>
        <v>DISPOSITIVO DR, 4 POLOS, SENSIBILIDADE DE 30 MA, CORRENTE DE 100 A, TIPO AC - FORNECIMENTO E INSTALAÇÃO</v>
      </c>
      <c r="F806" s="690"/>
      <c r="G806" s="690"/>
      <c r="H806" s="690"/>
      <c r="I806" s="690"/>
      <c r="J806" s="691"/>
      <c r="K806" s="404">
        <v>2</v>
      </c>
      <c r="L806" s="468" t="str">
        <f>IFERROR(VLOOKUP($C806,'SINAPI JULHO 2021'!$1:$1048576,3,0),IFERROR(VLOOKUP($C806,'5-COMP. PROPRIA'!$B$4:$I$7999,5,0),""))</f>
        <v>UNI</v>
      </c>
      <c r="M806" s="106"/>
      <c r="N806" s="53"/>
    </row>
    <row r="807" spans="2:14" ht="31.5" customHeight="1">
      <c r="B807" s="207"/>
      <c r="C807" s="239" t="str">
        <f>'5-COMP. PROPRIA'!B680</f>
        <v>CP-ELE-05</v>
      </c>
      <c r="D807" s="137" t="s">
        <v>4271</v>
      </c>
      <c r="E807" s="689" t="str">
        <f>IFERROR(VLOOKUP($C807,'SINAPI JULHO 2021'!$1:$1048576,2,0),IFERROR(VLOOKUP($C807,'5-COMP. PROPRIA'!$B$4:$I$7999,4,0),""))</f>
        <v>DISPOSITIVO DR, 4 POLOS, SENSIBILIDADE DE 30 MA, CORRENTE DE 63 A, TIPO AC - FORNECIMENTO E INSTALAÇÃO</v>
      </c>
      <c r="F807" s="690"/>
      <c r="G807" s="690"/>
      <c r="H807" s="690"/>
      <c r="I807" s="690"/>
      <c r="J807" s="691"/>
      <c r="K807" s="404">
        <v>2</v>
      </c>
      <c r="L807" s="468" t="str">
        <f>IFERROR(VLOOKUP($C807,'SINAPI JULHO 2021'!$1:$1048576,3,0),IFERROR(VLOOKUP($C807,'5-COMP. PROPRIA'!$B$4:$I$7999,5,0),""))</f>
        <v>UNI</v>
      </c>
      <c r="M807" s="106"/>
      <c r="N807" s="53"/>
    </row>
    <row r="808" spans="2:14" ht="28.5" customHeight="1" thickBot="1">
      <c r="B808" s="207"/>
      <c r="C808" s="239" t="str">
        <f>'5-COMP. PROPRIA'!B685</f>
        <v>CP-ELE-06</v>
      </c>
      <c r="D808" s="137" t="s">
        <v>4271</v>
      </c>
      <c r="E808" s="689" t="str">
        <f>IFERROR(VLOOKUP($C808,'SINAPI JULHO 2021'!$1:$1048576,2,0),IFERROR(VLOOKUP($C808,'5-COMP. PROPRIA'!$B$4:$I$7999,4,0),""))</f>
        <v>DISPOSITIVO DR, 4 POLOS, SENSIBILIDADE DE 30 MA, CORRENTE DE 40 A, TIPO AC - FORNECIMENTO E INSTALAÇÃO</v>
      </c>
      <c r="F808" s="690"/>
      <c r="G808" s="690"/>
      <c r="H808" s="690"/>
      <c r="I808" s="690"/>
      <c r="J808" s="691"/>
      <c r="K808" s="404">
        <v>1</v>
      </c>
      <c r="L808" s="468" t="str">
        <f>IFERROR(VLOOKUP($C808,'SINAPI JULHO 2021'!$1:$1048576,3,0),IFERROR(VLOOKUP($C808,'5-COMP. PROPRIA'!$B$4:$I$7999,5,0),""))</f>
        <v>UNI</v>
      </c>
      <c r="M808" s="106"/>
      <c r="N808" s="53"/>
    </row>
    <row r="809" spans="2:14" ht="15.75" thickBot="1">
      <c r="B809" s="207"/>
      <c r="C809" s="239"/>
      <c r="D809" s="17"/>
      <c r="E809" s="695" t="s">
        <v>7581</v>
      </c>
      <c r="F809" s="696"/>
      <c r="G809" s="696"/>
      <c r="H809" s="696"/>
      <c r="I809" s="696"/>
      <c r="J809" s="697"/>
      <c r="K809" s="154"/>
      <c r="L809" s="33"/>
      <c r="M809" s="106"/>
      <c r="N809" s="53"/>
    </row>
    <row r="810" spans="2:14" ht="44.25" customHeight="1">
      <c r="B810" s="207"/>
      <c r="C810" s="239">
        <v>91868</v>
      </c>
      <c r="D810" s="137" t="s">
        <v>7</v>
      </c>
      <c r="E810" s="689" t="str">
        <f>IFERROR(VLOOKUP($C810,'SINAPI JULHO 2021'!$1:$1048576,2,0),IFERROR(VLOOKUP($C810,'5-COMP. PROPRIA'!$B$4:$I$7999,4,0),""))</f>
        <v>ELETRODUTO RÍGIDO ROSCÁVEL, PVC, DN 32 MM (1"), PARA CIRCUITOS TERMINAIS, INSTALADO EM LAJE - FORNECIMENTO E INSTALAÇÃO. AF_12/2015</v>
      </c>
      <c r="F810" s="690"/>
      <c r="G810" s="690"/>
      <c r="H810" s="690"/>
      <c r="I810" s="690"/>
      <c r="J810" s="691"/>
      <c r="K810" s="404">
        <v>284.8</v>
      </c>
      <c r="L810" s="468" t="str">
        <f>IFERROR(VLOOKUP($C810,'SINAPI JULHO 2021'!$1:$1048576,3,0),IFERROR(VLOOKUP($C810,'5-COMP. PROPRIA'!$B$4:$I$7999,5,0),""))</f>
        <v>M</v>
      </c>
      <c r="M810" s="106"/>
      <c r="N810" s="53"/>
    </row>
    <row r="811" spans="2:14" ht="44.25" customHeight="1">
      <c r="B811" s="207"/>
      <c r="C811" s="239">
        <v>91845</v>
      </c>
      <c r="D811" s="137" t="s">
        <v>7</v>
      </c>
      <c r="E811" s="689" t="str">
        <f>IFERROR(VLOOKUP($C811,'SINAPI JULHO 2021'!$1:$1048576,2,0),IFERROR(VLOOKUP($C811,'5-COMP. PROPRIA'!$B$4:$I$7999,4,0),""))</f>
        <v>ELETRODUTO FLEXÍVEL CORRUGADO REFORÇADO, PVC, DN 25 MM (3/4"), PARA CIRCUITOS TERMINAIS, INSTALADO EM LAJE - FORNECIMENTO E INSTALAÇÃO. AF_12/2015</v>
      </c>
      <c r="F811" s="690"/>
      <c r="G811" s="690"/>
      <c r="H811" s="690"/>
      <c r="I811" s="690"/>
      <c r="J811" s="691"/>
      <c r="K811" s="404">
        <v>1620</v>
      </c>
      <c r="L811" s="468" t="str">
        <f>IFERROR(VLOOKUP($C811,'SINAPI JULHO 2021'!$1:$1048576,3,0),IFERROR(VLOOKUP($C811,'5-COMP. PROPRIA'!$B$4:$I$7999,5,0),""))</f>
        <v>M</v>
      </c>
      <c r="M811" s="106"/>
      <c r="N811" s="53"/>
    </row>
    <row r="812" spans="2:14" ht="44.25" customHeight="1">
      <c r="B812" s="207"/>
      <c r="C812" s="239">
        <v>91847</v>
      </c>
      <c r="D812" s="137" t="s">
        <v>7</v>
      </c>
      <c r="E812" s="689" t="str">
        <f>IFERROR(VLOOKUP($C812,'SINAPI JULHO 2021'!$1:$1048576,2,0),IFERROR(VLOOKUP($C812,'5-COMP. PROPRIA'!$B$4:$I$7999,4,0),""))</f>
        <v>ELETRODUTO FLEXÍVEL CORRUGADO REFORÇADO, PVC, DN 32 MM (1"), PARA CIRCUITOS TERMINAIS, INSTALADO EM LAJE - FORNECIMENTO E INSTALAÇÃO. AF_12/2015</v>
      </c>
      <c r="F812" s="690"/>
      <c r="G812" s="690"/>
      <c r="H812" s="690"/>
      <c r="I812" s="690"/>
      <c r="J812" s="691"/>
      <c r="K812" s="404">
        <v>188</v>
      </c>
      <c r="L812" s="468" t="str">
        <f>IFERROR(VLOOKUP($C812,'SINAPI JULHO 2021'!$1:$1048576,3,0),IFERROR(VLOOKUP($C812,'5-COMP. PROPRIA'!$B$4:$I$7999,5,0),""))</f>
        <v>M</v>
      </c>
      <c r="M812" s="106"/>
      <c r="N812" s="53"/>
    </row>
    <row r="813" spans="2:14" ht="34.5" customHeight="1">
      <c r="B813" s="207"/>
      <c r="C813" s="239">
        <v>97667</v>
      </c>
      <c r="D813" s="137" t="s">
        <v>7</v>
      </c>
      <c r="E813" s="689" t="str">
        <f>IFERROR(VLOOKUP($C813,'SINAPI JULHO 2021'!$1:$1048576,2,0),IFERROR(VLOOKUP($C813,'5-COMP. PROPRIA'!$B$4:$I$7999,4,0),""))</f>
        <v>ELETRODUTO FLEXÍVEL CORRUGADO, PEAD, DN 50 (1 ½)  - FORNECIMENTO E INSTALAÇÃO. AF_04/2016</v>
      </c>
      <c r="F813" s="690"/>
      <c r="G813" s="690"/>
      <c r="H813" s="690"/>
      <c r="I813" s="690"/>
      <c r="J813" s="691"/>
      <c r="K813" s="404">
        <v>280.39999999999998</v>
      </c>
      <c r="L813" s="468" t="str">
        <f>IFERROR(VLOOKUP($C813,'SINAPI JULHO 2021'!$1:$1048576,3,0),IFERROR(VLOOKUP($C813,'5-COMP. PROPRIA'!$B$4:$I$7999,5,0),""))</f>
        <v>M</v>
      </c>
      <c r="M813" s="106"/>
      <c r="N813" s="53"/>
    </row>
    <row r="814" spans="2:14" ht="34.5" customHeight="1">
      <c r="B814" s="207"/>
      <c r="C814" s="239">
        <v>97668</v>
      </c>
      <c r="D814" s="137" t="s">
        <v>7</v>
      </c>
      <c r="E814" s="689" t="str">
        <f>IFERROR(VLOOKUP($C814,'SINAPI JULHO 2021'!$1:$1048576,2,0),IFERROR(VLOOKUP($C814,'5-COMP. PROPRIA'!$B$4:$I$7999,4,0),""))</f>
        <v>ELETRODUTO FLEXÍVEL CORRUGADO, PEAD, DN 63 (2")  - FORNECIMENTO E INSTALAÇÃO. AF_04/2016</v>
      </c>
      <c r="F814" s="690"/>
      <c r="G814" s="690"/>
      <c r="H814" s="690"/>
      <c r="I814" s="690"/>
      <c r="J814" s="691"/>
      <c r="K814" s="404">
        <v>7.9</v>
      </c>
      <c r="L814" s="468" t="str">
        <f>IFERROR(VLOOKUP($C814,'SINAPI JULHO 2021'!$1:$1048576,3,0),IFERROR(VLOOKUP($C814,'5-COMP. PROPRIA'!$B$4:$I$7999,5,0),""))</f>
        <v>M</v>
      </c>
      <c r="M814" s="106"/>
      <c r="N814" s="53"/>
    </row>
    <row r="815" spans="2:14" ht="34.5" customHeight="1">
      <c r="B815" s="207"/>
      <c r="C815" s="239">
        <v>97670</v>
      </c>
      <c r="D815" s="137" t="s">
        <v>7</v>
      </c>
      <c r="E815" s="689" t="str">
        <f>IFERROR(VLOOKUP($C815,'SINAPI JULHO 2021'!$1:$1048576,2,0),IFERROR(VLOOKUP($C815,'5-COMP. PROPRIA'!$B$4:$I$7999,4,0),""))</f>
        <v>ELETRODUTO FLEXÍVEL CORRUGADO, PEAD, DN 100 (4) - FORNECIMENTO E INSTALAÇÃO. AF_04/2016</v>
      </c>
      <c r="F815" s="690"/>
      <c r="G815" s="690"/>
      <c r="H815" s="690"/>
      <c r="I815" s="690"/>
      <c r="J815" s="691"/>
      <c r="K815" s="404">
        <v>26</v>
      </c>
      <c r="L815" s="468" t="str">
        <f>IFERROR(VLOOKUP($C815,'SINAPI JULHO 2021'!$1:$1048576,3,0),IFERROR(VLOOKUP($C815,'5-COMP. PROPRIA'!$B$4:$I$7999,5,0),""))</f>
        <v>M</v>
      </c>
      <c r="M815" s="106"/>
      <c r="N815" s="53"/>
    </row>
    <row r="816" spans="2:14" ht="34.5" customHeight="1">
      <c r="B816" s="207"/>
      <c r="C816" s="239">
        <v>93358</v>
      </c>
      <c r="D816" s="137" t="s">
        <v>7</v>
      </c>
      <c r="E816" s="689" t="str">
        <f>IFERROR(VLOOKUP($C816,'SINAPI JULHO 2021'!$1:$1048576,2,0),IFERROR(VLOOKUP($C816,'5-COMP. PROPRIA'!$B$4:$I$7999,4,0),""))</f>
        <v>ESCAVAÇÃO MANUAL DE VALA COM PROFUNDIDADE MENOR OU IGUAL A 1,30 M. AF_02/2021</v>
      </c>
      <c r="F816" s="690"/>
      <c r="G816" s="690"/>
      <c r="H816" s="690"/>
      <c r="I816" s="690"/>
      <c r="J816" s="691"/>
      <c r="K816" s="404">
        <v>20.9</v>
      </c>
      <c r="L816" s="468" t="str">
        <f>IFERROR(VLOOKUP($C816,'SINAPI JULHO 2021'!$1:$1048576,3,0),IFERROR(VLOOKUP($C816,'5-COMP. PROPRIA'!$B$4:$I$7999,5,0),""))</f>
        <v>M3</v>
      </c>
      <c r="M816" s="106"/>
      <c r="N816" s="53"/>
    </row>
    <row r="817" spans="2:14" ht="15" customHeight="1" thickBot="1">
      <c r="B817" s="207"/>
      <c r="C817" s="239">
        <v>96995</v>
      </c>
      <c r="D817" s="137" t="s">
        <v>7</v>
      </c>
      <c r="E817" s="689" t="str">
        <f>IFERROR(VLOOKUP($C817,'SINAPI JULHO 2021'!$1:$1048576,2,0),IFERROR(VLOOKUP($C817,'5-COMP. PROPRIA'!$B$4:$I$7999,4,0),""))</f>
        <v>REATERRO MANUAL APILOADO COM SOQUETE. AF_10/2017</v>
      </c>
      <c r="F817" s="690"/>
      <c r="G817" s="690"/>
      <c r="H817" s="690"/>
      <c r="I817" s="690"/>
      <c r="J817" s="691"/>
      <c r="K817" s="404">
        <v>20.9</v>
      </c>
      <c r="L817" s="468" t="str">
        <f>IFERROR(VLOOKUP($C817,'SINAPI JULHO 2021'!$1:$1048576,3,0),IFERROR(VLOOKUP($C817,'5-COMP. PROPRIA'!$B$4:$I$7999,5,0),""))</f>
        <v>M3</v>
      </c>
      <c r="M817" s="106"/>
      <c r="N817" s="53"/>
    </row>
    <row r="818" spans="2:14" ht="13.5" customHeight="1" thickBot="1">
      <c r="B818" s="207"/>
      <c r="C818" s="239"/>
      <c r="D818" s="17"/>
      <c r="E818" s="695" t="s">
        <v>7582</v>
      </c>
      <c r="F818" s="696"/>
      <c r="G818" s="696"/>
      <c r="H818" s="696"/>
      <c r="I818" s="696"/>
      <c r="J818" s="697"/>
      <c r="K818" s="154"/>
      <c r="L818" s="33"/>
      <c r="M818" s="106"/>
      <c r="N818" s="53"/>
    </row>
    <row r="819" spans="2:14" ht="31.5" customHeight="1">
      <c r="B819" s="207"/>
      <c r="C819" s="239" t="str">
        <f>'5-COMP. PROPRIA'!B696</f>
        <v>CP-ELE-08</v>
      </c>
      <c r="D819" s="137" t="s">
        <v>4271</v>
      </c>
      <c r="E819" s="689" t="str">
        <f>IFERROR(VLOOKUP($C819,'SINAPI JULHO 2021'!$1:$1048576,2,0),IFERROR(VLOOKUP($C819,'5-COMP. PROPRIA'!$B$4:$I$7999,4,0),""))</f>
        <v>REFLETOR DE LED, COM SUPORTE E ALÇA - 200 W - FORNECIMENTO E INSTALAÇÃO</v>
      </c>
      <c r="F819" s="690"/>
      <c r="G819" s="690"/>
      <c r="H819" s="690"/>
      <c r="I819" s="690"/>
      <c r="J819" s="691"/>
      <c r="K819" s="404">
        <v>20</v>
      </c>
      <c r="L819" s="468" t="str">
        <f>IFERROR(VLOOKUP($C819,'SINAPI JULHO 2021'!$1:$1048576,3,0),IFERROR(VLOOKUP($C819,'5-COMP. PROPRIA'!$B$4:$I$7999,5,0),""))</f>
        <v>UNI</v>
      </c>
      <c r="M819" s="106"/>
      <c r="N819" s="53"/>
    </row>
    <row r="820" spans="2:14" ht="31.5" customHeight="1">
      <c r="B820" s="207"/>
      <c r="C820" s="239" t="str">
        <f>'5-COMP. PROPRIA'!B701</f>
        <v>CP-ELE-09</v>
      </c>
      <c r="D820" s="137" t="s">
        <v>4271</v>
      </c>
      <c r="E820" s="689" t="str">
        <f>IFERROR(VLOOKUP($C820,'SINAPI JULHO 2021'!$1:$1048576,2,0),IFERROR(VLOOKUP($C820,'5-COMP. PROPRIA'!$B$4:$I$7999,4,0),""))</f>
        <v>LUMINÁRIA TIPO PLAFON EM PLÁSTICO, DE SOBREPOR, COM 1 LÂMPADA LED DE 40 W - FORNECIMENTO E INSTALAÇÃO</v>
      </c>
      <c r="F820" s="690"/>
      <c r="G820" s="690"/>
      <c r="H820" s="690"/>
      <c r="I820" s="690"/>
      <c r="J820" s="691"/>
      <c r="K820" s="404">
        <v>278</v>
      </c>
      <c r="L820" s="468" t="str">
        <f>IFERROR(VLOOKUP($C820,'SINAPI JULHO 2021'!$1:$1048576,3,0),IFERROR(VLOOKUP($C820,'5-COMP. PROPRIA'!$B$4:$I$7999,5,0),""))</f>
        <v>UNI</v>
      </c>
      <c r="M820" s="106"/>
      <c r="N820" s="53"/>
    </row>
    <row r="821" spans="2:14" ht="31.5" customHeight="1">
      <c r="B821" s="207"/>
      <c r="C821" s="239">
        <v>97599</v>
      </c>
      <c r="D821" s="17" t="s">
        <v>7</v>
      </c>
      <c r="E821" s="689" t="str">
        <f>IFERROR(VLOOKUP($C821,'SINAPI JULHO 2021'!$1:$1048576,2,0),IFERROR(VLOOKUP($C821,'5-COMP. PROPRIA'!$B$4:$I$7999,4,0),""))</f>
        <v>LUMINÁRIA DE EMERGÊNCIA, COM 30 LÂMPADAS LED DE 2 W, SEM REATOR - FORNECIMENTO E INSTALAÇÃO. AF_02/2020</v>
      </c>
      <c r="F821" s="690"/>
      <c r="G821" s="690"/>
      <c r="H821" s="690"/>
      <c r="I821" s="690"/>
      <c r="J821" s="691"/>
      <c r="K821" s="404">
        <v>65</v>
      </c>
      <c r="L821" s="468" t="str">
        <f>IFERROR(VLOOKUP($C821,'SINAPI JULHO 2021'!$1:$1048576,3,0),IFERROR(VLOOKUP($C821,'5-COMP. PROPRIA'!$B$4:$I$7999,5,0),""))</f>
        <v>UN</v>
      </c>
      <c r="M821" s="106"/>
      <c r="N821" s="53"/>
    </row>
    <row r="822" spans="2:14" ht="15.75" thickBot="1">
      <c r="B822" s="207"/>
      <c r="C822" s="239" t="str">
        <f>'5-COMP. PROPRIA'!B716</f>
        <v>CP-ELE-12</v>
      </c>
      <c r="D822" s="137" t="s">
        <v>4271</v>
      </c>
      <c r="E822" s="689" t="str">
        <f>IFERROR(VLOOKUP($C822,'SINAPI JULHO 2021'!$1:$1048576,2,0),IFERROR(VLOOKUP($C822,'5-COMP. PROPRIA'!$B$4:$I$7999,4,0),""))</f>
        <v>LUMINÁRIA Á PROVA DE EXPLOSÃO - FORNECIMENTO E INSTALAÇÃO</v>
      </c>
      <c r="F822" s="690"/>
      <c r="G822" s="690"/>
      <c r="H822" s="690"/>
      <c r="I822" s="690"/>
      <c r="J822" s="691"/>
      <c r="K822" s="404">
        <v>6</v>
      </c>
      <c r="L822" s="468" t="str">
        <f>IFERROR(VLOOKUP($C822,'SINAPI JULHO 2021'!$1:$1048576,3,0),IFERROR(VLOOKUP($C822,'5-COMP. PROPRIA'!$B$4:$I$7999,5,0),""))</f>
        <v>UNI</v>
      </c>
      <c r="M822" s="106"/>
      <c r="N822" s="53"/>
    </row>
    <row r="823" spans="2:14" ht="14.25" customHeight="1" thickBot="1">
      <c r="B823" s="207"/>
      <c r="C823" s="239"/>
      <c r="D823" s="17"/>
      <c r="E823" s="695" t="s">
        <v>7583</v>
      </c>
      <c r="F823" s="696"/>
      <c r="G823" s="696"/>
      <c r="H823" s="696"/>
      <c r="I823" s="696"/>
      <c r="J823" s="697"/>
      <c r="K823" s="154"/>
      <c r="L823" s="33"/>
      <c r="M823" s="106"/>
      <c r="N823" s="53"/>
    </row>
    <row r="824" spans="2:14" ht="48" customHeight="1">
      <c r="B824" s="207"/>
      <c r="C824" s="239">
        <v>97892</v>
      </c>
      <c r="D824" s="137" t="s">
        <v>7</v>
      </c>
      <c r="E824" s="689" t="str">
        <f>IFERROR(VLOOKUP($C824,'SINAPI JULHO 2021'!$1:$1048576,2,0),IFERROR(VLOOKUP($C824,'5-COMP. PROPRIA'!$B$4:$I$7999,4,0),""))</f>
        <v>CAIXA ENTERRADA ELÉTRICA RETANGULAR, EM ALVENARIA COM BLOCOS DE CONCRETO, FUNDO COM BRITA, DIMENSÕES INTERNAS: 0,6X0,6X0,6 M. AF_12/2020</v>
      </c>
      <c r="F824" s="690"/>
      <c r="G824" s="690"/>
      <c r="H824" s="690"/>
      <c r="I824" s="690"/>
      <c r="J824" s="691"/>
      <c r="K824" s="404">
        <v>6</v>
      </c>
      <c r="L824" s="468" t="str">
        <f>IFERROR(VLOOKUP($C824,'SINAPI JULHO 2021'!$1:$1048576,3,0),IFERROR(VLOOKUP($C824,'5-COMP. PROPRIA'!$B$4:$I$7999,5,0),""))</f>
        <v>UN</v>
      </c>
      <c r="M824" s="106"/>
      <c r="N824" s="53"/>
    </row>
    <row r="825" spans="2:14" ht="35.25" customHeight="1">
      <c r="B825" s="207"/>
      <c r="C825" s="239">
        <v>97881</v>
      </c>
      <c r="D825" s="17" t="s">
        <v>7</v>
      </c>
      <c r="E825" s="689" t="str">
        <f>IFERROR(VLOOKUP($C825,'SINAPI JULHO 2021'!$1:$1048576,2,0),IFERROR(VLOOKUP($C825,'5-COMP. PROPRIA'!$B$4:$I$7999,4,0),""))</f>
        <v>CAIXA ENTERRADA ELÉTRICA RETANGULAR, EM CONCRETO PRÉ-MOLDADO, FUNDO COM BRITA, DIMENSÕES INTERNAS: 0,3X0,3X0,3 M. AF_12/2020</v>
      </c>
      <c r="F825" s="690"/>
      <c r="G825" s="690"/>
      <c r="H825" s="690"/>
      <c r="I825" s="690"/>
      <c r="J825" s="691"/>
      <c r="K825" s="404">
        <v>6</v>
      </c>
      <c r="L825" s="468" t="str">
        <f>IFERROR(VLOOKUP($C825,'SINAPI JULHO 2021'!$1:$1048576,3,0),IFERROR(VLOOKUP($C825,'5-COMP. PROPRIA'!$B$4:$I$7999,5,0),""))</f>
        <v>UN</v>
      </c>
      <c r="M825" s="106"/>
      <c r="N825" s="53"/>
    </row>
    <row r="826" spans="2:14" ht="35.25" customHeight="1" thickBot="1">
      <c r="B826" s="207"/>
      <c r="C826" s="239" t="s">
        <v>7404</v>
      </c>
      <c r="D826" s="137" t="s">
        <v>4271</v>
      </c>
      <c r="E826" s="689" t="str">
        <f>IFERROR(VLOOKUP($C826,'SINAPI JULHO 2021'!$1:$1048576,2,0),IFERROR(VLOOKUP($C826,'5-COMP. PROPRIA'!$B$4:$I$7999,4,0),""))</f>
        <v>CAIXA DE PASSAGEM PARA ELÉTRICA 20X20X10CM (SOBREPOR), FORNECIMENTO E INSTALAÇÃO</v>
      </c>
      <c r="F826" s="690"/>
      <c r="G826" s="690"/>
      <c r="H826" s="690"/>
      <c r="I826" s="690"/>
      <c r="J826" s="691"/>
      <c r="K826" s="404">
        <v>5</v>
      </c>
      <c r="L826" s="468" t="str">
        <f>IFERROR(VLOOKUP($C826,'SINAPI JULHO 2021'!$1:$1048576,3,0),IFERROR(VLOOKUP($C826,'5-COMP. PROPRIA'!$B$4:$I$7999,5,0),""))</f>
        <v>UNI</v>
      </c>
      <c r="M826" s="106"/>
      <c r="N826" s="53"/>
    </row>
    <row r="827" spans="2:14" ht="15.75" thickBot="1">
      <c r="B827" s="207"/>
      <c r="C827" s="239"/>
      <c r="D827" s="137"/>
      <c r="E827" s="695" t="s">
        <v>4298</v>
      </c>
      <c r="F827" s="696"/>
      <c r="G827" s="696"/>
      <c r="H827" s="696"/>
      <c r="I827" s="696"/>
      <c r="J827" s="697"/>
      <c r="K827" s="404"/>
      <c r="L827" s="468"/>
      <c r="M827" s="106"/>
      <c r="N827" s="53"/>
    </row>
    <row r="828" spans="2:14" ht="40.5" customHeight="1">
      <c r="B828" s="207"/>
      <c r="C828" s="239">
        <v>101875</v>
      </c>
      <c r="D828" s="137" t="s">
        <v>7</v>
      </c>
      <c r="E828" s="689" t="str">
        <f>IFERROR(VLOOKUP($C828,'SINAPI JULHO 2021'!$1:$1048576,2,0),IFERROR(VLOOKUP($C828,'5-COMP. PROPRIA'!$B$4:$I$7999,4,0),""))</f>
        <v>QUADRO DE DISTRIBUIÇÃO DE ENERGIA EM CHAPA DE AÇO GALVANIZADO, DE EMBUTIR, COM BARRAMENTO TRIFÁSICO, PARA 12 DISJUNTORES DIN 100A - FORNECIMENTO E INSTALAÇÃO. AF_10/2020</v>
      </c>
      <c r="F828" s="690"/>
      <c r="G828" s="690"/>
      <c r="H828" s="690"/>
      <c r="I828" s="690"/>
      <c r="J828" s="691"/>
      <c r="K828" s="404">
        <v>2</v>
      </c>
      <c r="L828" s="468" t="str">
        <f>IFERROR(VLOOKUP($C828,'SINAPI JULHO 2021'!$1:$1048576,3,0),IFERROR(VLOOKUP($C828,'5-COMP. PROPRIA'!$B$4:$I$7999,5,0),""))</f>
        <v>UN</v>
      </c>
      <c r="M828" s="106"/>
      <c r="N828" s="53"/>
    </row>
    <row r="829" spans="2:14" ht="40.5" customHeight="1">
      <c r="B829" s="207"/>
      <c r="C829" s="239">
        <v>101879</v>
      </c>
      <c r="D829" s="137" t="s">
        <v>7</v>
      </c>
      <c r="E829" s="689" t="str">
        <f>IFERROR(VLOOKUP($C829,'SINAPI JULHO 2021'!$1:$1048576,2,0),IFERROR(VLOOKUP($C829,'5-COMP. PROPRIA'!$B$4:$I$7999,4,0),""))</f>
        <v>QUADRO DE DISTRIBUIÇÃO DE ENERGIA EM CHAPA DE AÇO GALVANIZADO, DE EMBUTIR, COM BARRAMENTO TRIFÁSICO, PARA 24 DISJUNTORES DIN 100A - FORNECIMENTO E INSTALAÇÃO. AF_10/2020</v>
      </c>
      <c r="F829" s="690"/>
      <c r="G829" s="690"/>
      <c r="H829" s="690"/>
      <c r="I829" s="690"/>
      <c r="J829" s="691"/>
      <c r="K829" s="404">
        <v>2</v>
      </c>
      <c r="L829" s="468" t="str">
        <f>IFERROR(VLOOKUP($C829,'SINAPI JULHO 2021'!$1:$1048576,3,0),IFERROR(VLOOKUP($C829,'5-COMP. PROPRIA'!$B$4:$I$7999,5,0),""))</f>
        <v>UN</v>
      </c>
      <c r="M829" s="106"/>
      <c r="N829" s="53"/>
    </row>
    <row r="830" spans="2:14" ht="40.5" customHeight="1">
      <c r="B830" s="207"/>
      <c r="C830" s="239">
        <v>101880</v>
      </c>
      <c r="D830" s="137" t="s">
        <v>7</v>
      </c>
      <c r="E830" s="689" t="str">
        <f>IFERROR(VLOOKUP($C830,'SINAPI JULHO 2021'!$1:$1048576,2,0),IFERROR(VLOOKUP($C830,'5-COMP. PROPRIA'!$B$4:$I$7999,4,0),""))</f>
        <v>QUADRO DE DISTRIBUIÇÃO DE ENERGIA EM CHAPA DE AÇO GALVANIZADO, DE EMBUTIR, COM BARRAMENTO TRIFÁSICO, PARA 30 DISJUNTORES DIN 150A - FORNECIMENTO E INSTALAÇÃO. AF_10/2020</v>
      </c>
      <c r="F830" s="690"/>
      <c r="G830" s="690"/>
      <c r="H830" s="690"/>
      <c r="I830" s="690"/>
      <c r="J830" s="691"/>
      <c r="K830" s="404">
        <v>2</v>
      </c>
      <c r="L830" s="468" t="str">
        <f>IFERROR(VLOOKUP($C830,'SINAPI JULHO 2021'!$1:$1048576,3,0),IFERROR(VLOOKUP($C830,'5-COMP. PROPRIA'!$B$4:$I$7999,5,0),""))</f>
        <v>UN</v>
      </c>
      <c r="M830" s="106"/>
      <c r="N830" s="53"/>
    </row>
    <row r="831" spans="2:14" ht="40.5" customHeight="1" thickBot="1">
      <c r="B831" s="207"/>
      <c r="C831" s="239">
        <v>101881</v>
      </c>
      <c r="D831" s="137" t="s">
        <v>7</v>
      </c>
      <c r="E831" s="689" t="str">
        <f>IFERROR(VLOOKUP($C831,'SINAPI JULHO 2021'!$1:$1048576,2,0),IFERROR(VLOOKUP($C831,'5-COMP. PROPRIA'!$B$4:$I$7999,4,0),""))</f>
        <v>QUADRO DE DISTRIBUIÇÃO DE ENERGIA EM CHAPA DE AÇO GALVANIZADO, DE EMBUTIR, COM BARRAMENTO TRIFÁSICO, PARA 40 DISJUNTORES DIN 100A - FORNECIMENTO E INSTALAÇÃO. AF_10/2020</v>
      </c>
      <c r="F831" s="690"/>
      <c r="G831" s="690"/>
      <c r="H831" s="690"/>
      <c r="I831" s="690"/>
      <c r="J831" s="691"/>
      <c r="K831" s="404">
        <v>2</v>
      </c>
      <c r="L831" s="468" t="str">
        <f>IFERROR(VLOOKUP($C831,'SINAPI JULHO 2021'!$1:$1048576,3,0),IFERROR(VLOOKUP($C831,'5-COMP. PROPRIA'!$B$4:$I$7999,5,0),""))</f>
        <v>UN</v>
      </c>
      <c r="M831" s="106"/>
      <c r="N831" s="53"/>
    </row>
    <row r="832" spans="2:14" ht="15.75" thickBot="1">
      <c r="B832" s="207"/>
      <c r="C832" s="239"/>
      <c r="D832" s="137"/>
      <c r="E832" s="695" t="s">
        <v>7584</v>
      </c>
      <c r="F832" s="696"/>
      <c r="G832" s="696"/>
      <c r="H832" s="696"/>
      <c r="I832" s="696"/>
      <c r="J832" s="697"/>
      <c r="K832" s="404"/>
      <c r="L832" s="468"/>
      <c r="M832" s="106"/>
      <c r="N832" s="53"/>
    </row>
    <row r="833" spans="2:14" ht="40.5" customHeight="1">
      <c r="B833" s="207"/>
      <c r="C833" s="239">
        <v>91937</v>
      </c>
      <c r="D833" s="137" t="s">
        <v>7</v>
      </c>
      <c r="E833" s="689" t="str">
        <f>IFERROR(VLOOKUP($C833,'SINAPI JULHO 2021'!$1:$1048576,2,0),IFERROR(VLOOKUP($C833,'5-COMP. PROPRIA'!$B$4:$I$7999,4,0),""))</f>
        <v>CAIXA OCTOGONAL 3" X 3", PVC, INSTALADA EM LAJE - FORNECIMENTO E INSTALAÇÃO. AF_12/2015</v>
      </c>
      <c r="F833" s="690"/>
      <c r="G833" s="690"/>
      <c r="H833" s="690"/>
      <c r="I833" s="690"/>
      <c r="J833" s="691"/>
      <c r="K833" s="404">
        <v>290</v>
      </c>
      <c r="L833" s="468" t="str">
        <f>IFERROR(VLOOKUP($C833,'SINAPI JULHO 2021'!$1:$1048576,3,0),IFERROR(VLOOKUP($C833,'5-COMP. PROPRIA'!$B$4:$I$7999,5,0),""))</f>
        <v>UN</v>
      </c>
      <c r="M833" s="106"/>
      <c r="N833" s="53"/>
    </row>
    <row r="834" spans="2:14" ht="40.5" customHeight="1">
      <c r="B834" s="207"/>
      <c r="C834" s="239">
        <v>91939</v>
      </c>
      <c r="D834" s="137" t="s">
        <v>7</v>
      </c>
      <c r="E834" s="689" t="str">
        <f>IFERROR(VLOOKUP($C834,'SINAPI JULHO 2021'!$1:$1048576,2,0),IFERROR(VLOOKUP($C834,'5-COMP. PROPRIA'!$B$4:$I$7999,4,0),""))</f>
        <v>CAIXA RETANGULAR 4" X 2" ALTA (2,00 M DO PISO), PVC, INSTALADA EM PAREDE - FORNECIMENTO E INSTALAÇÃO. AF_12/2015</v>
      </c>
      <c r="F834" s="690"/>
      <c r="G834" s="690"/>
      <c r="H834" s="690"/>
      <c r="I834" s="690"/>
      <c r="J834" s="691"/>
      <c r="K834" s="404">
        <v>68</v>
      </c>
      <c r="L834" s="468" t="str">
        <f>IFERROR(VLOOKUP($C834,'SINAPI JULHO 2021'!$1:$1048576,3,0),IFERROR(VLOOKUP($C834,'5-COMP. PROPRIA'!$B$4:$I$7999,5,0),""))</f>
        <v>UN</v>
      </c>
      <c r="M834" s="106"/>
      <c r="N834" s="53"/>
    </row>
    <row r="835" spans="2:14" ht="40.5" customHeight="1">
      <c r="B835" s="207"/>
      <c r="C835" s="239">
        <v>91940</v>
      </c>
      <c r="D835" s="137" t="s">
        <v>7</v>
      </c>
      <c r="E835" s="689" t="str">
        <f>IFERROR(VLOOKUP($C835,'SINAPI JULHO 2021'!$1:$1048576,2,0),IFERROR(VLOOKUP($C835,'5-COMP. PROPRIA'!$B$4:$I$7999,4,0),""))</f>
        <v>CAIXA RETANGULAR 4" X 2" MÉDIA (1,30 M DO PISO), PVC, INSTALADA EM PAREDE - FORNECIMENTO E INSTALAÇÃO. AF_12/2015</v>
      </c>
      <c r="F835" s="690"/>
      <c r="G835" s="690"/>
      <c r="H835" s="690"/>
      <c r="I835" s="690"/>
      <c r="J835" s="691"/>
      <c r="K835" s="404">
        <v>85</v>
      </c>
      <c r="L835" s="468" t="str">
        <f>IFERROR(VLOOKUP($C835,'SINAPI JULHO 2021'!$1:$1048576,3,0),IFERROR(VLOOKUP($C835,'5-COMP. PROPRIA'!$B$4:$I$7999,5,0),""))</f>
        <v>UN</v>
      </c>
      <c r="M835" s="106"/>
      <c r="N835" s="53"/>
    </row>
    <row r="836" spans="2:14" ht="40.5" customHeight="1">
      <c r="B836" s="207"/>
      <c r="C836" s="239">
        <v>91941</v>
      </c>
      <c r="D836" s="137" t="s">
        <v>7</v>
      </c>
      <c r="E836" s="689" t="str">
        <f>IFERROR(VLOOKUP($C836,'SINAPI JULHO 2021'!$1:$1048576,2,0),IFERROR(VLOOKUP($C836,'5-COMP. PROPRIA'!$B$4:$I$7999,4,0),""))</f>
        <v>CAIXA RETANGULAR 4" X 2" BAIXA (0,30 M DO PISO), PVC, INSTALADA EM PAREDE - FORNECIMENTO E INSTALAÇÃO. AF_12/2015</v>
      </c>
      <c r="F836" s="690"/>
      <c r="G836" s="690"/>
      <c r="H836" s="690"/>
      <c r="I836" s="690"/>
      <c r="J836" s="691"/>
      <c r="K836" s="404">
        <v>134</v>
      </c>
      <c r="L836" s="468" t="str">
        <f>IFERROR(VLOOKUP($C836,'SINAPI JULHO 2021'!$1:$1048576,3,0),IFERROR(VLOOKUP($C836,'5-COMP. PROPRIA'!$B$4:$I$7999,5,0),""))</f>
        <v>UN</v>
      </c>
      <c r="M836" s="106"/>
      <c r="N836" s="53"/>
    </row>
    <row r="837" spans="2:14" ht="40.5" customHeight="1">
      <c r="B837" s="207"/>
      <c r="C837" s="239">
        <v>90456</v>
      </c>
      <c r="D837" s="137" t="s">
        <v>7</v>
      </c>
      <c r="E837" s="689" t="str">
        <f>IFERROR(VLOOKUP($C837,'SINAPI JULHO 2021'!$1:$1048576,2,0),IFERROR(VLOOKUP($C837,'5-COMP. PROPRIA'!$B$4:$I$7999,4,0),""))</f>
        <v>QUEBRA EM ALVENARIA PARA INSTALAÇÃO DE CAIXA DE TOMADA (4X4 OU 4X2). AF_05/2015</v>
      </c>
      <c r="F837" s="690"/>
      <c r="G837" s="690"/>
      <c r="H837" s="690"/>
      <c r="I837" s="690"/>
      <c r="J837" s="691"/>
      <c r="K837" s="404">
        <v>287</v>
      </c>
      <c r="L837" s="468" t="str">
        <f>IFERROR(VLOOKUP($C837,'SINAPI JULHO 2021'!$1:$1048576,3,0),IFERROR(VLOOKUP($C837,'5-COMP. PROPRIA'!$B$4:$I$7999,5,0),""))</f>
        <v>UN</v>
      </c>
      <c r="M837" s="106"/>
      <c r="N837" s="53"/>
    </row>
    <row r="838" spans="2:14" ht="40.5" customHeight="1">
      <c r="B838" s="207"/>
      <c r="C838" s="239">
        <v>91885</v>
      </c>
      <c r="D838" s="137" t="s">
        <v>7</v>
      </c>
      <c r="E838" s="689" t="str">
        <f>IFERROR(VLOOKUP($C838,'SINAPI JULHO 2021'!$1:$1048576,2,0),IFERROR(VLOOKUP($C838,'5-COMP. PROPRIA'!$B$4:$I$7999,4,0),""))</f>
        <v>LUVA PARA ELETRODUTO, PVC, ROSCÁVEL, DN 32 MM (1"), PARA CIRCUITOS TERMINAIS, INSTALADA EM PAREDE - FORNECIMENTO E INSTALAÇÃO. AF_12/2015</v>
      </c>
      <c r="F838" s="690"/>
      <c r="G838" s="690"/>
      <c r="H838" s="690"/>
      <c r="I838" s="690"/>
      <c r="J838" s="691"/>
      <c r="K838" s="404">
        <v>65</v>
      </c>
      <c r="L838" s="468" t="str">
        <f>IFERROR(VLOOKUP($C838,'SINAPI JULHO 2021'!$1:$1048576,3,0),IFERROR(VLOOKUP($C838,'5-COMP. PROPRIA'!$B$4:$I$7999,5,0),""))</f>
        <v>UN</v>
      </c>
      <c r="M838" s="106"/>
      <c r="N838" s="53"/>
    </row>
    <row r="839" spans="2:14" ht="40.5" customHeight="1">
      <c r="B839" s="207"/>
      <c r="C839" s="239" t="s">
        <v>7402</v>
      </c>
      <c r="D839" s="137" t="s">
        <v>4271</v>
      </c>
      <c r="E839" s="689" t="str">
        <f>IFERROR(VLOOKUP($C839,'SINAPI JULHO 2021'!$1:$1048576,2,0),IFERROR(VLOOKUP($C839,'5-COMP. PROPRIA'!$B$4:$I$7999,4,0),""))</f>
        <v>ABRACADEIRA EM ACO PARA AMARRACAO DE ELETRODUTOS, TIPO D, COM 1" E PARAFUSO DE FIXACAO</v>
      </c>
      <c r="F839" s="690"/>
      <c r="G839" s="690"/>
      <c r="H839" s="690"/>
      <c r="I839" s="690"/>
      <c r="J839" s="691"/>
      <c r="K839" s="404">
        <v>260</v>
      </c>
      <c r="L839" s="468" t="str">
        <f>IFERROR(VLOOKUP($C839,'SINAPI JULHO 2021'!$1:$1048576,3,0),IFERROR(VLOOKUP($C839,'5-COMP. PROPRIA'!$B$4:$I$7999,5,0),""))</f>
        <v>UNI</v>
      </c>
      <c r="M839" s="106"/>
      <c r="N839" s="53"/>
    </row>
    <row r="840" spans="2:14" ht="40.5" customHeight="1">
      <c r="B840" s="207"/>
      <c r="C840" s="239">
        <v>95815</v>
      </c>
      <c r="D840" s="137" t="s">
        <v>7</v>
      </c>
      <c r="E840" s="689" t="str">
        <f>IFERROR(VLOOKUP($C840,'SINAPI JULHO 2021'!$1:$1048576,2,0),IFERROR(VLOOKUP($C840,'5-COMP. PROPRIA'!$B$4:$I$7999,4,0),""))</f>
        <v>CONDULETE DE PVC, TIPO TB, PARA ELETRODUTO DE PVC SOLDÁVEL DN 32 MM (1''), APARENTE - FORNECIMENTO E INSTALAÇÃO. AF_11/2016</v>
      </c>
      <c r="F840" s="690"/>
      <c r="G840" s="690"/>
      <c r="H840" s="690"/>
      <c r="I840" s="690"/>
      <c r="J840" s="691"/>
      <c r="K840" s="404">
        <v>29</v>
      </c>
      <c r="L840" s="468" t="str">
        <f>IFERROR(VLOOKUP($C840,'SINAPI JULHO 2021'!$1:$1048576,3,0),IFERROR(VLOOKUP($C840,'5-COMP. PROPRIA'!$B$4:$I$7999,5,0),""))</f>
        <v>UN</v>
      </c>
      <c r="M840" s="106"/>
      <c r="N840" s="53"/>
    </row>
    <row r="841" spans="2:14" ht="40.5" customHeight="1" thickBot="1">
      <c r="B841" s="207"/>
      <c r="C841" s="239">
        <v>95812</v>
      </c>
      <c r="D841" s="137" t="s">
        <v>7</v>
      </c>
      <c r="E841" s="689" t="str">
        <f>IFERROR(VLOOKUP($C841,'SINAPI JULHO 2021'!$1:$1048576,2,0),IFERROR(VLOOKUP($C841,'5-COMP. PROPRIA'!$B$4:$I$7999,4,0),""))</f>
        <v>CONDULETE DE PVC, TIPO LB, PARA ELETRODUTO DE PVC SOLDÁVEL DN 32 MM (1''), APARENTE - FORNECIMENTO E INSTALAÇÃO. AF_11/2016</v>
      </c>
      <c r="F841" s="690"/>
      <c r="G841" s="690"/>
      <c r="H841" s="690"/>
      <c r="I841" s="690"/>
      <c r="J841" s="691"/>
      <c r="K841" s="404">
        <v>12</v>
      </c>
      <c r="L841" s="468" t="str">
        <f>IFERROR(VLOOKUP($C841,'SINAPI JULHO 2021'!$1:$1048576,3,0),IFERROR(VLOOKUP($C841,'5-COMP. PROPRIA'!$B$4:$I$7999,5,0),""))</f>
        <v>UN</v>
      </c>
      <c r="M841" s="106"/>
      <c r="N841" s="53"/>
    </row>
    <row r="842" spans="2:14" ht="15.75" thickBot="1">
      <c r="B842" s="207"/>
      <c r="C842" s="239"/>
      <c r="D842" s="137"/>
      <c r="E842" s="695" t="s">
        <v>7585</v>
      </c>
      <c r="F842" s="696"/>
      <c r="G842" s="696"/>
      <c r="H842" s="696"/>
      <c r="I842" s="696"/>
      <c r="J842" s="697"/>
      <c r="K842" s="404"/>
      <c r="L842" s="468"/>
      <c r="M842" s="106"/>
      <c r="N842" s="53"/>
    </row>
    <row r="843" spans="2:14" ht="39.75" customHeight="1">
      <c r="B843" s="207"/>
      <c r="C843" s="239">
        <v>89576</v>
      </c>
      <c r="D843" s="137" t="s">
        <v>7</v>
      </c>
      <c r="E843" s="689" t="str">
        <f>IFERROR(VLOOKUP($C843,'SINAPI JULHO 2021'!$1:$1048576,2,0),IFERROR(VLOOKUP($C843,'5-COMP. PROPRIA'!$B$4:$I$7999,4,0),""))</f>
        <v>TUBO PVC, SÉRIE R, ÁGUA PLUVIAL, DN 75 MM, FORNECIDO E INSTALADO EM CONDUTORES VERTICAIS DE ÁGUAS PLUVIAIS. AF_12/2014</v>
      </c>
      <c r="F843" s="690"/>
      <c r="G843" s="690"/>
      <c r="H843" s="690"/>
      <c r="I843" s="690"/>
      <c r="J843" s="691"/>
      <c r="K843" s="404">
        <v>53</v>
      </c>
      <c r="L843" s="468" t="str">
        <f>IFERROR(VLOOKUP($C843,'SINAPI JULHO 2021'!$1:$1048576,3,0),IFERROR(VLOOKUP($C843,'5-COMP. PROPRIA'!$B$4:$I$7999,5,0),""))</f>
        <v>M</v>
      </c>
      <c r="M843" s="106"/>
      <c r="N843" s="53"/>
    </row>
    <row r="844" spans="2:14" ht="39.75" customHeight="1">
      <c r="B844" s="207"/>
      <c r="C844" s="239">
        <v>89599</v>
      </c>
      <c r="D844" s="137" t="s">
        <v>7</v>
      </c>
      <c r="E844" s="689" t="str">
        <f>IFERROR(VLOOKUP($C844,'SINAPI JULHO 2021'!$1:$1048576,2,0),IFERROR(VLOOKUP($C844,'5-COMP. PROPRIA'!$B$4:$I$7999,4,0),""))</f>
        <v>LUVA SIMPLES, PVC, SERIE R, ÁGUA PLUVIAL, DN 75 MM, JUNTA ELÁSTICA, FORNECIDO E INSTALADO EM CONDUTORES VERTICAIS DE ÁGUAS PLUVIAIS. AF_12/2014</v>
      </c>
      <c r="F844" s="690"/>
      <c r="G844" s="690"/>
      <c r="H844" s="690"/>
      <c r="I844" s="690"/>
      <c r="J844" s="691"/>
      <c r="K844" s="404">
        <v>33</v>
      </c>
      <c r="L844" s="468" t="str">
        <f>IFERROR(VLOOKUP($C844,'SINAPI JULHO 2021'!$1:$1048576,3,0),IFERROR(VLOOKUP($C844,'5-COMP. PROPRIA'!$B$4:$I$7999,5,0),""))</f>
        <v>UN</v>
      </c>
      <c r="M844" s="106"/>
      <c r="N844" s="53"/>
    </row>
    <row r="845" spans="2:14" ht="39.75" customHeight="1">
      <c r="B845" s="207"/>
      <c r="C845" s="239">
        <v>89582</v>
      </c>
      <c r="D845" s="137" t="s">
        <v>7</v>
      </c>
      <c r="E845" s="689" t="str">
        <f>IFERROR(VLOOKUP($C845,'SINAPI JULHO 2021'!$1:$1048576,2,0),IFERROR(VLOOKUP($C845,'5-COMP. PROPRIA'!$B$4:$I$7999,4,0),""))</f>
        <v>JOELHO 45 GRAUS, PVC, SERIE R, ÁGUA PLUVIAL, DN 75 MM, JUNTA ELÁSTICA, FORNECIDO E INSTALADO EM CONDUTORES VERTICAIS DE ÁGUAS PLUVIAIS. AF_12/2014</v>
      </c>
      <c r="F845" s="690"/>
      <c r="G845" s="690"/>
      <c r="H845" s="690"/>
      <c r="I845" s="690"/>
      <c r="J845" s="691"/>
      <c r="K845" s="404">
        <v>46</v>
      </c>
      <c r="L845" s="468" t="str">
        <f>IFERROR(VLOOKUP($C845,'SINAPI JULHO 2021'!$1:$1048576,3,0),IFERROR(VLOOKUP($C845,'5-COMP. PROPRIA'!$B$4:$I$7999,5,0),""))</f>
        <v>UN</v>
      </c>
      <c r="M845" s="106"/>
      <c r="N845" s="53"/>
    </row>
    <row r="846" spans="2:14" ht="39.75" customHeight="1">
      <c r="B846" s="207"/>
      <c r="C846" s="239">
        <v>89865</v>
      </c>
      <c r="D846" s="137" t="s">
        <v>7</v>
      </c>
      <c r="E846" s="689" t="str">
        <f>IFERROR(VLOOKUP($C846,'SINAPI JULHO 2021'!$1:$1048576,2,0),IFERROR(VLOOKUP($C846,'5-COMP. PROPRIA'!$B$4:$I$7999,4,0),""))</f>
        <v>TUBO, PVC, SOLDÁVEL, DN 25MM, INSTALADO EM DRENO DE AR-CONDICIONADO - FORNECIMENTO E INSTALAÇÃO. AF_12/2014</v>
      </c>
      <c r="F846" s="690"/>
      <c r="G846" s="690"/>
      <c r="H846" s="690"/>
      <c r="I846" s="690"/>
      <c r="J846" s="691"/>
      <c r="K846" s="404">
        <v>112.25</v>
      </c>
      <c r="L846" s="468" t="str">
        <f>IFERROR(VLOOKUP($C846,'SINAPI JULHO 2021'!$1:$1048576,3,0),IFERROR(VLOOKUP($C846,'5-COMP. PROPRIA'!$B$4:$I$7999,5,0),""))</f>
        <v>M</v>
      </c>
      <c r="M846" s="106"/>
      <c r="N846" s="53"/>
    </row>
    <row r="847" spans="2:14" ht="39.75" customHeight="1">
      <c r="B847" s="207"/>
      <c r="C847" s="239">
        <v>89866</v>
      </c>
      <c r="D847" s="137" t="s">
        <v>7</v>
      </c>
      <c r="E847" s="689" t="str">
        <f>IFERROR(VLOOKUP($C847,'SINAPI JULHO 2021'!$1:$1048576,2,0),IFERROR(VLOOKUP($C847,'5-COMP. PROPRIA'!$B$4:$I$7999,4,0),""))</f>
        <v>JOELHO 90 GRAUS, PVC, SOLDÁVEL, DN 25MM, INSTALADO EM DRENO DE AR-CONDICIONADO - FORNECIMENTO E INSTALAÇÃO. AF_12/2014</v>
      </c>
      <c r="F847" s="690"/>
      <c r="G847" s="690"/>
      <c r="H847" s="690"/>
      <c r="I847" s="690"/>
      <c r="J847" s="691"/>
      <c r="K847" s="404">
        <v>31</v>
      </c>
      <c r="L847" s="468" t="str">
        <f>IFERROR(VLOOKUP($C847,'SINAPI JULHO 2021'!$1:$1048576,3,0),IFERROR(VLOOKUP($C847,'5-COMP. PROPRIA'!$B$4:$I$7999,5,0),""))</f>
        <v>UN</v>
      </c>
      <c r="M847" s="106"/>
      <c r="N847" s="53"/>
    </row>
    <row r="848" spans="2:14" ht="39.75" customHeight="1">
      <c r="B848" s="207"/>
      <c r="C848" s="239">
        <v>89869</v>
      </c>
      <c r="D848" s="137" t="s">
        <v>7</v>
      </c>
      <c r="E848" s="689" t="str">
        <f>IFERROR(VLOOKUP($C848,'SINAPI JULHO 2021'!$1:$1048576,2,0),IFERROR(VLOOKUP($C848,'5-COMP. PROPRIA'!$B$4:$I$7999,4,0),""))</f>
        <v>TE, PVC, SOLDÁVEL, DN 25MM, INSTALADO EM DRENO DE AR-CONDICIONADO - FORNECIMENTO E INSTALAÇÃO. AF_12/2014</v>
      </c>
      <c r="F848" s="690"/>
      <c r="G848" s="690"/>
      <c r="H848" s="690"/>
      <c r="I848" s="690"/>
      <c r="J848" s="691"/>
      <c r="K848" s="404">
        <v>15</v>
      </c>
      <c r="L848" s="468" t="str">
        <f>IFERROR(VLOOKUP($C848,'SINAPI JULHO 2021'!$1:$1048576,3,0),IFERROR(VLOOKUP($C848,'5-COMP. PROPRIA'!$B$4:$I$7999,5,0),""))</f>
        <v>UN</v>
      </c>
      <c r="M848" s="106"/>
      <c r="N848" s="53"/>
    </row>
    <row r="849" spans="2:14" ht="39.75" customHeight="1">
      <c r="B849" s="207"/>
      <c r="C849" s="239">
        <v>89868</v>
      </c>
      <c r="D849" s="137" t="s">
        <v>7</v>
      </c>
      <c r="E849" s="689" t="str">
        <f>IFERROR(VLOOKUP($C849,'SINAPI JULHO 2021'!$1:$1048576,2,0),IFERROR(VLOOKUP($C849,'5-COMP. PROPRIA'!$B$4:$I$7999,4,0),""))</f>
        <v>LUVA, PVC, SOLDÁVEL, DN 25MM, INSTALADO EM DRENO DE AR-CONDICIONADO - FORNECIMENTO E INSTALAÇÃO. AF_12/2014</v>
      </c>
      <c r="F849" s="690"/>
      <c r="G849" s="690"/>
      <c r="H849" s="690"/>
      <c r="I849" s="690"/>
      <c r="J849" s="691"/>
      <c r="K849" s="404">
        <v>19</v>
      </c>
      <c r="L849" s="468" t="str">
        <f>IFERROR(VLOOKUP($C849,'SINAPI JULHO 2021'!$1:$1048576,3,0),IFERROR(VLOOKUP($C849,'5-COMP. PROPRIA'!$B$4:$I$7999,5,0),""))</f>
        <v>UN</v>
      </c>
      <c r="M849" s="106"/>
      <c r="N849" s="53"/>
    </row>
    <row r="850" spans="2:14" ht="39.75" customHeight="1">
      <c r="B850" s="207"/>
      <c r="C850" s="239">
        <v>97886</v>
      </c>
      <c r="D850" s="137" t="s">
        <v>7</v>
      </c>
      <c r="E850" s="689" t="str">
        <f>IFERROR(VLOOKUP($C850,'SINAPI JULHO 2021'!$1:$1048576,2,0),IFERROR(VLOOKUP($C850,'5-COMP. PROPRIA'!$B$4:$I$7999,4,0),""))</f>
        <v>CAIXA ENTERRADA ELÉTRICA RETANGULAR, EM ALVENARIA COM TIJOLOS CERÂMICOS MACIÇOS, FUNDO COM BRITA, DIMENSÕES INTERNAS: 0,3X0,3X0,3 M. AF_12/2020</v>
      </c>
      <c r="F850" s="690"/>
      <c r="G850" s="690"/>
      <c r="H850" s="690"/>
      <c r="I850" s="690"/>
      <c r="J850" s="691"/>
      <c r="K850" s="404">
        <v>6</v>
      </c>
      <c r="L850" s="468" t="str">
        <f>IFERROR(VLOOKUP($C850,'SINAPI JULHO 2021'!$1:$1048576,3,0),IFERROR(VLOOKUP($C850,'5-COMP. PROPRIA'!$B$4:$I$7999,5,0),""))</f>
        <v>UN</v>
      </c>
      <c r="M850" s="106"/>
      <c r="N850" s="53"/>
    </row>
    <row r="851" spans="2:14" ht="39.75" customHeight="1" thickBot="1">
      <c r="B851" s="207"/>
      <c r="C851" s="239"/>
      <c r="D851" s="137"/>
      <c r="E851" s="442"/>
      <c r="F851" s="443"/>
      <c r="G851" s="443"/>
      <c r="H851" s="443"/>
      <c r="I851" s="443"/>
      <c r="J851" s="444"/>
      <c r="K851" s="404"/>
      <c r="L851" s="468"/>
      <c r="M851" s="106"/>
      <c r="N851" s="53"/>
    </row>
    <row r="852" spans="2:14" ht="15.75" thickBot="1">
      <c r="B852" s="207"/>
      <c r="C852" s="239"/>
      <c r="D852" s="137"/>
      <c r="E852" s="698" t="s">
        <v>7586</v>
      </c>
      <c r="F852" s="699"/>
      <c r="G852" s="699"/>
      <c r="H852" s="699"/>
      <c r="I852" s="699"/>
      <c r="J852" s="700"/>
      <c r="K852" s="404"/>
      <c r="L852" s="468"/>
      <c r="M852" s="106"/>
      <c r="N852" s="53"/>
    </row>
    <row r="853" spans="2:14" ht="15.75" thickBot="1">
      <c r="B853" s="207"/>
      <c r="C853" s="239"/>
      <c r="D853" s="137"/>
      <c r="E853" s="695" t="s">
        <v>7587</v>
      </c>
      <c r="F853" s="696"/>
      <c r="G853" s="696"/>
      <c r="H853" s="696"/>
      <c r="I853" s="696"/>
      <c r="J853" s="697"/>
      <c r="K853" s="404"/>
      <c r="L853" s="468"/>
      <c r="M853" s="106"/>
      <c r="N853" s="53"/>
    </row>
    <row r="854" spans="2:14" ht="25.5" customHeight="1">
      <c r="B854" s="207"/>
      <c r="C854" s="239" t="s">
        <v>7426</v>
      </c>
      <c r="D854" s="390" t="s">
        <v>4271</v>
      </c>
      <c r="E854" s="689" t="str">
        <f>IFERROR(VLOOKUP($C854,'SINAPI JULHO 2021'!$1:$1048576,2,0),IFERROR(VLOOKUP($C854,'5-COMP. PROPRIA'!$B$4:$I$7999,4,0),""))</f>
        <v>POSTE DE CONCRETO DT 11/600 DAN COM BASE CONCRETADA - FORNECIMENTO E INSTALAÇÃO</v>
      </c>
      <c r="F854" s="690"/>
      <c r="G854" s="690"/>
      <c r="H854" s="690"/>
      <c r="I854" s="690"/>
      <c r="J854" s="691"/>
      <c r="K854" s="404">
        <v>1</v>
      </c>
      <c r="L854" s="468" t="str">
        <f>IFERROR(VLOOKUP($C854,'SINAPI JULHO 2021'!$1:$1048576,3,0),IFERROR(VLOOKUP($C854,'5-COMP. PROPRIA'!$B$4:$I$7999,5,0),""))</f>
        <v>UNI</v>
      </c>
      <c r="M854" s="106"/>
      <c r="N854" s="53"/>
    </row>
    <row r="855" spans="2:14" ht="25.5" customHeight="1">
      <c r="B855" s="207"/>
      <c r="C855" s="239">
        <v>101553</v>
      </c>
      <c r="D855" s="390" t="s">
        <v>7</v>
      </c>
      <c r="E855" s="689" t="str">
        <f>IFERROR(VLOOKUP($C855,'SINAPI JULHO 2021'!$1:$1048576,2,0),IFERROR(VLOOKUP($C855,'5-COMP. PROPRIA'!$B$4:$I$7999,4,0),""))</f>
        <v>ALÇA PREFORMADA DE DISTRIBUIÇÃO, EM  AÇO GALVANIZADO, AWG 1 - FORNECIMENTO E INSTALAÇÃO. AF_07/2020</v>
      </c>
      <c r="F855" s="690"/>
      <c r="G855" s="690"/>
      <c r="H855" s="690"/>
      <c r="I855" s="690"/>
      <c r="J855" s="691"/>
      <c r="K855" s="404">
        <v>1</v>
      </c>
      <c r="L855" s="468" t="str">
        <f>IFERROR(VLOOKUP($C855,'SINAPI JULHO 2021'!$1:$1048576,3,0),IFERROR(VLOOKUP($C855,'5-COMP. PROPRIA'!$B$4:$I$7999,5,0),""))</f>
        <v>UN</v>
      </c>
      <c r="M855" s="106"/>
      <c r="N855" s="53"/>
    </row>
    <row r="856" spans="2:14" ht="25.5" customHeight="1">
      <c r="B856" s="207"/>
      <c r="C856" s="239" t="s">
        <v>7434</v>
      </c>
      <c r="D856" s="390" t="s">
        <v>4271</v>
      </c>
      <c r="E856" s="689" t="str">
        <f>IFERROR(VLOOKUP($C856,'SINAPI JULHO 2021'!$1:$1048576,2,0),IFERROR(VLOOKUP($C856,'5-COMP. PROPRIA'!$B$4:$I$7999,4,0),""))</f>
        <v>SAPATILHA EM AÇO GALVANIZADO - FORNECIMENTO E INSTALAÇÃO</v>
      </c>
      <c r="F856" s="690"/>
      <c r="G856" s="690"/>
      <c r="H856" s="690"/>
      <c r="I856" s="690"/>
      <c r="J856" s="691"/>
      <c r="K856" s="404">
        <v>1</v>
      </c>
      <c r="L856" s="468" t="str">
        <f>IFERROR(VLOOKUP($C856,'SINAPI JULHO 2021'!$1:$1048576,3,0),IFERROR(VLOOKUP($C856,'5-COMP. PROPRIA'!$B$4:$I$7999,5,0),""))</f>
        <v>UNI</v>
      </c>
      <c r="M856" s="106"/>
      <c r="N856" s="53"/>
    </row>
    <row r="857" spans="2:14" ht="15">
      <c r="B857" s="207"/>
      <c r="C857" s="239" t="s">
        <v>7436</v>
      </c>
      <c r="D857" s="390" t="s">
        <v>4271</v>
      </c>
      <c r="E857" s="689" t="str">
        <f>IFERROR(VLOOKUP($C857,'SINAPI JULHO 2021'!$1:$1048576,2,0),IFERROR(VLOOKUP($C857,'5-COMP. PROPRIA'!$B$4:$I$7999,4,0),""))</f>
        <v>OLHAL PARA PARAFUSO - FORNECIMENTO E INSTALAÇÃO</v>
      </c>
      <c r="F857" s="690"/>
      <c r="G857" s="690"/>
      <c r="H857" s="690"/>
      <c r="I857" s="690"/>
      <c r="J857" s="691"/>
      <c r="K857" s="404">
        <v>4</v>
      </c>
      <c r="L857" s="468" t="str">
        <f>IFERROR(VLOOKUP($C857,'SINAPI JULHO 2021'!$1:$1048576,3,0),IFERROR(VLOOKUP($C857,'5-COMP. PROPRIA'!$B$4:$I$7999,5,0),""))</f>
        <v>UNI</v>
      </c>
      <c r="M857" s="106"/>
      <c r="N857" s="53"/>
    </row>
    <row r="858" spans="2:14" ht="40.5" customHeight="1">
      <c r="B858" s="207"/>
      <c r="C858" s="239" t="s">
        <v>7438</v>
      </c>
      <c r="D858" s="390" t="s">
        <v>4271</v>
      </c>
      <c r="E858" s="689" t="str">
        <f>IFERROR(VLOOKUP($C858,'SINAPI JULHO 2021'!$1:$1048576,2,0),IFERROR(VLOOKUP($C858,'5-COMP. PROPRIA'!$B$4:$I$7999,4,0),""))</f>
        <v>ISOLADOR DE ANCORAGEM TIPO BASTÃO POLIMÉRICO 15KV - FORNECIMENTO E INSTALAÇÃO</v>
      </c>
      <c r="F858" s="690"/>
      <c r="G858" s="690"/>
      <c r="H858" s="690"/>
      <c r="I858" s="690"/>
      <c r="J858" s="691"/>
      <c r="K858" s="404">
        <v>3</v>
      </c>
      <c r="L858" s="468" t="str">
        <f>IFERROR(VLOOKUP($C858,'SINAPI JULHO 2021'!$1:$1048576,3,0),IFERROR(VLOOKUP($C858,'5-COMP. PROPRIA'!$B$4:$I$7999,5,0),""))</f>
        <v>UNI</v>
      </c>
      <c r="M858" s="106"/>
      <c r="N858" s="53"/>
    </row>
    <row r="859" spans="2:14" ht="15">
      <c r="B859" s="207"/>
      <c r="C859" s="239" t="s">
        <v>7441</v>
      </c>
      <c r="D859" s="390" t="s">
        <v>4271</v>
      </c>
      <c r="E859" s="689" t="str">
        <f>IFERROR(VLOOKUP($C859,'SINAPI JULHO 2021'!$1:$1048576,2,0),IFERROR(VLOOKUP($C859,'5-COMP. PROPRIA'!$B$4:$I$7999,4,0),""))</f>
        <v>MANILHA SAPATILHA - FORNECIMENTO E INSTALAÇÃO</v>
      </c>
      <c r="F859" s="690"/>
      <c r="G859" s="690"/>
      <c r="H859" s="690"/>
      <c r="I859" s="690"/>
      <c r="J859" s="691"/>
      <c r="K859" s="404">
        <v>3</v>
      </c>
      <c r="L859" s="468" t="str">
        <f>IFERROR(VLOOKUP($C859,'SINAPI JULHO 2021'!$1:$1048576,3,0),IFERROR(VLOOKUP($C859,'5-COMP. PROPRIA'!$B$4:$I$7999,5,0),""))</f>
        <v>UNI</v>
      </c>
      <c r="M859" s="106"/>
      <c r="N859" s="53"/>
    </row>
    <row r="860" spans="2:14" ht="15">
      <c r="B860" s="207"/>
      <c r="C860" s="239" t="s">
        <v>7444</v>
      </c>
      <c r="D860" s="390" t="s">
        <v>4271</v>
      </c>
      <c r="E860" s="689" t="str">
        <f>IFERROR(VLOOKUP($C860,'SINAPI JULHO 2021'!$1:$1048576,2,0),IFERROR(VLOOKUP($C860,'5-COMP. PROPRIA'!$B$4:$I$7999,4,0),""))</f>
        <v>GANCHO OLHAL - FORNECIMENTO E INSTALAÇÃO</v>
      </c>
      <c r="F860" s="690"/>
      <c r="G860" s="690"/>
      <c r="H860" s="690"/>
      <c r="I860" s="690"/>
      <c r="J860" s="691"/>
      <c r="K860" s="404">
        <v>3</v>
      </c>
      <c r="L860" s="468" t="str">
        <f>IFERROR(VLOOKUP($C860,'SINAPI JULHO 2021'!$1:$1048576,3,0),IFERROR(VLOOKUP($C860,'5-COMP. PROPRIA'!$B$4:$I$7999,5,0),""))</f>
        <v>UNI</v>
      </c>
      <c r="M860" s="106"/>
      <c r="N860" s="53"/>
    </row>
    <row r="861" spans="2:14" ht="15">
      <c r="B861" s="207"/>
      <c r="C861" s="239" t="s">
        <v>7446</v>
      </c>
      <c r="D861" s="390" t="s">
        <v>4271</v>
      </c>
      <c r="E861" s="689" t="str">
        <f>IFERROR(VLOOKUP($C861,'SINAPI JULHO 2021'!$1:$1048576,2,0),IFERROR(VLOOKUP($C861,'5-COMP. PROPRIA'!$B$4:$I$7999,4,0),""))</f>
        <v>PERFIL U - FORNECIMENTO E INSTALAÇÃO</v>
      </c>
      <c r="F861" s="690"/>
      <c r="G861" s="690"/>
      <c r="H861" s="690"/>
      <c r="I861" s="690"/>
      <c r="J861" s="691"/>
      <c r="K861" s="404">
        <v>1</v>
      </c>
      <c r="L861" s="468" t="str">
        <f>IFERROR(VLOOKUP($C861,'SINAPI JULHO 2021'!$1:$1048576,3,0),IFERROR(VLOOKUP($C861,'5-COMP. PROPRIA'!$B$4:$I$7999,5,0),""))</f>
        <v>UNI</v>
      </c>
      <c r="M861" s="106"/>
      <c r="N861" s="53"/>
    </row>
    <row r="862" spans="2:14" ht="15">
      <c r="B862" s="207"/>
      <c r="C862" s="239" t="s">
        <v>7449</v>
      </c>
      <c r="D862" s="390" t="s">
        <v>4271</v>
      </c>
      <c r="E862" s="689" t="str">
        <f>IFERROR(VLOOKUP($C862,'SINAPI JULHO 2021'!$1:$1048576,2,0),IFERROR(VLOOKUP($C862,'5-COMP. PROPRIA'!$B$4:$I$7999,4,0),""))</f>
        <v>FIXADOR DE PERFIL U - FORNECIMENTO E INSTALAÇÃO</v>
      </c>
      <c r="F862" s="690"/>
      <c r="G862" s="690"/>
      <c r="H862" s="690"/>
      <c r="I862" s="690"/>
      <c r="J862" s="691"/>
      <c r="K862" s="404">
        <v>1</v>
      </c>
      <c r="L862" s="468" t="str">
        <f>IFERROR(VLOOKUP($C862,'SINAPI JULHO 2021'!$1:$1048576,3,0),IFERROR(VLOOKUP($C862,'5-COMP. PROPRIA'!$B$4:$I$7999,5,0),""))</f>
        <v>UNI</v>
      </c>
      <c r="M862" s="106"/>
      <c r="N862" s="53"/>
    </row>
    <row r="863" spans="2:14" ht="40.5" customHeight="1">
      <c r="B863" s="207"/>
      <c r="C863" s="239" t="s">
        <v>7452</v>
      </c>
      <c r="D863" s="390" t="s">
        <v>4271</v>
      </c>
      <c r="E863" s="689" t="str">
        <f>IFERROR(VLOOKUP($C863,'SINAPI JULHO 2021'!$1:$1048576,2,0),IFERROR(VLOOKUP($C863,'5-COMP. PROPRIA'!$B$4:$I$7999,4,0),""))</f>
        <v>PARA RAIO POLIMÉRICO DE DISTRIBUIÇÃO 15KV 10KA - FORNECIMENTO E INSTALAÇÃO</v>
      </c>
      <c r="F863" s="690"/>
      <c r="G863" s="690"/>
      <c r="H863" s="690"/>
      <c r="I863" s="690"/>
      <c r="J863" s="691"/>
      <c r="K863" s="404">
        <v>3</v>
      </c>
      <c r="L863" s="468" t="str">
        <f>IFERROR(VLOOKUP($C863,'SINAPI JULHO 2021'!$1:$1048576,3,0),IFERROR(VLOOKUP($C863,'5-COMP. PROPRIA'!$B$4:$I$7999,5,0),""))</f>
        <v>UNI</v>
      </c>
      <c r="M863" s="106"/>
      <c r="N863" s="53"/>
    </row>
    <row r="864" spans="2:14" ht="40.5" customHeight="1">
      <c r="B864" s="207"/>
      <c r="C864" s="239" t="s">
        <v>7454</v>
      </c>
      <c r="D864" s="390" t="s">
        <v>4271</v>
      </c>
      <c r="E864" s="689" t="str">
        <f>IFERROR(VLOOKUP($C864,'SINAPI JULHO 2021'!$1:$1048576,2,0),IFERROR(VLOOKUP($C864,'5-COMP. PROPRIA'!$B$4:$I$7999,4,0),""))</f>
        <v>CRUZETA DE CONCRETO 250 DAN RETANGULAR - FORNECIMENTO E INSTALAÇÃO</v>
      </c>
      <c r="F864" s="690"/>
      <c r="G864" s="690"/>
      <c r="H864" s="690"/>
      <c r="I864" s="690"/>
      <c r="J864" s="691"/>
      <c r="K864" s="404">
        <v>1</v>
      </c>
      <c r="L864" s="468" t="str">
        <f>IFERROR(VLOOKUP($C864,'SINAPI JULHO 2021'!$1:$1048576,3,0),IFERROR(VLOOKUP($C864,'5-COMP. PROPRIA'!$B$4:$I$7999,5,0),""))</f>
        <v>UNI</v>
      </c>
      <c r="M864" s="106"/>
      <c r="N864" s="53"/>
    </row>
    <row r="865" spans="2:14" ht="15">
      <c r="B865" s="207"/>
      <c r="C865" s="239" t="s">
        <v>7456</v>
      </c>
      <c r="D865" s="390" t="s">
        <v>4271</v>
      </c>
      <c r="E865" s="689" t="str">
        <f>IFERROR(VLOOKUP($C865,'SINAPI JULHO 2021'!$1:$1048576,2,0),IFERROR(VLOOKUP($C865,'5-COMP. PROPRIA'!$B$4:$I$7999,4,0),""))</f>
        <v>GRAMPO DE ANCORAGEM 15KV - 50MM² - FORNECIMENTO E INSTALAÇÃO</v>
      </c>
      <c r="F865" s="690"/>
      <c r="G865" s="690"/>
      <c r="H865" s="690"/>
      <c r="I865" s="690"/>
      <c r="J865" s="691"/>
      <c r="K865" s="404">
        <v>3</v>
      </c>
      <c r="L865" s="468" t="str">
        <f>IFERROR(VLOOKUP($C865,'SINAPI JULHO 2021'!$1:$1048576,3,0),IFERROR(VLOOKUP($C865,'5-COMP. PROPRIA'!$B$4:$I$7999,5,0),""))</f>
        <v>UNI</v>
      </c>
      <c r="M865" s="106"/>
      <c r="N865" s="53"/>
    </row>
    <row r="866" spans="2:14" ht="15">
      <c r="B866" s="207"/>
      <c r="C866" s="239" t="s">
        <v>7458</v>
      </c>
      <c r="D866" s="390" t="s">
        <v>4271</v>
      </c>
      <c r="E866" s="689" t="str">
        <f>IFERROR(VLOOKUP($C866,'SINAPI JULHO 2021'!$1:$1048576,2,0),IFERROR(VLOOKUP($C866,'5-COMP. PROPRIA'!$B$4:$I$7999,4,0),""))</f>
        <v>MÃO FRANCESA 619MM - FORNECIMENTO E INSTALAÇÃO</v>
      </c>
      <c r="F866" s="690"/>
      <c r="G866" s="690"/>
      <c r="H866" s="690"/>
      <c r="I866" s="690"/>
      <c r="J866" s="691"/>
      <c r="K866" s="404">
        <v>2</v>
      </c>
      <c r="L866" s="468" t="str">
        <f>IFERROR(VLOOKUP($C866,'SINAPI JULHO 2021'!$1:$1048576,3,0),IFERROR(VLOOKUP($C866,'5-COMP. PROPRIA'!$B$4:$I$7999,5,0),""))</f>
        <v>UNI</v>
      </c>
      <c r="M866" s="106"/>
      <c r="N866" s="53"/>
    </row>
    <row r="867" spans="2:14" ht="40.5" customHeight="1">
      <c r="B867" s="207"/>
      <c r="C867" s="239">
        <v>102110</v>
      </c>
      <c r="D867" s="390" t="s">
        <v>7</v>
      </c>
      <c r="E867" s="689" t="str">
        <f>IFERROR(VLOOKUP($C867,'SINAPI JULHO 2021'!$1:$1048576,2,0),IFERROR(VLOOKUP($C867,'5-COMP. PROPRIA'!$B$4:$I$7999,4,0),""))</f>
        <v>SUPORTE PARA TRANSFORMADOR EM POSTE DE CONCRETO DUPLO T - FORNECIMENTO E INSTALAÇÃO. AF_12/2020</v>
      </c>
      <c r="F867" s="690"/>
      <c r="G867" s="690"/>
      <c r="H867" s="690"/>
      <c r="I867" s="690"/>
      <c r="J867" s="691"/>
      <c r="K867" s="404">
        <v>2</v>
      </c>
      <c r="L867" s="468" t="str">
        <f>IFERROR(VLOOKUP($C867,'SINAPI JULHO 2021'!$1:$1048576,3,0),IFERROR(VLOOKUP($C867,'5-COMP. PROPRIA'!$B$4:$I$7999,5,0),""))</f>
        <v>UN</v>
      </c>
      <c r="M867" s="106"/>
      <c r="N867" s="53"/>
    </row>
    <row r="868" spans="2:14" ht="15">
      <c r="B868" s="207"/>
      <c r="C868" s="239" t="s">
        <v>7464</v>
      </c>
      <c r="D868" s="390" t="s">
        <v>4271</v>
      </c>
      <c r="E868" s="689" t="str">
        <f>IFERROR(VLOOKUP($C868,'SINAPI JULHO 2021'!$1:$1048576,2,0),IFERROR(VLOOKUP($C868,'5-COMP. PROPRIA'!$B$4:$I$7999,4,0),""))</f>
        <v>ARRUELA QUADRADA EM ACO GALVANIZADO - FORNECIMENTO E INSTALAÇÃO</v>
      </c>
      <c r="F868" s="690"/>
      <c r="G868" s="690"/>
      <c r="H868" s="690"/>
      <c r="I868" s="690"/>
      <c r="J868" s="691"/>
      <c r="K868" s="404">
        <v>5</v>
      </c>
      <c r="L868" s="468" t="str">
        <f>IFERROR(VLOOKUP($C868,'SINAPI JULHO 2021'!$1:$1048576,3,0),IFERROR(VLOOKUP($C868,'5-COMP. PROPRIA'!$B$4:$I$7999,5,0),""))</f>
        <v>UNI</v>
      </c>
      <c r="M868" s="106"/>
      <c r="N868" s="53"/>
    </row>
    <row r="869" spans="2:14" ht="15">
      <c r="B869" s="207"/>
      <c r="C869" s="239" t="s">
        <v>7466</v>
      </c>
      <c r="D869" s="390" t="s">
        <v>4271</v>
      </c>
      <c r="E869" s="689" t="str">
        <f>IFERROR(VLOOKUP($C869,'SINAPI JULHO 2021'!$1:$1048576,2,0),IFERROR(VLOOKUP($C869,'5-COMP. PROPRIA'!$B$4:$I$7999,4,0),""))</f>
        <v>PARAFUSO CABECA QUADRADA DE 100MM - FORNECIMENTO E INSTALAÇÃO</v>
      </c>
      <c r="F869" s="690"/>
      <c r="G869" s="690"/>
      <c r="H869" s="690"/>
      <c r="I869" s="690"/>
      <c r="J869" s="691"/>
      <c r="K869" s="404">
        <v>2</v>
      </c>
      <c r="L869" s="468" t="str">
        <f>IFERROR(VLOOKUP($C869,'SINAPI JULHO 2021'!$1:$1048576,3,0),IFERROR(VLOOKUP($C869,'5-COMP. PROPRIA'!$B$4:$I$7999,5,0),""))</f>
        <v>UNI</v>
      </c>
      <c r="M869" s="106"/>
      <c r="N869" s="53"/>
    </row>
    <row r="870" spans="2:14" ht="15">
      <c r="B870" s="207"/>
      <c r="C870" s="239" t="s">
        <v>7468</v>
      </c>
      <c r="D870" s="390" t="s">
        <v>4271</v>
      </c>
      <c r="E870" s="689" t="str">
        <f>IFERROR(VLOOKUP($C870,'SINAPI JULHO 2021'!$1:$1048576,2,0),IFERROR(VLOOKUP($C870,'5-COMP. PROPRIA'!$B$4:$I$7999,4,0),""))</f>
        <v>PARAFUSO CABECA QUADRADA DE 125MM - FORNECIMENTO E INSTALAÇÃO</v>
      </c>
      <c r="F870" s="690"/>
      <c r="G870" s="690"/>
      <c r="H870" s="690"/>
      <c r="I870" s="690"/>
      <c r="J870" s="691"/>
      <c r="K870" s="404">
        <v>1</v>
      </c>
      <c r="L870" s="468" t="str">
        <f>IFERROR(VLOOKUP($C870,'SINAPI JULHO 2021'!$1:$1048576,3,0),IFERROR(VLOOKUP($C870,'5-COMP. PROPRIA'!$B$4:$I$7999,5,0),""))</f>
        <v>UNI</v>
      </c>
      <c r="M870" s="106"/>
      <c r="N870" s="53"/>
    </row>
    <row r="871" spans="2:14" ht="15">
      <c r="B871" s="207"/>
      <c r="C871" s="239" t="s">
        <v>7470</v>
      </c>
      <c r="D871" s="390" t="s">
        <v>4271</v>
      </c>
      <c r="E871" s="689" t="str">
        <f>IFERROR(VLOOKUP($C871,'SINAPI JULHO 2021'!$1:$1048576,2,0),IFERROR(VLOOKUP($C871,'5-COMP. PROPRIA'!$B$4:$I$7999,4,0),""))</f>
        <v>PARAFUSO CABECA QUADRADA DE 200MM - FORNECIMENTO E INSTALAÇÃO</v>
      </c>
      <c r="F871" s="690"/>
      <c r="G871" s="690"/>
      <c r="H871" s="690"/>
      <c r="I871" s="690"/>
      <c r="J871" s="691"/>
      <c r="K871" s="404">
        <v>4</v>
      </c>
      <c r="L871" s="468" t="str">
        <f>IFERROR(VLOOKUP($C871,'SINAPI JULHO 2021'!$1:$1048576,3,0),IFERROR(VLOOKUP($C871,'5-COMP. PROPRIA'!$B$4:$I$7999,5,0),""))</f>
        <v>UNI</v>
      </c>
      <c r="M871" s="106"/>
      <c r="N871" s="53"/>
    </row>
    <row r="872" spans="2:14" ht="15">
      <c r="B872" s="207"/>
      <c r="C872" s="239" t="s">
        <v>7472</v>
      </c>
      <c r="D872" s="390" t="s">
        <v>4271</v>
      </c>
      <c r="E872" s="689" t="str">
        <f>IFERROR(VLOOKUP($C872,'SINAPI JULHO 2021'!$1:$1048576,2,0),IFERROR(VLOOKUP($C872,'5-COMP. PROPRIA'!$B$4:$I$7999,4,0),""))</f>
        <v>PARAFUSO CABECA QUADRADA DE 250MM - FORNECIMENTO E INSTALAÇÃO</v>
      </c>
      <c r="F872" s="690"/>
      <c r="G872" s="690"/>
      <c r="H872" s="690"/>
      <c r="I872" s="690"/>
      <c r="J872" s="691"/>
      <c r="K872" s="404">
        <v>3</v>
      </c>
      <c r="L872" s="468" t="str">
        <f>IFERROR(VLOOKUP($C872,'SINAPI JULHO 2021'!$1:$1048576,3,0),IFERROR(VLOOKUP($C872,'5-COMP. PROPRIA'!$B$4:$I$7999,5,0),""))</f>
        <v>UNI</v>
      </c>
      <c r="M872" s="106"/>
      <c r="N872" s="53"/>
    </row>
    <row r="873" spans="2:14" ht="15">
      <c r="B873" s="207"/>
      <c r="C873" s="239" t="s">
        <v>7474</v>
      </c>
      <c r="D873" s="390" t="s">
        <v>4271</v>
      </c>
      <c r="E873" s="689" t="str">
        <f>IFERROR(VLOOKUP($C873,'SINAPI JULHO 2021'!$1:$1048576,2,0),IFERROR(VLOOKUP($C873,'5-COMP. PROPRIA'!$B$4:$I$7999,4,0),""))</f>
        <v>PARAFUSO CABECA QUADRADA DE 300MM - FORNECIMENTO E INSTALAÇÃO</v>
      </c>
      <c r="F873" s="690"/>
      <c r="G873" s="690"/>
      <c r="H873" s="690"/>
      <c r="I873" s="690"/>
      <c r="J873" s="691"/>
      <c r="K873" s="404">
        <v>1</v>
      </c>
      <c r="L873" s="468" t="str">
        <f>IFERROR(VLOOKUP($C873,'SINAPI JULHO 2021'!$1:$1048576,3,0),IFERROR(VLOOKUP($C873,'5-COMP. PROPRIA'!$B$4:$I$7999,5,0),""))</f>
        <v>UNI</v>
      </c>
      <c r="M873" s="106"/>
      <c r="N873" s="53"/>
    </row>
    <row r="874" spans="2:14" ht="27.75" customHeight="1">
      <c r="B874" s="207"/>
      <c r="C874" s="239" t="s">
        <v>7476</v>
      </c>
      <c r="D874" s="390" t="s">
        <v>4271</v>
      </c>
      <c r="E874" s="689" t="str">
        <f>IFERROR(VLOOKUP($C874,'SINAPI JULHO 2021'!$1:$1048576,2,0),IFERROR(VLOOKUP($C874,'5-COMP. PROPRIA'!$B$4:$I$7999,4,0),""))</f>
        <v>PROTETOR DE BUCHA DE AT DE TRANSFORMADOR 15KV - FORNECIMENTO E INSTALAÇÃO</v>
      </c>
      <c r="F874" s="690"/>
      <c r="G874" s="690"/>
      <c r="H874" s="690"/>
      <c r="I874" s="690"/>
      <c r="J874" s="691"/>
      <c r="K874" s="404">
        <v>6</v>
      </c>
      <c r="L874" s="468" t="str">
        <f>IFERROR(VLOOKUP($C874,'SINAPI JULHO 2021'!$1:$1048576,3,0),IFERROR(VLOOKUP($C874,'5-COMP. PROPRIA'!$B$4:$I$7999,5,0),""))</f>
        <v>UNI</v>
      </c>
      <c r="M874" s="106"/>
      <c r="N874" s="53"/>
    </row>
    <row r="875" spans="2:14" ht="40.5" customHeight="1">
      <c r="B875" s="207"/>
      <c r="C875" s="239">
        <v>102105</v>
      </c>
      <c r="D875" s="390" t="s">
        <v>7</v>
      </c>
      <c r="E875" s="689" t="str">
        <f>IFERROR(VLOOKUP($C875,'SINAPI JULHO 2021'!$1:$1048576,2,0),IFERROR(VLOOKUP($C875,'5-COMP. PROPRIA'!$B$4:$I$7999,4,0),""))</f>
        <v>TRANSFORMADOR DE DISTRIBUIÇÃO, 112,5 KVA, TRIFÁSICO, 60 HZ, CLASSE 15 KV, IMERSO EM ÓLEO MINERAL, INSTALAÇÃO EM POSTE (NÃO INCLUSO SUPORTE) - FORNECIMENTO E INSTALAÇÃO. AF_12/2020</v>
      </c>
      <c r="F875" s="690"/>
      <c r="G875" s="690"/>
      <c r="H875" s="690"/>
      <c r="I875" s="690"/>
      <c r="J875" s="691"/>
      <c r="K875" s="404">
        <v>1</v>
      </c>
      <c r="L875" s="468" t="str">
        <f>IFERROR(VLOOKUP($C875,'SINAPI JULHO 2021'!$1:$1048576,3,0),IFERROR(VLOOKUP($C875,'5-COMP. PROPRIA'!$B$4:$I$7999,5,0),""))</f>
        <v>UN</v>
      </c>
      <c r="M875" s="106"/>
      <c r="N875" s="53"/>
    </row>
    <row r="876" spans="2:14" ht="15">
      <c r="B876" s="207"/>
      <c r="C876" s="239" t="s">
        <v>7486</v>
      </c>
      <c r="D876" s="390" t="s">
        <v>4271</v>
      </c>
      <c r="E876" s="689" t="str">
        <f>IFERROR(VLOOKUP($C876,'SINAPI JULHO 2021'!$1:$1048576,2,0),IFERROR(VLOOKUP($C876,'5-COMP. PROPRIA'!$B$4:$I$7999,4,0),""))</f>
        <v>CABO DE COBRE SINGELO XLPE - 15KV - 16MM² - FORNECIMENTO E INSTALAÇÃO</v>
      </c>
      <c r="F876" s="690"/>
      <c r="G876" s="690"/>
      <c r="H876" s="690"/>
      <c r="I876" s="690"/>
      <c r="J876" s="691"/>
      <c r="K876" s="404">
        <v>9</v>
      </c>
      <c r="L876" s="468" t="str">
        <f>IFERROR(VLOOKUP($C876,'SINAPI JULHO 2021'!$1:$1048576,3,0),IFERROR(VLOOKUP($C876,'5-COMP. PROPRIA'!$B$4:$I$7999,5,0),""))</f>
        <v>M</v>
      </c>
      <c r="M876" s="106"/>
      <c r="N876" s="53"/>
    </row>
    <row r="877" spans="2:14" ht="40.5" customHeight="1">
      <c r="B877" s="207"/>
      <c r="C877" s="239" t="s">
        <v>7489</v>
      </c>
      <c r="D877" s="390" t="s">
        <v>4271</v>
      </c>
      <c r="E877" s="689" t="str">
        <f>IFERROR(VLOOKUP($C877,'SINAPI JULHO 2021'!$1:$1048576,2,0),IFERROR(VLOOKUP($C877,'5-COMP. PROPRIA'!$B$4:$I$7999,4,0),""))</f>
        <v>CABEÇOTE PARA ENTRADA DE LINHA DE ALIMENTAÇÃO PARA ELETRODUTO DE Ø4'' COM ACABAMENTO ANTI CORRESIVO - FORNECIMENTO E INSTALAÇÃO</v>
      </c>
      <c r="F877" s="690"/>
      <c r="G877" s="690"/>
      <c r="H877" s="690"/>
      <c r="I877" s="690"/>
      <c r="J877" s="691"/>
      <c r="K877" s="404">
        <v>1</v>
      </c>
      <c r="L877" s="468" t="str">
        <f>IFERROR(VLOOKUP($C877,'SINAPI JULHO 2021'!$1:$1048576,3,0),IFERROR(VLOOKUP($C877,'5-COMP. PROPRIA'!$B$4:$I$7999,5,0),""))</f>
        <v>UNI</v>
      </c>
      <c r="M877" s="106"/>
      <c r="N877" s="53"/>
    </row>
    <row r="878" spans="2:14" ht="40.5" customHeight="1">
      <c r="B878" s="207"/>
      <c r="C878" s="239">
        <v>91862</v>
      </c>
      <c r="D878" s="390" t="s">
        <v>7</v>
      </c>
      <c r="E878" s="689" t="str">
        <f>IFERROR(VLOOKUP($C878,'SINAPI JULHO 2021'!$1:$1048576,2,0),IFERROR(VLOOKUP($C878,'5-COMP. PROPRIA'!$B$4:$I$7999,4,0),""))</f>
        <v>ELETRODUTO RÍGIDO ROSCÁVEL, PVC, DN 20 MM (1/2"), PARA CIRCUITOS TERMINAIS, INSTALADO EM FORRO - FORNECIMENTO E INSTALAÇÃO. AF_12/2015</v>
      </c>
      <c r="F878" s="690"/>
      <c r="G878" s="690"/>
      <c r="H878" s="690"/>
      <c r="I878" s="690"/>
      <c r="J878" s="691"/>
      <c r="K878" s="404">
        <v>3</v>
      </c>
      <c r="L878" s="468" t="str">
        <f>IFERROR(VLOOKUP($C878,'SINAPI JULHO 2021'!$1:$1048576,3,0),IFERROR(VLOOKUP($C878,'5-COMP. PROPRIA'!$B$4:$I$7999,5,0),""))</f>
        <v>M</v>
      </c>
      <c r="M878" s="106"/>
      <c r="N878" s="53"/>
    </row>
    <row r="879" spans="2:14" ht="40.5" customHeight="1">
      <c r="B879" s="207"/>
      <c r="C879" s="239" t="s">
        <v>7491</v>
      </c>
      <c r="D879" s="390" t="s">
        <v>4271</v>
      </c>
      <c r="E879" s="689" t="str">
        <f>IFERROR(VLOOKUP($C879,'SINAPI JULHO 2021'!$1:$1048576,2,0),IFERROR(VLOOKUP($C879,'5-COMP. PROPRIA'!$B$4:$I$7999,4,0),""))</f>
        <v>MURETA EM ALVENARIA 2 VEZ DIM 2,20X2,20 METROS COM COBERTURA DE 5% DE INCLINAÇÃO</v>
      </c>
      <c r="F879" s="690"/>
      <c r="G879" s="690"/>
      <c r="H879" s="690"/>
      <c r="I879" s="690"/>
      <c r="J879" s="691"/>
      <c r="K879" s="404">
        <v>1</v>
      </c>
      <c r="L879" s="468" t="str">
        <f>IFERROR(VLOOKUP($C879,'SINAPI JULHO 2021'!$1:$1048576,3,0),IFERROR(VLOOKUP($C879,'5-COMP. PROPRIA'!$B$4:$I$7999,5,0),""))</f>
        <v>UNI</v>
      </c>
      <c r="M879" s="106"/>
      <c r="N879" s="53"/>
    </row>
    <row r="880" spans="2:14" ht="40.5" customHeight="1">
      <c r="B880" s="207"/>
      <c r="C880" s="239" t="s">
        <v>7495</v>
      </c>
      <c r="D880" s="390" t="s">
        <v>4271</v>
      </c>
      <c r="E880" s="689" t="str">
        <f>IFERROR(VLOOKUP($C880,'SINAPI JULHO 2021'!$1:$1048576,2,0),IFERROR(VLOOKUP($C880,'5-COMP. PROPRIA'!$B$4:$I$7999,4,0),""))</f>
        <v>ARMARIO DE MEDIÇÃO DIRETA 800A E PROTEÇÃO ENERGISA-MT - NDU 002 - FORNECIMENTO E INSTALAÇÃO</v>
      </c>
      <c r="F880" s="690"/>
      <c r="G880" s="690"/>
      <c r="H880" s="690"/>
      <c r="I880" s="690"/>
      <c r="J880" s="691"/>
      <c r="K880" s="404">
        <v>1</v>
      </c>
      <c r="L880" s="468" t="str">
        <f>IFERROR(VLOOKUP($C880,'SINAPI JULHO 2021'!$1:$1048576,3,0),IFERROR(VLOOKUP($C880,'5-COMP. PROPRIA'!$B$4:$I$7999,5,0),""))</f>
        <v>UNI</v>
      </c>
      <c r="M880" s="106"/>
      <c r="N880" s="53"/>
    </row>
    <row r="881" spans="2:14" ht="40.5" customHeight="1">
      <c r="B881" s="207"/>
      <c r="C881" s="239" t="s">
        <v>7498</v>
      </c>
      <c r="D881" s="390" t="s">
        <v>4271</v>
      </c>
      <c r="E881" s="689" t="str">
        <f>IFERROR(VLOOKUP($C881,'SINAPI JULHO 2021'!$1:$1048576,2,0),IFERROR(VLOOKUP($C881,'5-COMP. PROPRIA'!$B$4:$I$7999,4,0),""))</f>
        <v>DISJUNTOR TERMOMAGNETICO TRIPOLAR 300 A - 600 V - FORNECIMENTO E INSTALAÇÃO</v>
      </c>
      <c r="F881" s="690"/>
      <c r="G881" s="690"/>
      <c r="H881" s="690"/>
      <c r="I881" s="690"/>
      <c r="J881" s="691"/>
      <c r="K881" s="404">
        <v>1</v>
      </c>
      <c r="L881" s="468" t="str">
        <f>IFERROR(VLOOKUP($C881,'SINAPI JULHO 2021'!$1:$1048576,3,0),IFERROR(VLOOKUP($C881,'5-COMP. PROPRIA'!$B$4:$I$7999,5,0),""))</f>
        <v>UNI</v>
      </c>
      <c r="M881" s="106"/>
      <c r="N881" s="53"/>
    </row>
    <row r="882" spans="2:14" ht="40.5" customHeight="1">
      <c r="B882" s="207"/>
      <c r="C882" s="239">
        <v>92998</v>
      </c>
      <c r="D882" s="390" t="s">
        <v>7</v>
      </c>
      <c r="E882" s="689" t="str">
        <f>IFERROR(VLOOKUP($C882,'SINAPI JULHO 2021'!$1:$1048576,2,0),IFERROR(VLOOKUP($C882,'5-COMP. PROPRIA'!$B$4:$I$7999,4,0),""))</f>
        <v>CABO DE COBRE FLEXÍVEL ISOLADO, 185 MM², ANTI-CHAMA 0,6/1,0 KV, PARA DISTRIBUIÇÃO - FORNECIMENTO E INSTALAÇÃO. AF_12/2015</v>
      </c>
      <c r="F882" s="690"/>
      <c r="G882" s="690"/>
      <c r="H882" s="690"/>
      <c r="I882" s="690"/>
      <c r="J882" s="691"/>
      <c r="K882" s="404">
        <v>27</v>
      </c>
      <c r="L882" s="468" t="str">
        <f>IFERROR(VLOOKUP($C882,'SINAPI JULHO 2021'!$1:$1048576,3,0),IFERROR(VLOOKUP($C882,'5-COMP. PROPRIA'!$B$4:$I$7999,5,0),""))</f>
        <v>M</v>
      </c>
      <c r="M882" s="106"/>
      <c r="N882" s="53"/>
    </row>
    <row r="883" spans="2:14" ht="40.5" customHeight="1">
      <c r="B883" s="207"/>
      <c r="C883" s="239">
        <v>92992</v>
      </c>
      <c r="D883" s="390" t="s">
        <v>7</v>
      </c>
      <c r="E883" s="689" t="str">
        <f>IFERROR(VLOOKUP($C883,'SINAPI JULHO 2021'!$1:$1048576,2,0),IFERROR(VLOOKUP($C883,'5-COMP. PROPRIA'!$B$4:$I$7999,4,0),""))</f>
        <v>CABO DE COBRE FLEXÍVEL ISOLADO, 95 MM², ANTI-CHAMA 0,6/1,0 KV, PARA DISTRIBUIÇÃO - FORNECIMENTO E INSTALAÇÃO. AF_12/2015</v>
      </c>
      <c r="F883" s="690"/>
      <c r="G883" s="690"/>
      <c r="H883" s="690"/>
      <c r="I883" s="690"/>
      <c r="J883" s="691"/>
      <c r="K883" s="404">
        <v>9</v>
      </c>
      <c r="L883" s="468" t="str">
        <f>IFERROR(VLOOKUP($C883,'SINAPI JULHO 2021'!$1:$1048576,3,0),IFERROR(VLOOKUP($C883,'5-COMP. PROPRIA'!$B$4:$I$7999,5,0),""))</f>
        <v>M</v>
      </c>
      <c r="M883" s="106"/>
      <c r="N883" s="53"/>
    </row>
    <row r="884" spans="2:14" ht="40.5" customHeight="1">
      <c r="B884" s="207"/>
      <c r="C884" s="239" t="s">
        <v>7500</v>
      </c>
      <c r="D884" s="390" t="s">
        <v>4271</v>
      </c>
      <c r="E884" s="689" t="str">
        <f>IFERROR(VLOOKUP($C884,'SINAPI JULHO 2021'!$1:$1048576,2,0),IFERROR(VLOOKUP($C884,'5-COMP. PROPRIA'!$B$4:$I$7999,4,0),""))</f>
        <v>ELETRODUTO AÇO CARBONO COM COSTURA GALVANIZADO A FOGO Ø100MM - FORNECIMENTO E INSTALAÇÃO</v>
      </c>
      <c r="F884" s="690"/>
      <c r="G884" s="690"/>
      <c r="H884" s="690"/>
      <c r="I884" s="690"/>
      <c r="J884" s="691"/>
      <c r="K884" s="404">
        <v>6</v>
      </c>
      <c r="L884" s="468" t="str">
        <f>IFERROR(VLOOKUP($C884,'SINAPI JULHO 2021'!$1:$1048576,3,0),IFERROR(VLOOKUP($C884,'5-COMP. PROPRIA'!$B$4:$I$7999,5,0),""))</f>
        <v>M</v>
      </c>
      <c r="M884" s="106"/>
      <c r="N884" s="53"/>
    </row>
    <row r="885" spans="2:14" ht="40.5" customHeight="1">
      <c r="B885" s="207"/>
      <c r="C885" s="239" t="s">
        <v>7503</v>
      </c>
      <c r="D885" s="390" t="s">
        <v>4271</v>
      </c>
      <c r="E885" s="689" t="str">
        <f>IFERROR(VLOOKUP($C885,'SINAPI JULHO 2021'!$1:$1048576,2,0),IFERROR(VLOOKUP($C885,'5-COMP. PROPRIA'!$B$4:$I$7999,4,0),""))</f>
        <v>TERMINAL METALICO A PRESSAO PARA 1 CABO DE 185 MM2, COM 1 FURO DE FIXACAO - FORNECIMENTO E INSTALAÇÃO</v>
      </c>
      <c r="F885" s="690"/>
      <c r="G885" s="690"/>
      <c r="H885" s="690"/>
      <c r="I885" s="690"/>
      <c r="J885" s="691"/>
      <c r="K885" s="404">
        <v>6</v>
      </c>
      <c r="L885" s="468" t="str">
        <f>IFERROR(VLOOKUP($C885,'SINAPI JULHO 2021'!$1:$1048576,3,0),IFERROR(VLOOKUP($C885,'5-COMP. PROPRIA'!$B$4:$I$7999,5,0),""))</f>
        <v>UNI</v>
      </c>
      <c r="M885" s="106"/>
      <c r="N885" s="53"/>
    </row>
    <row r="886" spans="2:14" ht="40.5" customHeight="1">
      <c r="B886" s="207"/>
      <c r="C886" s="239" t="s">
        <v>7505</v>
      </c>
      <c r="D886" s="390" t="s">
        <v>4271</v>
      </c>
      <c r="E886" s="689" t="str">
        <f>IFERROR(VLOOKUP($C886,'SINAPI JULHO 2021'!$1:$1048576,2,0),IFERROR(VLOOKUP($C886,'5-COMP. PROPRIA'!$B$4:$I$7999,4,0),""))</f>
        <v>TERMINAL METALICO A PRESSAO PARA 1 CABO DE 95 MM2, COM 1 FURO DE FIXACAO - FORNECIMENTO E INSTALAÇÃO</v>
      </c>
      <c r="F886" s="690"/>
      <c r="G886" s="690"/>
      <c r="H886" s="690"/>
      <c r="I886" s="690"/>
      <c r="J886" s="691"/>
      <c r="K886" s="404">
        <v>2</v>
      </c>
      <c r="L886" s="468" t="str">
        <f>IFERROR(VLOOKUP($C886,'SINAPI JULHO 2021'!$1:$1048576,3,0),IFERROR(VLOOKUP($C886,'5-COMP. PROPRIA'!$B$4:$I$7999,5,0),""))</f>
        <v>UNI</v>
      </c>
      <c r="M886" s="106"/>
      <c r="N886" s="53"/>
    </row>
    <row r="887" spans="2:14" ht="15.75" thickBot="1">
      <c r="B887" s="207"/>
      <c r="C887" s="239" t="s">
        <v>7429</v>
      </c>
      <c r="D887" s="390" t="s">
        <v>4271</v>
      </c>
      <c r="E887" s="689" t="str">
        <f>IFERROR(VLOOKUP($C887,'SINAPI JULHO 2021'!$1:$1048576,2,0),IFERROR(VLOOKUP($C887,'5-COMP. PROPRIA'!$B$4:$I$7999,4,0),""))</f>
        <v>PARA RAIO BAIXA TENSÃO PRBT, REDE ISOLADA</v>
      </c>
      <c r="F887" s="690"/>
      <c r="G887" s="690"/>
      <c r="H887" s="690"/>
      <c r="I887" s="690"/>
      <c r="J887" s="691"/>
      <c r="K887" s="404">
        <v>3</v>
      </c>
      <c r="L887" s="468" t="str">
        <f>IFERROR(VLOOKUP($C887,'SINAPI JULHO 2021'!$1:$1048576,3,0),IFERROR(VLOOKUP($C887,'5-COMP. PROPRIA'!$B$4:$I$7999,5,0),""))</f>
        <v>UNI</v>
      </c>
      <c r="M887" s="106"/>
      <c r="N887" s="53"/>
    </row>
    <row r="888" spans="2:14" ht="15.75" thickBot="1">
      <c r="B888" s="207"/>
      <c r="C888" s="239"/>
      <c r="D888" s="137"/>
      <c r="E888" s="695" t="s">
        <v>7588</v>
      </c>
      <c r="F888" s="696"/>
      <c r="G888" s="696"/>
      <c r="H888" s="696"/>
      <c r="I888" s="696"/>
      <c r="J888" s="697"/>
      <c r="K888" s="404"/>
      <c r="L888" s="468"/>
      <c r="M888" s="106"/>
      <c r="N888" s="53"/>
    </row>
    <row r="889" spans="2:14" ht="40.5" customHeight="1">
      <c r="B889" s="207"/>
      <c r="C889" s="239" t="s">
        <v>7508</v>
      </c>
      <c r="D889" s="390" t="s">
        <v>4271</v>
      </c>
      <c r="E889" s="689" t="str">
        <f>IFERROR(VLOOKUP($C889,'SINAPI JULHO 2021'!$1:$1048576,2,0),IFERROR(VLOOKUP($C889,'5-COMP. PROPRIA'!$B$4:$I$7999,4,0),""))</f>
        <v>CABO DE ALUMINIO PROTEGIDO 50MM² - 15KV - XLPE - FORNECIMENTO E INSTALAÇÃO</v>
      </c>
      <c r="F889" s="690"/>
      <c r="G889" s="690"/>
      <c r="H889" s="690"/>
      <c r="I889" s="690"/>
      <c r="J889" s="691"/>
      <c r="K889" s="404">
        <v>45</v>
      </c>
      <c r="L889" s="468" t="str">
        <f>IFERROR(VLOOKUP($C889,'SINAPI JULHO 2021'!$1:$1048576,3,0),IFERROR(VLOOKUP($C889,'5-COMP. PROPRIA'!$B$4:$I$7999,5,0),""))</f>
        <v>M</v>
      </c>
      <c r="M889" s="106"/>
      <c r="N889" s="53"/>
    </row>
    <row r="890" spans="2:14" ht="40.5" customHeight="1">
      <c r="B890" s="207"/>
      <c r="C890" s="239" t="s">
        <v>7511</v>
      </c>
      <c r="D890" s="390" t="s">
        <v>4271</v>
      </c>
      <c r="E890" s="689" t="str">
        <f>IFERROR(VLOOKUP($C890,'SINAPI JULHO 2021'!$1:$1048576,2,0),IFERROR(VLOOKUP($C890,'5-COMP. PROPRIA'!$B$4:$I$7999,4,0),""))</f>
        <v>CABO DE ACO GALVANIZADO 9,5MM - FORNECIMENTO E INSTALAÇÃO</v>
      </c>
      <c r="F890" s="690"/>
      <c r="G890" s="690"/>
      <c r="H890" s="690"/>
      <c r="I890" s="690"/>
      <c r="J890" s="691"/>
      <c r="K890" s="404">
        <v>15</v>
      </c>
      <c r="L890" s="468" t="str">
        <f>IFERROR(VLOOKUP($C890,'SINAPI JULHO 2021'!$1:$1048576,3,0),IFERROR(VLOOKUP($C890,'5-COMP. PROPRIA'!$B$4:$I$7999,5,0),""))</f>
        <v>M</v>
      </c>
      <c r="M890" s="106"/>
      <c r="N890" s="53"/>
    </row>
    <row r="891" spans="2:14" ht="40.5" customHeight="1">
      <c r="B891" s="207"/>
      <c r="C891" s="239" t="s">
        <v>7514</v>
      </c>
      <c r="D891" s="390" t="s">
        <v>4271</v>
      </c>
      <c r="E891" s="689" t="str">
        <f>IFERROR(VLOOKUP($C891,'SINAPI JULHO 2021'!$1:$1048576,2,0),IFERROR(VLOOKUP($C891,'5-COMP. PROPRIA'!$B$4:$I$7999,4,0),""))</f>
        <v>ESPAÇADOR LOSANGULAR POLIMÉRICO PARA CABO DE ALUMÍNIO - 15KV - FORNECIMENTO E INSTALAÇÃO</v>
      </c>
      <c r="F891" s="690"/>
      <c r="G891" s="690"/>
      <c r="H891" s="690"/>
      <c r="I891" s="690"/>
      <c r="J891" s="691"/>
      <c r="K891" s="404">
        <v>1</v>
      </c>
      <c r="L891" s="468" t="str">
        <f>IFERROR(VLOOKUP($C891,'SINAPI JULHO 2021'!$1:$1048576,3,0),IFERROR(VLOOKUP($C891,'5-COMP. PROPRIA'!$B$4:$I$7999,5,0),""))</f>
        <v>UNI</v>
      </c>
      <c r="M891" s="106"/>
      <c r="N891" s="53"/>
    </row>
    <row r="892" spans="2:14" ht="40.5" customHeight="1" thickBot="1">
      <c r="B892" s="207"/>
      <c r="C892" s="239" t="s">
        <v>7517</v>
      </c>
      <c r="D892" s="390" t="s">
        <v>4271</v>
      </c>
      <c r="E892" s="689" t="str">
        <f>IFERROR(VLOOKUP($C892,'SINAPI JULHO 2021'!$1:$1048576,2,0),IFERROR(VLOOKUP($C892,'5-COMP. PROPRIA'!$B$4:$I$7999,4,0),""))</f>
        <v>SERVIÇO DE CAMINHÃO DE LINHA VIVA PARA DE CONEXÃO EM REDE DE MÉDIA TENSÃO - 13,8KV</v>
      </c>
      <c r="F892" s="690"/>
      <c r="G892" s="690"/>
      <c r="H892" s="690"/>
      <c r="I892" s="690"/>
      <c r="J892" s="691"/>
      <c r="K892" s="404">
        <v>1</v>
      </c>
      <c r="L892" s="468" t="str">
        <f>IFERROR(VLOOKUP($C892,'SINAPI JULHO 2021'!$1:$1048576,3,0),IFERROR(VLOOKUP($C892,'5-COMP. PROPRIA'!$B$4:$I$7999,5,0),""))</f>
        <v>UNI</v>
      </c>
      <c r="M892" s="106"/>
      <c r="N892" s="53"/>
    </row>
    <row r="893" spans="2:14" ht="15.75" thickBot="1">
      <c r="B893" s="207"/>
      <c r="C893" s="239"/>
      <c r="D893" s="137"/>
      <c r="E893" s="695" t="s">
        <v>7519</v>
      </c>
      <c r="F893" s="696"/>
      <c r="G893" s="696"/>
      <c r="H893" s="696"/>
      <c r="I893" s="696"/>
      <c r="J893" s="697"/>
      <c r="K893" s="404"/>
      <c r="L893" s="468"/>
      <c r="M893" s="106"/>
      <c r="N893" s="53"/>
    </row>
    <row r="894" spans="2:14" ht="40.5" customHeight="1">
      <c r="B894" s="207"/>
      <c r="C894" s="239" t="s">
        <v>7520</v>
      </c>
      <c r="D894" s="390" t="s">
        <v>4271</v>
      </c>
      <c r="E894" s="689" t="str">
        <f>IFERROR(VLOOKUP($C894,'SINAPI JULHO 2021'!$1:$1048576,2,0),IFERROR(VLOOKUP($C894,'5-COMP. PROPRIA'!$B$4:$I$7999,4,0),""))</f>
        <v>ARAME DE AÇO GALVANIZADO 14 BWG - FORNECIMENTO E INSTALAÇÃO</v>
      </c>
      <c r="F894" s="690"/>
      <c r="G894" s="690"/>
      <c r="H894" s="690"/>
      <c r="I894" s="690"/>
      <c r="J894" s="691"/>
      <c r="K894" s="404">
        <v>10</v>
      </c>
      <c r="L894" s="468" t="str">
        <f>IFERROR(VLOOKUP($C894,'SINAPI JULHO 2021'!$1:$1048576,3,0),IFERROR(VLOOKUP($C894,'5-COMP. PROPRIA'!$B$4:$I$7999,5,0),""))</f>
        <v>M</v>
      </c>
      <c r="M894" s="106"/>
      <c r="N894" s="53"/>
    </row>
    <row r="895" spans="2:14" ht="40.5" customHeight="1">
      <c r="B895" s="207"/>
      <c r="C895" s="239">
        <v>91933</v>
      </c>
      <c r="D895" s="390" t="s">
        <v>7</v>
      </c>
      <c r="E895" s="689" t="str">
        <f>IFERROR(VLOOKUP($C895,'SINAPI JULHO 2021'!$1:$1048576,2,0),IFERROR(VLOOKUP($C895,'5-COMP. PROPRIA'!$B$4:$I$7999,4,0),""))</f>
        <v>CABO DE COBRE FLEXÍVEL ISOLADO, 10 MM², ANTI-CHAMA 0,6/1,0 KV, PARA CIRCUITOS TERMINAIS - FORNECIMENTO E INSTALAÇÃO. AF_12/2015</v>
      </c>
      <c r="F895" s="690"/>
      <c r="G895" s="690"/>
      <c r="H895" s="690"/>
      <c r="I895" s="690"/>
      <c r="J895" s="691"/>
      <c r="K895" s="404">
        <v>3</v>
      </c>
      <c r="L895" s="468" t="str">
        <f>IFERROR(VLOOKUP($C895,'SINAPI JULHO 2021'!$1:$1048576,3,0),IFERROR(VLOOKUP($C895,'5-COMP. PROPRIA'!$B$4:$I$7999,5,0),""))</f>
        <v>M</v>
      </c>
      <c r="M895" s="106"/>
      <c r="N895" s="53"/>
    </row>
    <row r="896" spans="2:14" ht="40.5" customHeight="1">
      <c r="B896" s="207"/>
      <c r="C896" s="239">
        <v>97886</v>
      </c>
      <c r="D896" s="390" t="s">
        <v>7</v>
      </c>
      <c r="E896" s="689" t="str">
        <f>IFERROR(VLOOKUP($C896,'SINAPI JULHO 2021'!$1:$1048576,2,0),IFERROR(VLOOKUP($C896,'5-COMP. PROPRIA'!$B$4:$I$7999,4,0),""))</f>
        <v>CAIXA ENTERRADA ELÉTRICA RETANGULAR, EM ALVENARIA COM TIJOLOS CERÂMICOS MACIÇOS, FUNDO COM BRITA, DIMENSÕES INTERNAS: 0,3X0,3X0,3 M. AF_12/2020</v>
      </c>
      <c r="F896" s="690"/>
      <c r="G896" s="690"/>
      <c r="H896" s="690"/>
      <c r="I896" s="690"/>
      <c r="J896" s="691"/>
      <c r="K896" s="404">
        <v>6</v>
      </c>
      <c r="L896" s="468" t="str">
        <f>IFERROR(VLOOKUP($C896,'SINAPI JULHO 2021'!$1:$1048576,3,0),IFERROR(VLOOKUP($C896,'5-COMP. PROPRIA'!$B$4:$I$7999,5,0),""))</f>
        <v>UN</v>
      </c>
      <c r="M896" s="106"/>
      <c r="N896" s="53"/>
    </row>
    <row r="897" spans="2:14" ht="40.5" customHeight="1">
      <c r="B897" s="207"/>
      <c r="C897" s="239" t="s">
        <v>7522</v>
      </c>
      <c r="D897" s="390" t="s">
        <v>4271</v>
      </c>
      <c r="E897" s="689" t="str">
        <f>IFERROR(VLOOKUP($C897,'SINAPI JULHO 2021'!$1:$1048576,2,0),IFERROR(VLOOKUP($C897,'5-COMP. PROPRIA'!$B$4:$I$7999,4,0),""))</f>
        <v>CONECTOR DE DERIVAÇÃO CUNHA - FORNECIMENTO E INSTALAÇÃO</v>
      </c>
      <c r="F897" s="690"/>
      <c r="G897" s="690"/>
      <c r="H897" s="690"/>
      <c r="I897" s="690"/>
      <c r="J897" s="691"/>
      <c r="K897" s="404">
        <v>2</v>
      </c>
      <c r="L897" s="468" t="str">
        <f>IFERROR(VLOOKUP($C897,'SINAPI JULHO 2021'!$1:$1048576,3,0),IFERROR(VLOOKUP($C897,'5-COMP. PROPRIA'!$B$4:$I$7999,5,0),""))</f>
        <v>UNI</v>
      </c>
      <c r="M897" s="106"/>
      <c r="N897" s="53"/>
    </row>
    <row r="898" spans="2:14" ht="40.5" customHeight="1">
      <c r="B898" s="207"/>
      <c r="C898" s="239">
        <v>96977</v>
      </c>
      <c r="D898" s="390" t="s">
        <v>7</v>
      </c>
      <c r="E898" s="689" t="str">
        <f>IFERROR(VLOOKUP($C898,'SINAPI JULHO 2021'!$1:$1048576,2,0),IFERROR(VLOOKUP($C898,'5-COMP. PROPRIA'!$B$4:$I$7999,4,0),""))</f>
        <v>CORDOALHA DE COBRE NU 50 MM², ENTERRADA, SEM ISOLADOR - FORNECIMENTO E INSTALAÇÃO. AF_12/2017</v>
      </c>
      <c r="F898" s="690"/>
      <c r="G898" s="690"/>
      <c r="H898" s="690"/>
      <c r="I898" s="690"/>
      <c r="J898" s="691"/>
      <c r="K898" s="404">
        <v>29.5</v>
      </c>
      <c r="L898" s="468" t="str">
        <f>IFERROR(VLOOKUP($C898,'SINAPI JULHO 2021'!$1:$1048576,3,0),IFERROR(VLOOKUP($C898,'5-COMP. PROPRIA'!$B$4:$I$7999,5,0),""))</f>
        <v>M</v>
      </c>
      <c r="M898" s="106"/>
      <c r="N898" s="53"/>
    </row>
    <row r="899" spans="2:14" ht="40.5" customHeight="1" thickBot="1">
      <c r="B899" s="207"/>
      <c r="C899" s="239" t="s">
        <v>7525</v>
      </c>
      <c r="D899" s="390" t="s">
        <v>4271</v>
      </c>
      <c r="E899" s="689" t="str">
        <f>IFERROR(VLOOKUP($C899,'SINAPI JULHO 2021'!$1:$1048576,2,0),IFERROR(VLOOKUP($C899,'5-COMP. PROPRIA'!$B$4:$I$7999,4,0),""))</f>
        <v>HASTE DE ATERRAMENTO EM ACO COM 3,00 M DE COMPRIMENTO E DN = 5/8", REVESTIDA COM BAIXA CAMADA DE COBRE, COM CONECTOR TIPO GRAMPO</v>
      </c>
      <c r="F899" s="690"/>
      <c r="G899" s="690"/>
      <c r="H899" s="690"/>
      <c r="I899" s="690"/>
      <c r="J899" s="691"/>
      <c r="K899" s="404">
        <v>10</v>
      </c>
      <c r="L899" s="468" t="str">
        <f>IFERROR(VLOOKUP($C899,'SINAPI JULHO 2021'!$1:$1048576,3,0),IFERROR(VLOOKUP($C899,'5-COMP. PROPRIA'!$B$4:$I$7999,5,0),""))</f>
        <v>UNI</v>
      </c>
      <c r="M899" s="106"/>
      <c r="N899" s="53"/>
    </row>
    <row r="900" spans="2:14" ht="15.75" thickBot="1">
      <c r="B900" s="207"/>
      <c r="C900" s="239"/>
      <c r="D900" s="137"/>
      <c r="E900" s="695" t="s">
        <v>7527</v>
      </c>
      <c r="F900" s="696"/>
      <c r="G900" s="696"/>
      <c r="H900" s="696"/>
      <c r="I900" s="696"/>
      <c r="J900" s="697"/>
      <c r="K900" s="404"/>
      <c r="L900" s="468"/>
      <c r="M900" s="106"/>
      <c r="N900" s="53"/>
    </row>
    <row r="901" spans="2:14" ht="15">
      <c r="B901" s="207"/>
      <c r="C901" s="239" t="s">
        <v>7461</v>
      </c>
      <c r="D901" s="390" t="s">
        <v>4271</v>
      </c>
      <c r="E901" s="689" t="str">
        <f>IFERROR(VLOOKUP($C901,'SINAPI JULHO 2021'!$1:$1048576,2,0),IFERROR(VLOOKUP($C901,'5-COMP. PROPRIA'!$B$4:$I$7999,4,0),""))</f>
        <v>POSTE DE CONCRETO DT 11/300 DAN COM BASE CONCRETADA - FORNECIMENTO E INSTALAÇÃO</v>
      </c>
      <c r="F901" s="690"/>
      <c r="G901" s="690"/>
      <c r="H901" s="690"/>
      <c r="I901" s="690"/>
      <c r="J901" s="691"/>
      <c r="K901" s="404">
        <v>1</v>
      </c>
      <c r="L901" s="468" t="str">
        <f>IFERROR(VLOOKUP($C901,'SINAPI JULHO 2021'!$1:$1048576,3,0),IFERROR(VLOOKUP($C901,'5-COMP. PROPRIA'!$B$4:$I$7999,5,0),""))</f>
        <v>UNI</v>
      </c>
      <c r="M901" s="106"/>
      <c r="N901" s="53"/>
    </row>
    <row r="902" spans="2:14" ht="15">
      <c r="B902" s="207"/>
      <c r="C902" s="239" t="s">
        <v>7454</v>
      </c>
      <c r="D902" s="390" t="s">
        <v>4271</v>
      </c>
      <c r="E902" s="689" t="str">
        <f>IFERROR(VLOOKUP($C902,'SINAPI JULHO 2021'!$1:$1048576,2,0),IFERROR(VLOOKUP($C902,'5-COMP. PROPRIA'!$B$4:$I$7999,4,0),""))</f>
        <v>CRUZETA DE CONCRETO 250 DAN RETANGULAR - FORNECIMENTO E INSTALAÇÃO</v>
      </c>
      <c r="F902" s="690"/>
      <c r="G902" s="690"/>
      <c r="H902" s="690"/>
      <c r="I902" s="690"/>
      <c r="J902" s="691"/>
      <c r="K902" s="404">
        <v>2</v>
      </c>
      <c r="L902" s="468" t="str">
        <f>IFERROR(VLOOKUP($C902,'SINAPI JULHO 2021'!$1:$1048576,3,0),IFERROR(VLOOKUP($C902,'5-COMP. PROPRIA'!$B$4:$I$7999,5,0),""))</f>
        <v>UNI</v>
      </c>
      <c r="M902" s="106"/>
      <c r="N902" s="53"/>
    </row>
    <row r="903" spans="2:14" ht="15">
      <c r="B903" s="207"/>
      <c r="C903" s="239" t="s">
        <v>7458</v>
      </c>
      <c r="D903" s="390" t="s">
        <v>4271</v>
      </c>
      <c r="E903" s="689" t="str">
        <f>IFERROR(VLOOKUP($C903,'SINAPI JULHO 2021'!$1:$1048576,2,0),IFERROR(VLOOKUP($C903,'5-COMP. PROPRIA'!$B$4:$I$7999,4,0),""))</f>
        <v>MÃO FRANCESA 619MM - FORNECIMENTO E INSTALAÇÃO</v>
      </c>
      <c r="F903" s="690"/>
      <c r="G903" s="690"/>
      <c r="H903" s="690"/>
      <c r="I903" s="690"/>
      <c r="J903" s="691"/>
      <c r="K903" s="404">
        <v>4</v>
      </c>
      <c r="L903" s="468" t="str">
        <f>IFERROR(VLOOKUP($C903,'SINAPI JULHO 2021'!$1:$1048576,3,0),IFERROR(VLOOKUP($C903,'5-COMP. PROPRIA'!$B$4:$I$7999,5,0),""))</f>
        <v>UNI</v>
      </c>
      <c r="M903" s="106"/>
      <c r="N903" s="53"/>
    </row>
    <row r="904" spans="2:14" ht="40.5" customHeight="1">
      <c r="B904" s="207"/>
      <c r="C904" s="239" t="s">
        <v>7479</v>
      </c>
      <c r="D904" s="390" t="s">
        <v>4271</v>
      </c>
      <c r="E904" s="689" t="str">
        <f>IFERROR(VLOOKUP($C904,'SINAPI JULHO 2021'!$1:$1048576,2,0),IFERROR(VLOOKUP($C904,'5-COMP. PROPRIA'!$B$4:$I$7999,4,0),""))</f>
        <v xml:space="preserve">ISOLADOR DE PINO POLIMÉRICO COM ANEL DE AMARRAÇÃO - 15KV - FORNECIMENTO E INSTALAÇÃO </v>
      </c>
      <c r="F904" s="690"/>
      <c r="G904" s="690"/>
      <c r="H904" s="690"/>
      <c r="I904" s="690"/>
      <c r="J904" s="691"/>
      <c r="K904" s="404">
        <v>1</v>
      </c>
      <c r="L904" s="468" t="str">
        <f>IFERROR(VLOOKUP($C904,'SINAPI JULHO 2021'!$1:$1048576,3,0),IFERROR(VLOOKUP($C904,'5-COMP. PROPRIA'!$B$4:$I$7999,5,0),""))</f>
        <v>UNI</v>
      </c>
      <c r="M904" s="106"/>
      <c r="N904" s="53"/>
    </row>
    <row r="905" spans="2:14" ht="15">
      <c r="B905" s="207"/>
      <c r="C905" s="239" t="s">
        <v>7483</v>
      </c>
      <c r="D905" s="390" t="s">
        <v>4271</v>
      </c>
      <c r="E905" s="689" t="str">
        <f>IFERROR(VLOOKUP($C905,'SINAPI JULHO 2021'!$1:$1048576,2,0),IFERROR(VLOOKUP($C905,'5-COMP. PROPRIA'!$B$4:$I$7999,4,0),""))</f>
        <v>PINO CURTO PARA ISOLADOR DE PINO 15KV - FORNECIMENTO E INSTALAÇÃO</v>
      </c>
      <c r="F905" s="690"/>
      <c r="G905" s="690"/>
      <c r="H905" s="690"/>
      <c r="I905" s="690"/>
      <c r="J905" s="691"/>
      <c r="K905" s="404">
        <v>1</v>
      </c>
      <c r="L905" s="468" t="str">
        <f>IFERROR(VLOOKUP($C905,'SINAPI JULHO 2021'!$1:$1048576,3,0),IFERROR(VLOOKUP($C905,'5-COMP. PROPRIA'!$B$4:$I$7999,5,0),""))</f>
        <v>UNI</v>
      </c>
      <c r="M905" s="106"/>
      <c r="N905" s="53"/>
    </row>
    <row r="906" spans="2:14" ht="15">
      <c r="B906" s="207"/>
      <c r="C906" s="239" t="s">
        <v>7468</v>
      </c>
      <c r="D906" s="390" t="s">
        <v>4271</v>
      </c>
      <c r="E906" s="689" t="str">
        <f>IFERROR(VLOOKUP($C906,'SINAPI JULHO 2021'!$1:$1048576,2,0),IFERROR(VLOOKUP($C906,'5-COMP. PROPRIA'!$B$4:$I$7999,4,0),""))</f>
        <v>PARAFUSO CABECA QUADRADA DE 125MM - FORNECIMENTO E INSTALAÇÃO</v>
      </c>
      <c r="F906" s="690"/>
      <c r="G906" s="690"/>
      <c r="H906" s="690"/>
      <c r="I906" s="690"/>
      <c r="J906" s="691"/>
      <c r="K906" s="404">
        <v>5</v>
      </c>
      <c r="L906" s="468" t="str">
        <f>IFERROR(VLOOKUP($C906,'SINAPI JULHO 2021'!$1:$1048576,3,0),IFERROR(VLOOKUP($C906,'5-COMP. PROPRIA'!$B$4:$I$7999,5,0),""))</f>
        <v>UNI</v>
      </c>
      <c r="M906" s="106"/>
      <c r="N906" s="53"/>
    </row>
    <row r="907" spans="2:14" ht="15">
      <c r="B907" s="207"/>
      <c r="C907" s="239" t="s">
        <v>7470</v>
      </c>
      <c r="D907" s="390" t="s">
        <v>4271</v>
      </c>
      <c r="E907" s="689" t="str">
        <f>IFERROR(VLOOKUP($C907,'SINAPI JULHO 2021'!$1:$1048576,2,0),IFERROR(VLOOKUP($C907,'5-COMP. PROPRIA'!$B$4:$I$7999,4,0),""))</f>
        <v>PARAFUSO CABECA QUADRADA DE 200MM - FORNECIMENTO E INSTALAÇÃO</v>
      </c>
      <c r="F907" s="690"/>
      <c r="G907" s="690"/>
      <c r="H907" s="690"/>
      <c r="I907" s="690"/>
      <c r="J907" s="691"/>
      <c r="K907" s="404">
        <v>1</v>
      </c>
      <c r="L907" s="468" t="str">
        <f>IFERROR(VLOOKUP($C907,'SINAPI JULHO 2021'!$1:$1048576,3,0),IFERROR(VLOOKUP($C907,'5-COMP. PROPRIA'!$B$4:$I$7999,5,0),""))</f>
        <v>UNI</v>
      </c>
      <c r="M907" s="106"/>
      <c r="N907" s="53"/>
    </row>
    <row r="908" spans="2:14" ht="15">
      <c r="B908" s="207"/>
      <c r="C908" s="239" t="s">
        <v>7472</v>
      </c>
      <c r="D908" s="390" t="s">
        <v>4271</v>
      </c>
      <c r="E908" s="689" t="str">
        <f>IFERROR(VLOOKUP($C908,'SINAPI JULHO 2021'!$1:$1048576,2,0),IFERROR(VLOOKUP($C908,'5-COMP. PROPRIA'!$B$4:$I$7999,4,0),""))</f>
        <v>PARAFUSO CABECA QUADRADA DE 250MM - FORNECIMENTO E INSTALAÇÃO</v>
      </c>
      <c r="F908" s="690"/>
      <c r="G908" s="690"/>
      <c r="H908" s="690"/>
      <c r="I908" s="690"/>
      <c r="J908" s="691"/>
      <c r="K908" s="404">
        <v>2</v>
      </c>
      <c r="L908" s="468" t="str">
        <f>IFERROR(VLOOKUP($C908,'SINAPI JULHO 2021'!$1:$1048576,3,0),IFERROR(VLOOKUP($C908,'5-COMP. PROPRIA'!$B$4:$I$7999,5,0),""))</f>
        <v>UNI</v>
      </c>
      <c r="M908" s="106"/>
      <c r="N908" s="53"/>
    </row>
    <row r="909" spans="2:14" ht="15">
      <c r="B909" s="207"/>
      <c r="C909" s="239" t="s">
        <v>7474</v>
      </c>
      <c r="D909" s="390" t="s">
        <v>4271</v>
      </c>
      <c r="E909" s="689" t="str">
        <f>IFERROR(VLOOKUP($C909,'SINAPI JULHO 2021'!$1:$1048576,2,0),IFERROR(VLOOKUP($C909,'5-COMP. PROPRIA'!$B$4:$I$7999,4,0),""))</f>
        <v>PARAFUSO CABECA QUADRADA DE 300MM - FORNECIMENTO E INSTALAÇÃO</v>
      </c>
      <c r="F909" s="690"/>
      <c r="G909" s="690"/>
      <c r="H909" s="690"/>
      <c r="I909" s="690"/>
      <c r="J909" s="691"/>
      <c r="K909" s="404">
        <v>1</v>
      </c>
      <c r="L909" s="468" t="str">
        <f>IFERROR(VLOOKUP($C909,'SINAPI JULHO 2021'!$1:$1048576,3,0),IFERROR(VLOOKUP($C909,'5-COMP. PROPRIA'!$B$4:$I$7999,5,0),""))</f>
        <v>UNI</v>
      </c>
      <c r="M909" s="106"/>
      <c r="N909" s="53"/>
    </row>
    <row r="910" spans="2:14" ht="15">
      <c r="B910" s="207"/>
      <c r="C910" s="239" t="s">
        <v>7464</v>
      </c>
      <c r="D910" s="390" t="s">
        <v>4271</v>
      </c>
      <c r="E910" s="689" t="str">
        <f>IFERROR(VLOOKUP($C910,'SINAPI JULHO 2021'!$1:$1048576,2,0),IFERROR(VLOOKUP($C910,'5-COMP. PROPRIA'!$B$4:$I$7999,4,0),""))</f>
        <v>ARRUELA QUADRADA EM ACO GALVANIZADO - FORNECIMENTO E INSTALAÇÃO</v>
      </c>
      <c r="F910" s="690"/>
      <c r="G910" s="690"/>
      <c r="H910" s="690"/>
      <c r="I910" s="690"/>
      <c r="J910" s="691"/>
      <c r="K910" s="404">
        <v>14</v>
      </c>
      <c r="L910" s="468" t="str">
        <f>IFERROR(VLOOKUP($C910,'SINAPI JULHO 2021'!$1:$1048576,3,0),IFERROR(VLOOKUP($C910,'5-COMP. PROPRIA'!$B$4:$I$7999,5,0),""))</f>
        <v>UNI</v>
      </c>
      <c r="M910" s="106"/>
      <c r="N910" s="53"/>
    </row>
    <row r="911" spans="2:14" ht="40.5" customHeight="1">
      <c r="B911" s="207"/>
      <c r="C911" s="239" t="s">
        <v>7528</v>
      </c>
      <c r="D911" s="390" t="s">
        <v>4271</v>
      </c>
      <c r="E911" s="689" t="str">
        <f>IFERROR(VLOOKUP($C911,'SINAPI JULHO 2021'!$1:$1048576,2,0),IFERROR(VLOOKUP($C911,'5-COMP. PROPRIA'!$B$4:$I$7999,4,0),""))</f>
        <v>CHAVE FUSIVEL PARA REDES DE DISTRIBUICAO - 15,0 KV - 100 A - 10,00 KA, COM SUPORTE - FORNECIMENTO E INSTALAÇÃO</v>
      </c>
      <c r="F911" s="690"/>
      <c r="G911" s="690"/>
      <c r="H911" s="690"/>
      <c r="I911" s="690"/>
      <c r="J911" s="691"/>
      <c r="K911" s="404">
        <v>3</v>
      </c>
      <c r="L911" s="468" t="str">
        <f>IFERROR(VLOOKUP($C911,'SINAPI JULHO 2021'!$1:$1048576,3,0),IFERROR(VLOOKUP($C911,'5-COMP. PROPRIA'!$B$4:$I$7999,5,0),""))</f>
        <v>UNI</v>
      </c>
      <c r="M911" s="106"/>
      <c r="N911" s="53"/>
    </row>
    <row r="912" spans="2:14" ht="15">
      <c r="B912" s="207"/>
      <c r="C912" s="239" t="s">
        <v>7434</v>
      </c>
      <c r="D912" s="390" t="s">
        <v>4271</v>
      </c>
      <c r="E912" s="689" t="str">
        <f>IFERROR(VLOOKUP($C912,'SINAPI JULHO 2021'!$1:$1048576,2,0),IFERROR(VLOOKUP($C912,'5-COMP. PROPRIA'!$B$4:$I$7999,4,0),""))</f>
        <v>SAPATILHA EM AÇO GALVANIZADO - FORNECIMENTO E INSTALAÇÃO</v>
      </c>
      <c r="F912" s="690"/>
      <c r="G912" s="690"/>
      <c r="H912" s="690"/>
      <c r="I912" s="690"/>
      <c r="J912" s="691"/>
      <c r="K912" s="404">
        <v>1</v>
      </c>
      <c r="L912" s="468" t="str">
        <f>IFERROR(VLOOKUP($C912,'SINAPI JULHO 2021'!$1:$1048576,3,0),IFERROR(VLOOKUP($C912,'5-COMP. PROPRIA'!$B$4:$I$7999,5,0),""))</f>
        <v>UNI</v>
      </c>
      <c r="M912" s="106"/>
      <c r="N912" s="53"/>
    </row>
    <row r="913" spans="2:14" ht="15">
      <c r="B913" s="207"/>
      <c r="C913" s="239" t="s">
        <v>7436</v>
      </c>
      <c r="D913" s="390" t="s">
        <v>4271</v>
      </c>
      <c r="E913" s="689" t="str">
        <f>IFERROR(VLOOKUP($C913,'SINAPI JULHO 2021'!$1:$1048576,2,0),IFERROR(VLOOKUP($C913,'5-COMP. PROPRIA'!$B$4:$I$7999,4,0),""))</f>
        <v>OLHAL PARA PARAFUSO - FORNECIMENTO E INSTALAÇÃO</v>
      </c>
      <c r="F913" s="690"/>
      <c r="G913" s="690"/>
      <c r="H913" s="690"/>
      <c r="I913" s="690"/>
      <c r="J913" s="691"/>
      <c r="K913" s="404">
        <v>4</v>
      </c>
      <c r="L913" s="468" t="str">
        <f>IFERROR(VLOOKUP($C913,'SINAPI JULHO 2021'!$1:$1048576,3,0),IFERROR(VLOOKUP($C913,'5-COMP. PROPRIA'!$B$4:$I$7999,5,0),""))</f>
        <v>UNI</v>
      </c>
      <c r="M913" s="106"/>
      <c r="N913" s="53"/>
    </row>
    <row r="914" spans="2:14" ht="15">
      <c r="B914" s="207"/>
      <c r="C914" s="239" t="s">
        <v>7438</v>
      </c>
      <c r="D914" s="390" t="s">
        <v>4271</v>
      </c>
      <c r="E914" s="689" t="str">
        <f>IFERROR(VLOOKUP($C914,'SINAPI JULHO 2021'!$1:$1048576,2,0),IFERROR(VLOOKUP($C914,'5-COMP. PROPRIA'!$B$4:$I$7999,4,0),""))</f>
        <v>ISOLADOR DE ANCORAGEM TIPO BASTÃO POLIMÉRICO 15KV - FORNECIMENTO E INSTALAÇÃO</v>
      </c>
      <c r="F914" s="690"/>
      <c r="G914" s="690"/>
      <c r="H914" s="690"/>
      <c r="I914" s="690"/>
      <c r="J914" s="691"/>
      <c r="K914" s="404">
        <v>3</v>
      </c>
      <c r="L914" s="468" t="str">
        <f>IFERROR(VLOOKUP($C914,'SINAPI JULHO 2021'!$1:$1048576,3,0),IFERROR(VLOOKUP($C914,'5-COMP. PROPRIA'!$B$4:$I$7999,5,0),""))</f>
        <v>UNI</v>
      </c>
      <c r="M914" s="106"/>
      <c r="N914" s="53"/>
    </row>
    <row r="915" spans="2:14" ht="15">
      <c r="B915" s="207"/>
      <c r="C915" s="239" t="s">
        <v>7441</v>
      </c>
      <c r="D915" s="390" t="s">
        <v>4271</v>
      </c>
      <c r="E915" s="689" t="str">
        <f>IFERROR(VLOOKUP($C915,'SINAPI JULHO 2021'!$1:$1048576,2,0),IFERROR(VLOOKUP($C915,'5-COMP. PROPRIA'!$B$4:$I$7999,4,0),""))</f>
        <v>MANILHA SAPATILHA - FORNECIMENTO E INSTALAÇÃO</v>
      </c>
      <c r="F915" s="690"/>
      <c r="G915" s="690"/>
      <c r="H915" s="690"/>
      <c r="I915" s="690"/>
      <c r="J915" s="691"/>
      <c r="K915" s="404">
        <v>3</v>
      </c>
      <c r="L915" s="468" t="str">
        <f>IFERROR(VLOOKUP($C915,'SINAPI JULHO 2021'!$1:$1048576,3,0),IFERROR(VLOOKUP($C915,'5-COMP. PROPRIA'!$B$4:$I$7999,5,0),""))</f>
        <v>UNI</v>
      </c>
      <c r="M915" s="106"/>
      <c r="N915" s="53"/>
    </row>
    <row r="916" spans="2:14" ht="15">
      <c r="B916" s="207"/>
      <c r="C916" s="239" t="s">
        <v>7444</v>
      </c>
      <c r="D916" s="390" t="s">
        <v>4271</v>
      </c>
      <c r="E916" s="689" t="str">
        <f>IFERROR(VLOOKUP($C916,'SINAPI JULHO 2021'!$1:$1048576,2,0),IFERROR(VLOOKUP($C916,'5-COMP. PROPRIA'!$B$4:$I$7999,4,0),""))</f>
        <v>GANCHO OLHAL - FORNECIMENTO E INSTALAÇÃO</v>
      </c>
      <c r="F916" s="690"/>
      <c r="G916" s="690"/>
      <c r="H916" s="690"/>
      <c r="I916" s="690"/>
      <c r="J916" s="691"/>
      <c r="K916" s="404">
        <v>3</v>
      </c>
      <c r="L916" s="468" t="str">
        <f>IFERROR(VLOOKUP($C916,'SINAPI JULHO 2021'!$1:$1048576,3,0),IFERROR(VLOOKUP($C916,'5-COMP. PROPRIA'!$B$4:$I$7999,5,0),""))</f>
        <v>UNI</v>
      </c>
      <c r="M916" s="106"/>
      <c r="N916" s="53"/>
    </row>
    <row r="917" spans="2:14" ht="40.5" customHeight="1">
      <c r="B917" s="207"/>
      <c r="C917" s="239" t="s">
        <v>7531</v>
      </c>
      <c r="D917" s="390" t="s">
        <v>4271</v>
      </c>
      <c r="E917" s="689" t="str">
        <f>IFERROR(VLOOKUP($C917,'SINAPI JULHO 2021'!$1:$1048576,2,0),IFERROR(VLOOKUP($C917,'5-COMP. PROPRIA'!$B$4:$I$7999,4,0),""))</f>
        <v>CONECTOR CUNHA TIPO ESTRIBO DE ALUMÍNIO COM CAPA - 50MM² - FORNECIMENTO E INSTALAÇÃO</v>
      </c>
      <c r="F917" s="690"/>
      <c r="G917" s="690"/>
      <c r="H917" s="690"/>
      <c r="I917" s="690"/>
      <c r="J917" s="691"/>
      <c r="K917" s="404">
        <v>3</v>
      </c>
      <c r="L917" s="468" t="str">
        <f>IFERROR(VLOOKUP($C917,'SINAPI JULHO 2021'!$1:$1048576,3,0),IFERROR(VLOOKUP($C917,'5-COMP. PROPRIA'!$B$4:$I$7999,5,0),""))</f>
        <v>UNI</v>
      </c>
      <c r="M917" s="106"/>
      <c r="N917" s="53"/>
    </row>
    <row r="918" spans="2:14" ht="15">
      <c r="B918" s="207"/>
      <c r="C918" s="239" t="s">
        <v>7520</v>
      </c>
      <c r="D918" s="390" t="s">
        <v>4271</v>
      </c>
      <c r="E918" s="689" t="str">
        <f>IFERROR(VLOOKUP($C918,'SINAPI JULHO 2021'!$1:$1048576,2,0),IFERROR(VLOOKUP($C918,'5-COMP. PROPRIA'!$B$4:$I$7999,4,0),""))</f>
        <v>ARAME DE AÇO GALVANIZADO 14 BWG - FORNECIMENTO E INSTALAÇÃO</v>
      </c>
      <c r="F918" s="690"/>
      <c r="G918" s="690"/>
      <c r="H918" s="690"/>
      <c r="I918" s="690"/>
      <c r="J918" s="691"/>
      <c r="K918" s="404">
        <v>3</v>
      </c>
      <c r="L918" s="468" t="str">
        <f>IFERROR(VLOOKUP($C918,'SINAPI JULHO 2021'!$1:$1048576,3,0),IFERROR(VLOOKUP($C918,'5-COMP. PROPRIA'!$B$4:$I$7999,5,0),""))</f>
        <v>M</v>
      </c>
      <c r="M918" s="106"/>
      <c r="N918" s="53"/>
    </row>
    <row r="919" spans="2:14" ht="24.75" customHeight="1">
      <c r="B919" s="207"/>
      <c r="C919" s="239">
        <v>101553</v>
      </c>
      <c r="D919" s="390" t="s">
        <v>7</v>
      </c>
      <c r="E919" s="689" t="str">
        <f>IFERROR(VLOOKUP($C919,'SINAPI JULHO 2021'!$1:$1048576,2,0),IFERROR(VLOOKUP($C919,'5-COMP. PROPRIA'!$B$4:$I$7999,4,0),""))</f>
        <v>ALÇA PREFORMADA DE DISTRIBUIÇÃO, EM  AÇO GALVANIZADO, AWG 1 - FORNECIMENTO E INSTALAÇÃO. AF_07/2020</v>
      </c>
      <c r="F919" s="690"/>
      <c r="G919" s="690"/>
      <c r="H919" s="690"/>
      <c r="I919" s="690"/>
      <c r="J919" s="691"/>
      <c r="K919" s="404">
        <v>1</v>
      </c>
      <c r="L919" s="468" t="str">
        <f>IFERROR(VLOOKUP($C919,'SINAPI JULHO 2021'!$1:$1048576,3,0),IFERROR(VLOOKUP($C919,'5-COMP. PROPRIA'!$B$4:$I$7999,5,0),""))</f>
        <v>UN</v>
      </c>
      <c r="M919" s="106"/>
      <c r="N919" s="53"/>
    </row>
    <row r="920" spans="2:14" ht="15">
      <c r="B920" s="207"/>
      <c r="C920" s="239" t="s">
        <v>7456</v>
      </c>
      <c r="D920" s="390" t="s">
        <v>4271</v>
      </c>
      <c r="E920" s="689" t="str">
        <f>IFERROR(VLOOKUP($C920,'SINAPI JULHO 2021'!$1:$1048576,2,0),IFERROR(VLOOKUP($C920,'5-COMP. PROPRIA'!$B$4:$I$7999,4,0),""))</f>
        <v>GRAMPO DE ANCORAGEM 15KV - 50MM² - FORNECIMENTO E INSTALAÇÃO</v>
      </c>
      <c r="F920" s="690"/>
      <c r="G920" s="690"/>
      <c r="H920" s="690"/>
      <c r="I920" s="690"/>
      <c r="J920" s="691"/>
      <c r="K920" s="404">
        <v>3</v>
      </c>
      <c r="L920" s="468" t="str">
        <f>IFERROR(VLOOKUP($C920,'SINAPI JULHO 2021'!$1:$1048576,3,0),IFERROR(VLOOKUP($C920,'5-COMP. PROPRIA'!$B$4:$I$7999,5,0),""))</f>
        <v>UNI</v>
      </c>
      <c r="M920" s="106"/>
      <c r="N920" s="53"/>
    </row>
    <row r="921" spans="2:14" ht="15">
      <c r="B921" s="207"/>
      <c r="C921" s="239" t="s">
        <v>7535</v>
      </c>
      <c r="D921" s="390" t="s">
        <v>4271</v>
      </c>
      <c r="E921" s="689" t="str">
        <f>IFERROR(VLOOKUP($C921,'SINAPI JULHO 2021'!$1:$1048576,2,0),IFERROR(VLOOKUP($C921,'5-COMP. PROPRIA'!$B$4:$I$7999,4,0),""))</f>
        <v>GRAMPO LINHA VIVA - FORNECIMENTO E INSTALAÇÃO</v>
      </c>
      <c r="F921" s="690"/>
      <c r="G921" s="690"/>
      <c r="H921" s="690"/>
      <c r="I921" s="690"/>
      <c r="J921" s="691"/>
      <c r="K921" s="404">
        <v>3</v>
      </c>
      <c r="L921" s="468" t="str">
        <f>IFERROR(VLOOKUP($C921,'SINAPI JULHO 2021'!$1:$1048576,3,0),IFERROR(VLOOKUP($C921,'5-COMP. PROPRIA'!$B$4:$I$7999,5,0),""))</f>
        <v>UNI</v>
      </c>
      <c r="M921" s="106"/>
      <c r="N921" s="53"/>
    </row>
    <row r="922" spans="2:14" ht="15">
      <c r="B922" s="207"/>
      <c r="C922" s="239" t="s">
        <v>7537</v>
      </c>
      <c r="D922" s="390" t="s">
        <v>4271</v>
      </c>
      <c r="E922" s="689" t="str">
        <f>IFERROR(VLOOKUP($C922,'SINAPI JULHO 2021'!$1:$1048576,2,0),IFERROR(VLOOKUP($C922,'5-COMP. PROPRIA'!$B$4:$I$7999,4,0),""))</f>
        <v>ISOLADOR PILAR 110KV - FORNECIMENTO E INSTALAÇÃO</v>
      </c>
      <c r="F922" s="690"/>
      <c r="G922" s="690"/>
      <c r="H922" s="690"/>
      <c r="I922" s="690"/>
      <c r="J922" s="691"/>
      <c r="K922" s="404">
        <v>3</v>
      </c>
      <c r="L922" s="468" t="str">
        <f>IFERROR(VLOOKUP($C922,'SINAPI JULHO 2021'!$1:$1048576,3,0),IFERROR(VLOOKUP($C922,'5-COMP. PROPRIA'!$B$4:$I$7999,5,0),""))</f>
        <v>UNI</v>
      </c>
      <c r="M922" s="106"/>
      <c r="N922" s="53"/>
    </row>
    <row r="923" spans="2:14" ht="15.75" thickBot="1">
      <c r="B923" s="207"/>
      <c r="C923" s="239" t="s">
        <v>7540</v>
      </c>
      <c r="D923" s="390" t="s">
        <v>4271</v>
      </c>
      <c r="E923" s="689" t="str">
        <f>IFERROR(VLOOKUP($C923,'SINAPI JULHO 2021'!$1:$1048576,2,0),IFERROR(VLOOKUP($C923,'5-COMP. PROPRIA'!$B$4:$I$7999,4,0),""))</f>
        <v>PINO AUTO TRAVANTE PARA ISOLADOR PILAR - 140 MM - FORNECIMENTO E INSTALAÇÃO</v>
      </c>
      <c r="F923" s="690"/>
      <c r="G923" s="690"/>
      <c r="H923" s="690"/>
      <c r="I923" s="690"/>
      <c r="J923" s="691"/>
      <c r="K923" s="404">
        <v>3</v>
      </c>
      <c r="L923" s="468" t="str">
        <f>IFERROR(VLOOKUP($C923,'SINAPI JULHO 2021'!$1:$1048576,3,0),IFERROR(VLOOKUP($C923,'5-COMP. PROPRIA'!$B$4:$I$7999,5,0),""))</f>
        <v>UNI</v>
      </c>
      <c r="M923" s="106"/>
      <c r="N923" s="53"/>
    </row>
    <row r="924" spans="2:14" ht="15.75" thickBot="1">
      <c r="B924" s="207"/>
      <c r="C924" s="239"/>
      <c r="D924" s="390"/>
      <c r="E924" s="695" t="s">
        <v>7543</v>
      </c>
      <c r="F924" s="696"/>
      <c r="G924" s="696"/>
      <c r="H924" s="696"/>
      <c r="I924" s="696"/>
      <c r="J924" s="697"/>
      <c r="K924" s="404"/>
      <c r="L924" s="468"/>
      <c r="M924" s="106"/>
      <c r="N924" s="53"/>
    </row>
    <row r="925" spans="2:14" ht="40.5" customHeight="1">
      <c r="B925" s="207"/>
      <c r="C925" s="239" t="s">
        <v>7544</v>
      </c>
      <c r="D925" s="390" t="s">
        <v>4271</v>
      </c>
      <c r="E925" s="689" t="str">
        <f>IFERROR(VLOOKUP($C925,'SINAPI JULHO 2021'!$1:$1048576,2,0),IFERROR(VLOOKUP($C925,'5-COMP. PROPRIA'!$B$4:$I$7999,4,0),""))</f>
        <v>ARMAÇÃO SECUNDÁRIA OU REX COMPLETA PARA DUAS LINHAS COM ISOLADOR DE PORCELANA TIPO ROLDANA - FORNECIMENTO E INSTALAÇÃO</v>
      </c>
      <c r="F925" s="690"/>
      <c r="G925" s="690"/>
      <c r="H925" s="690"/>
      <c r="I925" s="690"/>
      <c r="J925" s="691"/>
      <c r="K925" s="404">
        <v>3</v>
      </c>
      <c r="L925" s="468" t="str">
        <f>IFERROR(VLOOKUP($C925,'SINAPI JULHO 2021'!$1:$1048576,3,0),IFERROR(VLOOKUP($C925,'5-COMP. PROPRIA'!$B$4:$I$7999,5,0),""))</f>
        <v>UNI</v>
      </c>
      <c r="M925" s="106"/>
      <c r="N925" s="53"/>
    </row>
    <row r="926" spans="2:14" ht="15">
      <c r="B926" s="207"/>
      <c r="C926" s="239" t="s">
        <v>7464</v>
      </c>
      <c r="D926" s="390" t="s">
        <v>4271</v>
      </c>
      <c r="E926" s="689" t="str">
        <f>IFERROR(VLOOKUP($C926,'SINAPI JULHO 2021'!$1:$1048576,2,0),IFERROR(VLOOKUP($C926,'5-COMP. PROPRIA'!$B$4:$I$7999,4,0),""))</f>
        <v>ARRUELA QUADRADA EM ACO GALVANIZADO - FORNECIMENTO E INSTALAÇÃO</v>
      </c>
      <c r="F926" s="690"/>
      <c r="G926" s="690"/>
      <c r="H926" s="690"/>
      <c r="I926" s="690"/>
      <c r="J926" s="691"/>
      <c r="K926" s="404">
        <v>2</v>
      </c>
      <c r="L926" s="468" t="str">
        <f>IFERROR(VLOOKUP($C926,'SINAPI JULHO 2021'!$1:$1048576,3,0),IFERROR(VLOOKUP($C926,'5-COMP. PROPRIA'!$B$4:$I$7999,5,0),""))</f>
        <v>UNI</v>
      </c>
      <c r="M926" s="106"/>
      <c r="N926" s="53"/>
    </row>
    <row r="927" spans="2:14" ht="15">
      <c r="B927" s="207"/>
      <c r="C927" s="239" t="s">
        <v>7546</v>
      </c>
      <c r="D927" s="390" t="s">
        <v>4271</v>
      </c>
      <c r="E927" s="689" t="str">
        <f>IFERROR(VLOOKUP($C927,'SINAPI JULHO 2021'!$1:$1048576,2,0),IFERROR(VLOOKUP($C927,'5-COMP. PROPRIA'!$B$4:$I$7999,4,0),""))</f>
        <v>CONECTOR PERFURAÇÃO CDP 95 16-120 X 4-35MM - FORNECIMENTO E INSTALAÇÃO</v>
      </c>
      <c r="F927" s="690"/>
      <c r="G927" s="690"/>
      <c r="H927" s="690"/>
      <c r="I927" s="690"/>
      <c r="J927" s="691"/>
      <c r="K927" s="404">
        <v>1</v>
      </c>
      <c r="L927" s="468" t="str">
        <f>IFERROR(VLOOKUP($C927,'SINAPI JULHO 2021'!$1:$1048576,3,0),IFERROR(VLOOKUP($C927,'5-COMP. PROPRIA'!$B$4:$I$7999,5,0),""))</f>
        <v>UNI</v>
      </c>
      <c r="M927" s="106"/>
      <c r="N927" s="53"/>
    </row>
    <row r="928" spans="2:14" ht="15.75" thickBot="1">
      <c r="B928" s="207"/>
      <c r="C928" s="239" t="s">
        <v>7474</v>
      </c>
      <c r="D928" s="390" t="s">
        <v>4271</v>
      </c>
      <c r="E928" s="689" t="str">
        <f>IFERROR(VLOOKUP($C928,'SINAPI JULHO 2021'!$1:$1048576,2,0),IFERROR(VLOOKUP($C928,'5-COMP. PROPRIA'!$B$4:$I$7999,4,0),""))</f>
        <v>PARAFUSO CABECA QUADRADA DE 300MM - FORNECIMENTO E INSTALAÇÃO</v>
      </c>
      <c r="F928" s="690"/>
      <c r="G928" s="690"/>
      <c r="H928" s="690"/>
      <c r="I928" s="690"/>
      <c r="J928" s="691"/>
      <c r="K928" s="404">
        <v>2</v>
      </c>
      <c r="L928" s="468" t="str">
        <f>IFERROR(VLOOKUP($C928,'SINAPI JULHO 2021'!$1:$1048576,3,0),IFERROR(VLOOKUP($C928,'5-COMP. PROPRIA'!$B$4:$I$7999,5,0),""))</f>
        <v>UNI</v>
      </c>
      <c r="M928" s="106"/>
      <c r="N928" s="53"/>
    </row>
    <row r="929" spans="2:14" ht="15.75" thickBot="1">
      <c r="B929" s="207"/>
      <c r="C929" s="239"/>
      <c r="D929" s="137"/>
      <c r="E929" s="695" t="s">
        <v>7589</v>
      </c>
      <c r="F929" s="696"/>
      <c r="G929" s="696"/>
      <c r="H929" s="696"/>
      <c r="I929" s="696"/>
      <c r="J929" s="697"/>
      <c r="K929" s="404"/>
      <c r="L929" s="468"/>
      <c r="M929" s="106"/>
      <c r="N929" s="53"/>
    </row>
    <row r="930" spans="2:14" ht="15">
      <c r="B930" s="207"/>
      <c r="C930" s="239">
        <v>97670</v>
      </c>
      <c r="D930" s="390" t="s">
        <v>7</v>
      </c>
      <c r="E930" s="689" t="str">
        <f>IFERROR(VLOOKUP($C930,'SINAPI JULHO 2021'!$1:$1048576,2,0),IFERROR(VLOOKUP($C930,'5-COMP. PROPRIA'!$B$4:$I$7999,4,0),""))</f>
        <v>ELETRODUTO FLEXÍVEL CORRUGADO, PEAD, DN 100 (4) - FORNECIMENTO E INSTALAÇÃO. AF_04/2016</v>
      </c>
      <c r="F930" s="690"/>
      <c r="G930" s="690"/>
      <c r="H930" s="690"/>
      <c r="I930" s="690"/>
      <c r="J930" s="691"/>
      <c r="K930" s="404">
        <v>37.299999999999997</v>
      </c>
      <c r="L930" s="468" t="str">
        <f>IFERROR(VLOOKUP($C930,'SINAPI JULHO 2021'!$1:$1048576,3,0),IFERROR(VLOOKUP($C930,'5-COMP. PROPRIA'!$B$4:$I$7999,5,0),""))</f>
        <v>M</v>
      </c>
      <c r="M930" s="106"/>
      <c r="N930" s="53"/>
    </row>
    <row r="931" spans="2:14" ht="40.5" customHeight="1">
      <c r="B931" s="207"/>
      <c r="C931" s="239">
        <v>92998</v>
      </c>
      <c r="D931" s="390" t="s">
        <v>7</v>
      </c>
      <c r="E931" s="689" t="str">
        <f>IFERROR(VLOOKUP($C931,'SINAPI JULHO 2021'!$1:$1048576,2,0),IFERROR(VLOOKUP($C931,'5-COMP. PROPRIA'!$B$4:$I$7999,4,0),""))</f>
        <v>CABO DE COBRE FLEXÍVEL ISOLADO, 185 MM², ANTI-CHAMA 0,6/1,0 KV, PARA DISTRIBUIÇÃO - FORNECIMENTO E INSTALAÇÃO. AF_12/2015</v>
      </c>
      <c r="F931" s="690"/>
      <c r="G931" s="690"/>
      <c r="H931" s="690"/>
      <c r="I931" s="690"/>
      <c r="J931" s="691"/>
      <c r="K931" s="404">
        <v>79.2</v>
      </c>
      <c r="L931" s="468" t="str">
        <f>IFERROR(VLOOKUP($C931,'SINAPI JULHO 2021'!$1:$1048576,3,0),IFERROR(VLOOKUP($C931,'5-COMP. PROPRIA'!$B$4:$I$7999,5,0),""))</f>
        <v>M</v>
      </c>
      <c r="M931" s="106"/>
      <c r="N931" s="53"/>
    </row>
    <row r="932" spans="2:14" ht="40.5" customHeight="1">
      <c r="B932" s="207"/>
      <c r="C932" s="239">
        <v>92992</v>
      </c>
      <c r="D932" s="390" t="s">
        <v>7</v>
      </c>
      <c r="E932" s="689" t="str">
        <f>IFERROR(VLOOKUP($C932,'SINAPI JULHO 2021'!$1:$1048576,2,0),IFERROR(VLOOKUP($C932,'5-COMP. PROPRIA'!$B$4:$I$7999,4,0),""))</f>
        <v>CABO DE COBRE FLEXÍVEL ISOLADO, 95 MM², ANTI-CHAMA 0,6/1,0 KV, PARA DISTRIBUIÇÃO - FORNECIMENTO E INSTALAÇÃO. AF_12/2015</v>
      </c>
      <c r="F932" s="690"/>
      <c r="G932" s="690"/>
      <c r="H932" s="690"/>
      <c r="I932" s="690"/>
      <c r="J932" s="691"/>
      <c r="K932" s="404">
        <v>19.8</v>
      </c>
      <c r="L932" s="468" t="str">
        <f>IFERROR(VLOOKUP($C932,'SINAPI JULHO 2021'!$1:$1048576,3,0),IFERROR(VLOOKUP($C932,'5-COMP. PROPRIA'!$B$4:$I$7999,5,0),""))</f>
        <v>M</v>
      </c>
      <c r="M932" s="106"/>
      <c r="N932" s="53"/>
    </row>
    <row r="933" spans="2:14" ht="40.5" customHeight="1">
      <c r="B933" s="207"/>
      <c r="C933" s="239" t="s">
        <v>7503</v>
      </c>
      <c r="D933" s="390" t="s">
        <v>4271</v>
      </c>
      <c r="E933" s="689" t="str">
        <f>IFERROR(VLOOKUP($C933,'SINAPI JULHO 2021'!$1:$1048576,2,0),IFERROR(VLOOKUP($C933,'5-COMP. PROPRIA'!$B$4:$I$7999,4,0),""))</f>
        <v>TERMINAL METALICO A PRESSAO PARA 1 CABO DE 185 MM2, COM 1 FURO DE FIXACAO - FORNECIMENTO E INSTALAÇÃO</v>
      </c>
      <c r="F933" s="690"/>
      <c r="G933" s="690"/>
      <c r="H933" s="690"/>
      <c r="I933" s="690"/>
      <c r="J933" s="691"/>
      <c r="K933" s="404">
        <v>6</v>
      </c>
      <c r="L933" s="468" t="str">
        <f>IFERROR(VLOOKUP($C933,'SINAPI JULHO 2021'!$1:$1048576,3,0),IFERROR(VLOOKUP($C933,'5-COMP. PROPRIA'!$B$4:$I$7999,5,0),""))</f>
        <v>UNI</v>
      </c>
      <c r="M933" s="106"/>
      <c r="N933" s="53"/>
    </row>
    <row r="934" spans="2:14" ht="40.5" customHeight="1">
      <c r="B934" s="207"/>
      <c r="C934" s="239" t="s">
        <v>7505</v>
      </c>
      <c r="D934" s="390" t="s">
        <v>4271</v>
      </c>
      <c r="E934" s="689" t="str">
        <f>IFERROR(VLOOKUP($C934,'SINAPI JULHO 2021'!$1:$1048576,2,0),IFERROR(VLOOKUP($C934,'5-COMP. PROPRIA'!$B$4:$I$7999,4,0),""))</f>
        <v>TERMINAL METALICO A PRESSAO PARA 1 CABO DE 95 MM2, COM 1 FURO DE FIXACAO - FORNECIMENTO E INSTALAÇÃO</v>
      </c>
      <c r="F934" s="690"/>
      <c r="G934" s="690"/>
      <c r="H934" s="690"/>
      <c r="I934" s="690"/>
      <c r="J934" s="691"/>
      <c r="K934" s="404">
        <v>2</v>
      </c>
      <c r="L934" s="468" t="str">
        <f>IFERROR(VLOOKUP($C934,'SINAPI JULHO 2021'!$1:$1048576,3,0),IFERROR(VLOOKUP($C934,'5-COMP. PROPRIA'!$B$4:$I$7999,5,0),""))</f>
        <v>UNI</v>
      </c>
      <c r="M934" s="106"/>
      <c r="N934" s="53"/>
    </row>
    <row r="935" spans="2:14" ht="15">
      <c r="B935" s="207"/>
      <c r="C935" s="239" t="s">
        <v>7498</v>
      </c>
      <c r="D935" s="390" t="s">
        <v>4271</v>
      </c>
      <c r="E935" s="689" t="str">
        <f>IFERROR(VLOOKUP($C935,'SINAPI JULHO 2021'!$1:$1048576,2,0),IFERROR(VLOOKUP($C935,'5-COMP. PROPRIA'!$B$4:$I$7999,4,0),""))</f>
        <v>DISJUNTOR TERMOMAGNETICO TRIPOLAR 300 A - 600 V - FORNECIMENTO E INSTALAÇÃO</v>
      </c>
      <c r="F935" s="690"/>
      <c r="G935" s="690"/>
      <c r="H935" s="690"/>
      <c r="I935" s="690"/>
      <c r="J935" s="691"/>
      <c r="K935" s="404">
        <v>1</v>
      </c>
      <c r="L935" s="468" t="str">
        <f>IFERROR(VLOOKUP($C935,'SINAPI JULHO 2021'!$1:$1048576,3,0),IFERROR(VLOOKUP($C935,'5-COMP. PROPRIA'!$B$4:$I$7999,5,0),""))</f>
        <v>UNI</v>
      </c>
      <c r="M935" s="106"/>
      <c r="N935" s="53"/>
    </row>
    <row r="936" spans="2:14" ht="15">
      <c r="B936" s="207"/>
      <c r="C936" s="239">
        <v>93358</v>
      </c>
      <c r="D936" s="390" t="s">
        <v>7</v>
      </c>
      <c r="E936" s="689" t="str">
        <f>IFERROR(VLOOKUP($C936,'SINAPI JULHO 2021'!$1:$1048576,2,0),IFERROR(VLOOKUP($C936,'5-COMP. PROPRIA'!$B$4:$I$7999,4,0),""))</f>
        <v>ESCAVAÇÃO MANUAL DE VALA COM PROFUNDIDADE MENOR OU IGUAL A 1,30 M. AF_02/2021</v>
      </c>
      <c r="F936" s="690"/>
      <c r="G936" s="690"/>
      <c r="H936" s="690"/>
      <c r="I936" s="690"/>
      <c r="J936" s="691"/>
      <c r="K936" s="404">
        <v>4.95</v>
      </c>
      <c r="L936" s="468" t="str">
        <f>IFERROR(VLOOKUP($C936,'SINAPI JULHO 2021'!$1:$1048576,3,0),IFERROR(VLOOKUP($C936,'5-COMP. PROPRIA'!$B$4:$I$7999,5,0),""))</f>
        <v>M3</v>
      </c>
      <c r="M936" s="106"/>
      <c r="N936" s="53"/>
    </row>
    <row r="937" spans="2:14" ht="15">
      <c r="B937" s="207"/>
      <c r="C937" s="239">
        <v>96995</v>
      </c>
      <c r="D937" s="390" t="s">
        <v>7</v>
      </c>
      <c r="E937" s="689" t="str">
        <f>IFERROR(VLOOKUP($C937,'SINAPI JULHO 2021'!$1:$1048576,2,0),IFERROR(VLOOKUP($C937,'5-COMP. PROPRIA'!$B$4:$I$7999,4,0),""))</f>
        <v>REATERRO MANUAL APILOADO COM SOQUETE. AF_10/2017</v>
      </c>
      <c r="F937" s="690"/>
      <c r="G937" s="690"/>
      <c r="H937" s="690"/>
      <c r="I937" s="690"/>
      <c r="J937" s="691"/>
      <c r="K937" s="404">
        <v>4.95</v>
      </c>
      <c r="L937" s="468" t="str">
        <f>IFERROR(VLOOKUP($C937,'SINAPI JULHO 2021'!$1:$1048576,3,0),IFERROR(VLOOKUP($C937,'5-COMP. PROPRIA'!$B$4:$I$7999,5,0),""))</f>
        <v>M3</v>
      </c>
      <c r="M937" s="106"/>
      <c r="N937" s="53"/>
    </row>
    <row r="938" spans="2:14" ht="15">
      <c r="B938" s="207"/>
      <c r="C938" s="239" t="s">
        <v>7550</v>
      </c>
      <c r="D938" s="390" t="s">
        <v>4271</v>
      </c>
      <c r="E938" s="689" t="str">
        <f>IFERROR(VLOOKUP($C938,'SINAPI JULHO 2021'!$1:$1048576,2,0),IFERROR(VLOOKUP($C938,'5-COMP. PROPRIA'!$B$4:$I$7999,4,0),""))</f>
        <v>BUCHA EM ALUMINIO, COM ROSCA, DE 4", PARA ELETRODUTO - FORNECIMENTO E INSTALAÇÃO</v>
      </c>
      <c r="F938" s="690"/>
      <c r="G938" s="690"/>
      <c r="H938" s="690"/>
      <c r="I938" s="690"/>
      <c r="J938" s="691"/>
      <c r="K938" s="404">
        <v>3</v>
      </c>
      <c r="L938" s="468" t="str">
        <f>IFERROR(VLOOKUP($C938,'SINAPI JULHO 2021'!$1:$1048576,3,0),IFERROR(VLOOKUP($C938,'5-COMP. PROPRIA'!$B$4:$I$7999,5,0),""))</f>
        <v>UNI</v>
      </c>
      <c r="M938" s="106"/>
      <c r="N938" s="53"/>
    </row>
    <row r="939" spans="2:14" ht="40.5" customHeight="1">
      <c r="B939" s="207"/>
      <c r="C939" s="239" t="s">
        <v>7552</v>
      </c>
      <c r="D939" s="390" t="s">
        <v>4271</v>
      </c>
      <c r="E939" s="689" t="str">
        <f>IFERROR(VLOOKUP($C939,'SINAPI JULHO 2021'!$1:$1048576,2,0),IFERROR(VLOOKUP($C939,'5-COMP. PROPRIA'!$B$4:$I$7999,4,0),""))</f>
        <v>QUADRO DE DISTRIBUIÇÃO GERAL TIPO QUADRO DE COMANDO (QGBT) METÁLICO DE 600X1000X200CM - FORNECIMENTO E INSTALAÇÃO</v>
      </c>
      <c r="F939" s="690"/>
      <c r="G939" s="690"/>
      <c r="H939" s="690"/>
      <c r="I939" s="690"/>
      <c r="J939" s="691"/>
      <c r="K939" s="404">
        <v>1</v>
      </c>
      <c r="L939" s="468" t="str">
        <f>IFERROR(VLOOKUP($C939,'SINAPI JULHO 2021'!$1:$1048576,3,0),IFERROR(VLOOKUP($C939,'5-COMP. PROPRIA'!$B$4:$I$7999,5,0),""))</f>
        <v>UNI</v>
      </c>
      <c r="M939" s="106"/>
      <c r="N939" s="53"/>
    </row>
    <row r="940" spans="2:14" ht="15">
      <c r="B940" s="207"/>
      <c r="C940" s="239" t="s">
        <v>7555</v>
      </c>
      <c r="D940" s="390" t="s">
        <v>4271</v>
      </c>
      <c r="E940" s="689" t="str">
        <f>IFERROR(VLOOKUP($C940,'SINAPI JULHO 2021'!$1:$1048576,2,0),IFERROR(VLOOKUP($C940,'5-COMP. PROPRIA'!$B$4:$I$7999,4,0),""))</f>
        <v>MURETA  EM ALVENARIA 1 VEZ DIM 2,20X1,00 METROS COM COBERTURA DE 5% INCLINAÇÃO - QGBT</v>
      </c>
      <c r="F940" s="690"/>
      <c r="G940" s="690"/>
      <c r="H940" s="690"/>
      <c r="I940" s="690"/>
      <c r="J940" s="691"/>
      <c r="K940" s="404">
        <v>1</v>
      </c>
      <c r="L940" s="468" t="str">
        <f>IFERROR(VLOOKUP($C940,'SINAPI JULHO 2021'!$1:$1048576,3,0),IFERROR(VLOOKUP($C940,'5-COMP. PROPRIA'!$B$4:$I$7999,5,0),""))</f>
        <v>UNI</v>
      </c>
      <c r="M940" s="106"/>
      <c r="N940" s="53"/>
    </row>
    <row r="941" spans="2:14" ht="15">
      <c r="B941" s="207"/>
      <c r="C941" s="239" t="s">
        <v>7557</v>
      </c>
      <c r="D941" s="390" t="s">
        <v>4271</v>
      </c>
      <c r="E941" s="689" t="str">
        <f>IFERROR(VLOOKUP($C941,'SINAPI JULHO 2021'!$1:$1048576,2,0),IFERROR(VLOOKUP($C941,'5-COMP. PROPRIA'!$B$4:$I$7999,4,0),""))</f>
        <v>BARRAMENTO DE COBRE PARA 400A - FORNECIMENTO E INSTALAÇÃO</v>
      </c>
      <c r="F941" s="690"/>
      <c r="G941" s="690"/>
      <c r="H941" s="690"/>
      <c r="I941" s="690"/>
      <c r="J941" s="691"/>
      <c r="K941" s="404">
        <v>2.2000000000000002</v>
      </c>
      <c r="L941" s="468" t="str">
        <f>IFERROR(VLOOKUP($C941,'SINAPI JULHO 2021'!$1:$1048576,3,0),IFERROR(VLOOKUP($C941,'5-COMP. PROPRIA'!$B$4:$I$7999,5,0),""))</f>
        <v>M</v>
      </c>
      <c r="M941" s="106"/>
      <c r="N941" s="53"/>
    </row>
    <row r="942" spans="2:14" ht="15">
      <c r="B942" s="207"/>
      <c r="C942" s="239" t="s">
        <v>7560</v>
      </c>
      <c r="D942" s="390" t="s">
        <v>4271</v>
      </c>
      <c r="E942" s="689" t="str">
        <f>IFERROR(VLOOKUP($C942,'SINAPI JULHO 2021'!$1:$1048576,2,0),IFERROR(VLOOKUP($C942,'5-COMP. PROPRIA'!$B$4:$I$7999,4,0),""))</f>
        <v>BARRAMENTO DE COBRE PARA 200A - FORNECIMENTO E INSTALAÇÃO</v>
      </c>
      <c r="F942" s="690"/>
      <c r="G942" s="690"/>
      <c r="H942" s="690"/>
      <c r="I942" s="690"/>
      <c r="J942" s="691"/>
      <c r="K942" s="404">
        <v>6</v>
      </c>
      <c r="L942" s="468" t="str">
        <f>IFERROR(VLOOKUP($C942,'SINAPI JULHO 2021'!$1:$1048576,3,0),IFERROR(VLOOKUP($C942,'5-COMP. PROPRIA'!$B$4:$I$7999,5,0),""))</f>
        <v>M</v>
      </c>
      <c r="M942" s="106"/>
      <c r="N942" s="53"/>
    </row>
    <row r="943" spans="2:14" ht="15">
      <c r="B943" s="207"/>
      <c r="C943" s="239" t="s">
        <v>7563</v>
      </c>
      <c r="D943" s="390" t="s">
        <v>4271</v>
      </c>
      <c r="E943" s="689" t="str">
        <f>IFERROR(VLOOKUP($C943,'SINAPI JULHO 2021'!$1:$1048576,2,0),IFERROR(VLOOKUP($C943,'5-COMP. PROPRIA'!$B$4:$I$7999,4,0),""))</f>
        <v>ISOLADOR POXI 3/4" - FORNECIMENTO E INSTALAÇÃO</v>
      </c>
      <c r="F943" s="690"/>
      <c r="G943" s="690"/>
      <c r="H943" s="690"/>
      <c r="I943" s="690"/>
      <c r="J943" s="691"/>
      <c r="K943" s="404">
        <v>20</v>
      </c>
      <c r="L943" s="468" t="str">
        <f>IFERROR(VLOOKUP($C943,'SINAPI JULHO 2021'!$1:$1048576,3,0),IFERROR(VLOOKUP($C943,'5-COMP. PROPRIA'!$B$4:$I$7999,5,0),""))</f>
        <v>UNI</v>
      </c>
      <c r="M943" s="106"/>
      <c r="N943" s="53"/>
    </row>
    <row r="944" spans="2:14" ht="15">
      <c r="B944" s="207"/>
      <c r="C944" s="239" t="s">
        <v>7566</v>
      </c>
      <c r="D944" s="390" t="s">
        <v>4271</v>
      </c>
      <c r="E944" s="689" t="str">
        <f>IFERROR(VLOOKUP($C944,'SINAPI JULHO 2021'!$1:$1048576,2,0),IFERROR(VLOOKUP($C944,'5-COMP. PROPRIA'!$B$4:$I$7999,4,0),""))</f>
        <v>CHAPA ACRÍLICA TRANSPARENTE - FORNECIMENTO E INSTALAÇÃO</v>
      </c>
      <c r="F944" s="690"/>
      <c r="G944" s="690"/>
      <c r="H944" s="690"/>
      <c r="I944" s="690"/>
      <c r="J944" s="691"/>
      <c r="K944" s="404">
        <v>1</v>
      </c>
      <c r="L944" s="468" t="str">
        <f>IFERROR(VLOOKUP($C944,'SINAPI JULHO 2021'!$1:$1048576,3,0),IFERROR(VLOOKUP($C944,'5-COMP. PROPRIA'!$B$4:$I$7999,5,0),""))</f>
        <v>UNI</v>
      </c>
      <c r="M944" s="106"/>
      <c r="N944" s="53"/>
    </row>
    <row r="945" spans="1:14" ht="15">
      <c r="B945" s="207"/>
      <c r="C945" s="239" t="s">
        <v>7568</v>
      </c>
      <c r="D945" s="390" t="s">
        <v>4271</v>
      </c>
      <c r="E945" s="689" t="str">
        <f>IFERROR(VLOOKUP($C945,'SINAPI JULHO 2021'!$1:$1048576,2,0),IFERROR(VLOOKUP($C945,'5-COMP. PROPRIA'!$B$4:$I$7999,4,0),""))</f>
        <v>DISJUNTOR TERMOMAGNETICO CAIXA MOLDADA TRIPOLAR 150A - FORNECIMENTO E INSTALAÇÃO</v>
      </c>
      <c r="F945" s="690"/>
      <c r="G945" s="690"/>
      <c r="H945" s="690"/>
      <c r="I945" s="690"/>
      <c r="J945" s="691"/>
      <c r="K945" s="404">
        <v>2</v>
      </c>
      <c r="L945" s="468" t="str">
        <f>IFERROR(VLOOKUP($C945,'SINAPI JULHO 2021'!$1:$1048576,3,0),IFERROR(VLOOKUP($C945,'5-COMP. PROPRIA'!$B$4:$I$7999,5,0),""))</f>
        <v>UNI</v>
      </c>
      <c r="M945" s="106"/>
      <c r="N945" s="53"/>
    </row>
    <row r="946" spans="1:14" ht="15">
      <c r="B946" s="207"/>
      <c r="C946" s="239" t="s">
        <v>7570</v>
      </c>
      <c r="D946" s="390" t="s">
        <v>4271</v>
      </c>
      <c r="E946" s="689" t="str">
        <f>IFERROR(VLOOKUP($C946,'SINAPI JULHO 2021'!$1:$1048576,2,0),IFERROR(VLOOKUP($C946,'5-COMP. PROPRIA'!$B$4:$I$7999,4,0),""))</f>
        <v>DISJUNTOR TERMOMAGNÉTICO DIN TRIPOLAR 100A - FORNECIMENTO E INSTALAÇÃO</v>
      </c>
      <c r="F946" s="690"/>
      <c r="G946" s="690"/>
      <c r="H946" s="690"/>
      <c r="I946" s="690"/>
      <c r="J946" s="691"/>
      <c r="K946" s="404">
        <v>2</v>
      </c>
      <c r="L946" s="468" t="str">
        <f>IFERROR(VLOOKUP($C946,'SINAPI JULHO 2021'!$1:$1048576,3,0),IFERROR(VLOOKUP($C946,'5-COMP. PROPRIA'!$B$4:$I$7999,5,0),""))</f>
        <v>UNI</v>
      </c>
      <c r="M946" s="106"/>
      <c r="N946" s="53"/>
    </row>
    <row r="947" spans="1:14" ht="15">
      <c r="B947" s="207"/>
      <c r="C947" s="239" t="s">
        <v>7572</v>
      </c>
      <c r="D947" s="390" t="s">
        <v>4271</v>
      </c>
      <c r="E947" s="689" t="str">
        <f>IFERROR(VLOOKUP($C947,'SINAPI JULHO 2021'!$1:$1048576,2,0),IFERROR(VLOOKUP($C947,'5-COMP. PROPRIA'!$B$4:$I$7999,4,0),""))</f>
        <v>DISJUNTOR TERMOMAGNÉTICO DIN TRIPOLAR 63A - FORNECIMENTO E INSTALAÇÃO</v>
      </c>
      <c r="F947" s="690"/>
      <c r="G947" s="690"/>
      <c r="H947" s="690"/>
      <c r="I947" s="690"/>
      <c r="J947" s="691"/>
      <c r="K947" s="404">
        <v>1</v>
      </c>
      <c r="L947" s="468" t="str">
        <f>IFERROR(VLOOKUP($C947,'SINAPI JULHO 2021'!$1:$1048576,3,0),IFERROR(VLOOKUP($C947,'5-COMP. PROPRIA'!$B$4:$I$7999,5,0),""))</f>
        <v>UNI</v>
      </c>
      <c r="M947" s="106"/>
      <c r="N947" s="53"/>
    </row>
    <row r="948" spans="1:14" ht="33" customHeight="1">
      <c r="B948" s="207"/>
      <c r="C948" s="239">
        <v>93672</v>
      </c>
      <c r="D948" s="390" t="s">
        <v>7</v>
      </c>
      <c r="E948" s="689" t="str">
        <f>IFERROR(VLOOKUP($C948,'SINAPI JULHO 2021'!$1:$1048576,2,0),IFERROR(VLOOKUP($C948,'5-COMP. PROPRIA'!$B$4:$I$7999,4,0),""))</f>
        <v>DISJUNTOR TRIPOLAR TIPO DIN, CORRENTE NOMINAL DE 40A - FORNECIMENTO E INSTALAÇÃO. AF_10/2020</v>
      </c>
      <c r="F948" s="690"/>
      <c r="G948" s="690"/>
      <c r="H948" s="690"/>
      <c r="I948" s="690"/>
      <c r="J948" s="691"/>
      <c r="K948" s="404">
        <v>1</v>
      </c>
      <c r="L948" s="468" t="str">
        <f>IFERROR(VLOOKUP($C948,'SINAPI JULHO 2021'!$1:$1048576,3,0),IFERROR(VLOOKUP($C948,'5-COMP. PROPRIA'!$B$4:$I$7999,5,0),""))</f>
        <v>UN</v>
      </c>
      <c r="M948" s="106"/>
      <c r="N948" s="53"/>
    </row>
    <row r="949" spans="1:14" ht="15">
      <c r="B949" s="207"/>
      <c r="C949" s="239" t="s">
        <v>7574</v>
      </c>
      <c r="D949" s="390" t="s">
        <v>4271</v>
      </c>
      <c r="E949" s="689" t="str">
        <f>IFERROR(VLOOKUP($C949,'SINAPI JULHO 2021'!$1:$1048576,2,0),IFERROR(VLOOKUP($C949,'5-COMP. PROPRIA'!$B$4:$I$7999,4,0),""))</f>
        <v>PARAFUSO SEXTAVADO INOXIDÁVEL DE Ø5/16"</v>
      </c>
      <c r="F949" s="690"/>
      <c r="G949" s="690"/>
      <c r="H949" s="690"/>
      <c r="I949" s="690"/>
      <c r="J949" s="691"/>
      <c r="K949" s="404">
        <v>20</v>
      </c>
      <c r="L949" s="468" t="str">
        <f>IFERROR(VLOOKUP($C949,'SINAPI JULHO 2021'!$1:$1048576,3,0),IFERROR(VLOOKUP($C949,'5-COMP. PROPRIA'!$B$4:$I$7999,5,0),""))</f>
        <v>UNI</v>
      </c>
      <c r="M949" s="106"/>
      <c r="N949" s="53"/>
    </row>
    <row r="950" spans="1:14" ht="15">
      <c r="B950" s="207"/>
      <c r="C950" s="239" t="s">
        <v>7577</v>
      </c>
      <c r="D950" s="390" t="s">
        <v>4271</v>
      </c>
      <c r="E950" s="689" t="str">
        <f>IFERROR(VLOOKUP($C950,'SINAPI JULHO 2021'!$1:$1048576,2,0),IFERROR(VLOOKUP($C950,'5-COMP. PROPRIA'!$B$4:$I$7999,4,0),""))</f>
        <v>PARAFUSO COBREADO DE Ø3/8"</v>
      </c>
      <c r="F950" s="690"/>
      <c r="G950" s="690"/>
      <c r="H950" s="690"/>
      <c r="I950" s="690"/>
      <c r="J950" s="691"/>
      <c r="K950" s="404">
        <v>50</v>
      </c>
      <c r="L950" s="468" t="str">
        <f>IFERROR(VLOOKUP($C950,'SINAPI JULHO 2021'!$1:$1048576,3,0),IFERROR(VLOOKUP($C950,'5-COMP. PROPRIA'!$B$4:$I$7999,5,0),""))</f>
        <v>UNI</v>
      </c>
      <c r="M950" s="106"/>
      <c r="N950" s="53"/>
    </row>
    <row r="951" spans="1:14" ht="40.5" customHeight="1" thickBot="1">
      <c r="A951" s="340"/>
      <c r="B951" s="207"/>
      <c r="C951" s="239">
        <v>97892</v>
      </c>
      <c r="D951" s="390" t="s">
        <v>7</v>
      </c>
      <c r="E951" s="689" t="str">
        <f>IFERROR(VLOOKUP($C951,'SINAPI JULHO 2021'!$1:$1048576,2,0),IFERROR(VLOOKUP($C951,'5-COMP. PROPRIA'!$B$4:$I$7999,4,0),""))</f>
        <v>CAIXA ENTERRADA ELÉTRICA RETANGULAR, EM ALVENARIA COM BLOCOS DE CONCRETO, FUNDO COM BRITA, DIMENSÕES INTERNAS: 0,6X0,6X0,6 M. AF_12/2020</v>
      </c>
      <c r="F951" s="690"/>
      <c r="G951" s="690"/>
      <c r="H951" s="690"/>
      <c r="I951" s="690"/>
      <c r="J951" s="691"/>
      <c r="K951" s="404">
        <v>2</v>
      </c>
      <c r="L951" s="468" t="str">
        <f>IFERROR(VLOOKUP($C951,'SINAPI JULHO 2021'!$1:$1048576,3,0),IFERROR(VLOOKUP($C951,'5-COMP. PROPRIA'!$B$4:$I$7999,5,0),""))</f>
        <v>UN</v>
      </c>
      <c r="M951" s="106"/>
      <c r="N951" s="53"/>
    </row>
    <row r="952" spans="1:14" ht="15.75" thickBot="1">
      <c r="A952" s="340"/>
      <c r="B952" s="207"/>
      <c r="C952" s="239"/>
      <c r="D952" s="390"/>
      <c r="E952" s="698" t="s">
        <v>7601</v>
      </c>
      <c r="F952" s="699"/>
      <c r="G952" s="699"/>
      <c r="H952" s="699"/>
      <c r="I952" s="699"/>
      <c r="J952" s="700"/>
      <c r="K952" s="404"/>
      <c r="L952" s="468"/>
      <c r="M952" s="106"/>
      <c r="N952" s="53"/>
    </row>
    <row r="953" spans="1:14" ht="15.75" thickBot="1">
      <c r="A953" s="340"/>
      <c r="B953" s="207"/>
      <c r="C953" s="239"/>
      <c r="D953" s="390"/>
      <c r="E953" s="695" t="s">
        <v>7602</v>
      </c>
      <c r="F953" s="696"/>
      <c r="G953" s="696"/>
      <c r="H953" s="696"/>
      <c r="I953" s="696"/>
      <c r="J953" s="697"/>
      <c r="K953" s="404"/>
      <c r="L953" s="468"/>
      <c r="M953" s="106"/>
      <c r="N953" s="53"/>
    </row>
    <row r="954" spans="1:14" ht="15">
      <c r="A954" s="340"/>
      <c r="B954" s="207"/>
      <c r="C954" s="239">
        <v>98307</v>
      </c>
      <c r="D954" s="390" t="s">
        <v>7</v>
      </c>
      <c r="E954" s="689" t="str">
        <f>IFERROR(VLOOKUP($C954,'SINAPI JULHO 2021'!$1:$1048576,2,0),IFERROR(VLOOKUP($C954,'5-COMP. PROPRIA'!$B$4:$I$7999,4,0),""))</f>
        <v>TOMADA DE REDE RJ45 - FORNECIMENTO E INSTALAÇÃO. AF_11/2019</v>
      </c>
      <c r="F954" s="690"/>
      <c r="G954" s="690"/>
      <c r="H954" s="690"/>
      <c r="I954" s="690"/>
      <c r="J954" s="691"/>
      <c r="K954" s="404">
        <v>49</v>
      </c>
      <c r="L954" s="468" t="str">
        <f>IFERROR(VLOOKUP($C954,'SINAPI JULHO 2021'!$1:$1048576,3,0),IFERROR(VLOOKUP($C954,'5-COMP. PROPRIA'!$B$4:$I$7999,5,0),""))</f>
        <v>UN</v>
      </c>
      <c r="M954" s="106"/>
      <c r="N954" s="53"/>
    </row>
    <row r="955" spans="1:14" ht="15">
      <c r="A955" s="340"/>
      <c r="B955" s="207"/>
      <c r="C955" s="239">
        <v>98302</v>
      </c>
      <c r="D955" s="390" t="s">
        <v>7</v>
      </c>
      <c r="E955" s="689" t="str">
        <f>IFERROR(VLOOKUP($C955,'SINAPI JULHO 2021'!$1:$1048576,2,0),IFERROR(VLOOKUP($C955,'5-COMP. PROPRIA'!$B$4:$I$7999,4,0),""))</f>
        <v>PATCH PANEL 24 PORTAS, CATEGORIA 6 - FORNECIMENTO E INSTALAÇÃO. AF_11/2019</v>
      </c>
      <c r="F955" s="690"/>
      <c r="G955" s="690"/>
      <c r="H955" s="690"/>
      <c r="I955" s="690"/>
      <c r="J955" s="691"/>
      <c r="K955" s="404">
        <v>5</v>
      </c>
      <c r="L955" s="468" t="str">
        <f>IFERROR(VLOOKUP($C955,'SINAPI JULHO 2021'!$1:$1048576,3,0),IFERROR(VLOOKUP($C955,'5-COMP. PROPRIA'!$B$4:$I$7999,5,0),""))</f>
        <v>UN</v>
      </c>
      <c r="M955" s="106"/>
      <c r="N955" s="53"/>
    </row>
    <row r="956" spans="1:14" ht="15">
      <c r="A956" s="340"/>
      <c r="B956" s="207"/>
      <c r="C956" s="239" t="str">
        <f>'5-COMP. PROPRIA'!B837</f>
        <v>CP-RED-01</v>
      </c>
      <c r="D956" s="390" t="s">
        <v>4271</v>
      </c>
      <c r="E956" s="689" t="str">
        <f>IFERROR(VLOOKUP($C956,'SINAPI JULHO 2021'!$1:$1048576,2,0),IFERROR(VLOOKUP($C956,'5-COMP. PROPRIA'!$B$4:$I$7999,4,0),""))</f>
        <v>PLUGUE 110 IDC - 4 PARES - FORNECIMENTO E INSTALAÇÃO</v>
      </c>
      <c r="F956" s="690"/>
      <c r="G956" s="690"/>
      <c r="H956" s="690"/>
      <c r="I956" s="690"/>
      <c r="J956" s="691"/>
      <c r="K956" s="404">
        <v>96</v>
      </c>
      <c r="L956" s="468" t="str">
        <f>IFERROR(VLOOKUP($C956,'SINAPI JULHO 2021'!$1:$1048576,3,0),IFERROR(VLOOKUP($C956,'5-COMP. PROPRIA'!$B$4:$I$7999,5,0),""))</f>
        <v>UN</v>
      </c>
      <c r="M956" s="106"/>
      <c r="N956" s="53"/>
    </row>
    <row r="957" spans="1:14" ht="15">
      <c r="A957" s="340"/>
      <c r="B957" s="207"/>
      <c r="C957" s="239" t="str">
        <f>'5-COMP. PROPRIA'!B842</f>
        <v>CP-RED-02</v>
      </c>
      <c r="D957" s="390" t="s">
        <v>4271</v>
      </c>
      <c r="E957" s="689" t="str">
        <f>IFERROR(VLOOKUP($C957,'SINAPI JULHO 2021'!$1:$1048576,2,0),IFERROR(VLOOKUP($C957,'5-COMP. PROPRIA'!$B$4:$I$7999,4,0),""))</f>
        <v>SWITCH 24 PORTAS (10/100) BASETX/POE - FORNECIMENTO E INSTALAÇÃO</v>
      </c>
      <c r="F957" s="690"/>
      <c r="G957" s="690"/>
      <c r="H957" s="690"/>
      <c r="I957" s="690"/>
      <c r="J957" s="691"/>
      <c r="K957" s="404">
        <v>2</v>
      </c>
      <c r="L957" s="468" t="str">
        <f>IFERROR(VLOOKUP($C957,'SINAPI JULHO 2021'!$1:$1048576,3,0),IFERROR(VLOOKUP($C957,'5-COMP. PROPRIA'!$B$4:$I$7999,5,0),""))</f>
        <v>UN</v>
      </c>
      <c r="M957" s="106"/>
      <c r="N957" s="53"/>
    </row>
    <row r="958" spans="1:14" ht="15.75" thickBot="1">
      <c r="A958" s="340"/>
      <c r="B958" s="207"/>
      <c r="C958" s="239" t="str">
        <f>'5-COMP. PROPRIA'!B847</f>
        <v>CP-RED-03</v>
      </c>
      <c r="D958" s="390" t="s">
        <v>4271</v>
      </c>
      <c r="E958" s="689" t="str">
        <f>IFERROR(VLOOKUP($C958,'SINAPI JULHO 2021'!$1:$1048576,2,0),IFERROR(VLOOKUP($C958,'5-COMP. PROPRIA'!$B$4:$I$7999,4,0),""))</f>
        <v>VOICE PANEL 30 PORTAS RJ 45</v>
      </c>
      <c r="F958" s="690"/>
      <c r="G958" s="690"/>
      <c r="H958" s="690"/>
      <c r="I958" s="690"/>
      <c r="J958" s="691"/>
      <c r="K958" s="404">
        <v>2</v>
      </c>
      <c r="L958" s="468" t="str">
        <f>IFERROR(VLOOKUP($C958,'SINAPI JULHO 2021'!$1:$1048576,3,0),IFERROR(VLOOKUP($C958,'5-COMP. PROPRIA'!$B$4:$I$7999,5,0),""))</f>
        <v>UN</v>
      </c>
      <c r="M958" s="106"/>
      <c r="N958" s="53"/>
    </row>
    <row r="959" spans="1:14" ht="15.75" thickBot="1">
      <c r="A959" s="340"/>
      <c r="B959" s="207"/>
      <c r="C959" s="239"/>
      <c r="D959" s="390"/>
      <c r="E959" s="695" t="s">
        <v>7584</v>
      </c>
      <c r="F959" s="696"/>
      <c r="G959" s="696"/>
      <c r="H959" s="696"/>
      <c r="I959" s="696"/>
      <c r="J959" s="697"/>
      <c r="K959" s="404"/>
      <c r="L959" s="468"/>
      <c r="M959" s="106"/>
      <c r="N959" s="53"/>
    </row>
    <row r="960" spans="1:14" ht="40.5" customHeight="1" thickBot="1">
      <c r="A960" s="340"/>
      <c r="B960" s="207"/>
      <c r="C960" s="239">
        <v>91941</v>
      </c>
      <c r="D960" s="390" t="s">
        <v>7</v>
      </c>
      <c r="E960" s="689" t="str">
        <f>IFERROR(VLOOKUP($C960,'SINAPI JULHO 2021'!$1:$1048576,2,0),IFERROR(VLOOKUP($C960,'5-COMP. PROPRIA'!$B$4:$I$7999,4,0),""))</f>
        <v>CAIXA RETANGULAR 4" X 2" BAIXA (0,30 M DO PISO), PVC, INSTALADA EM PAREDE - FORNECIMENTO E INSTALAÇÃO. AF_12/2015</v>
      </c>
      <c r="F960" s="690"/>
      <c r="G960" s="690"/>
      <c r="H960" s="690"/>
      <c r="I960" s="690"/>
      <c r="J960" s="691"/>
      <c r="K960" s="404">
        <v>27</v>
      </c>
      <c r="L960" s="468" t="str">
        <f>IFERROR(VLOOKUP($C960,'SINAPI JULHO 2021'!$1:$1048576,3,0),IFERROR(VLOOKUP($C960,'5-COMP. PROPRIA'!$B$4:$I$7999,5,0),""))</f>
        <v>UN</v>
      </c>
      <c r="M960" s="106"/>
      <c r="N960" s="53"/>
    </row>
    <row r="961" spans="1:14" ht="15.75" thickBot="1">
      <c r="A961" s="340"/>
      <c r="B961" s="207"/>
      <c r="C961" s="239"/>
      <c r="D961" s="390"/>
      <c r="E961" s="695" t="s">
        <v>7612</v>
      </c>
      <c r="F961" s="696"/>
      <c r="G961" s="696"/>
      <c r="H961" s="696"/>
      <c r="I961" s="696"/>
      <c r="J961" s="697"/>
      <c r="K961" s="404"/>
      <c r="L961" s="468" t="str">
        <f>IFERROR(VLOOKUP($C961,'SINAPI JULHO 2021'!$1:$1048576,3,0),IFERROR(VLOOKUP($C961,'5-COMP. PROPRIA'!$B$4:$I$7999,5,0),""))</f>
        <v/>
      </c>
      <c r="M961" s="106"/>
      <c r="N961" s="53"/>
    </row>
    <row r="962" spans="1:14" ht="15">
      <c r="A962" s="340"/>
      <c r="B962" s="207"/>
      <c r="C962" s="239" t="str">
        <f>'5-COMP. PROPRIA'!B852</f>
        <v>CP-RED-04</v>
      </c>
      <c r="D962" s="390" t="s">
        <v>4271</v>
      </c>
      <c r="E962" s="689" t="str">
        <f>IFERROR(VLOOKUP($C962,'SINAPI JULHO 2021'!$1:$1048576,2,0),IFERROR(VLOOKUP($C962,'5-COMP. PROPRIA'!$B$4:$I$7999,4,0),""))</f>
        <v>RACK ABERTO 19" - FORNECIMENTO E INSTALAÇÃO</v>
      </c>
      <c r="F962" s="690"/>
      <c r="G962" s="690"/>
      <c r="H962" s="690"/>
      <c r="I962" s="690"/>
      <c r="J962" s="691"/>
      <c r="K962" s="404">
        <v>1</v>
      </c>
      <c r="L962" s="468" t="str">
        <f>IFERROR(VLOOKUP($C962,'SINAPI JULHO 2021'!$1:$1048576,3,0),IFERROR(VLOOKUP($C962,'5-COMP. PROPRIA'!$B$4:$I$7999,5,0),""))</f>
        <v>UN</v>
      </c>
      <c r="M962" s="106"/>
      <c r="N962" s="53"/>
    </row>
    <row r="963" spans="1:14" ht="15.75" thickBot="1">
      <c r="A963" s="340"/>
      <c r="B963" s="207"/>
      <c r="C963" s="239" t="str">
        <f>'5-COMP. PROPRIA'!B857</f>
        <v>CP-RED-05</v>
      </c>
      <c r="D963" s="390" t="s">
        <v>4271</v>
      </c>
      <c r="E963" s="689" t="str">
        <f>IFERROR(VLOOKUP($C963,'SINAPI JULHO 2021'!$1:$1048576,2,0),IFERROR(VLOOKUP($C963,'5-COMP. PROPRIA'!$B$4:$I$7999,4,0),""))</f>
        <v>RACK ABERTO PADRÃO 19" 12U - FORNECIMENTO E INSTALAÇÃO</v>
      </c>
      <c r="F963" s="690"/>
      <c r="G963" s="690"/>
      <c r="H963" s="690"/>
      <c r="I963" s="690"/>
      <c r="J963" s="691"/>
      <c r="K963" s="404">
        <v>4</v>
      </c>
      <c r="L963" s="468" t="str">
        <f>IFERROR(VLOOKUP($C963,'SINAPI JULHO 2021'!$1:$1048576,3,0),IFERROR(VLOOKUP($C963,'5-COMP. PROPRIA'!$B$4:$I$7999,5,0),""))</f>
        <v>UN</v>
      </c>
      <c r="M963" s="106"/>
      <c r="N963" s="53"/>
    </row>
    <row r="964" spans="1:14" ht="15.75" thickBot="1">
      <c r="A964" s="340"/>
      <c r="B964" s="207"/>
      <c r="C964" s="239"/>
      <c r="D964" s="390"/>
      <c r="E964" s="695" t="s">
        <v>7619</v>
      </c>
      <c r="F964" s="696"/>
      <c r="G964" s="696"/>
      <c r="H964" s="696"/>
      <c r="I964" s="696"/>
      <c r="J964" s="697"/>
      <c r="K964" s="404"/>
      <c r="L964" s="468"/>
      <c r="M964" s="106"/>
      <c r="N964" s="53"/>
    </row>
    <row r="965" spans="1:14" ht="33.75" customHeight="1">
      <c r="A965" s="340"/>
      <c r="B965" s="207"/>
      <c r="C965" s="239">
        <v>98295</v>
      </c>
      <c r="D965" s="390" t="s">
        <v>7</v>
      </c>
      <c r="E965" s="689" t="str">
        <f>IFERROR(VLOOKUP($C965,'SINAPI JULHO 2021'!$1:$1048576,2,0),IFERROR(VLOOKUP($C965,'5-COMP. PROPRIA'!$B$4:$I$7999,4,0),""))</f>
        <v>CABO ELETRÔNICO CATEGORIA 5E, INSTALADO EM EDIFICAÇÃO INSTITUCIONAL - FORNECIMENTO E INSTALAÇÃO. AF_11/2019</v>
      </c>
      <c r="F965" s="690"/>
      <c r="G965" s="690"/>
      <c r="H965" s="690"/>
      <c r="I965" s="690"/>
      <c r="J965" s="691"/>
      <c r="K965" s="404">
        <v>1247</v>
      </c>
      <c r="L965" s="468" t="str">
        <f>IFERROR(VLOOKUP($C965,'SINAPI JULHO 2021'!$1:$1048576,3,0),IFERROR(VLOOKUP($C965,'5-COMP. PROPRIA'!$B$4:$I$7999,5,0),""))</f>
        <v>M</v>
      </c>
      <c r="M965" s="106"/>
      <c r="N965" s="53"/>
    </row>
    <row r="966" spans="1:14" ht="31.5" customHeight="1" thickBot="1">
      <c r="A966" s="340"/>
      <c r="B966" s="207"/>
      <c r="C966" s="239">
        <v>98297</v>
      </c>
      <c r="D966" s="390" t="s">
        <v>7</v>
      </c>
      <c r="E966" s="689" t="str">
        <f>IFERROR(VLOOKUP($C966,'SINAPI JULHO 2021'!$1:$1048576,2,0),IFERROR(VLOOKUP($C966,'5-COMP. PROPRIA'!$B$4:$I$7999,4,0),""))</f>
        <v>CABO ELETRÔNICO CATEGORIA 6, INSTALADO EM EDIFICAÇÃO INSTITUCIONAL - FORNECIMENTO E INSTALAÇÃO. AF_11/2019</v>
      </c>
      <c r="F966" s="690"/>
      <c r="G966" s="690"/>
      <c r="H966" s="690"/>
      <c r="I966" s="690"/>
      <c r="J966" s="691"/>
      <c r="K966" s="404">
        <v>144</v>
      </c>
      <c r="L966" s="468" t="str">
        <f>IFERROR(VLOOKUP($C966,'SINAPI JULHO 2021'!$1:$1048576,3,0),IFERROR(VLOOKUP($C966,'5-COMP. PROPRIA'!$B$4:$I$7999,5,0),""))</f>
        <v>M</v>
      </c>
      <c r="M966" s="106"/>
      <c r="N966" s="53"/>
    </row>
    <row r="967" spans="1:14" ht="15.75" thickBot="1">
      <c r="A967" s="340"/>
      <c r="B967" s="207"/>
      <c r="C967" s="239"/>
      <c r="D967" s="390"/>
      <c r="E967" s="695" t="s">
        <v>12981</v>
      </c>
      <c r="F967" s="696"/>
      <c r="G967" s="696"/>
      <c r="H967" s="696"/>
      <c r="I967" s="696"/>
      <c r="J967" s="697"/>
      <c r="K967" s="404"/>
      <c r="L967" s="468"/>
      <c r="M967" s="106"/>
      <c r="N967" s="53"/>
    </row>
    <row r="968" spans="1:14" ht="27" customHeight="1">
      <c r="A968" s="340"/>
      <c r="B968" s="207"/>
      <c r="C968" s="239" t="str">
        <f>'5-COMP. PROPRIA'!B862</f>
        <v>CP-RED-06</v>
      </c>
      <c r="D968" s="390" t="s">
        <v>4271</v>
      </c>
      <c r="E968" s="689" t="str">
        <f>IFERROR(VLOOKUP($C968,'SINAPI JULHO 2021'!$1:$1048576,2,0),IFERROR(VLOOKUP($C968,'5-COMP. PROPRIA'!$B$4:$I$7999,4,0),""))</f>
        <v>ELETROCALHA PERFURADA TIPO C 50X50 MM CHAPA 18 - INCLUSIVE CONEXÕES, TAMPAS  E SUPORTE - FORNECIMENTO E INSTALAÇÃO</v>
      </c>
      <c r="F968" s="690"/>
      <c r="G968" s="690"/>
      <c r="H968" s="690"/>
      <c r="I968" s="690"/>
      <c r="J968" s="691"/>
      <c r="K968" s="404">
        <v>76.599999999999994</v>
      </c>
      <c r="L968" s="468" t="str">
        <f>IFERROR(VLOOKUP($C968,'SINAPI JULHO 2021'!$1:$1048576,3,0),IFERROR(VLOOKUP($C968,'5-COMP. PROPRIA'!$B$4:$I$7999,5,0),""))</f>
        <v>M</v>
      </c>
      <c r="M968" s="106"/>
      <c r="N968" s="53"/>
    </row>
    <row r="969" spans="1:14" ht="27" customHeight="1">
      <c r="A969" s="340"/>
      <c r="B969" s="207"/>
      <c r="C969" s="239" t="str">
        <f>'5-COMP. PROPRIA'!B868</f>
        <v>CP-RED-07</v>
      </c>
      <c r="D969" s="390" t="s">
        <v>4271</v>
      </c>
      <c r="E969" s="689" t="str">
        <f>IFERROR(VLOOKUP($C969,'SINAPI JULHO 2021'!$1:$1048576,2,0),IFERROR(VLOOKUP($C969,'5-COMP. PROPRIA'!$B$4:$I$7999,4,0),""))</f>
        <v>ELETROCALHA PERFURADA TIPO C 50X75 MM CHAPA 18 - INCLUSIVE CONEXÕES, TAMPAS  E SUPORTE - FORNECIMENTO E INSTALAÇÃO</v>
      </c>
      <c r="F969" s="690"/>
      <c r="G969" s="690"/>
      <c r="H969" s="690"/>
      <c r="I969" s="690"/>
      <c r="J969" s="691"/>
      <c r="K969" s="404">
        <v>15.9</v>
      </c>
      <c r="L969" s="468" t="str">
        <f>IFERROR(VLOOKUP($C969,'SINAPI JULHO 2021'!$1:$1048576,3,0),IFERROR(VLOOKUP($C969,'5-COMP. PROPRIA'!$B$4:$I$7999,5,0),""))</f>
        <v>M</v>
      </c>
      <c r="M969" s="106"/>
      <c r="N969" s="53"/>
    </row>
    <row r="970" spans="1:14" ht="27" customHeight="1">
      <c r="A970" s="340"/>
      <c r="B970" s="207"/>
      <c r="C970" s="239" t="str">
        <f>'5-COMP. PROPRIA'!B874</f>
        <v>CP-RED-08</v>
      </c>
      <c r="D970" s="390" t="s">
        <v>4271</v>
      </c>
      <c r="E970" s="689" t="str">
        <f>IFERROR(VLOOKUP($C970,'SINAPI JULHO 2021'!$1:$1048576,2,0),IFERROR(VLOOKUP($C970,'5-COMP. PROPRIA'!$B$4:$I$7999,4,0),""))</f>
        <v>ELETROCALHA PERFURADA TIPO C 50X150 MM CHAPA 18 -INCLUSIVE CONEXÕES, TAMPAS  E SUPORTE - FORNECIMENTO E INSTALAÇÃO</v>
      </c>
      <c r="F970" s="690"/>
      <c r="G970" s="690"/>
      <c r="H970" s="690"/>
      <c r="I970" s="690"/>
      <c r="J970" s="691"/>
      <c r="K970" s="404">
        <v>2.9</v>
      </c>
      <c r="L970" s="468" t="str">
        <f>IFERROR(VLOOKUP($C970,'SINAPI JULHO 2021'!$1:$1048576,3,0),IFERROR(VLOOKUP($C970,'5-COMP. PROPRIA'!$B$4:$I$7999,5,0),""))</f>
        <v>M</v>
      </c>
      <c r="M970" s="106"/>
      <c r="N970" s="53"/>
    </row>
    <row r="971" spans="1:14" ht="31.5" customHeight="1">
      <c r="A971" s="340"/>
      <c r="B971" s="207"/>
      <c r="C971" s="239" t="str">
        <f>'5-COMP. PROPRIA'!B880</f>
        <v>CP-RED-09</v>
      </c>
      <c r="D971" s="390" t="s">
        <v>4271</v>
      </c>
      <c r="E971" s="689" t="str">
        <f>IFERROR(VLOOKUP($C971,'SINAPI JULHO 2021'!$1:$1048576,2,0),IFERROR(VLOOKUP($C971,'5-COMP. PROPRIA'!$B$4:$I$7999,4,0),""))</f>
        <v>ELETROCALHA PERFURADA TIPO C 75X75 MM CHAPA 18 - INCLUSIVE CONEXÕES, TAMPAS  E SUPORTE - FORNECIMENTO E INSTALAÇÃO</v>
      </c>
      <c r="F971" s="690"/>
      <c r="G971" s="690"/>
      <c r="H971" s="690"/>
      <c r="I971" s="690"/>
      <c r="J971" s="691"/>
      <c r="K971" s="404">
        <v>2.9</v>
      </c>
      <c r="L971" s="468" t="str">
        <f>IFERROR(VLOOKUP($C971,'SINAPI JULHO 2021'!$1:$1048576,3,0),IFERROR(VLOOKUP($C971,'5-COMP. PROPRIA'!$B$4:$I$7999,5,0),""))</f>
        <v>M</v>
      </c>
      <c r="M971" s="106"/>
      <c r="N971" s="53"/>
    </row>
    <row r="972" spans="1:14" ht="25.5" customHeight="1">
      <c r="A972" s="340"/>
      <c r="B972" s="207"/>
      <c r="C972" s="239" t="str">
        <f>'5-COMP. PROPRIA'!B886</f>
        <v>CP-RED-10</v>
      </c>
      <c r="D972" s="390" t="s">
        <v>4271</v>
      </c>
      <c r="E972" s="689" t="str">
        <f>IFERROR(VLOOKUP($C972,'SINAPI JULHO 2021'!$1:$1048576,2,0),IFERROR(VLOOKUP($C972,'5-COMP. PROPRIA'!$B$4:$I$7999,4,0),""))</f>
        <v>ELETROCALHA PERFURADA TIPO C 75X150 MM CHAPA 18 - INCLUSIVE CONEXÕES, TAMPAS  E SUPORTE - FORNECIMENTO E INSTALAÇÃO</v>
      </c>
      <c r="F972" s="690"/>
      <c r="G972" s="690"/>
      <c r="H972" s="690"/>
      <c r="I972" s="690"/>
      <c r="J972" s="691"/>
      <c r="K972" s="404">
        <v>24</v>
      </c>
      <c r="L972" s="468" t="str">
        <f>IFERROR(VLOOKUP($C972,'SINAPI JULHO 2021'!$1:$1048576,3,0),IFERROR(VLOOKUP($C972,'5-COMP. PROPRIA'!$B$4:$I$7999,5,0),""))</f>
        <v>M</v>
      </c>
      <c r="M972" s="106"/>
      <c r="N972" s="53"/>
    </row>
    <row r="973" spans="1:14" ht="40.5" customHeight="1" thickBot="1">
      <c r="A973" s="340"/>
      <c r="B973" s="207"/>
      <c r="C973" s="239">
        <v>95749</v>
      </c>
      <c r="D973" s="390" t="s">
        <v>7</v>
      </c>
      <c r="E973" s="692" t="str">
        <f>IFERROR(VLOOKUP($C973,'SINAPI JULHO 2021'!$1:$1048576,2,0),IFERROR(VLOOKUP($C973,'5-COMP. PROPRIA'!$B$4:$I$7999,4,0),""))</f>
        <v>ELETRODUTO DE AÇO GALVANIZADO, CLASSE LEVE, DN 20 MM (3/4), APARENTE, INSTALADO EM PAREDE - FORNECIMENTO E INSTALAÇÃO. AF_11/2016_P</v>
      </c>
      <c r="F973" s="693"/>
      <c r="G973" s="693"/>
      <c r="H973" s="693"/>
      <c r="I973" s="693"/>
      <c r="J973" s="694"/>
      <c r="K973" s="404">
        <v>1.6</v>
      </c>
      <c r="L973" s="468" t="str">
        <f>IFERROR(VLOOKUP($C973,'SINAPI JULHO 2021'!$1:$1048576,3,0),IFERROR(VLOOKUP($C973,'5-COMP. PROPRIA'!$B$4:$I$7999,5,0),""))</f>
        <v>M</v>
      </c>
      <c r="M973" s="106"/>
      <c r="N973" s="53"/>
    </row>
    <row r="974" spans="1:14" ht="13.5" thickBot="1">
      <c r="A974" s="340"/>
      <c r="B974" s="207"/>
      <c r="C974" s="239"/>
      <c r="D974" s="17"/>
      <c r="E974" s="698" t="s">
        <v>7389</v>
      </c>
      <c r="F974" s="699"/>
      <c r="G974" s="699"/>
      <c r="H974" s="699"/>
      <c r="I974" s="699"/>
      <c r="J974" s="700"/>
      <c r="K974" s="154"/>
      <c r="L974" s="33"/>
      <c r="M974" s="106"/>
      <c r="N974" s="53"/>
    </row>
    <row r="975" spans="1:14" ht="15.75" thickBot="1">
      <c r="A975" s="340"/>
      <c r="B975" s="207"/>
      <c r="C975" s="239"/>
      <c r="D975" s="17"/>
      <c r="E975" s="695" t="s">
        <v>7390</v>
      </c>
      <c r="F975" s="696"/>
      <c r="G975" s="696"/>
      <c r="H975" s="696"/>
      <c r="I975" s="696"/>
      <c r="J975" s="697"/>
      <c r="K975" s="154"/>
      <c r="L975" s="33"/>
      <c r="M975" s="106"/>
      <c r="N975" s="53"/>
    </row>
    <row r="976" spans="1:14" ht="27.75" customHeight="1">
      <c r="A976" s="340"/>
      <c r="B976" s="207"/>
      <c r="C976" s="239" t="str">
        <f>'5-COMP. PROPRIA'!B730</f>
        <v>CP-GAS-01</v>
      </c>
      <c r="D976" s="137" t="s">
        <v>4271</v>
      </c>
      <c r="E976" s="689" t="str">
        <f>IFERROR(VLOOKUP($C976,'SINAPI JULHO 2021'!$1:$1048576,2,0),IFERROR(VLOOKUP($C976,'5-COMP. PROPRIA'!$B$4:$I$7999,4,0),""))</f>
        <v>FORNECIMENTO E INSTALAÇÃO DE CASA DE GÁS MODELO PADRÃO DE 2,20X1,00</v>
      </c>
      <c r="F976" s="690"/>
      <c r="G976" s="690"/>
      <c r="H976" s="690"/>
      <c r="I976" s="690"/>
      <c r="J976" s="691"/>
      <c r="K976" s="270">
        <v>1</v>
      </c>
      <c r="L976" s="468" t="str">
        <f>IFERROR(VLOOKUP($C976,'SINAPI JULHO 2021'!$1:$1048576,3,0),IFERROR(VLOOKUP($C976,'5-COMP. PROPRIA'!$B$4:$I$7999,5,0),""))</f>
        <v>UN</v>
      </c>
      <c r="M976" s="106"/>
      <c r="N976" s="53"/>
    </row>
    <row r="977" spans="1:14" ht="52.5" customHeight="1">
      <c r="A977" s="340"/>
      <c r="B977" s="207"/>
      <c r="C977" s="239">
        <v>101936</v>
      </c>
      <c r="D977" s="390" t="s">
        <v>7</v>
      </c>
      <c r="E977" s="689" t="str">
        <f>IFERROR(VLOOKUP($C977,'SINAPI JULHO 2021'!$1:$1048576,2,0),IFERROR(VLOOKUP($C977,'5-COMP. PROPRIA'!$B$4:$I$7999,4,0),""))</f>
        <v>INSTALAÇÃO DE TUBOS E CONEXÕES, EM AÇO/FERRO GALVANIZADO, PARA O CENTRO DE MEDIÇÃO DE GÁS DE EDIFÍCIO RESIDENCIAL, COM 4 PAVIMENTOS, 16 UNIDADES HABITACIONAIS, DN 32 (1 1/4) - FORNECIMENTO E INSTALAÇÃO. AF_10/2020</v>
      </c>
      <c r="F977" s="690"/>
      <c r="G977" s="690"/>
      <c r="H977" s="690"/>
      <c r="I977" s="690"/>
      <c r="J977" s="691"/>
      <c r="K977" s="270">
        <v>1</v>
      </c>
      <c r="L977" s="468" t="str">
        <f>IFERROR(VLOOKUP($C977,'SINAPI JULHO 2021'!$1:$1048576,3,0),IFERROR(VLOOKUP($C977,'5-COMP. PROPRIA'!$B$4:$I$7999,5,0),""))</f>
        <v>UN</v>
      </c>
      <c r="M977" s="106"/>
      <c r="N977" s="53"/>
    </row>
    <row r="978" spans="1:14" ht="45" customHeight="1">
      <c r="A978" s="340"/>
      <c r="B978" s="207"/>
      <c r="C978" s="239">
        <v>100788</v>
      </c>
      <c r="D978" s="390" t="s">
        <v>7</v>
      </c>
      <c r="E978" s="689" t="str">
        <f>IFERROR(VLOOKUP($C978,'SINAPI JULHO 2021'!$1:$1048576,2,0),IFERROR(VLOOKUP($C978,'5-COMP. PROPRIA'!$B$4:$I$7999,4,0),""))</f>
        <v>KIT CAVALETE PARA GÁS - SEM MEDIDOR OU REGULADOR - ENTRADA INDIVIDUAL PRINCIPAL, EM AÇO GALVANIZADO DN 15 E 25 MM (1/2" E 1") - FORNECIMENTO E INSTALAÇÃO. AF_01/2020</v>
      </c>
      <c r="F978" s="690"/>
      <c r="G978" s="690"/>
      <c r="H978" s="690"/>
      <c r="I978" s="690"/>
      <c r="J978" s="691"/>
      <c r="K978" s="270">
        <v>1</v>
      </c>
      <c r="L978" s="468" t="str">
        <f>IFERROR(VLOOKUP($C978,'SINAPI JULHO 2021'!$1:$1048576,3,0),IFERROR(VLOOKUP($C978,'5-COMP. PROPRIA'!$B$4:$I$7999,5,0),""))</f>
        <v>UN</v>
      </c>
      <c r="M978" s="106"/>
      <c r="N978" s="53"/>
    </row>
    <row r="979" spans="1:14" ht="27.75" customHeight="1">
      <c r="A979" s="340"/>
      <c r="B979" s="207"/>
      <c r="C979" s="239" t="str">
        <f>'5-COMP. PROPRIA'!B745</f>
        <v>CP-GAS-02</v>
      </c>
      <c r="D979" s="137" t="s">
        <v>4271</v>
      </c>
      <c r="E979" s="689" t="str">
        <f>IFERROR(VLOOKUP($C979,'SINAPI JULHO 2021'!$1:$1048576,2,0),IFERROR(VLOOKUP($C979,'5-COMP. PROPRIA'!$B$4:$I$7999,4,0),""))</f>
        <v xml:space="preserve">REGUALADOR DE 1º ESTÁGIO PARA 10KG - FORNECIMENTO E INSTALAÇÃO </v>
      </c>
      <c r="F979" s="690"/>
      <c r="G979" s="690"/>
      <c r="H979" s="690"/>
      <c r="I979" s="690"/>
      <c r="J979" s="691"/>
      <c r="K979" s="270">
        <v>1</v>
      </c>
      <c r="L979" s="468" t="str">
        <f>IFERROR(VLOOKUP($C979,'SINAPI JULHO 2021'!$1:$1048576,3,0),IFERROR(VLOOKUP($C979,'5-COMP. PROPRIA'!$B$4:$I$7999,5,0),""))</f>
        <v>UN</v>
      </c>
      <c r="M979" s="106"/>
      <c r="N979" s="53"/>
    </row>
    <row r="980" spans="1:14" ht="45" customHeight="1">
      <c r="A980" s="340"/>
      <c r="B980" s="207"/>
      <c r="C980" s="239" t="str">
        <f>'5-COMP. PROPRIA'!B751</f>
        <v>CP-GAS-03</v>
      </c>
      <c r="D980" s="137" t="s">
        <v>4271</v>
      </c>
      <c r="E980" s="689" t="str">
        <f>IFERROR(VLOOKUP($C980,'SINAPI JULHO 2021'!$1:$1048576,2,0),IFERROR(VLOOKUP($C980,'5-COMP. PROPRIA'!$B$4:$I$7999,4,0),""))</f>
        <v>MANOMETRO COM CAIXA EM ACO PINTADO, ESCALA *10* KGF/CM2 (*10* BAR), DIAMETRO NOMINAL DE 100 MM, CONEXAO DE 1/2" - FORNECIMENTO E INSTALAÇÃO</v>
      </c>
      <c r="F980" s="690"/>
      <c r="G980" s="690"/>
      <c r="H980" s="690"/>
      <c r="I980" s="690"/>
      <c r="J980" s="691"/>
      <c r="K980" s="270">
        <v>1</v>
      </c>
      <c r="L980" s="468" t="str">
        <f>IFERROR(VLOOKUP($C980,'SINAPI JULHO 2021'!$1:$1048576,3,0),IFERROR(VLOOKUP($C980,'5-COMP. PROPRIA'!$B$4:$I$7999,5,0),""))</f>
        <v>UN</v>
      </c>
      <c r="M980" s="106"/>
      <c r="N980" s="53"/>
    </row>
    <row r="981" spans="1:14" ht="43.5" customHeight="1" thickBot="1">
      <c r="A981" s="340"/>
      <c r="B981" s="207"/>
      <c r="C981" s="239">
        <v>100808</v>
      </c>
      <c r="D981" s="390" t="s">
        <v>7</v>
      </c>
      <c r="E981" s="689" t="str">
        <f>IFERROR(VLOOKUP($C981,'SINAPI JULHO 2021'!$1:$1048576,2,0),IFERROR(VLOOKUP($C981,'5-COMP. PROPRIA'!$B$4:$I$7999,4,0),""))</f>
        <v>TUBO, PEX, MULTICAMADA, COM TUBO LUVA, DN 20, INSTALADO EM RAMAL INTERNO DE INSTALAÇÕES DE GÁS - FORNECIMENTO E INSTALAÇÃO. AF_01/2020</v>
      </c>
      <c r="F981" s="690"/>
      <c r="G981" s="690"/>
      <c r="H981" s="690"/>
      <c r="I981" s="690"/>
      <c r="J981" s="691"/>
      <c r="K981" s="270">
        <v>15</v>
      </c>
      <c r="L981" s="468" t="str">
        <f>IFERROR(VLOOKUP($C981,'SINAPI JULHO 2021'!$1:$1048576,3,0),IFERROR(VLOOKUP($C981,'5-COMP. PROPRIA'!$B$4:$I$7999,5,0),""))</f>
        <v>M</v>
      </c>
      <c r="M981" s="106"/>
      <c r="N981" s="53"/>
    </row>
    <row r="982" spans="1:14" ht="15.75" thickBot="1">
      <c r="A982" s="340"/>
      <c r="B982" s="207"/>
      <c r="C982" s="239"/>
      <c r="D982" s="390"/>
      <c r="E982" s="695" t="s">
        <v>7591</v>
      </c>
      <c r="F982" s="696"/>
      <c r="G982" s="696"/>
      <c r="H982" s="696"/>
      <c r="I982" s="696"/>
      <c r="J982" s="697"/>
      <c r="K982" s="270"/>
      <c r="L982" s="468"/>
      <c r="M982" s="106"/>
      <c r="N982" s="53"/>
    </row>
    <row r="983" spans="1:14" ht="20.25" customHeight="1" thickBot="1">
      <c r="A983" s="340"/>
      <c r="B983" s="207"/>
      <c r="C983" s="239"/>
      <c r="D983" s="390"/>
      <c r="E983" s="695" t="s">
        <v>7592</v>
      </c>
      <c r="F983" s="696"/>
      <c r="G983" s="696"/>
      <c r="H983" s="696"/>
      <c r="I983" s="696"/>
      <c r="J983" s="697"/>
      <c r="K983" s="270"/>
      <c r="L983" s="468"/>
      <c r="M983" s="106"/>
      <c r="N983" s="53"/>
    </row>
    <row r="984" spans="1:14" ht="57.75" customHeight="1">
      <c r="A984" s="340"/>
      <c r="B984" s="207"/>
      <c r="C984" s="239">
        <v>94670</v>
      </c>
      <c r="D984" s="390" t="s">
        <v>7</v>
      </c>
      <c r="E984" s="689" t="str">
        <f>IFERROR(VLOOKUP($C984,'SINAPI JULHO 2021'!$1:$1048576,2,0),IFERROR(VLOOKUP($C984,'5-COMP. PROPRIA'!$B$4:$I$7999,4,0),""))</f>
        <v>ADAPTADOR CURTO COM BOLSA E ROSCA PARA REGISTRO, PVC, SOLDÁVEL, DN 110 MM X 4 , INSTALADO EM RESERVAÇÃO DE ÁGUA DE EDIFICAÇÃO QUE POSSUA RESERVATÓRIO DE FIBRA/FIBROCIMENTO   FORNECIMENTO E INSTALAÇÃO. AF_06/2016</v>
      </c>
      <c r="F984" s="690"/>
      <c r="G984" s="690"/>
      <c r="H984" s="690"/>
      <c r="I984" s="690"/>
      <c r="J984" s="691"/>
      <c r="K984" s="286">
        <v>1</v>
      </c>
      <c r="L984" s="468" t="str">
        <f>IFERROR(VLOOKUP($C984,'SINAPI JULHO 2021'!$1:$1048576,3,0),IFERROR(VLOOKUP($C984,'5-COMP. PROPRIA'!$B$4:$I$7999,5,0),""))</f>
        <v>UN</v>
      </c>
      <c r="M984" s="106"/>
      <c r="N984" s="53"/>
    </row>
    <row r="985" spans="1:14" ht="57.75" customHeight="1">
      <c r="A985" s="340"/>
      <c r="B985" s="207"/>
      <c r="C985" s="239">
        <v>94473</v>
      </c>
      <c r="D985" s="390" t="s">
        <v>7</v>
      </c>
      <c r="E985" s="689" t="str">
        <f>IFERROR(VLOOKUP($C985,'SINAPI JULHO 2021'!$1:$1048576,2,0),IFERROR(VLOOKUP($C985,'5-COMP. PROPRIA'!$B$4:$I$7999,4,0),""))</f>
        <v>COTOVELO 90 GRAUS, EM FERRO GALVANIZADO, CONEXÃO ROSQUEADA, DN 65 (2 1/2), INSTALADO EM RESERVAÇÃO DE ÁGUA DE EDIFICAÇÃO QUE POSSUA RESERVATÓRIO DE FIBRA/FIBROCIMENTO  FORNECIMENTO E INSTALAÇÃO. AF_06/2016</v>
      </c>
      <c r="F985" s="690"/>
      <c r="G985" s="690"/>
      <c r="H985" s="690"/>
      <c r="I985" s="690"/>
      <c r="J985" s="691"/>
      <c r="K985" s="286">
        <v>19</v>
      </c>
      <c r="L985" s="468" t="str">
        <f>IFERROR(VLOOKUP($C985,'SINAPI JULHO 2021'!$1:$1048576,3,0),IFERROR(VLOOKUP($C985,'5-COMP. PROPRIA'!$B$4:$I$7999,5,0),""))</f>
        <v>UN</v>
      </c>
      <c r="M985" s="106"/>
      <c r="N985" s="53"/>
    </row>
    <row r="986" spans="1:14" ht="50.25" customHeight="1">
      <c r="A986" s="340"/>
      <c r="B986" s="207"/>
      <c r="C986" s="239">
        <v>97488</v>
      </c>
      <c r="D986" s="390" t="s">
        <v>7</v>
      </c>
      <c r="E986" s="689" t="str">
        <f>IFERROR(VLOOKUP($C986,'SINAPI JULHO 2021'!$1:$1048576,2,0),IFERROR(VLOOKUP($C986,'5-COMP. PROPRIA'!$B$4:$I$7999,4,0),""))</f>
        <v>CURVA 90 GRAUS, EM AÇO, CONEXÃO SOLDADA, DN 65 (2 1/2"), INSTALADO EM REDE DE ALIMENTAÇÃO PARA HIDRANTE - FORNECIMENTO E INSTALAÇÃO. AF_10/2020</v>
      </c>
      <c r="F986" s="690"/>
      <c r="G986" s="690"/>
      <c r="H986" s="690"/>
      <c r="I986" s="690"/>
      <c r="J986" s="691"/>
      <c r="K986" s="286">
        <v>1</v>
      </c>
      <c r="L986" s="468" t="str">
        <f>IFERROR(VLOOKUP($C986,'SINAPI JULHO 2021'!$1:$1048576,3,0),IFERROR(VLOOKUP($C986,'5-COMP. PROPRIA'!$B$4:$I$7999,5,0),""))</f>
        <v>UN</v>
      </c>
      <c r="M986" s="106"/>
      <c r="N986" s="53"/>
    </row>
    <row r="987" spans="1:14" ht="39.75" customHeight="1">
      <c r="A987" s="340"/>
      <c r="B987" s="207"/>
      <c r="C987" s="239">
        <v>92378</v>
      </c>
      <c r="D987" s="390" t="s">
        <v>7</v>
      </c>
      <c r="E987" s="689" t="str">
        <f>IFERROR(VLOOKUP($C987,'SINAPI JULHO 2021'!$1:$1048576,2,0),IFERROR(VLOOKUP($C987,'5-COMP. PROPRIA'!$B$4:$I$7999,4,0),""))</f>
        <v>LUVA, EM FERRO GALVANIZADO, DN 65 (2 1/2"), CONEXÃO ROSQUEADA, INSTALADO EM REDE DE ALIMENTAÇÃO PARA HIDRANTE - FORNECIMENTO E INSTALAÇÃO. AF_10/2020</v>
      </c>
      <c r="F987" s="690"/>
      <c r="G987" s="690"/>
      <c r="H987" s="690"/>
      <c r="I987" s="690"/>
      <c r="J987" s="691"/>
      <c r="K987" s="286">
        <v>1</v>
      </c>
      <c r="L987" s="468" t="str">
        <f>IFERROR(VLOOKUP($C987,'SINAPI JULHO 2021'!$1:$1048576,3,0),IFERROR(VLOOKUP($C987,'5-COMP. PROPRIA'!$B$4:$I$7999,5,0),""))</f>
        <v>UN</v>
      </c>
      <c r="M987" s="106"/>
      <c r="N987" s="53"/>
    </row>
    <row r="988" spans="1:14" ht="39.75" customHeight="1">
      <c r="A988" s="340"/>
      <c r="B988" s="207"/>
      <c r="C988" s="239">
        <v>92377</v>
      </c>
      <c r="D988" s="390" t="s">
        <v>7</v>
      </c>
      <c r="E988" s="689" t="str">
        <f>IFERROR(VLOOKUP($C988,'SINAPI JULHO 2021'!$1:$1048576,2,0),IFERROR(VLOOKUP($C988,'5-COMP. PROPRIA'!$B$4:$I$7999,4,0),""))</f>
        <v>NIPLE, EM FERRO GALVANIZADO, DN 65 (2 1/2"), CONEXÃO ROSQUEADA, INSTALADO EM REDE DE ALIMENTAÇÃO PARA HIDRANTE - FORNECIMENTO E INSTALAÇÃO. AF_10/2020</v>
      </c>
      <c r="F988" s="690"/>
      <c r="G988" s="690"/>
      <c r="H988" s="690"/>
      <c r="I988" s="690"/>
      <c r="J988" s="691"/>
      <c r="K988" s="286">
        <v>9</v>
      </c>
      <c r="L988" s="468" t="str">
        <f>IFERROR(VLOOKUP($C988,'SINAPI JULHO 2021'!$1:$1048576,3,0),IFERROR(VLOOKUP($C988,'5-COMP. PROPRIA'!$B$4:$I$7999,5,0),""))</f>
        <v>UN</v>
      </c>
      <c r="M988" s="106"/>
      <c r="N988" s="53"/>
    </row>
    <row r="989" spans="1:14" ht="39.75" customHeight="1">
      <c r="A989" s="340"/>
      <c r="B989" s="207"/>
      <c r="C989" s="239">
        <v>92367</v>
      </c>
      <c r="D989" s="390" t="s">
        <v>7</v>
      </c>
      <c r="E989" s="689" t="str">
        <f>IFERROR(VLOOKUP($C989,'SINAPI JULHO 2021'!$1:$1048576,2,0),IFERROR(VLOOKUP($C989,'5-COMP. PROPRIA'!$B$4:$I$7999,4,0),""))</f>
        <v>TUBO DE AÇO GALVANIZADO COM COSTURA, CLASSE MÉDIA, DN 65 (2 1/2"), CONEXÃO ROSQUEADA, INSTALADO EM REDE DE ALIMENTAÇÃO PARA HIDRANTE - FORNECIMENTO E INSTALAÇÃO. AF_10/2020</v>
      </c>
      <c r="F989" s="690"/>
      <c r="G989" s="690"/>
      <c r="H989" s="690"/>
      <c r="I989" s="690"/>
      <c r="J989" s="691"/>
      <c r="K989" s="286">
        <v>169.37</v>
      </c>
      <c r="L989" s="468" t="str">
        <f>IFERROR(VLOOKUP($C989,'SINAPI JULHO 2021'!$1:$1048576,3,0),IFERROR(VLOOKUP($C989,'5-COMP. PROPRIA'!$B$4:$I$7999,5,0),""))</f>
        <v>M</v>
      </c>
      <c r="M989" s="106"/>
      <c r="N989" s="53"/>
    </row>
    <row r="990" spans="1:14" ht="39.75" customHeight="1">
      <c r="A990" s="340"/>
      <c r="B990" s="207"/>
      <c r="C990" s="239">
        <v>92642</v>
      </c>
      <c r="D990" s="390" t="s">
        <v>7</v>
      </c>
      <c r="E990" s="689" t="str">
        <f>IFERROR(VLOOKUP($C990,'SINAPI JULHO 2021'!$1:$1048576,2,0),IFERROR(VLOOKUP($C990,'5-COMP. PROPRIA'!$B$4:$I$7999,4,0),""))</f>
        <v>TÊ, EM FERRO GALVANIZADO, CONEXÃO ROSQUEADA, DN 65 (2 1/2"), INSTALADO EM REDE DE ALIMENTAÇÃO PARA HIDRANTE - FORNECIMENTO E INSTALAÇÃO. AF_10/2020</v>
      </c>
      <c r="F990" s="690"/>
      <c r="G990" s="690"/>
      <c r="H990" s="690"/>
      <c r="I990" s="690"/>
      <c r="J990" s="691"/>
      <c r="K990" s="286">
        <v>4</v>
      </c>
      <c r="L990" s="468" t="str">
        <f>IFERROR(VLOOKUP($C990,'SINAPI JULHO 2021'!$1:$1048576,3,0),IFERROR(VLOOKUP($C990,'5-COMP. PROPRIA'!$B$4:$I$7999,5,0),""))</f>
        <v>UN</v>
      </c>
      <c r="M990" s="106"/>
      <c r="N990" s="53"/>
    </row>
    <row r="991" spans="1:14" ht="39.75" customHeight="1">
      <c r="A991" s="340"/>
      <c r="B991" s="207"/>
      <c r="C991" s="239">
        <v>92896</v>
      </c>
      <c r="D991" s="390" t="s">
        <v>7</v>
      </c>
      <c r="E991" s="689" t="str">
        <f>IFERROR(VLOOKUP($C991,'SINAPI JULHO 2021'!$1:$1048576,2,0),IFERROR(VLOOKUP($C991,'5-COMP. PROPRIA'!$B$4:$I$7999,4,0),""))</f>
        <v>UNIÃO, EM FERRO GALVANIZADO, DN 65 (2 1/2"), CONEXÃO ROSQUEADA, INSTALADO EM REDE DE ALIMENTAÇÃO PARA HIDRANTE - FORNECIMENTO E INSTALAÇÃO. AF_10/2020</v>
      </c>
      <c r="F991" s="690"/>
      <c r="G991" s="690"/>
      <c r="H991" s="690"/>
      <c r="I991" s="690"/>
      <c r="J991" s="691"/>
      <c r="K991" s="286">
        <v>2</v>
      </c>
      <c r="L991" s="468" t="str">
        <f>IFERROR(VLOOKUP($C991,'SINAPI JULHO 2021'!$1:$1048576,3,0),IFERROR(VLOOKUP($C991,'5-COMP. PROPRIA'!$B$4:$I$7999,5,0),""))</f>
        <v>UN</v>
      </c>
      <c r="M991" s="106"/>
      <c r="N991" s="53"/>
    </row>
    <row r="992" spans="1:14" ht="60" customHeight="1">
      <c r="A992" s="340"/>
      <c r="B992" s="207"/>
      <c r="C992" s="239">
        <v>96765</v>
      </c>
      <c r="D992" s="390" t="s">
        <v>7</v>
      </c>
      <c r="E992" s="689" t="str">
        <f>IFERROR(VLOOKUP($C992,'SINAPI JULHO 2021'!$1:$1048576,2,0),IFERROR(VLOOKUP($C992,'5-COMP. PROPRIA'!$B$4:$I$7999,4,0),""))</f>
        <v>ABRIGO PARA HIDRANTE, 90X60X17CM, COM REGISTRO GLOBO ANGULAR 45 GRAUS 2 1/2", ADAPTADOR STORZ 2 1/2", MANGUEIRA DE INCÊNDIO 20M, REDUÇÃO 2 1/2" X 1 1/2" E ESGUICHO EM LATÃO 1 1/2" - FORNECIMENTO E INSTALAÇÃO. AF_10/2020</v>
      </c>
      <c r="F992" s="690"/>
      <c r="G992" s="690"/>
      <c r="H992" s="690"/>
      <c r="I992" s="690"/>
      <c r="J992" s="691"/>
      <c r="K992" s="286">
        <v>5</v>
      </c>
      <c r="L992" s="468" t="str">
        <f>IFERROR(VLOOKUP($C992,'SINAPI JULHO 2021'!$1:$1048576,3,0),IFERROR(VLOOKUP($C992,'5-COMP. PROPRIA'!$B$4:$I$7999,5,0),""))</f>
        <v>UN</v>
      </c>
      <c r="M992" s="106"/>
      <c r="N992" s="53"/>
    </row>
    <row r="993" spans="1:14" ht="39.75" customHeight="1">
      <c r="A993" s="340"/>
      <c r="B993" s="207"/>
      <c r="C993" s="239">
        <v>94499</v>
      </c>
      <c r="D993" s="390" t="s">
        <v>7</v>
      </c>
      <c r="E993" s="689" t="str">
        <f>IFERROR(VLOOKUP($C993,'SINAPI JULHO 2021'!$1:$1048576,2,0),IFERROR(VLOOKUP($C993,'5-COMP. PROPRIA'!$B$4:$I$7999,4,0),""))</f>
        <v>REGISTRO DE GAVETA BRUTO, LATÃO, ROSCÁVEL, 2 1/2, INSTALADO EM RESERVAÇÃO DE ÁGUA DE EDIFICAÇÃO QUE POSSUA RESERVATÓRIO DE FIBRA/FIBROCIMENTO  FORNECIMENTO E INSTALAÇÃO. AF_06/2016</v>
      </c>
      <c r="F993" s="690"/>
      <c r="G993" s="690"/>
      <c r="H993" s="690"/>
      <c r="I993" s="690"/>
      <c r="J993" s="691"/>
      <c r="K993" s="286">
        <v>4</v>
      </c>
      <c r="L993" s="468" t="str">
        <f>IFERROR(VLOOKUP($C993,'SINAPI JULHO 2021'!$1:$1048576,3,0),IFERROR(VLOOKUP($C993,'5-COMP. PROPRIA'!$B$4:$I$7999,5,0),""))</f>
        <v>UN</v>
      </c>
      <c r="M993" s="106"/>
      <c r="N993" s="53"/>
    </row>
    <row r="994" spans="1:14" ht="40.5" customHeight="1">
      <c r="A994" s="340"/>
      <c r="B994" s="207"/>
      <c r="C994" s="239" t="str">
        <f>'5-COMP. PROPRIA'!B759</f>
        <v>CP-INC-01</v>
      </c>
      <c r="D994" s="390" t="s">
        <v>4271</v>
      </c>
      <c r="E994" s="689" t="str">
        <f>IFERROR(VLOOKUP($C994,'SINAPI JULHO 2021'!$1:$1048576,2,0),IFERROR(VLOOKUP($C994,'5-COMP. PROPRIA'!$B$4:$I$7999,4,0),""))</f>
        <v>TAMPAO FOFO ARTICULADO, CLASSE B125 CARGA MAX 12,5 T, REDONDO TAMPA 600 MM, REDE PLUVIAL/ESGOTO, P = CHAMINE CX AREIA / POCO VISITA ASSENTADO COM ARG CIM/AREIA 1:4, FORNECIMENTO E ASSENTAMENTO</v>
      </c>
      <c r="F994" s="690"/>
      <c r="G994" s="690"/>
      <c r="H994" s="690"/>
      <c r="I994" s="690"/>
      <c r="J994" s="691"/>
      <c r="K994" s="286">
        <v>1</v>
      </c>
      <c r="L994" s="468" t="str">
        <f>IFERROR(VLOOKUP($C994,'SINAPI JULHO 2021'!$1:$1048576,3,0),IFERROR(VLOOKUP($C994,'5-COMP. PROPRIA'!$B$4:$I$7999,5,0),""))</f>
        <v>UN</v>
      </c>
      <c r="M994" s="106"/>
      <c r="N994" s="53"/>
    </row>
    <row r="995" spans="1:14" ht="38.25" customHeight="1">
      <c r="A995" s="340"/>
      <c r="B995" s="207"/>
      <c r="C995" s="239">
        <v>99624</v>
      </c>
      <c r="D995" s="390" t="s">
        <v>7</v>
      </c>
      <c r="E995" s="689" t="str">
        <f>IFERROR(VLOOKUP($C995,'SINAPI JULHO 2021'!$1:$1048576,2,0),IFERROR(VLOOKUP($C995,'5-COMP. PROPRIA'!$B$4:$I$7999,4,0),""))</f>
        <v>VÁLVULA DE RETENÇÃO HORIZONTAL, DE BRONZE, ROSCÁVEL, 2 1/2" - FORNECIMENTO E INSTALAÇÃO. AF_01/2019</v>
      </c>
      <c r="F995" s="690"/>
      <c r="G995" s="690"/>
      <c r="H995" s="690"/>
      <c r="I995" s="690"/>
      <c r="J995" s="691"/>
      <c r="K995" s="286">
        <v>1</v>
      </c>
      <c r="L995" s="468" t="str">
        <f>IFERROR(VLOOKUP($C995,'SINAPI JULHO 2021'!$1:$1048576,3,0),IFERROR(VLOOKUP($C995,'5-COMP. PROPRIA'!$B$4:$I$7999,5,0),""))</f>
        <v>UN</v>
      </c>
      <c r="M995" s="106"/>
      <c r="N995" s="53"/>
    </row>
    <row r="996" spans="1:14" ht="48.75" customHeight="1">
      <c r="A996" s="340"/>
      <c r="B996" s="207"/>
      <c r="C996" s="239">
        <v>102520</v>
      </c>
      <c r="D996" s="390" t="s">
        <v>7</v>
      </c>
      <c r="E996" s="689" t="str">
        <f>IFERROR(VLOOKUP($C996,'SINAPI JULHO 2021'!$1:$1048576,2,0),IFERROR(VLOOKUP($C996,'5-COMP. PROPRIA'!$B$4:$I$7999,4,0),""))</f>
        <v>PINTURA DE SINALIZAÇÃO VERTICAL DE SEGURANÇA, FAIXAS AMARELA E PRETA, APLICAÇÃO MANUAL, 2 DEMÃOS. AF_05/2021</v>
      </c>
      <c r="F996" s="690"/>
      <c r="G996" s="690"/>
      <c r="H996" s="690"/>
      <c r="I996" s="690"/>
      <c r="J996" s="691"/>
      <c r="K996" s="286">
        <v>26</v>
      </c>
      <c r="L996" s="468" t="str">
        <f>IFERROR(VLOOKUP($C996,'SINAPI JULHO 2021'!$1:$1048576,3,0),IFERROR(VLOOKUP($C996,'5-COMP. PROPRIA'!$B$4:$I$7999,5,0),""))</f>
        <v>M2</v>
      </c>
      <c r="M996" s="106"/>
      <c r="N996" s="53"/>
    </row>
    <row r="997" spans="1:14" ht="25.5" customHeight="1">
      <c r="A997" s="340"/>
      <c r="B997" s="207"/>
      <c r="C997" s="239">
        <v>101916</v>
      </c>
      <c r="D997" s="390" t="s">
        <v>7</v>
      </c>
      <c r="E997" s="689" t="str">
        <f>IFERROR(VLOOKUP($C997,'SINAPI JULHO 2021'!$1:$1048576,2,0),IFERROR(VLOOKUP($C997,'5-COMP. PROPRIA'!$B$4:$I$7999,4,0),""))</f>
        <v>HIDRANTE SUBTERRÂNEO PREDIAL (COM CURVA LONGA E CAIXA), DN 75 MM - FORNECIMENTO E INSTALAÇÃO. AF_10/2020</v>
      </c>
      <c r="F997" s="690"/>
      <c r="G997" s="690"/>
      <c r="H997" s="690"/>
      <c r="I997" s="690"/>
      <c r="J997" s="691"/>
      <c r="K997" s="270">
        <v>1</v>
      </c>
      <c r="L997" s="468" t="str">
        <f>IFERROR(VLOOKUP($C997,'SINAPI JULHO 2021'!$1:$1048576,3,0),IFERROR(VLOOKUP($C997,'5-COMP. PROPRIA'!$B$4:$I$7999,5,0),""))</f>
        <v>UN</v>
      </c>
      <c r="M997" s="106"/>
      <c r="N997" s="53"/>
    </row>
    <row r="998" spans="1:14" ht="25.5" customHeight="1" thickBot="1">
      <c r="A998" s="340"/>
      <c r="B998" s="207"/>
      <c r="C998" s="239" t="str">
        <f>'5-COMP. PROPRIA'!B780</f>
        <v>CP-PLA-01</v>
      </c>
      <c r="D998" s="68" t="s">
        <v>4271</v>
      </c>
      <c r="E998" s="689" t="str">
        <f>IFERROR(VLOOKUP($C998,'SINAPI JULHO 2021'!$1:$1048576,2,0),IFERROR(VLOOKUP($C998,'5-COMP. PROPRIA'!$B$4:$I$7999,4,0),""))</f>
        <v>PLACA DE SINALIZACAO DE SEGURANCA CONTRA INCENDIO, FOTOLUMINESCENTE, RETANGULAR, *20 X 40* CM, EM PVC *2* MM ANTI-CHAMAS (SIMBOLOS, CORES E PICTOGRAMAS CONFORME NBR 13434) - FORNECIMENTO E INSTALAÇÃO</v>
      </c>
      <c r="F998" s="690"/>
      <c r="G998" s="690"/>
      <c r="H998" s="690"/>
      <c r="I998" s="690"/>
      <c r="J998" s="691"/>
      <c r="K998" s="270">
        <v>2</v>
      </c>
      <c r="L998" s="468" t="str">
        <f>IFERROR(VLOOKUP($C998,'SINAPI JULHO 2021'!$1:$1048576,3,0),IFERROR(VLOOKUP($C998,'5-COMP. PROPRIA'!$B$4:$I$7999,5,0),""))</f>
        <v>UN</v>
      </c>
      <c r="M998" s="106"/>
      <c r="N998" s="53"/>
    </row>
    <row r="999" spans="1:14" ht="15.75" thickBot="1">
      <c r="A999" s="340"/>
      <c r="B999" s="207"/>
      <c r="C999" s="239"/>
      <c r="D999" s="390"/>
      <c r="E999" s="695" t="s">
        <v>7598</v>
      </c>
      <c r="F999" s="696"/>
      <c r="G999" s="696"/>
      <c r="H999" s="696"/>
      <c r="I999" s="696"/>
      <c r="J999" s="697"/>
      <c r="K999" s="270"/>
      <c r="L999" s="468"/>
      <c r="M999" s="106"/>
      <c r="N999" s="53"/>
    </row>
    <row r="1000" spans="1:14" ht="32.25" customHeight="1">
      <c r="A1000" s="340"/>
      <c r="B1000" s="207"/>
      <c r="C1000" s="239">
        <v>101909</v>
      </c>
      <c r="D1000" s="390" t="s">
        <v>7</v>
      </c>
      <c r="E1000" s="689" t="str">
        <f>IFERROR(VLOOKUP($C1000,'SINAPI JULHO 2021'!$1:$1048576,2,0),IFERROR(VLOOKUP($C1000,'5-COMP. PROPRIA'!$B$4:$I$7999,4,0),""))</f>
        <v>EXTINTOR DE INCÊNDIO PORTÁTIL COM CARGA DE PQS DE 6 KG, CLASSE BC - FORNECIMENTO E INSTALAÇÃO. AF_10/2020_P</v>
      </c>
      <c r="F1000" s="690"/>
      <c r="G1000" s="690"/>
      <c r="H1000" s="690"/>
      <c r="I1000" s="690"/>
      <c r="J1000" s="691"/>
      <c r="K1000" s="286">
        <v>7</v>
      </c>
      <c r="L1000" s="468" t="str">
        <f>IFERROR(VLOOKUP($C1000,'SINAPI JULHO 2021'!$1:$1048576,3,0),IFERROR(VLOOKUP($C1000,'5-COMP. PROPRIA'!$B$4:$I$7999,5,0),""))</f>
        <v>UN</v>
      </c>
      <c r="M1000" s="106"/>
      <c r="N1000" s="53"/>
    </row>
    <row r="1001" spans="1:14" ht="24" customHeight="1">
      <c r="A1001" s="340"/>
      <c r="B1001" s="207"/>
      <c r="C1001" s="239">
        <v>101907</v>
      </c>
      <c r="D1001" s="390" t="s">
        <v>7</v>
      </c>
      <c r="E1001" s="689" t="str">
        <f>IFERROR(VLOOKUP($C1001,'SINAPI JULHO 2021'!$1:$1048576,2,0),IFERROR(VLOOKUP($C1001,'5-COMP. PROPRIA'!$B$4:$I$7999,4,0),""))</f>
        <v>EXTINTOR DE INCÊNDIO PORTÁTIL COM CARGA DE CO2 DE 6 KG, CLASSE BC - FORNECIMENTO E INSTALAÇÃO. AF_10/2020_P</v>
      </c>
      <c r="F1001" s="690"/>
      <c r="G1001" s="690"/>
      <c r="H1001" s="690"/>
      <c r="I1001" s="690"/>
      <c r="J1001" s="691"/>
      <c r="K1001" s="286">
        <v>2</v>
      </c>
      <c r="L1001" s="468" t="str">
        <f>IFERROR(VLOOKUP($C1001,'SINAPI JULHO 2021'!$1:$1048576,3,0),IFERROR(VLOOKUP($C1001,'5-COMP. PROPRIA'!$B$4:$I$7999,5,0),""))</f>
        <v>UN</v>
      </c>
      <c r="M1001" s="106"/>
      <c r="N1001" s="53"/>
    </row>
    <row r="1002" spans="1:14" ht="24" customHeight="1" thickBot="1">
      <c r="A1002" s="340"/>
      <c r="B1002" s="207"/>
      <c r="C1002" s="239">
        <v>101905</v>
      </c>
      <c r="D1002" s="390" t="s">
        <v>7</v>
      </c>
      <c r="E1002" s="689" t="str">
        <f>IFERROR(VLOOKUP($C1002,'SINAPI JULHO 2021'!$1:$1048576,2,0),IFERROR(VLOOKUP($C1002,'5-COMP. PROPRIA'!$B$4:$I$7999,4,0),""))</f>
        <v>EXTINTOR DE INCÊNDIO PORTÁTIL COM CARGA DE ÁGUA PRESSURIZADA DE 10 L, CLASSE A - FORNECIMENTO E INSTALAÇÃO. AF_10/2020_P</v>
      </c>
      <c r="F1002" s="690"/>
      <c r="G1002" s="690"/>
      <c r="H1002" s="690"/>
      <c r="I1002" s="690"/>
      <c r="J1002" s="691"/>
      <c r="K1002" s="286">
        <v>7</v>
      </c>
      <c r="L1002" s="468" t="str">
        <f>IFERROR(VLOOKUP($C1002,'SINAPI JULHO 2021'!$1:$1048576,3,0),IFERROR(VLOOKUP($C1002,'5-COMP. PROPRIA'!$B$4:$I$7999,5,0),""))</f>
        <v>UN</v>
      </c>
      <c r="M1002" s="106"/>
      <c r="N1002" s="53"/>
    </row>
    <row r="1003" spans="1:14" ht="15.75" thickBot="1">
      <c r="A1003" s="340"/>
      <c r="B1003" s="207"/>
      <c r="C1003" s="239"/>
      <c r="D1003" s="390"/>
      <c r="E1003" s="695" t="s">
        <v>7599</v>
      </c>
      <c r="F1003" s="696"/>
      <c r="G1003" s="696"/>
      <c r="H1003" s="696"/>
      <c r="I1003" s="696"/>
      <c r="J1003" s="697"/>
      <c r="K1003" s="270"/>
      <c r="L1003" s="468"/>
      <c r="M1003" s="106"/>
      <c r="N1003" s="53"/>
    </row>
    <row r="1004" spans="1:14" ht="15">
      <c r="A1004" s="340"/>
      <c r="B1004" s="207"/>
      <c r="C1004" s="239" t="str">
        <f>'5-COMP. PROPRIA'!B765</f>
        <v>CP-INC-02</v>
      </c>
      <c r="D1004" s="68" t="s">
        <v>4271</v>
      </c>
      <c r="E1004" s="689" t="str">
        <f>IFERROR(VLOOKUP($C1004,'SINAPI JULHO 2021'!$1:$1048576,2,0),IFERROR(VLOOKUP($C1004,'5-COMP. PROPRIA'!$B$4:$I$7999,4,0),""))</f>
        <v>BOTOEIRA CHAVE COM MARTELINHO - FORNECIMENTO E INSTALAÇÃO</v>
      </c>
      <c r="F1004" s="690"/>
      <c r="G1004" s="690"/>
      <c r="H1004" s="690"/>
      <c r="I1004" s="690"/>
      <c r="J1004" s="691"/>
      <c r="K1004" s="286">
        <v>4</v>
      </c>
      <c r="L1004" s="468" t="str">
        <f>IFERROR(VLOOKUP($C1004,'SINAPI JULHO 2021'!$1:$1048576,3,0),IFERROR(VLOOKUP($C1004,'5-COMP. PROPRIA'!$B$4:$I$7999,5,0),""))</f>
        <v>UN</v>
      </c>
      <c r="M1004" s="106"/>
      <c r="N1004" s="53"/>
    </row>
    <row r="1005" spans="1:14" ht="15">
      <c r="A1005" s="340"/>
      <c r="B1005" s="207"/>
      <c r="C1005" s="239" t="str">
        <f>'5-COMP. PROPRIA'!B770</f>
        <v>CP-INC-03</v>
      </c>
      <c r="D1005" s="68" t="s">
        <v>4271</v>
      </c>
      <c r="E1005" s="689" t="str">
        <f>IFERROR(VLOOKUP($C1005,'SINAPI JULHO 2021'!$1:$1048576,2,0),IFERROR(VLOOKUP($C1005,'5-COMP. PROPRIA'!$B$4:$I$7999,4,0),""))</f>
        <v>BOTOEIRA QUEBRA VIDRO - FORNECIMENTO E INSTALAÇÃO</v>
      </c>
      <c r="F1005" s="690"/>
      <c r="G1005" s="690"/>
      <c r="H1005" s="690"/>
      <c r="I1005" s="690"/>
      <c r="J1005" s="691"/>
      <c r="K1005" s="286">
        <v>4</v>
      </c>
      <c r="L1005" s="468" t="str">
        <f>IFERROR(VLOOKUP($C1005,'SINAPI JULHO 2021'!$1:$1048576,3,0),IFERROR(VLOOKUP($C1005,'5-COMP. PROPRIA'!$B$4:$I$7999,5,0),""))</f>
        <v>UN</v>
      </c>
      <c r="M1005" s="106"/>
      <c r="N1005" s="53"/>
    </row>
    <row r="1006" spans="1:14" ht="15">
      <c r="A1006" s="340"/>
      <c r="B1006" s="207"/>
      <c r="C1006" s="239" t="str">
        <f>'5-COMP. PROPRIA'!B775</f>
        <v>CP-INC-04</v>
      </c>
      <c r="D1006" s="68" t="s">
        <v>4271</v>
      </c>
      <c r="E1006" s="689" t="str">
        <f>IFERROR(VLOOKUP($C1006,'SINAPI JULHO 2021'!$1:$1048576,2,0),IFERROR(VLOOKUP($C1006,'5-COMP. PROPRIA'!$B$4:$I$7999,4,0),""))</f>
        <v>CENTRAL DE ALARME DE INCÊNDIO ENDEREÇAVEL - FORNECIMENTO E INSTALAÇÃO</v>
      </c>
      <c r="F1006" s="690"/>
      <c r="G1006" s="690"/>
      <c r="H1006" s="690"/>
      <c r="I1006" s="690"/>
      <c r="J1006" s="691"/>
      <c r="K1006" s="286">
        <v>1</v>
      </c>
      <c r="L1006" s="468" t="str">
        <f>IFERROR(VLOOKUP($C1006,'SINAPI JULHO 2021'!$1:$1048576,3,0),IFERROR(VLOOKUP($C1006,'5-COMP. PROPRIA'!$B$4:$I$7999,5,0),""))</f>
        <v>UN</v>
      </c>
      <c r="M1006" s="106"/>
      <c r="N1006" s="53"/>
    </row>
    <row r="1007" spans="1:14" ht="31.5" customHeight="1" thickBot="1">
      <c r="A1007" s="340"/>
      <c r="B1007" s="207"/>
      <c r="C1007" s="239">
        <v>91925</v>
      </c>
      <c r="D1007" s="390" t="s">
        <v>7</v>
      </c>
      <c r="E1007" s="689" t="str">
        <f>IFERROR(VLOOKUP($C1007,'SINAPI JULHO 2021'!$1:$1048576,2,0),IFERROR(VLOOKUP($C1007,'5-COMP. PROPRIA'!$B$4:$I$7999,4,0),""))</f>
        <v>CABO DE COBRE FLEXÍVEL ISOLADO, 1,5 MM², ANTI-CHAMA 0,6/1,0 KV, PARA CIRCUITOS TERMINAIS - FORNECIMENTO E INSTALAÇÃO. AF_12/2015</v>
      </c>
      <c r="F1007" s="690"/>
      <c r="G1007" s="690"/>
      <c r="H1007" s="690"/>
      <c r="I1007" s="690"/>
      <c r="J1007" s="691"/>
      <c r="K1007" s="286">
        <v>88.7</v>
      </c>
      <c r="L1007" s="468" t="str">
        <f>IFERROR(VLOOKUP($C1007,'SINAPI JULHO 2021'!$1:$1048576,3,0),IFERROR(VLOOKUP($C1007,'5-COMP. PROPRIA'!$B$4:$I$7999,5,0),""))</f>
        <v>M</v>
      </c>
      <c r="M1007" s="106"/>
      <c r="N1007" s="53"/>
    </row>
    <row r="1008" spans="1:14" ht="15.75" thickBot="1">
      <c r="A1008" s="340"/>
      <c r="B1008" s="207"/>
      <c r="C1008" s="239"/>
      <c r="D1008" s="390"/>
      <c r="E1008" s="695" t="s">
        <v>7600</v>
      </c>
      <c r="F1008" s="696"/>
      <c r="G1008" s="696"/>
      <c r="H1008" s="696"/>
      <c r="I1008" s="696"/>
      <c r="J1008" s="697"/>
      <c r="K1008" s="286"/>
      <c r="L1008" s="468" t="str">
        <f>IFERROR(VLOOKUP($C1008,'SINAPI JULHO 2021'!$1:$1048576,3,0),IFERROR(VLOOKUP($C1008,'5-COMP. PROPRIA'!$B$4:$I$7999,5,0),""))</f>
        <v/>
      </c>
      <c r="M1008" s="106"/>
      <c r="N1008" s="53"/>
    </row>
    <row r="1009" spans="1:14" ht="30.75" customHeight="1">
      <c r="A1009" s="340"/>
      <c r="B1009" s="207"/>
      <c r="C1009" s="239">
        <v>97599</v>
      </c>
      <c r="D1009" s="390" t="s">
        <v>7</v>
      </c>
      <c r="E1009" s="689" t="str">
        <f>IFERROR(VLOOKUP($C1009,'SINAPI JULHO 2021'!$1:$1048576,2,0),IFERROR(VLOOKUP($C1009,'5-COMP. PROPRIA'!$B$4:$I$7999,4,0),""))</f>
        <v>LUMINÁRIA DE EMERGÊNCIA, COM 30 LÂMPADAS LED DE 2 W, SEM REATOR - FORNECIMENTO E INSTALAÇÃO. AF_02/2020</v>
      </c>
      <c r="F1009" s="690"/>
      <c r="G1009" s="690"/>
      <c r="H1009" s="690"/>
      <c r="I1009" s="690"/>
      <c r="J1009" s="691"/>
      <c r="K1009" s="286">
        <v>70</v>
      </c>
      <c r="L1009" s="468" t="str">
        <f>IFERROR(VLOOKUP($C1009,'SINAPI JULHO 2021'!$1:$1048576,3,0),IFERROR(VLOOKUP($C1009,'5-COMP. PROPRIA'!$B$4:$I$7999,5,0),""))</f>
        <v>UN</v>
      </c>
      <c r="M1009" s="106"/>
      <c r="N1009" s="53"/>
    </row>
    <row r="1010" spans="1:14" ht="15.75" thickBot="1">
      <c r="A1010" s="340"/>
      <c r="B1010" s="207"/>
      <c r="C1010" s="239" t="str">
        <f>'5-COMP. PROPRIA'!B784</f>
        <v>CP-INC-05</v>
      </c>
      <c r="D1010" s="390" t="s">
        <v>4271</v>
      </c>
      <c r="E1010" s="689" t="str">
        <f>IFERROR(VLOOKUP($C1010,'SINAPI JULHO 2021'!$1:$1048576,2,0),IFERROR(VLOOKUP($C1010,'5-COMP. PROPRIA'!$B$4:$I$7999,4,0),""))</f>
        <v>AVISADOR SONORO - FORNECIMENTO E INSTALAÇÃO</v>
      </c>
      <c r="F1010" s="690"/>
      <c r="G1010" s="690"/>
      <c r="H1010" s="690"/>
      <c r="I1010" s="690"/>
      <c r="J1010" s="691"/>
      <c r="K1010" s="286">
        <v>4</v>
      </c>
      <c r="L1010" s="468" t="str">
        <f>IFERROR(VLOOKUP($C1010,'SINAPI JULHO 2021'!$1:$1048576,3,0),IFERROR(VLOOKUP($C1010,'5-COMP. PROPRIA'!$B$4:$I$7999,5,0),""))</f>
        <v>UN</v>
      </c>
      <c r="M1010" s="106"/>
      <c r="N1010" s="53"/>
    </row>
    <row r="1011" spans="1:14" ht="15.75" thickBot="1">
      <c r="A1011" s="340"/>
      <c r="B1011" s="207"/>
      <c r="C1011" s="239"/>
      <c r="D1011" s="390"/>
      <c r="E1011" s="695" t="s">
        <v>12994</v>
      </c>
      <c r="F1011" s="696"/>
      <c r="G1011" s="696"/>
      <c r="H1011" s="696"/>
      <c r="I1011" s="696"/>
      <c r="J1011" s="697"/>
      <c r="K1011" s="286"/>
      <c r="L1011" s="468"/>
      <c r="M1011" s="106"/>
      <c r="N1011" s="53"/>
    </row>
    <row r="1012" spans="1:14" ht="15">
      <c r="A1012" s="340"/>
      <c r="B1012" s="207"/>
      <c r="C1012" s="239">
        <v>96984</v>
      </c>
      <c r="D1012" s="390" t="s">
        <v>7</v>
      </c>
      <c r="E1012" s="689" t="str">
        <f>IFERROR(VLOOKUP($C1012,'SINAPI JULHO 2021'!$1:$1048576,2,0),IFERROR(VLOOKUP($C1012,'5-COMP. PROPRIA'!$B$4:$I$7999,4,0),""))</f>
        <v>ELETRODUTO PVC 40MM (1 ¼ ) PARA SPDA - FORNECIMENTO E INSTALAÇÃO. AF_12/2017</v>
      </c>
      <c r="F1012" s="690"/>
      <c r="G1012" s="690"/>
      <c r="H1012" s="690"/>
      <c r="I1012" s="690"/>
      <c r="J1012" s="691"/>
      <c r="K1012" s="404">
        <v>11</v>
      </c>
      <c r="L1012" s="468" t="str">
        <f>IFERROR(VLOOKUP($C1012,'SINAPI JULHO 2021'!$1:$1048576,3,0),IFERROR(VLOOKUP($C1012,'5-COMP. PROPRIA'!$B$4:$I$7999,5,0),""))</f>
        <v>UN</v>
      </c>
      <c r="M1012" s="106"/>
      <c r="N1012" s="53"/>
    </row>
    <row r="1013" spans="1:14" ht="15">
      <c r="A1013" s="340"/>
      <c r="B1013" s="207"/>
      <c r="C1013" s="239">
        <v>96985</v>
      </c>
      <c r="D1013" s="390" t="s">
        <v>7</v>
      </c>
      <c r="E1013" s="689" t="str">
        <f>IFERROR(VLOOKUP($C1013,'SINAPI JULHO 2021'!$1:$1048576,2,0),IFERROR(VLOOKUP($C1013,'5-COMP. PROPRIA'!$B$4:$I$7999,4,0),""))</f>
        <v>HASTE DE ATERRAMENTO 5/8  PARA SPDA - FORNECIMENTO E INSTALAÇÃO. AF_12/2017</v>
      </c>
      <c r="F1013" s="690"/>
      <c r="G1013" s="690"/>
      <c r="H1013" s="690"/>
      <c r="I1013" s="690"/>
      <c r="J1013" s="691"/>
      <c r="K1013" s="404">
        <v>16</v>
      </c>
      <c r="L1013" s="468" t="str">
        <f>IFERROR(VLOOKUP($C1013,'SINAPI JULHO 2021'!$1:$1048576,3,0),IFERROR(VLOOKUP($C1013,'5-COMP. PROPRIA'!$B$4:$I$7999,5,0),""))</f>
        <v>UN</v>
      </c>
      <c r="M1013" s="106"/>
      <c r="N1013" s="53"/>
    </row>
    <row r="1014" spans="1:14" ht="27" customHeight="1">
      <c r="A1014" s="340"/>
      <c r="B1014" s="207"/>
      <c r="C1014" s="239" t="s">
        <v>12995</v>
      </c>
      <c r="D1014" s="390" t="s">
        <v>4271</v>
      </c>
      <c r="E1014" s="689" t="str">
        <f>IFERROR(VLOOKUP($C1014,'SINAPI JULHO 2021'!$1:$1048576,2,0),IFERROR(VLOOKUP($C1014,'5-COMP. PROPRIA'!$B$4:$I$7999,4,0),""))</f>
        <v>CAIXA DE INSPEÇÃO, PVC DE 12'', COM TAMPA DE FERRO FUNDIDO, CONFORME DETALHE NO PROJETO, FORNECIMENTO E INSTALAÇÃO</v>
      </c>
      <c r="F1014" s="690"/>
      <c r="G1014" s="690"/>
      <c r="H1014" s="690"/>
      <c r="I1014" s="690"/>
      <c r="J1014" s="691"/>
      <c r="K1014" s="404">
        <v>13</v>
      </c>
      <c r="L1014" s="468" t="str">
        <f>IFERROR(VLOOKUP($C1014,'SINAPI JULHO 2021'!$1:$1048576,3,0),IFERROR(VLOOKUP($C1014,'5-COMP. PROPRIA'!$B$4:$I$7999,5,0),""))</f>
        <v>UN</v>
      </c>
      <c r="M1014" s="106"/>
      <c r="N1014" s="53"/>
    </row>
    <row r="1015" spans="1:14" ht="27" customHeight="1">
      <c r="A1015" s="340"/>
      <c r="B1015" s="207"/>
      <c r="C1015" s="239">
        <v>96977</v>
      </c>
      <c r="D1015" s="390" t="s">
        <v>7</v>
      </c>
      <c r="E1015" s="689" t="str">
        <f>IFERROR(VLOOKUP($C1015,'SINAPI JULHO 2021'!$1:$1048576,2,0),IFERROR(VLOOKUP($C1015,'5-COMP. PROPRIA'!$B$4:$I$7999,4,0),""))</f>
        <v>CORDOALHA DE COBRE NU 50 MM², ENTERRADA, SEM ISOLADOR - FORNECIMENTO E INSTALAÇÃO. AF_12/2017</v>
      </c>
      <c r="F1015" s="690"/>
      <c r="G1015" s="690"/>
      <c r="H1015" s="690"/>
      <c r="I1015" s="690"/>
      <c r="J1015" s="691"/>
      <c r="K1015" s="404">
        <v>183.88</v>
      </c>
      <c r="L1015" s="468" t="str">
        <f>IFERROR(VLOOKUP($C1015,'SINAPI JULHO 2021'!$1:$1048576,3,0),IFERROR(VLOOKUP($C1015,'5-COMP. PROPRIA'!$B$4:$I$7999,5,0),""))</f>
        <v>M</v>
      </c>
      <c r="M1015" s="106"/>
      <c r="N1015" s="53"/>
    </row>
    <row r="1016" spans="1:14" ht="27" customHeight="1">
      <c r="A1016" s="340"/>
      <c r="B1016" s="207"/>
      <c r="C1016" s="239" t="s">
        <v>12998</v>
      </c>
      <c r="D1016" s="390" t="s">
        <v>4271</v>
      </c>
      <c r="E1016" s="689" t="str">
        <f>IFERROR(VLOOKUP($C1016,'SINAPI JULHO 2021'!$1:$1048576,2,0),IFERROR(VLOOKUP($C1016,'5-COMP. PROPRIA'!$B$4:$I$7999,4,0),""))</f>
        <v>GRAMPO CONECTOR GTDU PARA HASTE DE ATERRAMENTO DUPLO 5/8'' - 50MM² - FORNECIMENTO E INSTALAÇÃO</v>
      </c>
      <c r="F1016" s="690"/>
      <c r="G1016" s="690"/>
      <c r="H1016" s="690"/>
      <c r="I1016" s="690"/>
      <c r="J1016" s="691"/>
      <c r="K1016" s="404">
        <v>16</v>
      </c>
      <c r="L1016" s="468" t="str">
        <f>IFERROR(VLOOKUP($C1016,'SINAPI JULHO 2021'!$1:$1048576,3,0),IFERROR(VLOOKUP($C1016,'5-COMP. PROPRIA'!$B$4:$I$7999,5,0),""))</f>
        <v>UN</v>
      </c>
      <c r="M1016" s="106"/>
      <c r="N1016" s="53"/>
    </row>
    <row r="1017" spans="1:14" ht="15">
      <c r="A1017" s="340"/>
      <c r="B1017" s="207"/>
      <c r="C1017" s="239" t="s">
        <v>13000</v>
      </c>
      <c r="D1017" s="390" t="s">
        <v>4271</v>
      </c>
      <c r="E1017" s="689" t="str">
        <f>IFERROR(VLOOKUP($C1017,'SINAPI JULHO 2021'!$1:$1048576,2,0),IFERROR(VLOOKUP($C1017,'5-COMP. PROPRIA'!$B$4:$I$7999,4,0),""))</f>
        <v>GRAMPO CONECTOR MINI-BAR EM BRONZE ESTANHADO TEL-583 - FORNECIMENTO E INSTALAÇÃO</v>
      </c>
      <c r="F1017" s="690"/>
      <c r="G1017" s="690"/>
      <c r="H1017" s="690"/>
      <c r="I1017" s="690"/>
      <c r="J1017" s="691"/>
      <c r="K1017" s="404">
        <v>41</v>
      </c>
      <c r="L1017" s="468" t="str">
        <f>IFERROR(VLOOKUP($C1017,'SINAPI JULHO 2021'!$1:$1048576,3,0),IFERROR(VLOOKUP($C1017,'5-COMP. PROPRIA'!$B$4:$I$7999,5,0),""))</f>
        <v>UN</v>
      </c>
      <c r="M1017" s="106"/>
      <c r="N1017" s="53"/>
    </row>
    <row r="1018" spans="1:14" ht="27" customHeight="1">
      <c r="A1018" s="340"/>
      <c r="B1018" s="207"/>
      <c r="C1018" s="239">
        <v>96973</v>
      </c>
      <c r="D1018" s="390" t="s">
        <v>7</v>
      </c>
      <c r="E1018" s="689" t="str">
        <f>IFERROR(VLOOKUP($C1018,'SINAPI JULHO 2021'!$1:$1048576,2,0),IFERROR(VLOOKUP($C1018,'5-COMP. PROPRIA'!$B$4:$I$7999,4,0),""))</f>
        <v>CORDOALHA DE COBRE NU 35 MM², NÃO ENTERRADA, COM ISOLADOR - FORNECIMENTO E INSTALAÇÃO. AF_12/2017</v>
      </c>
      <c r="F1018" s="690"/>
      <c r="G1018" s="690"/>
      <c r="H1018" s="690"/>
      <c r="I1018" s="690"/>
      <c r="J1018" s="691"/>
      <c r="K1018" s="404">
        <v>112</v>
      </c>
      <c r="L1018" s="468" t="str">
        <f>IFERROR(VLOOKUP($C1018,'SINAPI JULHO 2021'!$1:$1048576,3,0),IFERROR(VLOOKUP($C1018,'5-COMP. PROPRIA'!$B$4:$I$7999,5,0),""))</f>
        <v>M</v>
      </c>
      <c r="M1018" s="106"/>
      <c r="N1018" s="53"/>
    </row>
    <row r="1019" spans="1:14" ht="27" customHeight="1">
      <c r="A1019" s="340"/>
      <c r="B1019" s="207"/>
      <c r="C1019" s="239" t="s">
        <v>13003</v>
      </c>
      <c r="D1019" s="390" t="s">
        <v>4271</v>
      </c>
      <c r="E1019" s="689" t="str">
        <f>IFERROR(VLOOKUP($C1019,'SINAPI JULHO 2021'!$1:$1048576,2,0),IFERROR(VLOOKUP($C1019,'5-COMP. PROPRIA'!$B$4:$I$7999,4,0),""))</f>
        <v>CAIXA DE EQUALIZAÇÃO DE POTÊNCIAS 200X200MM EM AÇO COM BARRAMENTO, EXPESSURA 9MM - FORNECIMENTO E INSTALAÇÃO</v>
      </c>
      <c r="F1019" s="690"/>
      <c r="G1019" s="690"/>
      <c r="H1019" s="690"/>
      <c r="I1019" s="690"/>
      <c r="J1019" s="691"/>
      <c r="K1019" s="404">
        <v>1</v>
      </c>
      <c r="L1019" s="468" t="str">
        <f>IFERROR(VLOOKUP($C1019,'SINAPI JULHO 2021'!$1:$1048576,3,0),IFERROR(VLOOKUP($C1019,'5-COMP. PROPRIA'!$B$4:$I$7999,5,0),""))</f>
        <v>UN</v>
      </c>
      <c r="M1019" s="106"/>
      <c r="N1019" s="53"/>
    </row>
    <row r="1020" spans="1:14" ht="15">
      <c r="A1020" s="340"/>
      <c r="B1020" s="207"/>
      <c r="C1020" s="239">
        <v>93358</v>
      </c>
      <c r="D1020" s="390" t="s">
        <v>7</v>
      </c>
      <c r="E1020" s="689" t="str">
        <f>IFERROR(VLOOKUP($C1020,'SINAPI JULHO 2021'!$1:$1048576,2,0),IFERROR(VLOOKUP($C1020,'5-COMP. PROPRIA'!$B$4:$I$7999,4,0),""))</f>
        <v>ESCAVAÇÃO MANUAL DE VALA COM PROFUNDIDADE MENOR OU IGUAL A 1,30 M. AF_02/2021</v>
      </c>
      <c r="F1020" s="690"/>
      <c r="G1020" s="690"/>
      <c r="H1020" s="690"/>
      <c r="I1020" s="690"/>
      <c r="J1020" s="691"/>
      <c r="K1020" s="404">
        <v>27.581999999999997</v>
      </c>
      <c r="L1020" s="468" t="str">
        <f>IFERROR(VLOOKUP($C1020,'SINAPI JULHO 2021'!$1:$1048576,3,0),IFERROR(VLOOKUP($C1020,'5-COMP. PROPRIA'!$B$4:$I$7999,5,0),""))</f>
        <v>M3</v>
      </c>
      <c r="M1020" s="106"/>
      <c r="N1020" s="53"/>
    </row>
    <row r="1021" spans="1:14" ht="15">
      <c r="A1021" s="340"/>
      <c r="B1021" s="207"/>
      <c r="C1021" s="239">
        <v>96995</v>
      </c>
      <c r="D1021" s="390" t="s">
        <v>7</v>
      </c>
      <c r="E1021" s="689" t="str">
        <f>IFERROR(VLOOKUP($C1021,'SINAPI JULHO 2021'!$1:$1048576,2,0),IFERROR(VLOOKUP($C1021,'5-COMP. PROPRIA'!$B$4:$I$7999,4,0),""))</f>
        <v>REATERRO MANUAL APILOADO COM SOQUETE. AF_10/2017</v>
      </c>
      <c r="F1021" s="690"/>
      <c r="G1021" s="690"/>
      <c r="H1021" s="690"/>
      <c r="I1021" s="690"/>
      <c r="J1021" s="691"/>
      <c r="K1021" s="404">
        <v>27.581999999999997</v>
      </c>
      <c r="L1021" s="468" t="str">
        <f>IFERROR(VLOOKUP($C1021,'SINAPI JULHO 2021'!$1:$1048576,3,0),IFERROR(VLOOKUP($C1021,'5-COMP. PROPRIA'!$B$4:$I$7999,5,0),""))</f>
        <v>M3</v>
      </c>
      <c r="M1021" s="106"/>
      <c r="N1021" s="53"/>
    </row>
    <row r="1022" spans="1:14" ht="15">
      <c r="A1022" s="340"/>
      <c r="B1022" s="207"/>
      <c r="C1022" s="239" t="s">
        <v>13006</v>
      </c>
      <c r="D1022" s="390" t="s">
        <v>4271</v>
      </c>
      <c r="E1022" s="689" t="str">
        <f>IFERROR(VLOOKUP($C1022,'SINAPI JULHO 2021'!$1:$1048576,2,0),IFERROR(VLOOKUP($C1022,'5-COMP. PROPRIA'!$B$4:$I$7999,4,0),""))</f>
        <v>SPDA CAIXA DÁGUA - FORNECIMENTO E INSTALAÇÃO</v>
      </c>
      <c r="F1022" s="690"/>
      <c r="G1022" s="690"/>
      <c r="H1022" s="690"/>
      <c r="I1022" s="690"/>
      <c r="J1022" s="691"/>
      <c r="K1022" s="404">
        <v>1</v>
      </c>
      <c r="L1022" s="468" t="str">
        <f>IFERROR(VLOOKUP($C1022,'SINAPI JULHO 2021'!$1:$1048576,3,0),IFERROR(VLOOKUP($C1022,'5-COMP. PROPRIA'!$B$4:$I$7999,5,0),""))</f>
        <v>UN</v>
      </c>
      <c r="M1022" s="106"/>
      <c r="N1022" s="53"/>
    </row>
    <row r="1023" spans="1:14" ht="15">
      <c r="A1023" s="340"/>
      <c r="B1023" s="207"/>
      <c r="C1023" s="239" t="s">
        <v>13008</v>
      </c>
      <c r="D1023" s="390" t="s">
        <v>4271</v>
      </c>
      <c r="E1023" s="689" t="str">
        <f>IFERROR(VLOOKUP($C1023,'SINAPI JULHO 2021'!$1:$1048576,2,0),IFERROR(VLOOKUP($C1023,'5-COMP. PROPRIA'!$B$4:$I$7999,4,0),""))</f>
        <v>FIXADOR UNIVERSAL DE SPDA</v>
      </c>
      <c r="F1023" s="690"/>
      <c r="G1023" s="690"/>
      <c r="H1023" s="690"/>
      <c r="I1023" s="690"/>
      <c r="J1023" s="691"/>
      <c r="K1023" s="404">
        <v>432</v>
      </c>
      <c r="L1023" s="468" t="str">
        <f>IFERROR(VLOOKUP($C1023,'SINAPI JULHO 2021'!$1:$1048576,3,0),IFERROR(VLOOKUP($C1023,'5-COMP. PROPRIA'!$B$4:$I$7999,5,0),""))</f>
        <v>UN</v>
      </c>
      <c r="M1023" s="106"/>
      <c r="N1023" s="53"/>
    </row>
    <row r="1024" spans="1:14" ht="15">
      <c r="A1024" s="340"/>
      <c r="B1024" s="207"/>
      <c r="C1024" s="239" t="s">
        <v>13010</v>
      </c>
      <c r="D1024" s="390" t="s">
        <v>4271</v>
      </c>
      <c r="E1024" s="689" t="str">
        <f>IFERROR(VLOOKUP($C1024,'SINAPI JULHO 2021'!$1:$1048576,2,0),IFERROR(VLOOKUP($C1024,'5-COMP. PROPRIA'!$B$4:$I$7999,4,0),""))</f>
        <v>TERMINAL AÉREO COM BRAÇADEIRA DE FIXAÇÃO</v>
      </c>
      <c r="F1024" s="690"/>
      <c r="G1024" s="690"/>
      <c r="H1024" s="690"/>
      <c r="I1024" s="690"/>
      <c r="J1024" s="691"/>
      <c r="K1024" s="404">
        <v>9</v>
      </c>
      <c r="L1024" s="468" t="str">
        <f>IFERROR(VLOOKUP($C1024,'SINAPI JULHO 2021'!$1:$1048576,3,0),IFERROR(VLOOKUP($C1024,'5-COMP. PROPRIA'!$B$4:$I$7999,5,0),""))</f>
        <v>UN</v>
      </c>
      <c r="M1024" s="106"/>
      <c r="N1024" s="53"/>
    </row>
    <row r="1025" spans="1:14" ht="15.75" thickBot="1">
      <c r="A1025" s="340"/>
      <c r="B1025" s="207"/>
      <c r="C1025" s="239" t="s">
        <v>13012</v>
      </c>
      <c r="D1025" s="390" t="s">
        <v>4271</v>
      </c>
      <c r="E1025" s="689" t="str">
        <f>IFERROR(VLOOKUP($C1025,'SINAPI JULHO 2021'!$1:$1048576,2,0),IFERROR(VLOOKUP($C1025,'5-COMP. PROPRIA'!$B$4:$I$7999,4,0),""))</f>
        <v>CORDOALHA DE COBRE NU 35 MM², ENTERRADA, SEM ISOLADOR - FORNECIMENTO E INSTALAÇÃO.</v>
      </c>
      <c r="F1025" s="690"/>
      <c r="G1025" s="690"/>
      <c r="H1025" s="690"/>
      <c r="I1025" s="690"/>
      <c r="J1025" s="691"/>
      <c r="K1025" s="404">
        <v>431.86</v>
      </c>
      <c r="L1025" s="468" t="str">
        <f>IFERROR(VLOOKUP($C1025,'SINAPI JULHO 2021'!$1:$1048576,3,0),IFERROR(VLOOKUP($C1025,'5-COMP. PROPRIA'!$B$4:$I$7999,5,0),""))</f>
        <v xml:space="preserve">M     </v>
      </c>
      <c r="M1025" s="106"/>
      <c r="N1025" s="53"/>
    </row>
    <row r="1026" spans="1:14" ht="13.5" thickBot="1">
      <c r="A1026" s="340"/>
      <c r="B1026" s="207"/>
      <c r="C1026" s="239"/>
      <c r="D1026" s="17"/>
      <c r="E1026" s="698" t="s">
        <v>6900</v>
      </c>
      <c r="F1026" s="699"/>
      <c r="G1026" s="699"/>
      <c r="H1026" s="699"/>
      <c r="I1026" s="699"/>
      <c r="J1026" s="700"/>
      <c r="K1026" s="154"/>
      <c r="L1026" s="33"/>
      <c r="M1026" s="106"/>
      <c r="N1026" s="53"/>
    </row>
    <row r="1027" spans="1:14" ht="15.75" thickBot="1">
      <c r="A1027" s="340"/>
      <c r="B1027" s="207"/>
      <c r="C1027" s="239"/>
      <c r="D1027" s="17"/>
      <c r="E1027" s="695" t="s">
        <v>6901</v>
      </c>
      <c r="F1027" s="696"/>
      <c r="G1027" s="696"/>
      <c r="H1027" s="696"/>
      <c r="I1027" s="696"/>
      <c r="J1027" s="697"/>
      <c r="K1027" s="154"/>
      <c r="L1027" s="33"/>
      <c r="M1027" s="106"/>
      <c r="N1027" s="53"/>
    </row>
    <row r="1028" spans="1:14" ht="18.75" customHeight="1">
      <c r="A1028" s="340"/>
      <c r="B1028" s="207" t="s">
        <v>13017</v>
      </c>
      <c r="C1028" s="239">
        <v>99857</v>
      </c>
      <c r="D1028" s="137" t="s">
        <v>7</v>
      </c>
      <c r="E1028" s="689" t="str">
        <f>IFERROR(VLOOKUP($C1028,'SINAPI JULHO 2021'!$1:$1048576,2,0),IFERROR(VLOOKUP($C1028,'5-COMP. PROPRIA'!$B$4:$I$7999,4,0),""))</f>
        <v>CORRIMÃO SIMPLES, DIÂMETRO EXTERNO = 1 1/2", EM ALUMÍNIO. AF_04/2019_P</v>
      </c>
      <c r="F1028" s="690"/>
      <c r="G1028" s="690"/>
      <c r="H1028" s="690"/>
      <c r="I1028" s="690"/>
      <c r="J1028" s="691"/>
      <c r="K1028" s="270">
        <v>89.2</v>
      </c>
      <c r="L1028" s="468" t="str">
        <f>IFERROR(VLOOKUP($C1028,'SINAPI JULHO 2021'!$1:$1048576,3,0),IFERROR(VLOOKUP($C1028,'5-COMP. PROPRIA'!$B$4:$I$7999,5,0),""))</f>
        <v>M</v>
      </c>
      <c r="M1028" s="106"/>
      <c r="N1028" s="53"/>
    </row>
    <row r="1029" spans="1:14" ht="15">
      <c r="A1029" s="340"/>
      <c r="B1029" s="207"/>
      <c r="C1029" s="239" t="str">
        <f>'5-COMP. PROPRIA'!B902</f>
        <v>CP-SD- 01</v>
      </c>
      <c r="D1029" s="137" t="s">
        <v>4271</v>
      </c>
      <c r="E1029" s="689" t="str">
        <f>IFERROR(VLOOKUP($C1029,'SINAPI JULHO 2021'!$1:$1048576,2,0),IFERROR(VLOOKUP($C1029,'5-COMP. PROPRIA'!$B$4:$I$7999,4,0),""))</f>
        <v>PLACA DE INAUGURAÇÃO</v>
      </c>
      <c r="F1029" s="690"/>
      <c r="G1029" s="690"/>
      <c r="H1029" s="690"/>
      <c r="I1029" s="690"/>
      <c r="J1029" s="691"/>
      <c r="K1029" s="270">
        <v>1</v>
      </c>
      <c r="L1029" s="468" t="str">
        <f>IFERROR(VLOOKUP($C1029,'SINAPI JULHO 2021'!$1:$1048576,3,0),IFERROR(VLOOKUP($C1029,'5-COMP. PROPRIA'!$B$4:$I$7999,5,0),""))</f>
        <v>UN</v>
      </c>
      <c r="M1029" s="106"/>
      <c r="N1029" s="53"/>
    </row>
    <row r="1030" spans="1:14" ht="29.25" customHeight="1">
      <c r="A1030" s="340"/>
      <c r="B1030" s="207"/>
      <c r="C1030" s="239" t="str">
        <f>'5-COMP. PROPRIA'!B724</f>
        <v>CP-QUA-01</v>
      </c>
      <c r="D1030" s="137" t="s">
        <v>4271</v>
      </c>
      <c r="E1030" s="689" t="str">
        <f>IFERROR(VLOOKUP($C1030,'SINAPI JULHO 2021'!$1:$1048576,2,0),IFERROR(VLOOKUP($C1030,'5-COMP. PROPRIA'!$B$4:$I$7999,4,0),""))</f>
        <v>FORNECIMENTO E INSTALAÇÃO QUADRO DE VIDRO, FUNDO BRANCO 4,00X1,20 COM REQUADRO E ACABAMENTO EM ALUMINIO.</v>
      </c>
      <c r="F1030" s="690"/>
      <c r="G1030" s="690"/>
      <c r="H1030" s="690"/>
      <c r="I1030" s="690"/>
      <c r="J1030" s="691"/>
      <c r="K1030" s="270">
        <f>(4*1.2)*18</f>
        <v>86.399999999999991</v>
      </c>
      <c r="L1030" s="468" t="str">
        <f>IFERROR(VLOOKUP($C1030,'SINAPI JULHO 2021'!$1:$1048576,3,0),IFERROR(VLOOKUP($C1030,'5-COMP. PROPRIA'!$B$4:$I$7999,5,0),""))</f>
        <v>M2</v>
      </c>
      <c r="M1030" s="106"/>
      <c r="N1030" s="53"/>
    </row>
    <row r="1031" spans="1:14" ht="29.25" customHeight="1">
      <c r="A1031" s="340"/>
      <c r="B1031" s="207"/>
      <c r="C1031" s="239" t="str">
        <f>'5-COMP. PROPRIA'!B924</f>
        <v>CP-CF- 04</v>
      </c>
      <c r="D1031" s="137" t="s">
        <v>4271</v>
      </c>
      <c r="E1031" s="689" t="str">
        <f>IFERROR(VLOOKUP($C1031,'SINAPI JULHO 2021'!$1:$1048576,2,0),IFERROR(VLOOKUP($C1031,'5-COMP. PROPRIA'!$B$4:$I$7999,4,0),""))</f>
        <v xml:space="preserve">COIFA INDUSTRIAL EM INOX (1,30X2,75X0,5) COM EXAUSTORES, DUTOS, CURVAS E CHAPÉUS DE 300MM(30 CM) EM INOX CONFORME PROJETO - FORNECIMENTO E INSTALAÇÃO </v>
      </c>
      <c r="F1031" s="690"/>
      <c r="G1031" s="690"/>
      <c r="H1031" s="690"/>
      <c r="I1031" s="690"/>
      <c r="J1031" s="691"/>
      <c r="K1031" s="270">
        <v>1</v>
      </c>
      <c r="L1031" s="468" t="str">
        <f>IFERROR(VLOOKUP($C1031,'SINAPI JULHO 2021'!$1:$1048576,3,0),IFERROR(VLOOKUP($C1031,'5-COMP. PROPRIA'!$B$4:$I$7999,5,0),""))</f>
        <v xml:space="preserve">UN    </v>
      </c>
      <c r="M1031" s="106"/>
      <c r="N1031" s="53"/>
    </row>
    <row r="1032" spans="1:14" ht="47.25" customHeight="1" thickBot="1">
      <c r="A1032" s="340"/>
      <c r="B1032" s="207"/>
      <c r="C1032" s="239" t="str">
        <f>'5-COMP. PROPRIA'!B919</f>
        <v>CP-SD- 05</v>
      </c>
      <c r="D1032" s="137" t="s">
        <v>4271</v>
      </c>
      <c r="E1032" s="692" t="str">
        <f>IFERROR(VLOOKUP($C1032,'SINAPI JULHO 2021'!$1:$1048576,2,0),IFERROR(VLOOKUP($C1032,'5-COMP. PROPRIA'!$B$4:$I$7999,4,0),""))</f>
        <v xml:space="preserve">LIXEIRA DUPLA, COM CAPACIDADE VOLUMETRICA DE 60L*, FABRICADA EM TUBO DE ACO CARBONO, CESTOS EM CHAPA DE ACO E PINTURA NO PROCESSO ELETROSTATICO - FORNECIMENTO E INSTALAÇÃO                                                                                                                                                                                                                                                                                  </v>
      </c>
      <c r="F1032" s="693"/>
      <c r="G1032" s="693"/>
      <c r="H1032" s="693"/>
      <c r="I1032" s="693"/>
      <c r="J1032" s="694"/>
      <c r="K1032" s="270">
        <v>1</v>
      </c>
      <c r="L1032" s="468" t="str">
        <f>IFERROR(VLOOKUP($C1032,'SINAPI JULHO 2021'!$1:$1048576,3,0),IFERROR(VLOOKUP($C1032,'5-COMP. PROPRIA'!$B$4:$I$7999,5,0),""))</f>
        <v xml:space="preserve">UN    </v>
      </c>
      <c r="M1032" s="106"/>
      <c r="N1032" s="53"/>
    </row>
    <row r="1033" spans="1:14" ht="15.75" thickBot="1">
      <c r="A1033" s="340"/>
      <c r="B1033" s="207"/>
      <c r="C1033" s="239"/>
      <c r="D1033" s="137"/>
      <c r="E1033" s="695" t="s">
        <v>13433</v>
      </c>
      <c r="F1033" s="696"/>
      <c r="G1033" s="696"/>
      <c r="H1033" s="696"/>
      <c r="I1033" s="696"/>
      <c r="J1033" s="697"/>
      <c r="K1033" s="270"/>
      <c r="L1033" s="468"/>
      <c r="M1033" s="106"/>
      <c r="N1033" s="53"/>
    </row>
    <row r="1034" spans="1:14" ht="29.25" customHeight="1">
      <c r="A1034" s="340"/>
      <c r="B1034" s="207"/>
      <c r="C1034" s="239">
        <v>98511</v>
      </c>
      <c r="D1034" s="137" t="s">
        <v>7</v>
      </c>
      <c r="E1034" s="689" t="str">
        <f>IFERROR(VLOOKUP($C1034,'SINAPI JULHO 2021'!$1:$1048576,2,0),IFERROR(VLOOKUP($C1034,'5-COMP. PROPRIA'!$B$4:$I$7999,4,0),""))</f>
        <v>PLANTIO DE ÁRVORE ORNAMENTAL COM ALTURA DE MUDA MAIOR QUE 2,00 M E MENOR OU IGUAL A 4,00 M. AF_05/2018</v>
      </c>
      <c r="F1034" s="690"/>
      <c r="G1034" s="690"/>
      <c r="H1034" s="690"/>
      <c r="I1034" s="690"/>
      <c r="J1034" s="691"/>
      <c r="K1034" s="270">
        <v>5</v>
      </c>
      <c r="L1034" s="468" t="str">
        <f>IFERROR(VLOOKUP($C1034,'SINAPI JULHO 2021'!$1:$1048576,3,0),IFERROR(VLOOKUP($C1034,'5-COMP. PROPRIA'!$B$4:$I$7999,5,0),""))</f>
        <v>UN</v>
      </c>
      <c r="M1034" s="106"/>
      <c r="N1034" s="53"/>
    </row>
    <row r="1035" spans="1:14" ht="15">
      <c r="A1035" s="340"/>
      <c r="B1035" s="207"/>
      <c r="C1035" s="239">
        <v>98516</v>
      </c>
      <c r="D1035" s="137" t="s">
        <v>7</v>
      </c>
      <c r="E1035" s="689" t="str">
        <f>IFERROR(VLOOKUP($C1035,'SINAPI JULHO 2021'!$1:$1048576,2,0),IFERROR(VLOOKUP($C1035,'5-COMP. PROPRIA'!$B$4:$I$7999,4,0),""))</f>
        <v>PLANTIO DE PALMEIRA COM ALTURA DE MUDA MENOR OU IGUAL A 2,00 M. AF_05/2018</v>
      </c>
      <c r="F1035" s="690"/>
      <c r="G1035" s="690"/>
      <c r="H1035" s="690"/>
      <c r="I1035" s="690"/>
      <c r="J1035" s="691"/>
      <c r="K1035" s="270">
        <v>12</v>
      </c>
      <c r="L1035" s="468" t="str">
        <f>IFERROR(VLOOKUP($C1035,'SINAPI JULHO 2021'!$1:$1048576,3,0),IFERROR(VLOOKUP($C1035,'5-COMP. PROPRIA'!$B$4:$I$7999,5,0),""))</f>
        <v>UN</v>
      </c>
      <c r="M1035" s="106"/>
      <c r="N1035" s="53"/>
    </row>
    <row r="1036" spans="1:14" ht="15">
      <c r="A1036" s="340"/>
      <c r="B1036" s="207"/>
      <c r="C1036" s="239">
        <v>98505</v>
      </c>
      <c r="D1036" s="137" t="s">
        <v>7</v>
      </c>
      <c r="E1036" s="689" t="str">
        <f>IFERROR(VLOOKUP($C1036,'SINAPI JULHO 2021'!$1:$1048576,2,0),IFERROR(VLOOKUP($C1036,'5-COMP. PROPRIA'!$B$4:$I$7999,4,0),""))</f>
        <v>PLANTIO DE FORRAÇÃO. AF_05/2018</v>
      </c>
      <c r="F1036" s="690"/>
      <c r="G1036" s="690"/>
      <c r="H1036" s="690"/>
      <c r="I1036" s="690"/>
      <c r="J1036" s="691"/>
      <c r="K1036" s="270">
        <v>35.6</v>
      </c>
      <c r="L1036" s="468" t="str">
        <f>IFERROR(VLOOKUP($C1036,'SINAPI JULHO 2021'!$1:$1048576,3,0),IFERROR(VLOOKUP($C1036,'5-COMP. PROPRIA'!$B$4:$I$7999,5,0),""))</f>
        <v>M2</v>
      </c>
      <c r="M1036" s="106"/>
      <c r="N1036" s="53"/>
    </row>
    <row r="1037" spans="1:14" ht="15.75" thickBot="1">
      <c r="A1037" s="340"/>
      <c r="B1037" s="207"/>
      <c r="C1037" s="239">
        <v>98509</v>
      </c>
      <c r="D1037" s="137" t="s">
        <v>7</v>
      </c>
      <c r="E1037" s="689" t="str">
        <f>IFERROR(VLOOKUP($C1037,'SINAPI JULHO 2021'!$1:$1048576,2,0),IFERROR(VLOOKUP($C1037,'5-COMP. PROPRIA'!$B$4:$I$7999,4,0),""))</f>
        <v>PLANTIO DE ARBUSTO OU  CERCA VIVA. AF_05/2018</v>
      </c>
      <c r="F1037" s="690"/>
      <c r="G1037" s="690"/>
      <c r="H1037" s="690"/>
      <c r="I1037" s="690"/>
      <c r="J1037" s="691"/>
      <c r="K1037" s="270">
        <v>10</v>
      </c>
      <c r="L1037" s="468" t="str">
        <f>IFERROR(VLOOKUP($C1037,'SINAPI JULHO 2021'!$1:$1048576,3,0),IFERROR(VLOOKUP($C1037,'5-COMP. PROPRIA'!$B$4:$I$7999,5,0),""))</f>
        <v>UN</v>
      </c>
      <c r="M1037" s="226"/>
      <c r="N1037" s="53"/>
    </row>
    <row r="1038" spans="1:14" ht="15.75" thickBot="1">
      <c r="A1038" s="340"/>
      <c r="B1038" s="207"/>
      <c r="C1038" s="239"/>
      <c r="D1038" s="137"/>
      <c r="E1038" s="695" t="s">
        <v>13022</v>
      </c>
      <c r="F1038" s="696"/>
      <c r="G1038" s="696"/>
      <c r="H1038" s="696"/>
      <c r="I1038" s="696"/>
      <c r="J1038" s="697"/>
      <c r="K1038" s="270"/>
      <c r="L1038" s="468"/>
      <c r="M1038" s="106"/>
      <c r="N1038" s="53"/>
    </row>
    <row r="1039" spans="1:14" ht="40.5" customHeight="1">
      <c r="A1039" s="340"/>
      <c r="B1039" s="207"/>
      <c r="C1039" s="239" t="str">
        <f>'5-COMP. PROPRIA'!B906</f>
        <v>CP-SD- 02</v>
      </c>
      <c r="D1039" s="137" t="s">
        <v>4271</v>
      </c>
      <c r="E1039" s="692" t="str">
        <f>IFERROR(VLOOKUP($C1039,'SINAPI JULHO 2021'!$1:$1048576,2,0),IFERROR(VLOOKUP($C1039,'5-COMP. PROPRIA'!$B$4:$I$7999,4,0),""))</f>
        <v>CONJUNTO PARA FUTSAL COM TRAVES OFICIAIS DE 3,00 X 2,00 M EM TUBO DE ACO GALVANIZADO 3" COM REQUADRO EM TUBO DE 1", PINTURA EM PRIMER COM TINTA ESMALTE SINTETICO E REDES DE POLIETILENO FIO 4 MM  - FORNECIMENTO E INSTALAÇÃO</v>
      </c>
      <c r="F1039" s="693"/>
      <c r="G1039" s="693"/>
      <c r="H1039" s="693"/>
      <c r="I1039" s="693"/>
      <c r="J1039" s="694"/>
      <c r="K1039" s="270">
        <v>1</v>
      </c>
      <c r="L1039" s="468" t="str">
        <f>IFERROR(VLOOKUP($C1039,'SINAPI JULHO 2021'!$1:$1048576,3,0),IFERROR(VLOOKUP($C1039,'5-COMP. PROPRIA'!$B$4:$I$7999,5,0),""))</f>
        <v>CJ</v>
      </c>
      <c r="M1039" s="106"/>
      <c r="N1039" s="53"/>
    </row>
    <row r="1040" spans="1:14" ht="37.5" customHeight="1">
      <c r="A1040" s="340"/>
      <c r="B1040" s="207"/>
      <c r="C1040" s="239" t="str">
        <f>'5-COMP. PROPRIA'!B910</f>
        <v>CP-SD- 03</v>
      </c>
      <c r="D1040" s="137" t="s">
        <v>4271</v>
      </c>
      <c r="E1040" s="692" t="str">
        <f>IFERROR(VLOOKUP($C1040,'SINAPI JULHO 2021'!$1:$1048576,2,0),IFERROR(VLOOKUP($C1040,'5-COMP. PROPRIA'!$B$4:$I$7999,4,0),""))</f>
        <v xml:space="preserve">CONJUNTO PARA QUADRA DE  VOLEI COM POSTES EM TUBO DE ACO GALVANIZADO 3", H = *255* CM, PINTURA EM TINTA ESMALTE SINTETICO, REDE DE NYLON COM 2 MM, MALHA 10 X 10 CM E ANTENAS OFICIAIS EM FIBRA DE VIDRO - FORNECIMENTO E INSTALAÇÃO                                                                                                                                                                                                                                                                                                </v>
      </c>
      <c r="F1040" s="693"/>
      <c r="G1040" s="693"/>
      <c r="H1040" s="693"/>
      <c r="I1040" s="693"/>
      <c r="J1040" s="694"/>
      <c r="K1040" s="270">
        <v>1</v>
      </c>
      <c r="L1040" s="468" t="str">
        <f>IFERROR(VLOOKUP($C1040,'SINAPI JULHO 2021'!$1:$1048576,3,0),IFERROR(VLOOKUP($C1040,'5-COMP. PROPRIA'!$B$4:$I$7999,5,0),""))</f>
        <v>CJ</v>
      </c>
      <c r="M1040" s="106"/>
      <c r="N1040" s="53"/>
    </row>
    <row r="1041" spans="1:14" ht="37.5" customHeight="1" thickBot="1">
      <c r="A1041" s="340"/>
      <c r="B1041" s="207"/>
      <c r="C1041" s="239" t="str">
        <f>'5-COMP. PROPRIA'!B914</f>
        <v>CP-SD- 04</v>
      </c>
      <c r="D1041" s="137" t="s">
        <v>4271</v>
      </c>
      <c r="E1041" s="692" t="str">
        <f>IFERROR(VLOOKUP($C1041,'SINAPI JULHO 2021'!$1:$1048576,2,0),IFERROR(VLOOKUP($C1041,'5-COMP. PROPRIA'!$B$4:$I$7999,4,0),""))</f>
        <v xml:space="preserve">PAR DE TABELAS DE BASQUETE EM COMPENSADO NAVAL DE *1,80 X 1,20* M, COM ARO DE METAL E REDE (COM SUPORTE DE FIXACAO E ESTRUTURA COM PÉ DIREITO 3 METROS DE ALTURA) - FORNECIMENTO E INSTALAÇÃO                                                                                                                                                                                                                                                                                                                                                                                      </v>
      </c>
      <c r="F1041" s="693"/>
      <c r="G1041" s="693"/>
      <c r="H1041" s="693"/>
      <c r="I1041" s="693"/>
      <c r="J1041" s="694"/>
      <c r="K1041" s="270">
        <v>1</v>
      </c>
      <c r="L1041" s="468" t="str">
        <f>IFERROR(VLOOKUP($C1041,'SINAPI JULHO 2021'!$1:$1048576,3,0),IFERROR(VLOOKUP($C1041,'5-COMP. PROPRIA'!$B$4:$I$7999,5,0),""))</f>
        <v>CJ</v>
      </c>
      <c r="M1041" s="106"/>
      <c r="N1041" s="53"/>
    </row>
    <row r="1042" spans="1:14" ht="13.5" thickBot="1">
      <c r="A1042" s="340"/>
      <c r="B1042" s="207"/>
      <c r="C1042" s="239"/>
      <c r="D1042" s="17"/>
      <c r="E1042" s="698" t="s">
        <v>4295</v>
      </c>
      <c r="F1042" s="699"/>
      <c r="G1042" s="699"/>
      <c r="H1042" s="699"/>
      <c r="I1042" s="699"/>
      <c r="J1042" s="700"/>
      <c r="K1042" s="154"/>
      <c r="L1042" s="441"/>
      <c r="M1042" s="106"/>
      <c r="N1042" s="53"/>
    </row>
    <row r="1043" spans="1:14" ht="15">
      <c r="A1043" s="340"/>
      <c r="B1043" s="207" t="s">
        <v>4296</v>
      </c>
      <c r="C1043" s="239" t="s">
        <v>4297</v>
      </c>
      <c r="D1043" s="137" t="s">
        <v>4271</v>
      </c>
      <c r="E1043" s="689" t="str">
        <f>IFERROR(VLOOKUP($C1043,'SINAPI JULHO 2021'!$1:$1048576,2,0),IFERROR(VLOOKUP($C1043,'5-COMP. PROPRIA'!$B$4:$I$7999,4,0),""))</f>
        <v xml:space="preserve">LIMPEZA DE ESQUADRIAS COM PANO ÚMIDO </v>
      </c>
      <c r="F1043" s="690"/>
      <c r="G1043" s="690"/>
      <c r="H1043" s="690"/>
      <c r="I1043" s="690"/>
      <c r="J1043" s="691"/>
      <c r="K1043" s="270">
        <f>(K451+K452+K450+K444+K440+K455+K456)*2</f>
        <v>507.56</v>
      </c>
      <c r="L1043" s="468" t="str">
        <f>IFERROR(VLOOKUP($C1043,'SINAPI JULHO 2021'!$1:$1048576,3,0),IFERROR(VLOOKUP($C1043,'5-COMP. PROPRIA'!$B$4:$I$7999,5,0),""))</f>
        <v>M2</v>
      </c>
      <c r="M1043" s="106"/>
      <c r="N1043" s="53"/>
    </row>
    <row r="1044" spans="1:14" ht="15">
      <c r="A1044" s="340"/>
      <c r="B1044" s="207"/>
      <c r="C1044" s="258">
        <v>99806</v>
      </c>
      <c r="D1044" s="137" t="s">
        <v>7</v>
      </c>
      <c r="E1044" s="689" t="str">
        <f>IFERROR(VLOOKUP($C1044,'SINAPI JULHO 2021'!$1:$1048576,2,0),IFERROR(VLOOKUP($C1044,'5-COMP. PROPRIA'!$B$4:$I$7999,4,0),""))</f>
        <v>LIMPEZA DE REVESTIMENTO CERÂMICO EM PAREDE COM PANO ÚMIDO AF_04/2019</v>
      </c>
      <c r="F1044" s="690"/>
      <c r="G1044" s="690"/>
      <c r="H1044" s="690"/>
      <c r="I1044" s="690"/>
      <c r="J1044" s="691"/>
      <c r="K1044" s="271">
        <f>K552+K550</f>
        <v>2114.98</v>
      </c>
      <c r="L1044" s="468" t="str">
        <f>IFERROR(VLOOKUP($C1044,'SINAPI JULHO 2021'!$1:$1048576,3,0),IFERROR(VLOOKUP($C1044,'5-COMP. PROPRIA'!$B$4:$I$7999,5,0),""))</f>
        <v>M2</v>
      </c>
      <c r="M1044" s="106"/>
      <c r="N1044" s="53"/>
    </row>
    <row r="1045" spans="1:14" ht="15.75" customHeight="1">
      <c r="A1045" s="340"/>
      <c r="B1045" s="207"/>
      <c r="C1045" s="258">
        <v>99814</v>
      </c>
      <c r="D1045" s="137" t="s">
        <v>7</v>
      </c>
      <c r="E1045" s="689" t="str">
        <f>IFERROR(VLOOKUP($C1045,'SINAPI JULHO 2021'!$1:$1048576,2,0),IFERROR(VLOOKUP($C1045,'5-COMP. PROPRIA'!$B$4:$I$7999,4,0),""))</f>
        <v>LIMPEZA DE SUPERFÍCIE COM JATO DE ALTA PRESSÃO. AF_04/2019</v>
      </c>
      <c r="F1045" s="690"/>
      <c r="G1045" s="690"/>
      <c r="H1045" s="690"/>
      <c r="I1045" s="690"/>
      <c r="J1045" s="691"/>
      <c r="K1045" s="270">
        <f xml:space="preserve"> K592</f>
        <v>2012.7299999999998</v>
      </c>
      <c r="L1045" s="468" t="str">
        <f>IFERROR(VLOOKUP($C1045,'SINAPI JULHO 2021'!$1:$1048576,3,0),IFERROR(VLOOKUP($C1045,'5-COMP. PROPRIA'!$B$4:$I$7999,5,0),""))</f>
        <v>M2</v>
      </c>
      <c r="M1045" s="106"/>
      <c r="N1045" s="53"/>
    </row>
    <row r="1046" spans="1:14" ht="13.5" thickBot="1">
      <c r="A1046" s="340"/>
      <c r="B1046" s="236"/>
      <c r="C1046" s="18"/>
      <c r="D1046" s="18"/>
      <c r="E1046" s="61"/>
      <c r="F1046" s="36"/>
      <c r="G1046" s="36"/>
      <c r="H1046" s="36"/>
      <c r="I1046" s="36"/>
      <c r="J1046" s="62"/>
      <c r="K1046" s="272"/>
      <c r="L1046" s="471"/>
      <c r="M1046" s="118"/>
      <c r="N1046" s="63"/>
    </row>
  </sheetData>
  <protectedRanges>
    <protectedRange password="C715" sqref="E793:J793" name="Intervalo3_1_1" securityDescriptor="O:WDG:WDD:(A;;CC;;;S-1-5-21-331323738-3957049979-2397494211-500)"/>
    <protectedRange password="C715" sqref="E793:J793" name="Intervalo3_18_1_1" securityDescriptor="O:WDG:WDD:(A;;CC;;;S-1-5-21-331323738-3957049979-2397494211-500)"/>
    <protectedRange password="C715" sqref="E809:J809" name="Intervalo3_1_2" securityDescriptor="O:WDG:WDD:(A;;CC;;;S-1-5-21-331323738-3957049979-2397494211-500)"/>
    <protectedRange password="C715" sqref="E809:J809" name="Intervalo3_18_1_2" securityDescriptor="O:WDG:WDD:(A;;CC;;;S-1-5-21-331323738-3957049979-2397494211-500)"/>
    <protectedRange password="C715" sqref="E818:J818" name="Intervalo3_1_3" securityDescriptor="O:WDG:WDD:(A;;CC;;;S-1-5-21-331323738-3957049979-2397494211-500)"/>
    <protectedRange password="C715" sqref="E818:J818" name="Intervalo3_18_1_3" securityDescriptor="O:WDG:WDD:(A;;CC;;;S-1-5-21-331323738-3957049979-2397494211-500)"/>
    <protectedRange password="C715" sqref="E823:J823 E827:J827 E832:J832 E842:J842 E853:J853 E888:J888 E893:J893 E900:J900 E929:J929 E924:J924 E953:J953 E959:J959 E961:J961 E964:J964 E967:J967" name="Intervalo3_1_4" securityDescriptor="O:WDG:WDD:(A;;CC;;;S-1-5-21-331323738-3957049979-2397494211-500)"/>
    <protectedRange password="C715" sqref="E823:J823 E827:J827 E832:J832 E842:J842 E853:J853 E888:J888 E893:J893 E900:J900 E929:J929 E924:J924 E953:J953 E959:J959 E961:J961 E964:J964 E967:J967" name="Intervalo3_18_1_4" securityDescriptor="O:WDG:WDD:(A;;CC;;;S-1-5-21-331323738-3957049979-2397494211-500)"/>
  </protectedRanges>
  <mergeCells count="610">
    <mergeCell ref="E924:J924"/>
    <mergeCell ref="E925:J925"/>
    <mergeCell ref="E926:J926"/>
    <mergeCell ref="E927:J927"/>
    <mergeCell ref="E928:J928"/>
    <mergeCell ref="E947:J947"/>
    <mergeCell ref="E948:J948"/>
    <mergeCell ref="E949:J949"/>
    <mergeCell ref="E950:J950"/>
    <mergeCell ref="E929:J929"/>
    <mergeCell ref="E930:J930"/>
    <mergeCell ref="E931:J931"/>
    <mergeCell ref="E932:J932"/>
    <mergeCell ref="E933:J933"/>
    <mergeCell ref="E934:J934"/>
    <mergeCell ref="E935:J935"/>
    <mergeCell ref="E936:J936"/>
    <mergeCell ref="E937:J937"/>
    <mergeCell ref="E951:J951"/>
    <mergeCell ref="E938:J938"/>
    <mergeCell ref="E939:J939"/>
    <mergeCell ref="E940:J940"/>
    <mergeCell ref="E941:J941"/>
    <mergeCell ref="E942:J942"/>
    <mergeCell ref="E943:J943"/>
    <mergeCell ref="E944:J944"/>
    <mergeCell ref="E945:J945"/>
    <mergeCell ref="E946:J946"/>
    <mergeCell ref="E915:J915"/>
    <mergeCell ref="E916:J916"/>
    <mergeCell ref="E917:J917"/>
    <mergeCell ref="E918:J918"/>
    <mergeCell ref="E919:J919"/>
    <mergeCell ref="E920:J920"/>
    <mergeCell ref="E921:J921"/>
    <mergeCell ref="E922:J922"/>
    <mergeCell ref="E923:J923"/>
    <mergeCell ref="E906:J906"/>
    <mergeCell ref="E907:J907"/>
    <mergeCell ref="E908:J908"/>
    <mergeCell ref="E909:J909"/>
    <mergeCell ref="E910:J910"/>
    <mergeCell ref="E911:J911"/>
    <mergeCell ref="E912:J912"/>
    <mergeCell ref="E913:J913"/>
    <mergeCell ref="E914:J914"/>
    <mergeCell ref="E897:J897"/>
    <mergeCell ref="E898:J898"/>
    <mergeCell ref="E899:J899"/>
    <mergeCell ref="E900:J900"/>
    <mergeCell ref="E901:J901"/>
    <mergeCell ref="E902:J902"/>
    <mergeCell ref="E903:J903"/>
    <mergeCell ref="E904:J904"/>
    <mergeCell ref="E905:J905"/>
    <mergeCell ref="E888:J888"/>
    <mergeCell ref="E889:J889"/>
    <mergeCell ref="E890:J890"/>
    <mergeCell ref="E891:J891"/>
    <mergeCell ref="E892:J892"/>
    <mergeCell ref="E893:J893"/>
    <mergeCell ref="E894:J894"/>
    <mergeCell ref="E895:J895"/>
    <mergeCell ref="E896:J896"/>
    <mergeCell ref="E879:J879"/>
    <mergeCell ref="E880:J880"/>
    <mergeCell ref="E881:J881"/>
    <mergeCell ref="E882:J882"/>
    <mergeCell ref="E883:J883"/>
    <mergeCell ref="E884:J884"/>
    <mergeCell ref="E885:J885"/>
    <mergeCell ref="E886:J886"/>
    <mergeCell ref="E887:J887"/>
    <mergeCell ref="E870:J870"/>
    <mergeCell ref="E871:J871"/>
    <mergeCell ref="E872:J872"/>
    <mergeCell ref="E873:J873"/>
    <mergeCell ref="E874:J874"/>
    <mergeCell ref="E875:J875"/>
    <mergeCell ref="E876:J876"/>
    <mergeCell ref="E877:J877"/>
    <mergeCell ref="E878:J878"/>
    <mergeCell ref="E861:J861"/>
    <mergeCell ref="E862:J862"/>
    <mergeCell ref="E863:J863"/>
    <mergeCell ref="E864:J864"/>
    <mergeCell ref="E865:J865"/>
    <mergeCell ref="E866:J866"/>
    <mergeCell ref="E867:J867"/>
    <mergeCell ref="E868:J868"/>
    <mergeCell ref="E869:J869"/>
    <mergeCell ref="E852:J852"/>
    <mergeCell ref="E853:J853"/>
    <mergeCell ref="E854:J854"/>
    <mergeCell ref="E855:J855"/>
    <mergeCell ref="E856:J856"/>
    <mergeCell ref="E857:J857"/>
    <mergeCell ref="E858:J858"/>
    <mergeCell ref="E859:J859"/>
    <mergeCell ref="E860:J860"/>
    <mergeCell ref="E850:J850"/>
    <mergeCell ref="E832:J832"/>
    <mergeCell ref="E833:J833"/>
    <mergeCell ref="E834:J834"/>
    <mergeCell ref="E835:J835"/>
    <mergeCell ref="E836:J836"/>
    <mergeCell ref="E837:J837"/>
    <mergeCell ref="E842:J842"/>
    <mergeCell ref="E843:J843"/>
    <mergeCell ref="E844:J844"/>
    <mergeCell ref="E845:J845"/>
    <mergeCell ref="E846:J846"/>
    <mergeCell ref="E838:J838"/>
    <mergeCell ref="E839:J839"/>
    <mergeCell ref="E840:J840"/>
    <mergeCell ref="E841:J841"/>
    <mergeCell ref="E92:J92"/>
    <mergeCell ref="E975:J975"/>
    <mergeCell ref="E70:J70"/>
    <mergeCell ref="E65:J65"/>
    <mergeCell ref="E112:J112"/>
    <mergeCell ref="E718:J718"/>
    <mergeCell ref="E738:J738"/>
    <mergeCell ref="E744:J744"/>
    <mergeCell ref="E740:J740"/>
    <mergeCell ref="E731:J731"/>
    <mergeCell ref="E732:J732"/>
    <mergeCell ref="E726:J726"/>
    <mergeCell ref="E735:J735"/>
    <mergeCell ref="E723:J723"/>
    <mergeCell ref="E107:J107"/>
    <mergeCell ref="E109:J109"/>
    <mergeCell ref="E633:J633"/>
    <mergeCell ref="E655:J655"/>
    <mergeCell ref="E741:J741"/>
    <mergeCell ref="E714:J714"/>
    <mergeCell ref="E746:J746"/>
    <mergeCell ref="E748:J748"/>
    <mergeCell ref="E751:J751"/>
    <mergeCell ref="E631:J631"/>
    <mergeCell ref="E646:J646"/>
    <mergeCell ref="E649:J649"/>
    <mergeCell ref="E974:J974"/>
    <mergeCell ref="E736:J736"/>
    <mergeCell ref="E737:J737"/>
    <mergeCell ref="E728:J728"/>
    <mergeCell ref="E750:J750"/>
    <mergeCell ref="E742:J742"/>
    <mergeCell ref="E739:J739"/>
    <mergeCell ref="E724:J724"/>
    <mergeCell ref="E730:J730"/>
    <mergeCell ref="E764:J764"/>
    <mergeCell ref="E765:J765"/>
    <mergeCell ref="E767:J767"/>
    <mergeCell ref="E745:J745"/>
    <mergeCell ref="E766:J766"/>
    <mergeCell ref="E758:J758"/>
    <mergeCell ref="E753:J753"/>
    <mergeCell ref="E779:J779"/>
    <mergeCell ref="E829:J829"/>
    <mergeCell ref="E830:J830"/>
    <mergeCell ref="E831:J831"/>
    <mergeCell ref="E823:J823"/>
    <mergeCell ref="E827:J827"/>
    <mergeCell ref="E644:J644"/>
    <mergeCell ref="E683:J683"/>
    <mergeCell ref="E682:J682"/>
    <mergeCell ref="E684:J684"/>
    <mergeCell ref="E685:J685"/>
    <mergeCell ref="E691:J691"/>
    <mergeCell ref="E713:J713"/>
    <mergeCell ref="E690:J690"/>
    <mergeCell ref="E664:J664"/>
    <mergeCell ref="E665:J665"/>
    <mergeCell ref="E666:J666"/>
    <mergeCell ref="E667:J667"/>
    <mergeCell ref="E668:J668"/>
    <mergeCell ref="E703:J703"/>
    <mergeCell ref="E647:J647"/>
    <mergeCell ref="E650:J650"/>
    <mergeCell ref="E660:J660"/>
    <mergeCell ref="E659:J659"/>
    <mergeCell ref="E651:J651"/>
    <mergeCell ref="E645:J645"/>
    <mergeCell ref="E653:J653"/>
    <mergeCell ref="E656:J656"/>
    <mergeCell ref="E658:J658"/>
    <mergeCell ref="E675:J675"/>
    <mergeCell ref="C500:C502"/>
    <mergeCell ref="E500:E502"/>
    <mergeCell ref="F500:F502"/>
    <mergeCell ref="G500:G502"/>
    <mergeCell ref="E559:J559"/>
    <mergeCell ref="E558:J558"/>
    <mergeCell ref="E632:J632"/>
    <mergeCell ref="E550:J550"/>
    <mergeCell ref="E639:J639"/>
    <mergeCell ref="E625:J625"/>
    <mergeCell ref="E634:J634"/>
    <mergeCell ref="E638:J638"/>
    <mergeCell ref="E635:J635"/>
    <mergeCell ref="E637:J637"/>
    <mergeCell ref="E627:J627"/>
    <mergeCell ref="E560:J560"/>
    <mergeCell ref="E592:J592"/>
    <mergeCell ref="E617:J617"/>
    <mergeCell ref="E618:J618"/>
    <mergeCell ref="E619:J619"/>
    <mergeCell ref="E624:J624"/>
    <mergeCell ref="E636:J636"/>
    <mergeCell ref="E552:J552"/>
    <mergeCell ref="E556:J556"/>
    <mergeCell ref="B182:D182"/>
    <mergeCell ref="E192:J192"/>
    <mergeCell ref="E193:J193"/>
    <mergeCell ref="E194:J194"/>
    <mergeCell ref="E195:J195"/>
    <mergeCell ref="E196:J196"/>
    <mergeCell ref="E186:J186"/>
    <mergeCell ref="E187:J187"/>
    <mergeCell ref="E188:J188"/>
    <mergeCell ref="E189:J189"/>
    <mergeCell ref="E190:J190"/>
    <mergeCell ref="E191:J191"/>
    <mergeCell ref="E185:J185"/>
    <mergeCell ref="B192:D192"/>
    <mergeCell ref="E183:J183"/>
    <mergeCell ref="E184:J184"/>
    <mergeCell ref="E704:J704"/>
    <mergeCell ref="E702:J702"/>
    <mergeCell ref="E418:J418"/>
    <mergeCell ref="E419:J419"/>
    <mergeCell ref="E420:J420"/>
    <mergeCell ref="E421:J421"/>
    <mergeCell ref="E422:J422"/>
    <mergeCell ref="E423:J423"/>
    <mergeCell ref="G429:H429"/>
    <mergeCell ref="G430:H430"/>
    <mergeCell ref="G431:H431"/>
    <mergeCell ref="G432:H432"/>
    <mergeCell ref="E434:J434"/>
    <mergeCell ref="E436:J436"/>
    <mergeCell ref="E437:J437"/>
    <mergeCell ref="E489:J489"/>
    <mergeCell ref="E456:J456"/>
    <mergeCell ref="E452:J452"/>
    <mergeCell ref="E491:J491"/>
    <mergeCell ref="E444:J444"/>
    <mergeCell ref="E468:J468"/>
    <mergeCell ref="E481:J481"/>
    <mergeCell ref="E450:J450"/>
    <mergeCell ref="E440:J440"/>
    <mergeCell ref="O472:U472"/>
    <mergeCell ref="O492:U492"/>
    <mergeCell ref="O639:U639"/>
    <mergeCell ref="E1027:J1027"/>
    <mergeCell ref="E643:J643"/>
    <mergeCell ref="E825:J825"/>
    <mergeCell ref="E820:J820"/>
    <mergeCell ref="E822:J822"/>
    <mergeCell ref="E812:J812"/>
    <mergeCell ref="E813:J813"/>
    <mergeCell ref="E801:J801"/>
    <mergeCell ref="E803:J803"/>
    <mergeCell ref="E804:J804"/>
    <mergeCell ref="E805:J805"/>
    <mergeCell ref="E795:J795"/>
    <mergeCell ref="E768:J768"/>
    <mergeCell ref="E782:J782"/>
    <mergeCell ref="E752:J752"/>
    <mergeCell ref="E786:J786"/>
    <mergeCell ref="E686:J686"/>
    <mergeCell ref="E687:J687"/>
    <mergeCell ref="E688:J688"/>
    <mergeCell ref="E689:J689"/>
    <mergeCell ref="E692:J692"/>
    <mergeCell ref="E1045:J1045"/>
    <mergeCell ref="E1044:J1044"/>
    <mergeCell ref="E1042:J1042"/>
    <mergeCell ref="E979:J979"/>
    <mergeCell ref="E788:J788"/>
    <mergeCell ref="E790:J790"/>
    <mergeCell ref="E791:J791"/>
    <mergeCell ref="E789:J789"/>
    <mergeCell ref="E796:J796"/>
    <mergeCell ref="E797:J797"/>
    <mergeCell ref="E799:J799"/>
    <mergeCell ref="E800:J800"/>
    <mergeCell ref="E792:J792"/>
    <mergeCell ref="E793:J793"/>
    <mergeCell ref="E1043:J1043"/>
    <mergeCell ref="E821:J821"/>
    <mergeCell ref="E808:J808"/>
    <mergeCell ref="E814:J814"/>
    <mergeCell ref="E815:J815"/>
    <mergeCell ref="E816:J816"/>
    <mergeCell ref="E817:J817"/>
    <mergeCell ref="E847:J847"/>
    <mergeCell ref="E848:J848"/>
    <mergeCell ref="E849:J849"/>
    <mergeCell ref="E699:J699"/>
    <mergeCell ref="E810:J810"/>
    <mergeCell ref="E471:J471"/>
    <mergeCell ref="E787:J787"/>
    <mergeCell ref="E648:J648"/>
    <mergeCell ref="E557:J557"/>
    <mergeCell ref="E626:J626"/>
    <mergeCell ref="K500:K502"/>
    <mergeCell ref="E818:J818"/>
    <mergeCell ref="E762:J762"/>
    <mergeCell ref="E763:J763"/>
    <mergeCell ref="E652:J652"/>
    <mergeCell ref="E680:J680"/>
    <mergeCell ref="E681:J681"/>
    <mergeCell ref="E671:J671"/>
    <mergeCell ref="E697:J697"/>
    <mergeCell ref="E698:J698"/>
    <mergeCell ref="E700:J700"/>
    <mergeCell ref="E707:J707"/>
    <mergeCell ref="E701:J701"/>
    <mergeCell ref="E694:J694"/>
    <mergeCell ref="E695:J695"/>
    <mergeCell ref="E696:J696"/>
    <mergeCell ref="E693:J693"/>
    <mergeCell ref="E132:J132"/>
    <mergeCell ref="E135:J135"/>
    <mergeCell ref="E138:J138"/>
    <mergeCell ref="E144:J144"/>
    <mergeCell ref="E141:J141"/>
    <mergeCell ref="E145:J145"/>
    <mergeCell ref="E146:J146"/>
    <mergeCell ref="E147:J147"/>
    <mergeCell ref="E151:J151"/>
    <mergeCell ref="E154:J154"/>
    <mergeCell ref="E153:J153"/>
    <mergeCell ref="E155:J155"/>
    <mergeCell ref="E152:J152"/>
    <mergeCell ref="E148:J148"/>
    <mergeCell ref="E492:J492"/>
    <mergeCell ref="E149:J149"/>
    <mergeCell ref="E642:J642"/>
    <mergeCell ref="E641:J641"/>
    <mergeCell ref="E417:J417"/>
    <mergeCell ref="E166:J166"/>
    <mergeCell ref="E167:J167"/>
    <mergeCell ref="E157:J157"/>
    <mergeCell ref="E158:J158"/>
    <mergeCell ref="E159:J159"/>
    <mergeCell ref="E160:J160"/>
    <mergeCell ref="E161:J161"/>
    <mergeCell ref="E162:J162"/>
    <mergeCell ref="E163:J163"/>
    <mergeCell ref="E164:J164"/>
    <mergeCell ref="E498:J498"/>
    <mergeCell ref="E464:J464"/>
    <mergeCell ref="E459:J459"/>
    <mergeCell ref="E494:J494"/>
    <mergeCell ref="E672:J672"/>
    <mergeCell ref="E673:J673"/>
    <mergeCell ref="E663:J663"/>
    <mergeCell ref="E654:J654"/>
    <mergeCell ref="E678:J678"/>
    <mergeCell ref="E677:J677"/>
    <mergeCell ref="E670:J670"/>
    <mergeCell ref="E679:J679"/>
    <mergeCell ref="E674:J674"/>
    <mergeCell ref="E657:J657"/>
    <mergeCell ref="E676:J676"/>
    <mergeCell ref="E661:J661"/>
    <mergeCell ref="E662:J662"/>
    <mergeCell ref="E669:J669"/>
    <mergeCell ref="E49:J49"/>
    <mergeCell ref="E53:J53"/>
    <mergeCell ref="E33:J33"/>
    <mergeCell ref="E34:J34"/>
    <mergeCell ref="E76:J76"/>
    <mergeCell ref="E87:J87"/>
    <mergeCell ref="E90:J90"/>
    <mergeCell ref="E57:J57"/>
    <mergeCell ref="E59:J59"/>
    <mergeCell ref="E75:J75"/>
    <mergeCell ref="E79:J79"/>
    <mergeCell ref="E78:J78"/>
    <mergeCell ref="E35:J35"/>
    <mergeCell ref="B2:N2"/>
    <mergeCell ref="E28:J28"/>
    <mergeCell ref="B3:N3"/>
    <mergeCell ref="E4:J4"/>
    <mergeCell ref="E26:J26"/>
    <mergeCell ref="E6:J6"/>
    <mergeCell ref="E8:J8"/>
    <mergeCell ref="E14:J14"/>
    <mergeCell ref="E21:J21"/>
    <mergeCell ref="E18:J18"/>
    <mergeCell ref="E12:J12"/>
    <mergeCell ref="E754:J754"/>
    <mergeCell ref="E32:J32"/>
    <mergeCell ref="E38:J38"/>
    <mergeCell ref="E47:J47"/>
    <mergeCell ref="E36:J36"/>
    <mergeCell ref="E40:J40"/>
    <mergeCell ref="E58:J58"/>
    <mergeCell ref="E60:J60"/>
    <mergeCell ref="E775:J775"/>
    <mergeCell ref="E97:J97"/>
    <mergeCell ref="E77:J77"/>
    <mergeCell ref="E113:J113"/>
    <mergeCell ref="E84:J84"/>
    <mergeCell ref="E128:J128"/>
    <mergeCell ref="E129:J129"/>
    <mergeCell ref="E123:J123"/>
    <mergeCell ref="E124:J124"/>
    <mergeCell ref="E125:J125"/>
    <mergeCell ref="E127:J127"/>
    <mergeCell ref="E126:J126"/>
    <mergeCell ref="E102:J102"/>
    <mergeCell ref="E80:J80"/>
    <mergeCell ref="E104:J104"/>
    <mergeCell ref="E105:J105"/>
    <mergeCell ref="E743:J743"/>
    <mergeCell ref="E705:J705"/>
    <mergeCell ref="E749:J749"/>
    <mergeCell ref="E719:J719"/>
    <mergeCell ref="E720:J720"/>
    <mergeCell ref="E721:J721"/>
    <mergeCell ref="E722:J722"/>
    <mergeCell ref="E715:J715"/>
    <mergeCell ref="E716:J716"/>
    <mergeCell ref="E711:J711"/>
    <mergeCell ref="E712:J712"/>
    <mergeCell ref="E747:J747"/>
    <mergeCell ref="E733:J733"/>
    <mergeCell ref="E710:J710"/>
    <mergeCell ref="E725:J725"/>
    <mergeCell ref="E708:J708"/>
    <mergeCell ref="E709:J709"/>
    <mergeCell ref="E727:J727"/>
    <mergeCell ref="E734:J734"/>
    <mergeCell ref="E729:J729"/>
    <mergeCell ref="E717:J717"/>
    <mergeCell ref="E706:J706"/>
    <mergeCell ref="E769:J769"/>
    <mergeCell ref="E774:J774"/>
    <mergeCell ref="E785:J785"/>
    <mergeCell ref="E780:J780"/>
    <mergeCell ref="E781:J781"/>
    <mergeCell ref="E778:J778"/>
    <mergeCell ref="E776:J776"/>
    <mergeCell ref="E756:J756"/>
    <mergeCell ref="E828:J828"/>
    <mergeCell ref="E807:J807"/>
    <mergeCell ref="E809:J809"/>
    <mergeCell ref="E802:J802"/>
    <mergeCell ref="E798:J798"/>
    <mergeCell ref="E794:J794"/>
    <mergeCell ref="E824:J824"/>
    <mergeCell ref="E826:J826"/>
    <mergeCell ref="E806:J806"/>
    <mergeCell ref="E777:J777"/>
    <mergeCell ref="E101:J101"/>
    <mergeCell ref="E103:J103"/>
    <mergeCell ref="E977:J977"/>
    <mergeCell ref="E981:J981"/>
    <mergeCell ref="E989:J989"/>
    <mergeCell ref="E990:J990"/>
    <mergeCell ref="E991:J991"/>
    <mergeCell ref="E992:J992"/>
    <mergeCell ref="E993:J993"/>
    <mergeCell ref="E168:J168"/>
    <mergeCell ref="E169:J169"/>
    <mergeCell ref="E106:J106"/>
    <mergeCell ref="E122:J122"/>
    <mergeCell ref="E110:J110"/>
    <mergeCell ref="E117:J117"/>
    <mergeCell ref="E119:J119"/>
    <mergeCell ref="E120:J120"/>
    <mergeCell ref="E108:J108"/>
    <mergeCell ref="E121:J121"/>
    <mergeCell ref="E111:J111"/>
    <mergeCell ref="E131:J131"/>
    <mergeCell ref="E150:J150"/>
    <mergeCell ref="E156:J156"/>
    <mergeCell ref="E165:J165"/>
    <mergeCell ref="E170:J170"/>
    <mergeCell ref="E205:J205"/>
    <mergeCell ref="E171:J171"/>
    <mergeCell ref="E425:J425"/>
    <mergeCell ref="E426:J426"/>
    <mergeCell ref="E428:J428"/>
    <mergeCell ref="E413:J413"/>
    <mergeCell ref="E427:J427"/>
    <mergeCell ref="E472:J472"/>
    <mergeCell ref="E203:J203"/>
    <mergeCell ref="E206:J206"/>
    <mergeCell ref="E201:J201"/>
    <mergeCell ref="E197:J197"/>
    <mergeCell ref="E198:J198"/>
    <mergeCell ref="E172:J172"/>
    <mergeCell ref="E263:J263"/>
    <mergeCell ref="E455:J455"/>
    <mergeCell ref="E270:J270"/>
    <mergeCell ref="E266:J266"/>
    <mergeCell ref="E952:J952"/>
    <mergeCell ref="E953:J953"/>
    <mergeCell ref="E994:J994"/>
    <mergeCell ref="E995:J995"/>
    <mergeCell ref="E996:J996"/>
    <mergeCell ref="E1007:J1007"/>
    <mergeCell ref="E999:J999"/>
    <mergeCell ref="E1000:J1000"/>
    <mergeCell ref="E199:J199"/>
    <mergeCell ref="E200:J200"/>
    <mergeCell ref="E755:J755"/>
    <mergeCell ref="E757:J757"/>
    <mergeCell ref="E759:J759"/>
    <mergeCell ref="E761:J761"/>
    <mergeCell ref="E980:J980"/>
    <mergeCell ref="E811:J811"/>
    <mergeCell ref="E819:J819"/>
    <mergeCell ref="E783:J783"/>
    <mergeCell ref="E784:J784"/>
    <mergeCell ref="E760:J760"/>
    <mergeCell ref="E770:J770"/>
    <mergeCell ref="E771:J771"/>
    <mergeCell ref="E772:J772"/>
    <mergeCell ref="E773:J773"/>
    <mergeCell ref="E554:J554"/>
    <mergeCell ref="E412:J412"/>
    <mergeCell ref="E414:J414"/>
    <mergeCell ref="E272:J272"/>
    <mergeCell ref="E318:J318"/>
    <mergeCell ref="E364:J364"/>
    <mergeCell ref="E410:J410"/>
    <mergeCell ref="E439:J439"/>
    <mergeCell ref="E473:J473"/>
    <mergeCell ref="E451:J451"/>
    <mergeCell ref="E415:J415"/>
    <mergeCell ref="E416:J416"/>
    <mergeCell ref="E424:J424"/>
    <mergeCell ref="E548:J548"/>
    <mergeCell ref="E954:J954"/>
    <mergeCell ref="E955:J955"/>
    <mergeCell ref="E956:J956"/>
    <mergeCell ref="E957:J957"/>
    <mergeCell ref="E958:J958"/>
    <mergeCell ref="E959:J959"/>
    <mergeCell ref="E960:J960"/>
    <mergeCell ref="E961:J961"/>
    <mergeCell ref="E962:J962"/>
    <mergeCell ref="E963:J963"/>
    <mergeCell ref="E964:J964"/>
    <mergeCell ref="E965:J965"/>
    <mergeCell ref="E966:J966"/>
    <mergeCell ref="E967:J967"/>
    <mergeCell ref="E968:J968"/>
    <mergeCell ref="E969:J969"/>
    <mergeCell ref="E970:J970"/>
    <mergeCell ref="E971:J971"/>
    <mergeCell ref="E972:J972"/>
    <mergeCell ref="E973:J973"/>
    <mergeCell ref="E1009:J1009"/>
    <mergeCell ref="E1010:J1010"/>
    <mergeCell ref="E1011:J1011"/>
    <mergeCell ref="E998:J998"/>
    <mergeCell ref="E1012:J1012"/>
    <mergeCell ref="E1001:J1001"/>
    <mergeCell ref="E1002:J1002"/>
    <mergeCell ref="E976:J976"/>
    <mergeCell ref="E978:J978"/>
    <mergeCell ref="E997:J997"/>
    <mergeCell ref="E1003:J1003"/>
    <mergeCell ref="E1004:J1004"/>
    <mergeCell ref="E1005:J1005"/>
    <mergeCell ref="E1006:J1006"/>
    <mergeCell ref="E1008:J1008"/>
    <mergeCell ref="E982:J982"/>
    <mergeCell ref="E983:J983"/>
    <mergeCell ref="E984:J984"/>
    <mergeCell ref="E985:J985"/>
    <mergeCell ref="E986:J986"/>
    <mergeCell ref="E987:J987"/>
    <mergeCell ref="E988:J988"/>
    <mergeCell ref="E1013:J1013"/>
    <mergeCell ref="E1014:J1014"/>
    <mergeCell ref="E1015:J1015"/>
    <mergeCell ref="E1016:J1016"/>
    <mergeCell ref="E1017:J1017"/>
    <mergeCell ref="E1018:J1018"/>
    <mergeCell ref="E1019:J1019"/>
    <mergeCell ref="E1020:J1020"/>
    <mergeCell ref="E1021:J1021"/>
    <mergeCell ref="E1022:J1022"/>
    <mergeCell ref="E1023:J1023"/>
    <mergeCell ref="E1024:J1024"/>
    <mergeCell ref="E1025:J1025"/>
    <mergeCell ref="E1039:J1039"/>
    <mergeCell ref="E1040:J1040"/>
    <mergeCell ref="E1041:J1041"/>
    <mergeCell ref="E1038:J1038"/>
    <mergeCell ref="E1033:J1033"/>
    <mergeCell ref="E1034:J1034"/>
    <mergeCell ref="E1035:J1035"/>
    <mergeCell ref="E1036:J1036"/>
    <mergeCell ref="E1037:J1037"/>
    <mergeCell ref="E1031:J1031"/>
    <mergeCell ref="E1032:J1032"/>
    <mergeCell ref="E1030:J1030"/>
    <mergeCell ref="E1028:J1028"/>
    <mergeCell ref="E1026:J1026"/>
    <mergeCell ref="E1029:J1029"/>
  </mergeCells>
  <phoneticPr fontId="112" type="noConversion"/>
  <pageMargins left="0.51181102362204722" right="0.51181102362204722" top="0.78740157480314965" bottom="0.78740157480314965" header="0.31496062992125984" footer="0.31496062992125984"/>
  <pageSetup paperSize="9" scale="69" orientation="landscape" cellComments="asDisplayed" r:id="rId1"/>
</worksheet>
</file>

<file path=xl/worksheets/sheet3.xml><?xml version="1.0" encoding="utf-8"?>
<worksheet xmlns="http://schemas.openxmlformats.org/spreadsheetml/2006/main" xmlns:r="http://schemas.openxmlformats.org/officeDocument/2006/relationships">
  <sheetPr codeName="Plan5"/>
  <dimension ref="B1:F59"/>
  <sheetViews>
    <sheetView view="pageBreakPreview" topLeftCell="A10" zoomScale="70" zoomScaleNormal="70" zoomScaleSheetLayoutView="70" workbookViewId="0">
      <selection activeCell="E29" sqref="E29:E30"/>
    </sheetView>
  </sheetViews>
  <sheetFormatPr defaultRowHeight="12.75"/>
  <cols>
    <col min="2" max="2" width="17" customWidth="1"/>
    <col min="3" max="3" width="84.28515625" customWidth="1"/>
    <col min="4" max="4" width="25" style="4" customWidth="1"/>
    <col min="5" max="5" width="13.5703125" customWidth="1"/>
    <col min="6" max="6" width="18.5703125" customWidth="1"/>
    <col min="7" max="7" width="10.140625" bestFit="1" customWidth="1"/>
  </cols>
  <sheetData>
    <row r="1" spans="2:6" ht="47.25" customHeight="1" thickBot="1"/>
    <row r="2" spans="2:6" ht="140.25" customHeight="1" thickBot="1">
      <c r="B2" s="791"/>
      <c r="C2" s="792"/>
      <c r="D2" s="792"/>
      <c r="E2" s="793"/>
    </row>
    <row r="3" spans="2:6" ht="23.25" customHeight="1">
      <c r="B3" s="794" t="str">
        <f>'2-ORÇAMENTO'!B3:G3</f>
        <v xml:space="preserve">OBRA:  FINALIZAÇÃO DO SALDO REMANESCENTE DA CONSTRUÇÃO DA ESCOLA MUNICIPAL DE EDUCAÇÃO BASICA </v>
      </c>
      <c r="C3" s="795"/>
      <c r="D3" s="795"/>
      <c r="E3" s="796"/>
    </row>
    <row r="4" spans="2:6" ht="23.25" customHeight="1">
      <c r="B4" s="797" t="str">
        <f>'2-ORÇAMENTO'!B4:G4</f>
        <v>LOCAL: EMEB ALINO FERREIRA DE MAGALHÃES</v>
      </c>
      <c r="C4" s="798"/>
      <c r="D4" s="798"/>
      <c r="E4" s="799"/>
    </row>
    <row r="5" spans="2:6" ht="23.25" customHeight="1">
      <c r="B5" s="797" t="str">
        <f>'2-ORÇAMENTO'!B5:G5</f>
        <v>ENDEREÇO: AVENIDA VERDÃO, ESQUINA COM RUA B, BAIRRO ALTO DA BOA VISTA - CRISTO REI, CEP 78120-550</v>
      </c>
      <c r="C5" s="798"/>
      <c r="D5" s="798"/>
      <c r="E5" s="799"/>
    </row>
    <row r="6" spans="2:6" ht="23.25" customHeight="1">
      <c r="B6" s="797" t="str">
        <f>'2-ORÇAMENTO'!B6:G6</f>
        <v>MUNICÍPIO: VÁRZEA GRANDE - MT</v>
      </c>
      <c r="C6" s="798"/>
      <c r="D6" s="798"/>
      <c r="E6" s="799"/>
    </row>
    <row r="7" spans="2:6" ht="23.25" customHeight="1" thickBot="1">
      <c r="B7" s="779" t="str">
        <f>'2-ORÇAMENTO'!B7:G7</f>
        <v>DATA BASE: SINAPI-MT JULHO/COM DESONERAÇÃO/2021 - BDI - 28,24%</v>
      </c>
      <c r="C7" s="780"/>
      <c r="D7" s="780"/>
      <c r="E7" s="781"/>
    </row>
    <row r="8" spans="2:6" ht="23.25" customHeight="1" thickBot="1">
      <c r="B8" s="782" t="s">
        <v>3510</v>
      </c>
      <c r="C8" s="783"/>
      <c r="D8" s="783"/>
      <c r="E8" s="784"/>
    </row>
    <row r="9" spans="2:6" ht="17.25" customHeight="1" thickBot="1">
      <c r="B9" s="785" t="s">
        <v>1</v>
      </c>
      <c r="C9" s="787" t="s">
        <v>10</v>
      </c>
      <c r="D9" s="789" t="s">
        <v>8</v>
      </c>
      <c r="E9" s="790"/>
      <c r="F9" s="210"/>
    </row>
    <row r="10" spans="2:6" ht="16.5" thickBot="1">
      <c r="B10" s="786"/>
      <c r="C10" s="788"/>
      <c r="D10" s="150" t="s">
        <v>12</v>
      </c>
      <c r="E10" s="151" t="s">
        <v>13</v>
      </c>
      <c r="F10" s="210"/>
    </row>
    <row r="11" spans="2:6" ht="12.75" customHeight="1">
      <c r="B11" s="802" t="str">
        <f>'2-ORÇAMENTO'!B10</f>
        <v>1.0</v>
      </c>
      <c r="C11" s="804" t="str">
        <f>'2-ORÇAMENTO'!E10</f>
        <v xml:space="preserve">ADMINISTRAÇÃO DE OBRA </v>
      </c>
      <c r="D11" s="800">
        <f>'2-ORÇAMENTO'!K15</f>
        <v>111427.4</v>
      </c>
      <c r="E11" s="801">
        <f>D11/$D$54</f>
        <v>2.3664864383326545E-2</v>
      </c>
      <c r="F11" s="210"/>
    </row>
    <row r="12" spans="2:6" ht="12.75" customHeight="1">
      <c r="B12" s="803"/>
      <c r="C12" s="773"/>
      <c r="D12" s="774"/>
      <c r="E12" s="775"/>
      <c r="F12" s="2"/>
    </row>
    <row r="13" spans="2:6" ht="18" customHeight="1">
      <c r="B13" s="771" t="str">
        <f>'2-ORÇAMENTO'!B16</f>
        <v>2.0</v>
      </c>
      <c r="C13" s="773" t="str">
        <f>'2-ORÇAMENTO'!E16</f>
        <v>INSTALAÇÕES DE CANTEIRO E SERVIÇOS PRELIMINARES</v>
      </c>
      <c r="D13" s="774">
        <f>'2-ORÇAMENTO'!K22</f>
        <v>78810.210000000006</v>
      </c>
      <c r="E13" s="775">
        <f>D13/$D$54</f>
        <v>1.6737650987741666E-2</v>
      </c>
      <c r="F13" s="2"/>
    </row>
    <row r="14" spans="2:6" ht="22.5" customHeight="1">
      <c r="B14" s="772"/>
      <c r="C14" s="773"/>
      <c r="D14" s="774"/>
      <c r="E14" s="775"/>
      <c r="F14" s="2"/>
    </row>
    <row r="15" spans="2:6" ht="12.75" customHeight="1">
      <c r="B15" s="771" t="str">
        <f>'2-ORÇAMENTO'!B23</f>
        <v>3.0</v>
      </c>
      <c r="C15" s="773" t="str">
        <f>'2-ORÇAMENTO'!E23</f>
        <v>DEMOLIÇÕES E RETIRADAS</v>
      </c>
      <c r="D15" s="774">
        <f>'2-ORÇAMENTO'!K29</f>
        <v>33294.9</v>
      </c>
      <c r="E15" s="775">
        <f>D15/$D$54</f>
        <v>7.0711449172862241E-3</v>
      </c>
      <c r="F15" s="2"/>
    </row>
    <row r="16" spans="2:6" ht="12.75" customHeight="1">
      <c r="B16" s="772"/>
      <c r="C16" s="773"/>
      <c r="D16" s="774"/>
      <c r="E16" s="775"/>
      <c r="F16" s="2"/>
    </row>
    <row r="17" spans="2:6" s="210" customFormat="1" ht="12.75" customHeight="1">
      <c r="B17" s="771" t="str">
        <f>'2-ORÇAMENTO'!B30</f>
        <v>4.0</v>
      </c>
      <c r="C17" s="773" t="str">
        <f>'2-ORÇAMENTO'!E30</f>
        <v>INFRAESTRUTURA</v>
      </c>
      <c r="D17" s="774">
        <f>'2-ORÇAMENTO'!K55</f>
        <v>88895.91</v>
      </c>
      <c r="E17" s="775">
        <f>D17/$D$54</f>
        <v>1.887964409456204E-2</v>
      </c>
      <c r="F17" s="2"/>
    </row>
    <row r="18" spans="2:6" s="210" customFormat="1" ht="17.25" customHeight="1">
      <c r="B18" s="772"/>
      <c r="C18" s="773"/>
      <c r="D18" s="774"/>
      <c r="E18" s="775"/>
      <c r="F18" s="2"/>
    </row>
    <row r="19" spans="2:6" s="210" customFormat="1" ht="17.25" customHeight="1">
      <c r="B19" s="771" t="str">
        <f>'2-ORÇAMENTO'!B56</f>
        <v>5.0</v>
      </c>
      <c r="C19" s="773" t="str">
        <f>'2-ORÇAMENTO'!E56</f>
        <v xml:space="preserve">SUPERESTRUTURA </v>
      </c>
      <c r="D19" s="774">
        <f>'2-ORÇAMENTO'!K102</f>
        <v>324689.93</v>
      </c>
      <c r="E19" s="775">
        <f>D19/$D$54</f>
        <v>6.8957394322058926E-2</v>
      </c>
      <c r="F19" s="2"/>
    </row>
    <row r="20" spans="2:6" s="210" customFormat="1" ht="17.25" customHeight="1">
      <c r="B20" s="772"/>
      <c r="C20" s="773"/>
      <c r="D20" s="774"/>
      <c r="E20" s="775"/>
      <c r="F20" s="2"/>
    </row>
    <row r="21" spans="2:6" s="210" customFormat="1" ht="17.25" customHeight="1">
      <c r="B21" s="771" t="str">
        <f>'2-ORÇAMENTO'!B103</f>
        <v>6.0</v>
      </c>
      <c r="C21" s="773" t="str">
        <f>'2-ORÇAMENTO'!E103</f>
        <v>ÁGUAS PLUVIAIS</v>
      </c>
      <c r="D21" s="774">
        <f>'2-ORÇAMENTO'!K124</f>
        <v>89675.67</v>
      </c>
      <c r="E21" s="775">
        <f>D21/$D$54</f>
        <v>1.9045248915741952E-2</v>
      </c>
      <c r="F21" s="2"/>
    </row>
    <row r="22" spans="2:6" s="210" customFormat="1" ht="17.25" customHeight="1">
      <c r="B22" s="772"/>
      <c r="C22" s="773"/>
      <c r="D22" s="774"/>
      <c r="E22" s="775"/>
      <c r="F22" s="2"/>
    </row>
    <row r="23" spans="2:6" s="210" customFormat="1" ht="17.25" customHeight="1">
      <c r="B23" s="771" t="str">
        <f>'2-ORÇAMENTO'!B125</f>
        <v>7.0</v>
      </c>
      <c r="C23" s="773" t="str">
        <f>'2-ORÇAMENTO'!E125</f>
        <v>IMPERMEABILIZAÇÃO</v>
      </c>
      <c r="D23" s="774">
        <f>'2-ORÇAMENTO'!K127</f>
        <v>81900.47</v>
      </c>
      <c r="E23" s="775">
        <f>D23/$D$54</f>
        <v>1.7393957998487843E-2</v>
      </c>
      <c r="F23" s="2"/>
    </row>
    <row r="24" spans="2:6" s="210" customFormat="1" ht="17.25" customHeight="1">
      <c r="B24" s="772"/>
      <c r="C24" s="773"/>
      <c r="D24" s="774"/>
      <c r="E24" s="775"/>
      <c r="F24" s="2"/>
    </row>
    <row r="25" spans="2:6" s="210" customFormat="1" ht="12.75" customHeight="1">
      <c r="B25" s="771" t="str">
        <f>'2-ORÇAMENTO'!B128</f>
        <v>8.0</v>
      </c>
      <c r="C25" s="773" t="str">
        <f>'2-ORÇAMENTO'!E128</f>
        <v>FECHAMENTO EM ALVENARIA</v>
      </c>
      <c r="D25" s="774">
        <f>'2-ORÇAMENTO'!K137</f>
        <v>268214.95</v>
      </c>
      <c r="E25" s="775">
        <f>D25/$D$54</f>
        <v>5.6963282077215391E-2</v>
      </c>
      <c r="F25" s="2"/>
    </row>
    <row r="26" spans="2:6" s="210" customFormat="1" ht="12.75" customHeight="1">
      <c r="B26" s="772"/>
      <c r="C26" s="773"/>
      <c r="D26" s="774"/>
      <c r="E26" s="775"/>
      <c r="F26" s="2"/>
    </row>
    <row r="27" spans="2:6" s="210" customFormat="1" ht="12.75" customHeight="1">
      <c r="B27" s="771" t="str">
        <f>'2-ORÇAMENTO'!B138</f>
        <v>9.0</v>
      </c>
      <c r="C27" s="773" t="str">
        <f>'2-ORÇAMENTO'!E138</f>
        <v>SISTEMA DE COBERTURA</v>
      </c>
      <c r="D27" s="774">
        <f>'2-ORÇAMENTO'!K158</f>
        <v>757029.73</v>
      </c>
      <c r="E27" s="775">
        <f>D27/$D$54</f>
        <v>0.1607773841496464</v>
      </c>
      <c r="F27" s="2"/>
    </row>
    <row r="28" spans="2:6" s="210" customFormat="1" ht="12.75" customHeight="1">
      <c r="B28" s="772"/>
      <c r="C28" s="773"/>
      <c r="D28" s="774"/>
      <c r="E28" s="775"/>
      <c r="F28" s="2"/>
    </row>
    <row r="29" spans="2:6" ht="12.75" customHeight="1">
      <c r="B29" s="771" t="str">
        <f>'2-ORÇAMENTO'!B159</f>
        <v>10.0</v>
      </c>
      <c r="C29" s="773" t="str">
        <f>'2-ORÇAMENTO'!E159</f>
        <v>ESQUADRIAS</v>
      </c>
      <c r="D29" s="774">
        <f>'2-ORÇAMENTO'!K171</f>
        <v>278283.55</v>
      </c>
      <c r="E29" s="775">
        <f>D29/$D$54</f>
        <v>5.9101643499360763E-2</v>
      </c>
      <c r="F29" s="2"/>
    </row>
    <row r="30" spans="2:6" ht="12.75" customHeight="1">
      <c r="B30" s="772"/>
      <c r="C30" s="773"/>
      <c r="D30" s="774"/>
      <c r="E30" s="775"/>
      <c r="F30" s="2"/>
    </row>
    <row r="31" spans="2:6" ht="12.75" customHeight="1">
      <c r="B31" s="771" t="str">
        <f>'2-ORÇAMENTO'!B172</f>
        <v>11.0</v>
      </c>
      <c r="C31" s="773" t="str">
        <f>'2-ORÇAMENTO'!E172</f>
        <v>DIVISORIAS, BANCADAS E PEITORIS</v>
      </c>
      <c r="D31" s="774">
        <f>'2-ORÇAMENTO'!K177</f>
        <v>119761.06</v>
      </c>
      <c r="E31" s="775">
        <f>D31/$D$54</f>
        <v>2.5434760600206354E-2</v>
      </c>
      <c r="F31" s="2"/>
    </row>
    <row r="32" spans="2:6" ht="12.75" customHeight="1">
      <c r="B32" s="772"/>
      <c r="C32" s="773"/>
      <c r="D32" s="774"/>
      <c r="E32" s="775"/>
      <c r="F32" s="2"/>
    </row>
    <row r="33" spans="2:6" ht="12.75" customHeight="1">
      <c r="B33" s="771" t="str">
        <f>'2-ORÇAMENTO'!B178</f>
        <v>12.0</v>
      </c>
      <c r="C33" s="773" t="str">
        <f>'2-ORÇAMENTO'!E178</f>
        <v>REVESTIMENTO INTERNO E EXTERNO</v>
      </c>
      <c r="D33" s="774">
        <f>'2-ORÇAMENTO'!K185</f>
        <v>560284.46</v>
      </c>
      <c r="E33" s="775">
        <f>D33/$D$54</f>
        <v>0.11899277701880638</v>
      </c>
      <c r="F33" s="1"/>
    </row>
    <row r="34" spans="2:6">
      <c r="B34" s="772"/>
      <c r="C34" s="773"/>
      <c r="D34" s="774"/>
      <c r="E34" s="775"/>
      <c r="F34" s="2"/>
    </row>
    <row r="35" spans="2:6">
      <c r="B35" s="771" t="str">
        <f>'2-ORÇAMENTO'!B186</f>
        <v>13.0</v>
      </c>
      <c r="C35" s="810" t="str">
        <f>'2-ORÇAMENTO'!E186</f>
        <v>PISOS E CALÇAMENTOS</v>
      </c>
      <c r="D35" s="812">
        <f>'2-ORÇAMENTO'!K207</f>
        <v>617998.73</v>
      </c>
      <c r="E35" s="776">
        <f>D35/$D$54</f>
        <v>0.13125008870814572</v>
      </c>
      <c r="F35" s="2"/>
    </row>
    <row r="36" spans="2:6">
      <c r="B36" s="772"/>
      <c r="C36" s="811"/>
      <c r="D36" s="813"/>
      <c r="E36" s="777"/>
      <c r="F36" s="2"/>
    </row>
    <row r="37" spans="2:6" ht="12.75" customHeight="1">
      <c r="B37" s="771" t="str">
        <f>'2-ORÇAMENTO'!B208</f>
        <v>14.0</v>
      </c>
      <c r="C37" s="810" t="str">
        <f>'2-ORÇAMENTO'!E208</f>
        <v>PINTURA INTERNA E EXTERNA</v>
      </c>
      <c r="D37" s="812">
        <f>'2-ORÇAMENTO'!K220</f>
        <v>286551.09000000003</v>
      </c>
      <c r="E37" s="776">
        <f>D37/$D$54</f>
        <v>6.0857497202163921E-2</v>
      </c>
      <c r="F37" s="210"/>
    </row>
    <row r="38" spans="2:6" ht="22.5" customHeight="1">
      <c r="B38" s="772"/>
      <c r="C38" s="811"/>
      <c r="D38" s="813"/>
      <c r="E38" s="777"/>
      <c r="F38" s="2"/>
    </row>
    <row r="39" spans="2:6" ht="12.75" customHeight="1">
      <c r="B39" s="771" t="str">
        <f>'2-ORÇAMENTO'!B221</f>
        <v>15.0</v>
      </c>
      <c r="C39" s="778" t="str">
        <f>'2-ORÇAMENTO'!E221</f>
        <v xml:space="preserve">INSTALAÇÕES HIDROSSANITÁRIAS  </v>
      </c>
      <c r="D39" s="774">
        <f>'2-ORÇAMENTO'!K338</f>
        <v>367764.47999999998</v>
      </c>
      <c r="E39" s="775">
        <f>D39/$D$54</f>
        <v>7.8105533685651887E-2</v>
      </c>
      <c r="F39" s="2"/>
    </row>
    <row r="40" spans="2:6" ht="22.5" customHeight="1">
      <c r="B40" s="772"/>
      <c r="C40" s="773"/>
      <c r="D40" s="774"/>
      <c r="E40" s="775"/>
      <c r="F40" s="2"/>
    </row>
    <row r="41" spans="2:6" ht="12.75" customHeight="1">
      <c r="B41" s="771" t="str">
        <f>'2-ORÇAMENTO'!B339</f>
        <v>16.0</v>
      </c>
      <c r="C41" s="778" t="str">
        <f>'2-ORÇAMENTO'!E339</f>
        <v>INSTALAÇÕES ELÉTRICAS BAIXA TENSÃO</v>
      </c>
      <c r="D41" s="774">
        <f>'2-ORÇAMENTO'!K421</f>
        <v>260195.46</v>
      </c>
      <c r="E41" s="775">
        <f>D41/$D$54</f>
        <v>5.526010904012179E-2</v>
      </c>
      <c r="F41" s="210"/>
    </row>
    <row r="42" spans="2:6" ht="12.75" customHeight="1">
      <c r="B42" s="772"/>
      <c r="C42" s="773"/>
      <c r="D42" s="774"/>
      <c r="E42" s="775"/>
      <c r="F42" s="2"/>
    </row>
    <row r="43" spans="2:6" s="210" customFormat="1" ht="27" customHeight="1">
      <c r="B43" s="771" t="str">
        <f>'2-ORÇAMENTO'!B422</f>
        <v>17.0</v>
      </c>
      <c r="C43" s="778" t="str">
        <f>'2-ORÇAMENTO'!E422</f>
        <v>POSTO DE TRANSFORMAÇÃO 112,5kVA - 13,8kV E EXTENSÃO DE REDE EM MÉDIA TENSÃO 13,8 Kv</v>
      </c>
      <c r="D43" s="774">
        <f>'2-ORÇAMENTO'!K522</f>
        <v>95500.57</v>
      </c>
      <c r="E43" s="775">
        <f>D43/$D$54</f>
        <v>2.0282336638747595E-2</v>
      </c>
      <c r="F43" s="2"/>
    </row>
    <row r="44" spans="2:6" s="210" customFormat="1" ht="36" customHeight="1">
      <c r="B44" s="772"/>
      <c r="C44" s="773"/>
      <c r="D44" s="774"/>
      <c r="E44" s="775"/>
      <c r="F44" s="2"/>
    </row>
    <row r="45" spans="2:6" s="210" customFormat="1" ht="12.75" customHeight="1">
      <c r="B45" s="771" t="str">
        <f>'2-ORÇAMENTO'!B523</f>
        <v>18.0</v>
      </c>
      <c r="C45" s="773" t="str">
        <f>'2-ORÇAMENTO'!E523</f>
        <v>CABEAMENTO ESTRUTURADO</v>
      </c>
      <c r="D45" s="774">
        <f>'2-ORÇAMENTO'!K545</f>
        <v>38684.58</v>
      </c>
      <c r="E45" s="775">
        <f>D45/$D$54</f>
        <v>8.2158009558326445E-3</v>
      </c>
      <c r="F45" s="2"/>
    </row>
    <row r="46" spans="2:6" s="210" customFormat="1" ht="12.75" customHeight="1">
      <c r="B46" s="772"/>
      <c r="C46" s="773"/>
      <c r="D46" s="774"/>
      <c r="E46" s="775"/>
      <c r="F46" s="2"/>
    </row>
    <row r="47" spans="2:6" s="210" customFormat="1" ht="12.75" customHeight="1">
      <c r="B47" s="771" t="str">
        <f>'2-ORÇAMENTO'!B546</f>
        <v>19.0</v>
      </c>
      <c r="C47" s="773" t="str">
        <f>'2-ORÇAMENTO'!E546</f>
        <v xml:space="preserve">INSTALAÇÕES ESPECIAIS </v>
      </c>
      <c r="D47" s="774">
        <f>'2-ORÇAMENTO'!K598</f>
        <v>129114.15</v>
      </c>
      <c r="E47" s="775">
        <f>D47/$D$54</f>
        <v>2.7421162566105651E-2</v>
      </c>
      <c r="F47" s="2"/>
    </row>
    <row r="48" spans="2:6" s="210" customFormat="1" ht="23.25" customHeight="1">
      <c r="B48" s="772"/>
      <c r="C48" s="773"/>
      <c r="D48" s="774"/>
      <c r="E48" s="775"/>
      <c r="F48" s="2"/>
    </row>
    <row r="49" spans="2:6" s="210" customFormat="1" ht="12.75" customHeight="1">
      <c r="B49" s="771" t="str">
        <f>'2-ORÇAMENTO'!B599</f>
        <v>20.0</v>
      </c>
      <c r="C49" s="773" t="str">
        <f>'2-ORÇAMENTO'!E599</f>
        <v>SERVIÇOS COMPLEMENTARES</v>
      </c>
      <c r="D49" s="774">
        <f>'2-ORÇAMENTO'!K614</f>
        <v>114434.45</v>
      </c>
      <c r="E49" s="775">
        <f>D49/$D$54</f>
        <v>2.4303499319113273E-2</v>
      </c>
      <c r="F49" s="2"/>
    </row>
    <row r="50" spans="2:6" s="210" customFormat="1">
      <c r="B50" s="772"/>
      <c r="C50" s="773"/>
      <c r="D50" s="774"/>
      <c r="E50" s="775"/>
      <c r="F50" s="2"/>
    </row>
    <row r="51" spans="2:6" s="45" customFormat="1">
      <c r="B51" s="771" t="str">
        <f>'2-ORÇAMENTO'!B615</f>
        <v>21.0</v>
      </c>
      <c r="C51" s="773" t="str">
        <f>'2-ORÇAMENTO'!E615</f>
        <v>LIMPEZA DE OBRA</v>
      </c>
      <c r="D51" s="807">
        <f>'2-ORÇAMENTO'!K619</f>
        <v>6046.82</v>
      </c>
      <c r="E51" s="775">
        <f>D51/$D$54</f>
        <v>1.2842189196767277E-3</v>
      </c>
    </row>
    <row r="52" spans="2:6" ht="13.5" thickBot="1">
      <c r="B52" s="805"/>
      <c r="C52" s="806"/>
      <c r="D52" s="808"/>
      <c r="E52" s="809"/>
    </row>
    <row r="53" spans="2:6" ht="18.75" thickBot="1">
      <c r="B53" s="760"/>
      <c r="C53" s="761"/>
      <c r="D53" s="761"/>
      <c r="E53" s="762"/>
    </row>
    <row r="54" spans="2:6" ht="18.75" customHeight="1">
      <c r="B54" s="763" t="s">
        <v>4484</v>
      </c>
      <c r="C54" s="764"/>
      <c r="D54" s="767">
        <f>SUM(D11:D52)</f>
        <v>4708558.5700000012</v>
      </c>
      <c r="E54" s="769">
        <f>SUM(E11:E52)</f>
        <v>0.99999999999999956</v>
      </c>
    </row>
    <row r="55" spans="2:6" ht="13.5" thickBot="1">
      <c r="B55" s="765"/>
      <c r="C55" s="766"/>
      <c r="D55" s="768"/>
      <c r="E55" s="770"/>
    </row>
    <row r="56" spans="2:6" ht="93.75" customHeight="1">
      <c r="B56" s="309"/>
      <c r="C56" s="310"/>
      <c r="D56" s="311"/>
      <c r="E56" s="91"/>
    </row>
    <row r="57" spans="2:6" s="210" customFormat="1">
      <c r="B57" s="14"/>
      <c r="C57" s="298" t="str">
        <f>'2-ORÇAMENTO'!E624</f>
        <v>VITOR GUSTAVO VERHALEN</v>
      </c>
      <c r="D57" s="15"/>
      <c r="E57" s="16"/>
    </row>
    <row r="58" spans="2:6" s="210" customFormat="1">
      <c r="B58" s="14"/>
      <c r="C58" s="117" t="str">
        <f>'2-ORÇAMENTO'!E625</f>
        <v>ENGENHEIRO CIVIL</v>
      </c>
      <c r="D58" s="15"/>
      <c r="E58" s="16"/>
    </row>
    <row r="59" spans="2:6" s="210" customFormat="1" ht="13.5" thickBot="1">
      <c r="B59" s="176"/>
      <c r="C59" s="312" t="str">
        <f>'2-ORÇAMENTO'!E626</f>
        <v>CREA MT 49989</v>
      </c>
      <c r="D59" s="178"/>
      <c r="E59" s="179"/>
    </row>
  </sheetData>
  <mergeCells count="98">
    <mergeCell ref="B51:B52"/>
    <mergeCell ref="C51:C52"/>
    <mergeCell ref="D51:D52"/>
    <mergeCell ref="E51:E52"/>
    <mergeCell ref="B35:B36"/>
    <mergeCell ref="C35:C36"/>
    <mergeCell ref="D35:D36"/>
    <mergeCell ref="E35:E36"/>
    <mergeCell ref="B37:B38"/>
    <mergeCell ref="C37:C38"/>
    <mergeCell ref="D37:D38"/>
    <mergeCell ref="B39:B40"/>
    <mergeCell ref="C39:C40"/>
    <mergeCell ref="D39:D40"/>
    <mergeCell ref="E39:E40"/>
    <mergeCell ref="B49:B50"/>
    <mergeCell ref="D11:D12"/>
    <mergeCell ref="E11:E12"/>
    <mergeCell ref="B23:B24"/>
    <mergeCell ref="C23:C24"/>
    <mergeCell ref="D23:D24"/>
    <mergeCell ref="E23:E24"/>
    <mergeCell ref="B13:B14"/>
    <mergeCell ref="C13:C14"/>
    <mergeCell ref="D13:D14"/>
    <mergeCell ref="E13:E14"/>
    <mergeCell ref="B11:B12"/>
    <mergeCell ref="C11:C12"/>
    <mergeCell ref="B15:B16"/>
    <mergeCell ref="C15:C16"/>
    <mergeCell ref="D15:D16"/>
    <mergeCell ref="E15:E16"/>
    <mergeCell ref="B2:E2"/>
    <mergeCell ref="B3:E3"/>
    <mergeCell ref="B4:E4"/>
    <mergeCell ref="B5:E5"/>
    <mergeCell ref="B6:E6"/>
    <mergeCell ref="B7:E7"/>
    <mergeCell ref="B8:E8"/>
    <mergeCell ref="B9:B10"/>
    <mergeCell ref="C9:C10"/>
    <mergeCell ref="D9:E9"/>
    <mergeCell ref="D33:D34"/>
    <mergeCell ref="E33:E34"/>
    <mergeCell ref="B31:B32"/>
    <mergeCell ref="C31:C32"/>
    <mergeCell ref="D31:D32"/>
    <mergeCell ref="E31:E32"/>
    <mergeCell ref="B33:B34"/>
    <mergeCell ref="C33:C34"/>
    <mergeCell ref="D29:D30"/>
    <mergeCell ref="E29:E30"/>
    <mergeCell ref="B17:B18"/>
    <mergeCell ref="C17:C18"/>
    <mergeCell ref="D17:D18"/>
    <mergeCell ref="E17:E18"/>
    <mergeCell ref="B25:B26"/>
    <mergeCell ref="C25:C26"/>
    <mergeCell ref="D25:D26"/>
    <mergeCell ref="E25:E26"/>
    <mergeCell ref="E27:E28"/>
    <mergeCell ref="B27:B28"/>
    <mergeCell ref="C27:C28"/>
    <mergeCell ref="D27:D28"/>
    <mergeCell ref="C49:C50"/>
    <mergeCell ref="B41:B42"/>
    <mergeCell ref="C41:C42"/>
    <mergeCell ref="B45:B46"/>
    <mergeCell ref="B29:B30"/>
    <mergeCell ref="C29:C30"/>
    <mergeCell ref="D47:D48"/>
    <mergeCell ref="E41:E42"/>
    <mergeCell ref="E37:E38"/>
    <mergeCell ref="B43:B44"/>
    <mergeCell ref="C43:C44"/>
    <mergeCell ref="D43:D44"/>
    <mergeCell ref="E43:E44"/>
    <mergeCell ref="B47:B48"/>
    <mergeCell ref="D41:D42"/>
    <mergeCell ref="D45:D46"/>
    <mergeCell ref="C45:C46"/>
    <mergeCell ref="C47:C48"/>
    <mergeCell ref="B53:E53"/>
    <mergeCell ref="B54:C55"/>
    <mergeCell ref="D54:D55"/>
    <mergeCell ref="E54:E55"/>
    <mergeCell ref="B19:B20"/>
    <mergeCell ref="C19:C20"/>
    <mergeCell ref="D19:D20"/>
    <mergeCell ref="E19:E20"/>
    <mergeCell ref="B21:B22"/>
    <mergeCell ref="C21:C22"/>
    <mergeCell ref="D21:D22"/>
    <mergeCell ref="E21:E22"/>
    <mergeCell ref="D49:D50"/>
    <mergeCell ref="E45:E46"/>
    <mergeCell ref="E47:E48"/>
    <mergeCell ref="E49:E50"/>
  </mergeCells>
  <printOptions horizontalCentered="1"/>
  <pageMargins left="0.19685039370078741" right="0.19685039370078741" top="0.78740157480314965" bottom="0.78740157480314965" header="0" footer="0"/>
  <pageSetup scale="50" orientation="portrait" r:id="rId1"/>
  <drawing r:id="rId2"/>
</worksheet>
</file>

<file path=xl/worksheets/sheet4.xml><?xml version="1.0" encoding="utf-8"?>
<worksheet xmlns="http://schemas.openxmlformats.org/spreadsheetml/2006/main" xmlns:r="http://schemas.openxmlformats.org/officeDocument/2006/relationships">
  <sheetPr codeName="Plan3"/>
  <dimension ref="A1:K626"/>
  <sheetViews>
    <sheetView tabSelected="1" view="pageBreakPreview" zoomScale="85" zoomScaleSheetLayoutView="85" workbookViewId="0">
      <selection activeCell="L5" sqref="L5"/>
    </sheetView>
  </sheetViews>
  <sheetFormatPr defaultRowHeight="14.25"/>
  <cols>
    <col min="1" max="1" width="5.140625" style="82" customWidth="1"/>
    <col min="2" max="2" width="9.28515625" style="75" bestFit="1" customWidth="1"/>
    <col min="3" max="3" width="14.5703125" style="195" bestFit="1" customWidth="1"/>
    <col min="4" max="4" width="10.7109375" style="87" customWidth="1"/>
    <col min="5" max="5" width="90.28515625" style="77" bestFit="1" customWidth="1"/>
    <col min="6" max="6" width="8.7109375" style="78" bestFit="1" customWidth="1"/>
    <col min="7" max="7" width="11.42578125" style="127" bestFit="1" customWidth="1"/>
    <col min="8" max="8" width="15.5703125" style="217" customWidth="1"/>
    <col min="9" max="9" width="15" style="199" customWidth="1"/>
    <col min="10" max="10" width="23.85546875" style="199" bestFit="1" customWidth="1"/>
    <col min="11" max="11" width="19.28515625" style="199" customWidth="1"/>
    <col min="12" max="12" width="59.7109375" style="82" customWidth="1"/>
    <col min="13" max="55" width="9.140625" style="82"/>
    <col min="56" max="56" width="9.28515625" style="82" customWidth="1"/>
    <col min="57" max="57" width="9.140625" style="82"/>
    <col min="58" max="58" width="9.42578125" style="82" customWidth="1"/>
    <col min="59" max="16384" width="9.140625" style="82"/>
  </cols>
  <sheetData>
    <row r="1" spans="2:11" ht="15" thickBot="1"/>
    <row r="2" spans="2:11" ht="144" customHeight="1" thickBot="1">
      <c r="B2" s="814"/>
      <c r="C2" s="815"/>
      <c r="D2" s="815"/>
      <c r="E2" s="815"/>
      <c r="F2" s="815"/>
      <c r="G2" s="815"/>
      <c r="H2" s="816"/>
      <c r="I2" s="815"/>
      <c r="J2" s="815"/>
      <c r="K2" s="817"/>
    </row>
    <row r="3" spans="2:11" ht="15">
      <c r="B3" s="822" t="s">
        <v>15555</v>
      </c>
      <c r="C3" s="823"/>
      <c r="D3" s="823"/>
      <c r="E3" s="823"/>
      <c r="F3" s="823"/>
      <c r="G3" s="823"/>
      <c r="H3" s="824"/>
      <c r="I3" s="823"/>
      <c r="J3" s="823"/>
      <c r="K3" s="825"/>
    </row>
    <row r="4" spans="2:11" ht="15">
      <c r="B4" s="826" t="s">
        <v>7133</v>
      </c>
      <c r="C4" s="827"/>
      <c r="D4" s="827"/>
      <c r="E4" s="827"/>
      <c r="F4" s="827"/>
      <c r="G4" s="827"/>
      <c r="H4" s="828"/>
      <c r="I4" s="827"/>
      <c r="J4" s="827"/>
      <c r="K4" s="829"/>
    </row>
    <row r="5" spans="2:11" ht="15">
      <c r="B5" s="826" t="s">
        <v>13453</v>
      </c>
      <c r="C5" s="827"/>
      <c r="D5" s="827"/>
      <c r="E5" s="827"/>
      <c r="F5" s="827"/>
      <c r="G5" s="827"/>
      <c r="H5" s="828"/>
      <c r="I5" s="827"/>
      <c r="J5" s="827"/>
      <c r="K5" s="829"/>
    </row>
    <row r="6" spans="2:11" ht="15">
      <c r="B6" s="826" t="s">
        <v>6971</v>
      </c>
      <c r="C6" s="827"/>
      <c r="D6" s="827"/>
      <c r="E6" s="827"/>
      <c r="F6" s="827"/>
      <c r="G6" s="827"/>
      <c r="H6" s="828"/>
      <c r="I6" s="827"/>
      <c r="J6" s="827"/>
      <c r="K6" s="829"/>
    </row>
    <row r="7" spans="2:11" ht="15.75" thickBot="1">
      <c r="B7" s="830" t="s">
        <v>13454</v>
      </c>
      <c r="C7" s="831"/>
      <c r="D7" s="831"/>
      <c r="E7" s="831"/>
      <c r="F7" s="831"/>
      <c r="G7" s="831"/>
      <c r="H7" s="832"/>
      <c r="I7" s="831"/>
      <c r="J7" s="831"/>
      <c r="K7" s="833"/>
    </row>
    <row r="8" spans="2:11" ht="27.75" customHeight="1" thickBot="1">
      <c r="B8" s="818" t="s">
        <v>3504</v>
      </c>
      <c r="C8" s="819"/>
      <c r="D8" s="819"/>
      <c r="E8" s="819"/>
      <c r="F8" s="819"/>
      <c r="G8" s="819"/>
      <c r="H8" s="820"/>
      <c r="I8" s="819"/>
      <c r="J8" s="819"/>
      <c r="K8" s="821"/>
    </row>
    <row r="9" spans="2:11" s="85" customFormat="1" ht="30.75" thickBot="1">
      <c r="B9" s="326" t="s">
        <v>1</v>
      </c>
      <c r="C9" s="327" t="s">
        <v>2</v>
      </c>
      <c r="D9" s="327" t="s">
        <v>0</v>
      </c>
      <c r="E9" s="328" t="s">
        <v>3</v>
      </c>
      <c r="F9" s="328" t="s">
        <v>4</v>
      </c>
      <c r="G9" s="328" t="s">
        <v>5</v>
      </c>
      <c r="H9" s="328" t="s">
        <v>572</v>
      </c>
      <c r="I9" s="328" t="s">
        <v>634</v>
      </c>
      <c r="J9" s="328" t="s">
        <v>573</v>
      </c>
      <c r="K9" s="328" t="s">
        <v>635</v>
      </c>
    </row>
    <row r="10" spans="2:11" s="76" customFormat="1" ht="15">
      <c r="B10" s="317" t="s">
        <v>591</v>
      </c>
      <c r="C10" s="318"/>
      <c r="D10" s="319"/>
      <c r="E10" s="320" t="str">
        <f>QUANT!E6:J6</f>
        <v xml:space="preserve">ADMINISTRAÇÃO DE OBRA </v>
      </c>
      <c r="F10" s="321"/>
      <c r="G10" s="322"/>
      <c r="H10" s="323"/>
      <c r="I10" s="324"/>
      <c r="J10" s="324"/>
      <c r="K10" s="325"/>
    </row>
    <row r="11" spans="2:11" s="76" customFormat="1" ht="15">
      <c r="B11" s="10" t="s">
        <v>6</v>
      </c>
      <c r="C11" s="109">
        <f>QUANT!C8</f>
        <v>90777</v>
      </c>
      <c r="D11" s="109" t="str">
        <f>QUANT!D8</f>
        <v>SINAPI</v>
      </c>
      <c r="E11" s="80" t="str">
        <f>IFERROR(VLOOKUP($C11,'SINAPI JULHO 2021'!$1:$1048576,2,0),IFERROR(VLOOKUP($C11,'5-COMP. PROPRIA'!$B$1:$I$7981,4,0),""))</f>
        <v>ENGENHEIRO CIVIL DE OBRA JUNIOR COM ENCARGOS COMPLEMENTARES</v>
      </c>
      <c r="F11" s="81" t="str">
        <f>IFERROR(VLOOKUP($C11,'SINAPI JULHO 2021'!$A:$D,3,0),IFERROR(VLOOKUP($C11,'5-COMP. PROPRIA'!$B$1:$I$7981,5,0),""))</f>
        <v>H</v>
      </c>
      <c r="G11" s="129">
        <f>QUANT!K8</f>
        <v>176</v>
      </c>
      <c r="H11" s="200">
        <f>IFERROR(VLOOKUP($C11,'SINAPI JULHO 2021'!$A:$D,4,0),IFERROR(VLOOKUP($C11,'5-COMP. PROPRIA'!$B$1:$I$7981,8,0),""))</f>
        <v>80.150000000000006</v>
      </c>
      <c r="I11" s="200">
        <f>H11*'4-BDI'!$E$29</f>
        <v>102.78436000000001</v>
      </c>
      <c r="J11" s="201">
        <f>TRUNC(G11*H11,2)</f>
        <v>14106.4</v>
      </c>
      <c r="K11" s="123">
        <f>TRUNC(G11*I11,2)</f>
        <v>18090.04</v>
      </c>
    </row>
    <row r="12" spans="2:11" s="76" customFormat="1" ht="15">
      <c r="B12" s="10" t="s">
        <v>4306</v>
      </c>
      <c r="C12" s="109">
        <f>QUANT!C14</f>
        <v>90776</v>
      </c>
      <c r="D12" s="109" t="str">
        <f>QUANT!D14</f>
        <v>SINAPI</v>
      </c>
      <c r="E12" s="80" t="str">
        <f>IFERROR(VLOOKUP($C12,'SINAPI JULHO 2021'!$1:$1048576,2,0),IFERROR(VLOOKUP($C12,'5-COMP. PROPRIA'!$B$1:$I$7981,4,0),""))</f>
        <v>ENCARREGADO GERAL COM ENCARGOS COMPLEMENTARES</v>
      </c>
      <c r="F12" s="81" t="str">
        <f>IFERROR(VLOOKUP($C12,'SINAPI JULHO 2021'!$A:$D,3,0),IFERROR(VLOOKUP($C12,'5-COMP. PROPRIA'!$B$1:$I$7981,5,0),""))</f>
        <v>H</v>
      </c>
      <c r="G12" s="129">
        <f>QUANT!K14</f>
        <v>1280</v>
      </c>
      <c r="H12" s="200">
        <f>IFERROR(VLOOKUP($C12,'SINAPI JULHO 2021'!$A:$D,4,0),IFERROR(VLOOKUP($C12,'5-COMP. PROPRIA'!$B$1:$I$7981,8,0),""))</f>
        <v>20.18</v>
      </c>
      <c r="I12" s="200">
        <f>H12*'4-BDI'!$E$29</f>
        <v>25.878831999999999</v>
      </c>
      <c r="J12" s="201">
        <f>TRUNC(G12*H12,2)</f>
        <v>25830.400000000001</v>
      </c>
      <c r="K12" s="123">
        <f>TRUNC(G12*I12,2)</f>
        <v>33124.9</v>
      </c>
    </row>
    <row r="13" spans="2:11" s="76" customFormat="1" ht="15">
      <c r="B13" s="10" t="s">
        <v>4307</v>
      </c>
      <c r="C13" s="109">
        <f>QUANT!C18</f>
        <v>101460</v>
      </c>
      <c r="D13" s="109" t="str">
        <f>QUANT!D18</f>
        <v>SINAPI</v>
      </c>
      <c r="E13" s="80" t="str">
        <f>IFERROR(VLOOKUP($C13,'SINAPI JULHO 2021'!$1:$1048576,2,0),IFERROR(VLOOKUP($C13,'5-COMP. PROPRIA'!$B$1:$I$7981,4,0),""))</f>
        <v>VIGIA DIURNO COM ENCARGOS COMPLEMENTARES</v>
      </c>
      <c r="F13" s="81" t="str">
        <f>IFERROR(VLOOKUP($C13,'SINAPI JULHO 2021'!$A:$D,3,0),IFERROR(VLOOKUP($C13,'5-COMP. PROPRIA'!$B$1:$I$7981,5,0),""))</f>
        <v>MES</v>
      </c>
      <c r="G13" s="129">
        <f>QUANT!K18</f>
        <v>8</v>
      </c>
      <c r="H13" s="200">
        <f>IFERROR(VLOOKUP($C13,'SINAPI JULHO 2021'!$A:$D,4,0),IFERROR(VLOOKUP($C13,'5-COMP. PROPRIA'!$B$1:$I$7981,8,0),""))</f>
        <v>2582.3200000000002</v>
      </c>
      <c r="I13" s="200">
        <f>H13*'4-BDI'!$E$29</f>
        <v>3311.567168</v>
      </c>
      <c r="J13" s="201">
        <f>TRUNC(G13*H13,2)</f>
        <v>20658.560000000001</v>
      </c>
      <c r="K13" s="123">
        <f>TRUNC(G13*I13,2)</f>
        <v>26492.53</v>
      </c>
    </row>
    <row r="14" spans="2:11" s="76" customFormat="1" ht="15">
      <c r="B14" s="10" t="s">
        <v>5766</v>
      </c>
      <c r="C14" s="109">
        <f>QUANT!C21</f>
        <v>88326</v>
      </c>
      <c r="D14" s="109" t="str">
        <f>QUANT!D21</f>
        <v>SINAPI</v>
      </c>
      <c r="E14" s="80" t="str">
        <f>IFERROR(VLOOKUP($C14,'SINAPI JULHO 2021'!$1:$1048576,2,0),IFERROR(VLOOKUP($C14,'5-COMP. PROPRIA'!$B$1:$I$7981,4,0),""))</f>
        <v>VIGIA NOTURNO COM ENCARGOS COMPLEMENTARES</v>
      </c>
      <c r="F14" s="81" t="str">
        <f>IFERROR(VLOOKUP($C14,'SINAPI JULHO 2021'!$A:$D,3,0),IFERROR(VLOOKUP($C14,'5-COMP. PROPRIA'!$B$1:$I$7981,5,0),""))</f>
        <v>H</v>
      </c>
      <c r="G14" s="129">
        <f>QUANT!K21</f>
        <v>1440</v>
      </c>
      <c r="H14" s="200">
        <f>IFERROR(VLOOKUP($C14,'SINAPI JULHO 2021'!$A:$D,4,0),IFERROR(VLOOKUP($C14,'5-COMP. PROPRIA'!$B$1:$I$7981,8,0),""))</f>
        <v>18.260000000000002</v>
      </c>
      <c r="I14" s="200">
        <f>H14*'4-BDI'!$E$29</f>
        <v>23.416624000000002</v>
      </c>
      <c r="J14" s="201">
        <f>TRUNC(G14*H14,2)</f>
        <v>26294.400000000001</v>
      </c>
      <c r="K14" s="123">
        <f>TRUNC(G14*I14,2)</f>
        <v>33719.93</v>
      </c>
    </row>
    <row r="15" spans="2:11" s="76" customFormat="1" ht="15">
      <c r="B15" s="834" t="s">
        <v>3506</v>
      </c>
      <c r="C15" s="835"/>
      <c r="D15" s="835"/>
      <c r="E15" s="835"/>
      <c r="F15" s="835"/>
      <c r="G15" s="835"/>
      <c r="H15" s="835"/>
      <c r="I15" s="124"/>
      <c r="J15" s="126">
        <f>TRUNC(SUM(J11:J14),2)</f>
        <v>86889.76</v>
      </c>
      <c r="K15" s="125">
        <f>TRUNC(SUM(K11:K14),2)</f>
        <v>111427.4</v>
      </c>
    </row>
    <row r="16" spans="2:11" s="76" customFormat="1" ht="15">
      <c r="B16" s="5" t="s">
        <v>592</v>
      </c>
      <c r="C16" s="6"/>
      <c r="D16" s="7"/>
      <c r="E16" s="8" t="str">
        <f>QUANT!E26:J26</f>
        <v>INSTALAÇÕES DE CANTEIRO E SERVIÇOS PRELIMINARES</v>
      </c>
      <c r="F16" s="9"/>
      <c r="G16" s="128"/>
      <c r="H16" s="221"/>
      <c r="I16" s="121"/>
      <c r="J16" s="121"/>
      <c r="K16" s="122"/>
    </row>
    <row r="17" spans="2:11" s="76" customFormat="1" ht="15">
      <c r="B17" s="10" t="s">
        <v>554</v>
      </c>
      <c r="C17" s="111" t="str">
        <f>QUANT!C28</f>
        <v>CP-IP-01</v>
      </c>
      <c r="D17" s="79" t="str">
        <f>QUANT!D28</f>
        <v>PRÓPRIA</v>
      </c>
      <c r="E17" s="80" t="str">
        <f>IFERROR(VLOOKUP($C17,'SINAPI JULHO 2021'!$1:$1048576,2,0),IFERROR(VLOOKUP($C17,'5-COMP. PROPRIA'!$B$1:$I$7981,4,0),""))</f>
        <v>PLACA DE OBRA EM CHAPA DE AÇO GALVANIZADO</v>
      </c>
      <c r="F17" s="81" t="str">
        <f>IFERROR(VLOOKUP($C17,'SINAPI JULHO 2021'!$A:$D,3,0),IFERROR(VLOOKUP($C17,'5-COMP. PROPRIA'!$B$1:$I$7981,5,0),""))</f>
        <v xml:space="preserve">M2    </v>
      </c>
      <c r="G17" s="129">
        <f>QUANT!K28</f>
        <v>6</v>
      </c>
      <c r="H17" s="200">
        <f>IFERROR(VLOOKUP($C17,'SINAPI JULHO 2021'!$A:$D,4,0),IFERROR(VLOOKUP($C17,'5-COMP. PROPRIA'!$B$1:$I$7981,8,0),""))</f>
        <v>312.14999999999998</v>
      </c>
      <c r="I17" s="200">
        <f>H17*'4-BDI'!$E$29</f>
        <v>400.30115999999998</v>
      </c>
      <c r="J17" s="201">
        <f>TRUNC(G17*H17,2)</f>
        <v>1872.9</v>
      </c>
      <c r="K17" s="123">
        <f>TRUNC(G17*I17,2)</f>
        <v>2401.8000000000002</v>
      </c>
    </row>
    <row r="18" spans="2:11" s="76" customFormat="1" ht="15">
      <c r="B18" s="10" t="s">
        <v>6983</v>
      </c>
      <c r="C18" s="111">
        <f>QUANT!C32</f>
        <v>98459</v>
      </c>
      <c r="D18" s="79" t="str">
        <f>QUANT!D32</f>
        <v>SINAPI</v>
      </c>
      <c r="E18" s="80" t="str">
        <f>IFERROR(VLOOKUP($C18,'SINAPI JULHO 2021'!$1:$1048576,2,0),IFERROR(VLOOKUP($C18,'5-COMP. PROPRIA'!$B$1:$I$7981,4,0),""))</f>
        <v>TAPUME COM TELHA METÁLICA. AF_05/2018</v>
      </c>
      <c r="F18" s="81" t="str">
        <f>IFERROR(VLOOKUP($C18,'SINAPI JULHO 2021'!$A:$D,3,0),IFERROR(VLOOKUP($C18,'5-COMP. PROPRIA'!$B$1:$I$7981,5,0),""))</f>
        <v>M2</v>
      </c>
      <c r="G18" s="129">
        <f>QUANT!K32</f>
        <v>408.5</v>
      </c>
      <c r="H18" s="200">
        <f>IFERROR(VLOOKUP($C18,'SINAPI JULHO 2021'!$A:$D,4,0),IFERROR(VLOOKUP($C18,'5-COMP. PROPRIA'!$B$1:$I$7981,8,0),""))</f>
        <v>88</v>
      </c>
      <c r="I18" s="200">
        <f>H18*'4-BDI'!$E$29</f>
        <v>112.85120000000001</v>
      </c>
      <c r="J18" s="201">
        <f>TRUNC(G18*H18,2)</f>
        <v>35948</v>
      </c>
      <c r="K18" s="123">
        <f>TRUNC(G18*I18,2)</f>
        <v>46099.71</v>
      </c>
    </row>
    <row r="19" spans="2:11" s="76" customFormat="1" ht="30">
      <c r="B19" s="10" t="s">
        <v>13033</v>
      </c>
      <c r="C19" s="111">
        <f>QUANT!C33</f>
        <v>93243</v>
      </c>
      <c r="D19" s="79" t="str">
        <f>QUANT!D33</f>
        <v>SINAPI</v>
      </c>
      <c r="E19" s="80" t="str">
        <f>IFERROR(VLOOKUP($C19,'SINAPI JULHO 2021'!$1:$1048576,2,0),IFERROR(VLOOKUP($C19,'5-COMP. PROPRIA'!$B$1:$I$7981,4,0),""))</f>
        <v>EXECUÇÃO DE RESERVATÓRIO ELEVADO DE ÁGUA (2000 LITROS) EM CANTEIRO DE OBRA, APOIADO EM ESTRUTURA DE MADEIRA. AF_02/2016</v>
      </c>
      <c r="F19" s="81" t="str">
        <f>IFERROR(VLOOKUP($C19,'SINAPI JULHO 2021'!$A:$D,3,0),IFERROR(VLOOKUP($C19,'5-COMP. PROPRIA'!$B$1:$I$7981,5,0),""))</f>
        <v>UN</v>
      </c>
      <c r="G19" s="129">
        <f>QUANT!K33</f>
        <v>1</v>
      </c>
      <c r="H19" s="200">
        <f>IFERROR(VLOOKUP($C19,'SINAPI JULHO 2021'!$A:$D,4,0),IFERROR(VLOOKUP($C19,'5-COMP. PROPRIA'!$B$1:$I$7981,8,0),""))</f>
        <v>6294.27</v>
      </c>
      <c r="I19" s="200">
        <f>H19*'4-BDI'!$E$29</f>
        <v>8071.7718480000003</v>
      </c>
      <c r="J19" s="201">
        <f t="shared" ref="J19:J21" si="0">TRUNC(G19*H19,2)</f>
        <v>6294.27</v>
      </c>
      <c r="K19" s="123">
        <f t="shared" ref="K19:K21" si="1">TRUNC(G19*I19,2)</f>
        <v>8071.77</v>
      </c>
    </row>
    <row r="20" spans="2:11" s="76" customFormat="1" ht="15">
      <c r="B20" s="10" t="s">
        <v>13034</v>
      </c>
      <c r="C20" s="111" t="str">
        <f>QUANT!C34</f>
        <v>CP-IP-02</v>
      </c>
      <c r="D20" s="79" t="str">
        <f>QUANT!D34</f>
        <v>PRÓPRIA</v>
      </c>
      <c r="E20" s="80" t="str">
        <f>IFERROR(VLOOKUP($C20,'SINAPI JULHO 2021'!$1:$1048576,2,0),IFERROR(VLOOKUP($C20,'5-COMP. PROPRIA'!$B$1:$I$7981,4,0),""))</f>
        <v>ENTRADA PROVISÓRIA DE ENERGIA - FORNECIMENTO E INSTALAÇÃO</v>
      </c>
      <c r="F20" s="81" t="str">
        <f>IFERROR(VLOOKUP($C20,'SINAPI JULHO 2021'!$A:$D,3,0),IFERROR(VLOOKUP($C20,'5-COMP. PROPRIA'!$B$1:$I$7981,5,0),""))</f>
        <v>UN</v>
      </c>
      <c r="G20" s="129">
        <f>QUANT!K34</f>
        <v>1</v>
      </c>
      <c r="H20" s="200">
        <f>IFERROR(VLOOKUP($C20,'SINAPI JULHO 2021'!$A:$D,4,0),IFERROR(VLOOKUP($C20,'5-COMP. PROPRIA'!$B$1:$I$7981,8,0),""))</f>
        <v>3578.01</v>
      </c>
      <c r="I20" s="200">
        <f>H20*'4-BDI'!$E$29</f>
        <v>4588.4400240000004</v>
      </c>
      <c r="J20" s="201">
        <f t="shared" si="0"/>
        <v>3578.01</v>
      </c>
      <c r="K20" s="123">
        <f t="shared" si="1"/>
        <v>4588.4399999999996</v>
      </c>
    </row>
    <row r="21" spans="2:11" s="76" customFormat="1" ht="30">
      <c r="B21" s="10" t="s">
        <v>13035</v>
      </c>
      <c r="C21" s="111" t="str">
        <f>QUANT!C35</f>
        <v>CP-IP-03</v>
      </c>
      <c r="D21" s="79" t="str">
        <f>QUANT!D35</f>
        <v>PRÓPRIA</v>
      </c>
      <c r="E21" s="80" t="str">
        <f>IFERROR(VLOOKUP($C21,'SINAPI JULHO 2021'!$1:$1048576,2,0),IFERROR(VLOOKUP($C21,'5-COMP. PROPRIA'!$B$1:$I$7981,4,0),""))</f>
        <v>LOCAÇÃO DE 3 CONTAINERS - 1 CONTAINER PARA ESCRITÓRIO COM SANITÁRIO, 1 CONTAINER PARA ALMOXARIFE E 1 CONTAINER PARA BANHEIRO COM BACIAS E LAVATORIOS</v>
      </c>
      <c r="F21" s="81" t="str">
        <f>IFERROR(VLOOKUP($C21,'SINAPI JULHO 2021'!$A:$D,3,0),IFERROR(VLOOKUP($C21,'5-COMP. PROPRIA'!$B$1:$I$7981,5,0),""))</f>
        <v>MÊS</v>
      </c>
      <c r="G21" s="129">
        <f>QUANT!K35</f>
        <v>8</v>
      </c>
      <c r="H21" s="200">
        <f>IFERROR(VLOOKUP($C21,'SINAPI JULHO 2021'!$A:$D,4,0),IFERROR(VLOOKUP($C21,'5-COMP. PROPRIA'!$B$1:$I$7981,8,0),""))</f>
        <v>1720.26</v>
      </c>
      <c r="I21" s="200">
        <f>H21*'4-BDI'!$E$29</f>
        <v>2206.061424</v>
      </c>
      <c r="J21" s="201">
        <f t="shared" si="0"/>
        <v>13762.08</v>
      </c>
      <c r="K21" s="123">
        <f t="shared" si="1"/>
        <v>17648.490000000002</v>
      </c>
    </row>
    <row r="22" spans="2:11" s="76" customFormat="1" ht="15">
      <c r="B22" s="834" t="s">
        <v>3506</v>
      </c>
      <c r="C22" s="835"/>
      <c r="D22" s="835"/>
      <c r="E22" s="835"/>
      <c r="F22" s="835"/>
      <c r="G22" s="835"/>
      <c r="H22" s="835"/>
      <c r="I22" s="124"/>
      <c r="J22" s="126">
        <f>TRUNC(SUM(J17:J21),2)</f>
        <v>61455.26</v>
      </c>
      <c r="K22" s="125">
        <f>TRUNC(SUM(K17:K21),2)</f>
        <v>78810.210000000006</v>
      </c>
    </row>
    <row r="23" spans="2:11" s="76" customFormat="1" ht="15">
      <c r="B23" s="5" t="s">
        <v>674</v>
      </c>
      <c r="C23" s="6"/>
      <c r="D23" s="7"/>
      <c r="E23" s="8" t="str">
        <f>QUANT!E36</f>
        <v>DEMOLIÇÕES E RETIRADAS</v>
      </c>
      <c r="F23" s="9"/>
      <c r="G23" s="128"/>
      <c r="H23" s="221"/>
      <c r="I23" s="121"/>
      <c r="J23" s="121"/>
      <c r="K23" s="122"/>
    </row>
    <row r="24" spans="2:11" s="76" customFormat="1" ht="30">
      <c r="B24" s="11" t="s">
        <v>22</v>
      </c>
      <c r="C24" s="79">
        <f>QUANT!C38</f>
        <v>97637</v>
      </c>
      <c r="D24" s="79" t="str">
        <f>QUANT!D38</f>
        <v>SINAPI</v>
      </c>
      <c r="E24" s="80" t="str">
        <f>IFERROR(VLOOKUP($C24,'SINAPI JULHO 2021'!$1:$1048576,2,0),IFERROR(VLOOKUP($C24,'5-COMP. PROPRIA'!$B$1:$I$7981,4,0),""))</f>
        <v>REMOÇÃO DE TAPUME/ CHAPAS METÁLICAS E DE MADEIRA, DE FORMA MANUAL, SEM REAPROVEITAMENTO. AF_12/2017</v>
      </c>
      <c r="F24" s="81" t="str">
        <f>IFERROR(VLOOKUP($C24,'SINAPI JULHO 2021'!$A:$D,3,0),IFERROR(VLOOKUP($C24,'5-COMP. PROPRIA'!$B$1:$I$7981,5,0),""))</f>
        <v>M2</v>
      </c>
      <c r="G24" s="129">
        <f>QUANT!K38</f>
        <v>408.5</v>
      </c>
      <c r="H24" s="200">
        <f>IFERROR(VLOOKUP($C24,'SINAPI JULHO 2021'!$A:$D,4,0),IFERROR(VLOOKUP($C24,'5-COMP. PROPRIA'!$B$1:$I$7981,8,0),""))</f>
        <v>1.63</v>
      </c>
      <c r="I24" s="200">
        <f>H24*'4-BDI'!$E$29</f>
        <v>2.0903119999999999</v>
      </c>
      <c r="J24" s="201">
        <f>TRUNC(G24*H24,2)</f>
        <v>665.85</v>
      </c>
      <c r="K24" s="123">
        <f>TRUNC(G24*I24,2)</f>
        <v>853.89</v>
      </c>
    </row>
    <row r="25" spans="2:11" s="76" customFormat="1" ht="15">
      <c r="B25" s="11" t="s">
        <v>6984</v>
      </c>
      <c r="C25" s="79" t="str">
        <f>QUANT!C40</f>
        <v>CP-DEM-02</v>
      </c>
      <c r="D25" s="79" t="str">
        <f>QUANT!D40</f>
        <v>PRÓPRIA</v>
      </c>
      <c r="E25" s="80" t="str">
        <f>IFERROR(VLOOKUP($C25,'SINAPI JULHO 2021'!$1:$1048576,2,0),IFERROR(VLOOKUP($C25,'5-COMP. PROPRIA'!$B$1:$I$7981,4,0),""))</f>
        <v>DEMOLIÇÃO DE CONCRETO SIMPLES</v>
      </c>
      <c r="F25" s="81" t="str">
        <f>IFERROR(VLOOKUP($C25,'SINAPI JULHO 2021'!$A:$D,3,0),IFERROR(VLOOKUP($C25,'5-COMP. PROPRIA'!$B$1:$I$7981,5,0),""))</f>
        <v>M3</v>
      </c>
      <c r="G25" s="129">
        <f>QUANT!K40</f>
        <v>132.10499999999999</v>
      </c>
      <c r="H25" s="200">
        <f>IFERROR(VLOOKUP($C25,'SINAPI JULHO 2021'!$A:$D,4,0),IFERROR(VLOOKUP($C25,'5-COMP. PROPRIA'!$B$1:$I$7981,8,0),""))</f>
        <v>94.89</v>
      </c>
      <c r="I25" s="200">
        <f>H25*'4-BDI'!$E$29</f>
        <v>121.686936</v>
      </c>
      <c r="J25" s="201">
        <f t="shared" ref="J25:J28" si="2">TRUNC(G25*H25,2)</f>
        <v>12535.44</v>
      </c>
      <c r="K25" s="123">
        <f t="shared" ref="K25:K28" si="3">TRUNC(G25*I25,2)</f>
        <v>16075.45</v>
      </c>
    </row>
    <row r="26" spans="2:11" s="76" customFormat="1" ht="15">
      <c r="B26" s="11" t="s">
        <v>6985</v>
      </c>
      <c r="C26" s="79">
        <f>QUANT!C47</f>
        <v>98524</v>
      </c>
      <c r="D26" s="79" t="str">
        <f>QUANT!D47</f>
        <v>SINAPI</v>
      </c>
      <c r="E26" s="80" t="str">
        <f>IFERROR(VLOOKUP($C26,'SINAPI JULHO 2021'!$1:$1048576,2,0),IFERROR(VLOOKUP($C26,'5-COMP. PROPRIA'!$B$1:$I$7981,4,0),""))</f>
        <v>LIMPEZA MANUAL DE VEGETAÇÃO EM TERRENO COM ENXADA.AF_05/2018</v>
      </c>
      <c r="F26" s="81" t="str">
        <f>IFERROR(VLOOKUP($C26,'SINAPI JULHO 2021'!$A:$D,3,0),IFERROR(VLOOKUP($C26,'5-COMP. PROPRIA'!$B$1:$I$7981,5,0),""))</f>
        <v>M2</v>
      </c>
      <c r="G26" s="129">
        <f>QUANT!K47</f>
        <v>3200</v>
      </c>
      <c r="H26" s="200">
        <f>IFERROR(VLOOKUP($C26,'SINAPI JULHO 2021'!$A:$D,4,0),IFERROR(VLOOKUP($C26,'5-COMP. PROPRIA'!$B$1:$I$7981,8,0),""))</f>
        <v>2.2200000000000002</v>
      </c>
      <c r="I26" s="200">
        <f>H26*'4-BDI'!$E$29</f>
        <v>2.8469280000000001</v>
      </c>
      <c r="J26" s="201">
        <f t="shared" si="2"/>
        <v>7104</v>
      </c>
      <c r="K26" s="123">
        <f t="shared" si="3"/>
        <v>9110.16</v>
      </c>
    </row>
    <row r="27" spans="2:11" s="76" customFormat="1" ht="45">
      <c r="B27" s="11" t="s">
        <v>6986</v>
      </c>
      <c r="C27" s="79">
        <f>QUANT!C49</f>
        <v>100981</v>
      </c>
      <c r="D27" s="79" t="str">
        <f>QUANT!D49</f>
        <v>SINAPI</v>
      </c>
      <c r="E27" s="80" t="str">
        <f>IFERROR(VLOOKUP($C27,'SINAPI JULHO 2021'!$1:$1048576,2,0),IFERROR(VLOOKUP($C27,'5-COMP. PROPRIA'!$B$1:$I$7981,4,0),""))</f>
        <v>CARGA, MANOBRA E DESCARGA DE ENTULHO EM CAMINHÃO BASCULANTE 6 M³ - CARGA COM ESCAVADEIRA HIDRÁULICA  (CAÇAMBA DE 0,80 M³ / 111 HP) E DESCARGA LIVRE (UNIDADE: M3). AF_07/2020</v>
      </c>
      <c r="F27" s="81" t="str">
        <f>IFERROR(VLOOKUP($C27,'SINAPI JULHO 2021'!$A:$D,3,0),IFERROR(VLOOKUP($C27,'5-COMP. PROPRIA'!$B$1:$I$7981,5,0),""))</f>
        <v>M3</v>
      </c>
      <c r="G27" s="129">
        <f>QUANT!K49</f>
        <v>213.3365</v>
      </c>
      <c r="H27" s="200">
        <f>IFERROR(VLOOKUP($C27,'SINAPI JULHO 2021'!$A:$D,4,0),IFERROR(VLOOKUP($C27,'5-COMP. PROPRIA'!$B$1:$I$7981,8,0),""))</f>
        <v>6.22</v>
      </c>
      <c r="I27" s="200">
        <f>H27*'4-BDI'!$E$29</f>
        <v>7.9765279999999992</v>
      </c>
      <c r="J27" s="201">
        <f t="shared" si="2"/>
        <v>1326.95</v>
      </c>
      <c r="K27" s="123">
        <f t="shared" si="3"/>
        <v>1701.68</v>
      </c>
    </row>
    <row r="28" spans="2:11" s="76" customFormat="1" ht="30">
      <c r="B28" s="11" t="s">
        <v>36</v>
      </c>
      <c r="C28" s="79">
        <f>QUANT!C53</f>
        <v>97914</v>
      </c>
      <c r="D28" s="79" t="str">
        <f>QUANT!D53</f>
        <v>SINAPI</v>
      </c>
      <c r="E28" s="80" t="str">
        <f>IFERROR(VLOOKUP($C28,'SINAPI JULHO 2021'!$1:$1048576,2,0),IFERROR(VLOOKUP($C28,'5-COMP. PROPRIA'!$B$1:$I$7981,4,0),""))</f>
        <v>TRANSPORTE COM CAMINHÃO BASCULANTE DE 6 M³, EM VIA URBANA PAVIMENTADA, DMT ATÉ 30 KM (UNIDADE: M3XKM). AF_07/2020</v>
      </c>
      <c r="F28" s="81" t="str">
        <f>IFERROR(VLOOKUP($C28,'SINAPI JULHO 2021'!$A:$D,3,0),IFERROR(VLOOKUP($C28,'5-COMP. PROPRIA'!$B$1:$I$7981,5,0),""))</f>
        <v>M3XKM</v>
      </c>
      <c r="G28" s="129">
        <f>QUANT!K53</f>
        <v>2133.3649999999998</v>
      </c>
      <c r="H28" s="200">
        <f>IFERROR(VLOOKUP($C28,'SINAPI JULHO 2021'!$A:$D,4,0),IFERROR(VLOOKUP($C28,'5-COMP. PROPRIA'!$B$1:$I$7981,8,0),""))</f>
        <v>2.0299999999999998</v>
      </c>
      <c r="I28" s="200">
        <f>H28*'4-BDI'!$E$29</f>
        <v>2.6032719999999996</v>
      </c>
      <c r="J28" s="201">
        <f t="shared" si="2"/>
        <v>4330.7299999999996</v>
      </c>
      <c r="K28" s="123">
        <f t="shared" si="3"/>
        <v>5553.72</v>
      </c>
    </row>
    <row r="29" spans="2:11" ht="15">
      <c r="B29" s="834" t="s">
        <v>3506</v>
      </c>
      <c r="C29" s="835"/>
      <c r="D29" s="835"/>
      <c r="E29" s="835"/>
      <c r="F29" s="835"/>
      <c r="G29" s="835"/>
      <c r="H29" s="835"/>
      <c r="I29" s="124"/>
      <c r="J29" s="126">
        <f>TRUNC(SUM(J24:J28),2)</f>
        <v>25962.97</v>
      </c>
      <c r="K29" s="125">
        <f>TRUNC(SUM(K24:K28),2)</f>
        <v>33294.9</v>
      </c>
    </row>
    <row r="30" spans="2:11" ht="15">
      <c r="B30" s="5" t="s">
        <v>593</v>
      </c>
      <c r="C30" s="6"/>
      <c r="D30" s="7"/>
      <c r="E30" s="8" t="str">
        <f>QUANT!E57</f>
        <v>INFRAESTRUTURA</v>
      </c>
      <c r="F30" s="9"/>
      <c r="G30" s="128"/>
      <c r="H30" s="221"/>
      <c r="I30" s="121"/>
      <c r="J30" s="121"/>
      <c r="K30" s="122"/>
    </row>
    <row r="31" spans="2:11" ht="15">
      <c r="B31" s="474" t="s">
        <v>27</v>
      </c>
      <c r="C31" s="475"/>
      <c r="D31" s="476"/>
      <c r="E31" s="477" t="str">
        <f>QUANT!E58</f>
        <v>MURO</v>
      </c>
      <c r="F31" s="478"/>
      <c r="G31" s="479"/>
      <c r="H31" s="480"/>
      <c r="I31" s="481"/>
      <c r="J31" s="481"/>
      <c r="K31" s="482"/>
    </row>
    <row r="32" spans="2:11" ht="15">
      <c r="B32" s="222" t="s">
        <v>4452</v>
      </c>
      <c r="C32" s="223"/>
      <c r="D32" s="224"/>
      <c r="E32" s="225" t="str">
        <f>QUANT!E59</f>
        <v>SAPATAS E ESTACAS</v>
      </c>
      <c r="F32" s="120"/>
      <c r="G32" s="129"/>
      <c r="H32" s="218"/>
      <c r="I32" s="200"/>
      <c r="J32" s="201"/>
      <c r="K32" s="123"/>
    </row>
    <row r="33" spans="2:11" ht="30">
      <c r="B33" s="11" t="s">
        <v>6872</v>
      </c>
      <c r="C33" s="79">
        <f>QUANT!C60</f>
        <v>96521</v>
      </c>
      <c r="D33" s="79" t="str">
        <f>QUANT!D60</f>
        <v>SINAPI</v>
      </c>
      <c r="E33" s="80" t="str">
        <f>IFERROR(VLOOKUP($C33,'SINAPI JULHO 2021'!$1:$1048576,2,0),IFERROR(VLOOKUP($C33,'5-COMP. PROPRIA'!$B$1:$I$7981,4,0),""))</f>
        <v>ESCAVAÇÃO MECANIZADA PARA BLOCO DE COROAMENTO OU SAPATA, COM PREVISÃO DE FÔRMA, COM RETROESCAVADEIRA. AF_06/2017</v>
      </c>
      <c r="F33" s="81" t="str">
        <f>IFERROR(VLOOKUP($C33,'SINAPI JULHO 2021'!$A:$D,3,0),IFERROR(VLOOKUP($C33,'5-COMP. PROPRIA'!$B$1:$I$7981,5,0),""))</f>
        <v>M3</v>
      </c>
      <c r="G33" s="129">
        <f>QUANT!K60</f>
        <v>34.755000000000003</v>
      </c>
      <c r="H33" s="200">
        <f>IFERROR(VLOOKUP($C33,'SINAPI JULHO 2021'!$A:$D,4,0),IFERROR(VLOOKUP($C33,'5-COMP. PROPRIA'!$B$1:$I$7981,8,0),""))</f>
        <v>30.5</v>
      </c>
      <c r="I33" s="200">
        <f>H33*'4-BDI'!$E$29</f>
        <v>39.113199999999999</v>
      </c>
      <c r="J33" s="201">
        <f t="shared" ref="J33:J42" si="4">TRUNC(G33*H33,2)</f>
        <v>1060.02</v>
      </c>
      <c r="K33" s="123">
        <f t="shared" ref="K33:K42" si="5">TRUNC(G33*I33,2)</f>
        <v>1359.37</v>
      </c>
    </row>
    <row r="34" spans="2:11" ht="30">
      <c r="B34" s="11" t="s">
        <v>6873</v>
      </c>
      <c r="C34" s="79">
        <f>QUANT!C65</f>
        <v>96535</v>
      </c>
      <c r="D34" s="79" t="str">
        <f>QUANT!D65</f>
        <v>SINAPI</v>
      </c>
      <c r="E34" s="80" t="str">
        <f>IFERROR(VLOOKUP($C34,'SINAPI JULHO 2021'!$1:$1048576,2,0),IFERROR(VLOOKUP($C34,'5-COMP. PROPRIA'!$B$1:$I$7981,4,0),""))</f>
        <v>FABRICAÇÃO, MONTAGEM E DESMONTAGEM DE FÔRMA PARA SAPATA, EM MADEIRA SERRADA, E=25 MM, 4 UTILIZAÇÕES. AF_06/2017</v>
      </c>
      <c r="F34" s="81" t="str">
        <f>IFERROR(VLOOKUP($C34,'SINAPI JULHO 2021'!$A:$D,3,0),IFERROR(VLOOKUP($C34,'5-COMP. PROPRIA'!$B$1:$I$7981,5,0),""))</f>
        <v>M2</v>
      </c>
      <c r="G34" s="129">
        <f>QUANT!K65</f>
        <v>16.240000000000002</v>
      </c>
      <c r="H34" s="200">
        <f>IFERROR(VLOOKUP($C34,'SINAPI JULHO 2021'!$A:$D,4,0),IFERROR(VLOOKUP($C34,'5-COMP. PROPRIA'!$B$1:$I$7981,8,0),""))</f>
        <v>100.54</v>
      </c>
      <c r="I34" s="200">
        <f>H34*'4-BDI'!$E$29</f>
        <v>128.93249600000001</v>
      </c>
      <c r="J34" s="201">
        <f t="shared" si="4"/>
        <v>1632.76</v>
      </c>
      <c r="K34" s="123">
        <f t="shared" si="5"/>
        <v>2093.86</v>
      </c>
    </row>
    <row r="35" spans="2:11" ht="30">
      <c r="B35" s="11" t="s">
        <v>6874</v>
      </c>
      <c r="C35" s="79">
        <f>QUANT!C70</f>
        <v>96619</v>
      </c>
      <c r="D35" s="79" t="str">
        <f>QUANT!D70</f>
        <v>SINAPI</v>
      </c>
      <c r="E35" s="80" t="str">
        <f>IFERROR(VLOOKUP($C35,'SINAPI JULHO 2021'!$1:$1048576,2,0),IFERROR(VLOOKUP($C35,'5-COMP. PROPRIA'!$B$1:$I$7981,4,0),""))</f>
        <v>LASTRO DE CONCRETO MAGRO, APLICADO EM BLOCOS DE COROAMENTO OU SAPATAS, ESPESSURA DE 5 CM. AF_08/2017</v>
      </c>
      <c r="F35" s="81" t="str">
        <f>IFERROR(VLOOKUP($C35,'SINAPI JULHO 2021'!$A:$D,3,0),IFERROR(VLOOKUP($C35,'5-COMP. PROPRIA'!$B$1:$I$7981,5,0),""))</f>
        <v>M2</v>
      </c>
      <c r="G35" s="129">
        <f>QUANT!K70</f>
        <v>6.857499999999999</v>
      </c>
      <c r="H35" s="200">
        <f>IFERROR(VLOOKUP($C35,'SINAPI JULHO 2021'!$A:$D,4,0),IFERROR(VLOOKUP($C35,'5-COMP. PROPRIA'!$B$1:$I$7981,8,0),""))</f>
        <v>23.35</v>
      </c>
      <c r="I35" s="200">
        <f>H35*'4-BDI'!$E$29</f>
        <v>29.944040000000001</v>
      </c>
      <c r="J35" s="201">
        <f>TRUNC(G35*H35,2)</f>
        <v>160.12</v>
      </c>
      <c r="K35" s="123">
        <f>TRUNC(G35*I35,2)</f>
        <v>205.34</v>
      </c>
    </row>
    <row r="36" spans="2:11" ht="30">
      <c r="B36" s="11" t="s">
        <v>6875</v>
      </c>
      <c r="C36" s="79">
        <f>QUANT!C75</f>
        <v>96546</v>
      </c>
      <c r="D36" s="79" t="str">
        <f>QUANT!D75</f>
        <v>SINAPI</v>
      </c>
      <c r="E36" s="80" t="str">
        <f>IFERROR(VLOOKUP($C36,'SINAPI JULHO 2021'!$1:$1048576,2,0),IFERROR(VLOOKUP($C36,'5-COMP. PROPRIA'!$B$1:$I$7981,4,0),""))</f>
        <v>ARMAÇÃO DE BLOCO, VIGA BALDRAME OU SAPATA UTILIZANDO AÇO CA-50 DE 10 MM - MONTAGEM. AF_06/2017</v>
      </c>
      <c r="F36" s="81" t="str">
        <f>IFERROR(VLOOKUP($C36,'SINAPI JULHO 2021'!$A:$D,3,0),IFERROR(VLOOKUP($C36,'5-COMP. PROPRIA'!$B$1:$I$7981,5,0),""))</f>
        <v>KG</v>
      </c>
      <c r="G36" s="129">
        <f>QUANT!K75</f>
        <v>230.57</v>
      </c>
      <c r="H36" s="200">
        <f>IFERROR(VLOOKUP($C36,'SINAPI JULHO 2021'!$A:$D,4,0),IFERROR(VLOOKUP($C36,'5-COMP. PROPRIA'!$B$1:$I$7981,8,0),""))</f>
        <v>17.95</v>
      </c>
      <c r="I36" s="200">
        <f>H36*'4-BDI'!$E$29</f>
        <v>23.019079999999999</v>
      </c>
      <c r="J36" s="201">
        <f>TRUNC(G36*H36,2)</f>
        <v>4138.7299999999996</v>
      </c>
      <c r="K36" s="123">
        <f>TRUNC(G36*I36,2)</f>
        <v>5307.5</v>
      </c>
    </row>
    <row r="37" spans="2:11" ht="30">
      <c r="B37" s="11" t="s">
        <v>6876</v>
      </c>
      <c r="C37" s="79">
        <f>QUANT!C76</f>
        <v>96543</v>
      </c>
      <c r="D37" s="79" t="str">
        <f>QUANT!D76</f>
        <v>SINAPI</v>
      </c>
      <c r="E37" s="80" t="str">
        <f>IFERROR(VLOOKUP($C37,'SINAPI JULHO 2021'!$1:$1048576,2,0),IFERROR(VLOOKUP($C37,'5-COMP. PROPRIA'!$B$1:$I$7981,4,0),""))</f>
        <v>ARMAÇÃO DE BLOCO, VIGA BALDRAME E SAPATA UTILIZANDO AÇO CA-60 DE 5 MM - MONTAGEM. AF_06/2017</v>
      </c>
      <c r="F37" s="81" t="str">
        <f>IFERROR(VLOOKUP($C37,'SINAPI JULHO 2021'!$A:$D,3,0),IFERROR(VLOOKUP($C37,'5-COMP. PROPRIA'!$B$1:$I$7981,5,0),""))</f>
        <v>KG</v>
      </c>
      <c r="G37" s="129">
        <f>QUANT!K76</f>
        <v>35.35</v>
      </c>
      <c r="H37" s="200">
        <f>IFERROR(VLOOKUP($C37,'SINAPI JULHO 2021'!$A:$D,4,0),IFERROR(VLOOKUP($C37,'5-COMP. PROPRIA'!$B$1:$I$7981,8,0),""))</f>
        <v>20.52</v>
      </c>
      <c r="I37" s="200">
        <f>H37*'4-BDI'!$E$29</f>
        <v>26.314847999999998</v>
      </c>
      <c r="J37" s="201">
        <f>TRUNC(G37*H37,2)</f>
        <v>725.38</v>
      </c>
      <c r="K37" s="123">
        <f>TRUNC(G37*I37,2)</f>
        <v>930.22</v>
      </c>
    </row>
    <row r="38" spans="2:11" ht="30">
      <c r="B38" s="11" t="s">
        <v>6877</v>
      </c>
      <c r="C38" s="79">
        <f>QUANT!C77</f>
        <v>94971</v>
      </c>
      <c r="D38" s="79" t="str">
        <f>QUANT!D77</f>
        <v>SINAPI</v>
      </c>
      <c r="E38" s="80" t="str">
        <f>IFERROR(VLOOKUP($C38,'SINAPI JULHO 2021'!$1:$1048576,2,0),IFERROR(VLOOKUP($C38,'5-COMP. PROPRIA'!$B$1:$I$7981,4,0),""))</f>
        <v>CONCRETO FCK = 25MPA, TRAÇO 1:2,3:2,7 (EM MASSA SECA DE CIMENTO/ AREIA MÉDIA/ BRITA 1) - PREPARO MECÂNICO COM BETONEIRA 600 L. AF_05/2021</v>
      </c>
      <c r="F38" s="81" t="str">
        <f>IFERROR(VLOOKUP($C38,'SINAPI JULHO 2021'!$A:$D,3,0),IFERROR(VLOOKUP($C38,'5-COMP. PROPRIA'!$B$1:$I$7981,5,0),""))</f>
        <v>M3</v>
      </c>
      <c r="G38" s="129">
        <f>QUANT!K77</f>
        <v>2.7429999999999999</v>
      </c>
      <c r="H38" s="200">
        <f>IFERROR(VLOOKUP($C38,'SINAPI JULHO 2021'!$A:$D,4,0),IFERROR(VLOOKUP($C38,'5-COMP. PROPRIA'!$B$1:$I$7981,8,0),""))</f>
        <v>382.79</v>
      </c>
      <c r="I38" s="200">
        <f>H38*'4-BDI'!$E$29</f>
        <v>490.88989600000002</v>
      </c>
      <c r="J38" s="201">
        <f>TRUNC(G38*H38,2)</f>
        <v>1049.99</v>
      </c>
      <c r="K38" s="123">
        <f>TRUNC(G38*I38,2)</f>
        <v>1346.51</v>
      </c>
    </row>
    <row r="39" spans="2:11" ht="30">
      <c r="B39" s="11" t="s">
        <v>6878</v>
      </c>
      <c r="C39" s="79">
        <f>QUANT!C78</f>
        <v>92873</v>
      </c>
      <c r="D39" s="79" t="str">
        <f>QUANT!D78</f>
        <v>SINAPI</v>
      </c>
      <c r="E39" s="80" t="str">
        <f>IFERROR(VLOOKUP($C39,'SINAPI JULHO 2021'!$1:$1048576,2,0),IFERROR(VLOOKUP($C39,'5-COMP. PROPRIA'!$B$1:$I$7981,4,0),""))</f>
        <v>LANÇAMENTO COM USO DE BALDES, ADENSAMENTO E ACABAMENTO DE CONCRETO EM ESTRUTURAS. AF_12/2015</v>
      </c>
      <c r="F39" s="81" t="str">
        <f>IFERROR(VLOOKUP($C39,'SINAPI JULHO 2021'!$A:$D,3,0),IFERROR(VLOOKUP($C39,'5-COMP. PROPRIA'!$B$1:$I$7981,5,0),""))</f>
        <v>M3</v>
      </c>
      <c r="G39" s="129">
        <f>QUANT!K78</f>
        <v>2.7429999999999999</v>
      </c>
      <c r="H39" s="200">
        <f>IFERROR(VLOOKUP($C39,'SINAPI JULHO 2021'!$A:$D,4,0),IFERROR(VLOOKUP($C39,'5-COMP. PROPRIA'!$B$1:$I$7981,8,0),""))</f>
        <v>144.18</v>
      </c>
      <c r="I39" s="200">
        <f>H39*'4-BDI'!$E$29</f>
        <v>184.896432</v>
      </c>
      <c r="J39" s="201">
        <f t="shared" ref="J39:J40" si="6">TRUNC(G39*H39,2)</f>
        <v>395.48</v>
      </c>
      <c r="K39" s="123">
        <f t="shared" ref="K39:K40" si="7">TRUNC(G39*I39,2)</f>
        <v>507.17</v>
      </c>
    </row>
    <row r="40" spans="2:11" ht="30">
      <c r="B40" s="11" t="s">
        <v>6879</v>
      </c>
      <c r="C40" s="79">
        <f>QUANT!C79</f>
        <v>101176</v>
      </c>
      <c r="D40" s="79" t="str">
        <f>QUANT!D79</f>
        <v>SINAPI</v>
      </c>
      <c r="E40" s="80" t="str">
        <f>IFERROR(VLOOKUP($C40,'SINAPI JULHO 2021'!$1:$1048576,2,0),IFERROR(VLOOKUP($C40,'5-COMP. PROPRIA'!$B$1:$I$7981,4,0),""))</f>
        <v>ESTACA BROCA DE CONCRETO, DIÂMETRO DE 30CM, ESCAVAÇÃO MANUAL COM TRADO CONCHA, INTEIRAMENTE ARMADA. AF_05/2020</v>
      </c>
      <c r="F40" s="81" t="str">
        <f>IFERROR(VLOOKUP($C40,'SINAPI JULHO 2021'!$A:$D,3,0),IFERROR(VLOOKUP($C40,'5-COMP. PROPRIA'!$B$1:$I$7981,5,0),""))</f>
        <v>M</v>
      </c>
      <c r="G40" s="129">
        <f>QUANT!K79</f>
        <v>106</v>
      </c>
      <c r="H40" s="200">
        <f>IFERROR(VLOOKUP($C40,'SINAPI JULHO 2021'!$A:$D,4,0),IFERROR(VLOOKUP($C40,'5-COMP. PROPRIA'!$B$1:$I$7981,8,0),""))</f>
        <v>138.13</v>
      </c>
      <c r="I40" s="200">
        <f>H40*'4-BDI'!$E$29</f>
        <v>177.137912</v>
      </c>
      <c r="J40" s="201">
        <f t="shared" si="6"/>
        <v>14641.78</v>
      </c>
      <c r="K40" s="123">
        <f t="shared" si="7"/>
        <v>18776.61</v>
      </c>
    </row>
    <row r="41" spans="2:11" ht="15">
      <c r="B41" s="11" t="s">
        <v>13037</v>
      </c>
      <c r="C41" s="79">
        <f>QUANT!C80</f>
        <v>93382</v>
      </c>
      <c r="D41" s="79" t="str">
        <f>QUANT!D80</f>
        <v>SINAPI</v>
      </c>
      <c r="E41" s="80" t="str">
        <f>IFERROR(VLOOKUP($C41,'SINAPI JULHO 2021'!$1:$1048576,2,0),IFERROR(VLOOKUP($C41,'5-COMP. PROPRIA'!$B$1:$I$7981,4,0),""))</f>
        <v>REATERRO MANUAL DE VALAS COM COMPACTAÇÃO MECANIZADA. AF_04/2016</v>
      </c>
      <c r="F41" s="81" t="str">
        <f>IFERROR(VLOOKUP($C41,'SINAPI JULHO 2021'!$A:$D,3,0),IFERROR(VLOOKUP($C41,'5-COMP. PROPRIA'!$B$1:$I$7981,5,0),""))</f>
        <v>M3</v>
      </c>
      <c r="G41" s="129">
        <f>QUANT!K80</f>
        <v>32.012</v>
      </c>
      <c r="H41" s="200">
        <f>IFERROR(VLOOKUP($C41,'SINAPI JULHO 2021'!$A:$D,4,0),IFERROR(VLOOKUP($C41,'5-COMP. PROPRIA'!$B$1:$I$7981,8,0),""))</f>
        <v>20.05</v>
      </c>
      <c r="I41" s="200">
        <f>H41*'4-BDI'!$E$29</f>
        <v>25.712120000000002</v>
      </c>
      <c r="J41" s="201">
        <f t="shared" si="4"/>
        <v>641.84</v>
      </c>
      <c r="K41" s="123">
        <f t="shared" si="5"/>
        <v>823.09</v>
      </c>
    </row>
    <row r="42" spans="2:11" ht="45">
      <c r="B42" s="11" t="s">
        <v>13038</v>
      </c>
      <c r="C42" s="79">
        <f>QUANT!C84</f>
        <v>100981</v>
      </c>
      <c r="D42" s="79" t="str">
        <f>QUANT!D84</f>
        <v>SINAPI</v>
      </c>
      <c r="E42" s="80" t="str">
        <f>IFERROR(VLOOKUP($C42,'SINAPI JULHO 2021'!$1:$1048576,2,0),IFERROR(VLOOKUP($C42,'5-COMP. PROPRIA'!$B$1:$I$7981,4,0),""))</f>
        <v>CARGA, MANOBRA E DESCARGA DE ENTULHO EM CAMINHÃO BASCULANTE 6 M³ - CARGA COM ESCAVADEIRA HIDRÁULICA  (CAÇAMBA DE 0,80 M³ / 111 HP) E DESCARGA LIVRE (UNIDADE: M3). AF_07/2020</v>
      </c>
      <c r="F42" s="81" t="str">
        <f>IFERROR(VLOOKUP($C42,'SINAPI JULHO 2021'!$A:$D,3,0),IFERROR(VLOOKUP($C42,'5-COMP. PROPRIA'!$B$1:$I$7981,5,0),""))</f>
        <v>M3</v>
      </c>
      <c r="G42" s="129">
        <f>QUANT!K84</f>
        <v>15.408900000000001</v>
      </c>
      <c r="H42" s="200">
        <f>IFERROR(VLOOKUP($C42,'SINAPI JULHO 2021'!$A:$D,4,0),IFERROR(VLOOKUP($C42,'5-COMP. PROPRIA'!$B$1:$I$7981,8,0),""))</f>
        <v>6.22</v>
      </c>
      <c r="I42" s="200">
        <f>H42*'4-BDI'!$E$29</f>
        <v>7.9765279999999992</v>
      </c>
      <c r="J42" s="201">
        <f t="shared" si="4"/>
        <v>95.84</v>
      </c>
      <c r="K42" s="123">
        <f t="shared" si="5"/>
        <v>122.9</v>
      </c>
    </row>
    <row r="43" spans="2:11" ht="30">
      <c r="B43" s="11" t="s">
        <v>13039</v>
      </c>
      <c r="C43" s="79">
        <f>QUANT!C87</f>
        <v>97914</v>
      </c>
      <c r="D43" s="79" t="str">
        <f>QUANT!D87</f>
        <v>SINAPI</v>
      </c>
      <c r="E43" s="80" t="str">
        <f>IFERROR(VLOOKUP($C43,'SINAPI JULHO 2021'!$1:$1048576,2,0),IFERROR(VLOOKUP($C43,'5-COMP. PROPRIA'!$B$1:$I$7981,4,0),""))</f>
        <v>TRANSPORTE COM CAMINHÃO BASCULANTE DE 6 M³, EM VIA URBANA PAVIMENTADA, DMT ATÉ 30 KM (UNIDADE: M3XKM). AF_07/2020</v>
      </c>
      <c r="F43" s="81" t="str">
        <f>IFERROR(VLOOKUP($C43,'SINAPI JULHO 2021'!$A:$D,3,0),IFERROR(VLOOKUP($C43,'5-COMP. PROPRIA'!$B$1:$I$7981,5,0),""))</f>
        <v>M3XKM</v>
      </c>
      <c r="G43" s="129">
        <f>QUANT!K87</f>
        <v>115.56675000000001</v>
      </c>
      <c r="H43" s="200">
        <f>IFERROR(VLOOKUP($C43,'SINAPI JULHO 2021'!$A:$D,4,0),IFERROR(VLOOKUP($C43,'5-COMP. PROPRIA'!$B$1:$I$7981,8,0),""))</f>
        <v>2.0299999999999998</v>
      </c>
      <c r="I43" s="200">
        <f>H43*'4-BDI'!$E$29</f>
        <v>2.6032719999999996</v>
      </c>
      <c r="J43" s="201">
        <f t="shared" ref="J43" si="8">TRUNC(G43*H43,2)</f>
        <v>234.6</v>
      </c>
      <c r="K43" s="123">
        <f t="shared" ref="K43" si="9">TRUNC(G43*I43,2)</f>
        <v>300.85000000000002</v>
      </c>
    </row>
    <row r="44" spans="2:11" ht="15">
      <c r="B44" s="222" t="s">
        <v>4483</v>
      </c>
      <c r="C44" s="223"/>
      <c r="D44" s="224"/>
      <c r="E44" s="225" t="str">
        <f>QUANT!E90</f>
        <v>VIGA BALDRAME</v>
      </c>
      <c r="F44" s="120"/>
      <c r="G44" s="129"/>
      <c r="H44" s="218"/>
      <c r="I44" s="200"/>
      <c r="J44" s="201"/>
      <c r="K44" s="123"/>
    </row>
    <row r="45" spans="2:11" ht="30">
      <c r="B45" s="11" t="s">
        <v>13040</v>
      </c>
      <c r="C45" s="79">
        <f>QUANT!C97</f>
        <v>96617</v>
      </c>
      <c r="D45" s="79" t="str">
        <f>QUANT!D97</f>
        <v>SINAPI</v>
      </c>
      <c r="E45" s="80" t="str">
        <f>IFERROR(VLOOKUP($C45,'SINAPI JULHO 2021'!$1:$1048576,2,0),IFERROR(VLOOKUP($C45,'5-COMP. PROPRIA'!$B$1:$I$7981,4,0),""))</f>
        <v>LASTRO DE CONCRETO MAGRO, APLICADO EM BLOCOS DE COROAMENTO OU SAPATAS, ESPESSURA DE 3 CM. AF_08/2017</v>
      </c>
      <c r="F45" s="81" t="str">
        <f>IFERROR(VLOOKUP($C45,'SINAPI JULHO 2021'!$A:$D,3,0),IFERROR(VLOOKUP($C45,'5-COMP. PROPRIA'!$B$1:$I$7981,5,0),""))</f>
        <v>M2</v>
      </c>
      <c r="G45" s="129">
        <f>QUANT!K97</f>
        <v>35.835000000000001</v>
      </c>
      <c r="H45" s="200">
        <f>IFERROR(VLOOKUP($C45,'SINAPI JULHO 2021'!$A:$D,4,0),IFERROR(VLOOKUP($C45,'5-COMP. PROPRIA'!$B$1:$I$7981,8,0),""))</f>
        <v>14.01</v>
      </c>
      <c r="I45" s="200">
        <f>H45*'4-BDI'!$E$29</f>
        <v>17.966424</v>
      </c>
      <c r="J45" s="201">
        <f>TRUNC(G45*H45,2)</f>
        <v>502.04</v>
      </c>
      <c r="K45" s="123">
        <f>TRUNC(G45*I45,2)</f>
        <v>643.82000000000005</v>
      </c>
    </row>
    <row r="46" spans="2:11" ht="30">
      <c r="B46" s="11" t="s">
        <v>13041</v>
      </c>
      <c r="C46" s="79">
        <f>QUANT!C101</f>
        <v>96536</v>
      </c>
      <c r="D46" s="79" t="str">
        <f>QUANT!D101</f>
        <v>SINAPI</v>
      </c>
      <c r="E46" s="80" t="str">
        <f>IFERROR(VLOOKUP($C46,'SINAPI JULHO 2021'!$1:$1048576,2,0),IFERROR(VLOOKUP($C46,'5-COMP. PROPRIA'!$B$1:$I$7981,4,0),""))</f>
        <v>FABRICAÇÃO, MONTAGEM E DESMONTAGEM DE FÔRMA PARA VIGA BALDRAME, EM MADEIRA SERRADA, E=25 MM, 4 UTILIZAÇÕES. AF_06/2017</v>
      </c>
      <c r="F46" s="81" t="str">
        <f>IFERROR(VLOOKUP($C46,'SINAPI JULHO 2021'!$A:$D,3,0),IFERROR(VLOOKUP($C46,'5-COMP. PROPRIA'!$B$1:$I$7981,5,0),""))</f>
        <v>M2</v>
      </c>
      <c r="G46" s="129">
        <f>QUANT!K101</f>
        <v>143.05000000000001</v>
      </c>
      <c r="H46" s="200">
        <f>IFERROR(VLOOKUP($C46,'SINAPI JULHO 2021'!$A:$D,4,0),IFERROR(VLOOKUP($C46,'5-COMP. PROPRIA'!$B$1:$I$7981,8,0),""))</f>
        <v>50.86</v>
      </c>
      <c r="I46" s="200">
        <f>H46*'4-BDI'!$E$29</f>
        <v>65.222864000000001</v>
      </c>
      <c r="J46" s="201">
        <f t="shared" ref="J46:J50" si="10">TRUNC(G46*H46,2)</f>
        <v>7275.52</v>
      </c>
      <c r="K46" s="123">
        <f t="shared" ref="K46:K50" si="11">TRUNC(G46*I46,2)</f>
        <v>9330.1299999999992</v>
      </c>
    </row>
    <row r="47" spans="2:11" ht="30">
      <c r="B47" s="11" t="s">
        <v>13042</v>
      </c>
      <c r="C47" s="79">
        <f>QUANT!C102</f>
        <v>96543</v>
      </c>
      <c r="D47" s="79" t="str">
        <f>QUANT!D102</f>
        <v>SINAPI</v>
      </c>
      <c r="E47" s="80" t="str">
        <f>IFERROR(VLOOKUP($C47,'SINAPI JULHO 2021'!$1:$1048576,2,0),IFERROR(VLOOKUP($C47,'5-COMP. PROPRIA'!$B$1:$I$7981,4,0),""))</f>
        <v>ARMAÇÃO DE BLOCO, VIGA BALDRAME E SAPATA UTILIZANDO AÇO CA-60 DE 5 MM - MONTAGEM. AF_06/2017</v>
      </c>
      <c r="F47" s="81" t="str">
        <f>IFERROR(VLOOKUP($C47,'SINAPI JULHO 2021'!$A:$D,3,0),IFERROR(VLOOKUP($C47,'5-COMP. PROPRIA'!$B$1:$I$7981,5,0),""))</f>
        <v>KG</v>
      </c>
      <c r="G47" s="129">
        <f>QUANT!K102</f>
        <v>303.3</v>
      </c>
      <c r="H47" s="200">
        <f>IFERROR(VLOOKUP($C47,'SINAPI JULHO 2021'!$A:$D,4,0),IFERROR(VLOOKUP($C47,'5-COMP. PROPRIA'!$B$1:$I$7981,8,0),""))</f>
        <v>20.52</v>
      </c>
      <c r="I47" s="200">
        <f>H47*'4-BDI'!$E$29</f>
        <v>26.314847999999998</v>
      </c>
      <c r="J47" s="201">
        <f t="shared" si="10"/>
        <v>6223.71</v>
      </c>
      <c r="K47" s="123">
        <f t="shared" si="11"/>
        <v>7981.29</v>
      </c>
    </row>
    <row r="48" spans="2:11" ht="30">
      <c r="B48" s="11" t="s">
        <v>13043</v>
      </c>
      <c r="C48" s="79">
        <f>QUANT!C103</f>
        <v>96545</v>
      </c>
      <c r="D48" s="79" t="str">
        <f>QUANT!D103</f>
        <v>SINAPI</v>
      </c>
      <c r="E48" s="80" t="str">
        <f>IFERROR(VLOOKUP($C48,'SINAPI JULHO 2021'!$1:$1048576,2,0),IFERROR(VLOOKUP($C48,'5-COMP. PROPRIA'!$B$1:$I$7981,4,0),""))</f>
        <v>ARMAÇÃO DE BLOCO, VIGA BALDRAME OU SAPATA UTILIZANDO AÇO CA-50 DE 8 MM - MONTAGEM. AF_06/2017</v>
      </c>
      <c r="F48" s="81" t="str">
        <f>IFERROR(VLOOKUP($C48,'SINAPI JULHO 2021'!$A:$D,3,0),IFERROR(VLOOKUP($C48,'5-COMP. PROPRIA'!$B$1:$I$7981,5,0),""))</f>
        <v>KG</v>
      </c>
      <c r="G48" s="129">
        <f>QUANT!K103</f>
        <v>246.6</v>
      </c>
      <c r="H48" s="200">
        <f>IFERROR(VLOOKUP($C48,'SINAPI JULHO 2021'!$A:$D,4,0),IFERROR(VLOOKUP($C48,'5-COMP. PROPRIA'!$B$1:$I$7981,8,0),""))</f>
        <v>19.73</v>
      </c>
      <c r="I48" s="200">
        <f>H48*'4-BDI'!$E$29</f>
        <v>25.301752</v>
      </c>
      <c r="J48" s="201">
        <f t="shared" si="10"/>
        <v>4865.41</v>
      </c>
      <c r="K48" s="123">
        <f t="shared" si="11"/>
        <v>6239.41</v>
      </c>
    </row>
    <row r="49" spans="2:11" ht="30">
      <c r="B49" s="11" t="s">
        <v>13044</v>
      </c>
      <c r="C49" s="79">
        <f>QUANT!C104</f>
        <v>96546</v>
      </c>
      <c r="D49" s="79" t="str">
        <f>QUANT!D104</f>
        <v>SINAPI</v>
      </c>
      <c r="E49" s="80" t="str">
        <f>IFERROR(VLOOKUP($C49,'SINAPI JULHO 2021'!$1:$1048576,2,0),IFERROR(VLOOKUP($C49,'5-COMP. PROPRIA'!$B$1:$I$7981,4,0),""))</f>
        <v>ARMAÇÃO DE BLOCO, VIGA BALDRAME OU SAPATA UTILIZANDO AÇO CA-50 DE 10 MM - MONTAGEM. AF_06/2017</v>
      </c>
      <c r="F49" s="81" t="str">
        <f>IFERROR(VLOOKUP($C49,'SINAPI JULHO 2021'!$A:$D,3,0),IFERROR(VLOOKUP($C49,'5-COMP. PROPRIA'!$B$1:$I$7981,5,0),""))</f>
        <v>KG</v>
      </c>
      <c r="G49" s="129">
        <f>QUANT!K104</f>
        <v>53</v>
      </c>
      <c r="H49" s="200">
        <f>IFERROR(VLOOKUP($C49,'SINAPI JULHO 2021'!$A:$D,4,0),IFERROR(VLOOKUP($C49,'5-COMP. PROPRIA'!$B$1:$I$7981,8,0),""))</f>
        <v>17.95</v>
      </c>
      <c r="I49" s="200">
        <f>H49*'4-BDI'!$E$29</f>
        <v>23.019079999999999</v>
      </c>
      <c r="J49" s="201">
        <f t="shared" si="10"/>
        <v>951.35</v>
      </c>
      <c r="K49" s="123">
        <f t="shared" si="11"/>
        <v>1220.01</v>
      </c>
    </row>
    <row r="50" spans="2:11" ht="15">
      <c r="B50" s="11" t="s">
        <v>13045</v>
      </c>
      <c r="C50" s="79">
        <f>QUANT!C105</f>
        <v>98557</v>
      </c>
      <c r="D50" s="79" t="str">
        <f>QUANT!D105</f>
        <v>SINAPI</v>
      </c>
      <c r="E50" s="80" t="str">
        <f>IFERROR(VLOOKUP($C50,'SINAPI JULHO 2021'!$1:$1048576,2,0),IFERROR(VLOOKUP($C50,'5-COMP. PROPRIA'!$B$1:$I$7981,4,0),""))</f>
        <v>IMPERMEABILIZAÇÃO DE SUPERFÍCIE COM EMULSÃO ASFÁLTICA, 2 DEMÃOS AF_06/2018</v>
      </c>
      <c r="F50" s="81" t="str">
        <f>IFERROR(VLOOKUP($C50,'SINAPI JULHO 2021'!$A:$D,3,0),IFERROR(VLOOKUP($C50,'5-COMP. PROPRIA'!$B$1:$I$7981,5,0),""))</f>
        <v>M2</v>
      </c>
      <c r="G50" s="129">
        <f>QUANT!K105</f>
        <v>178.88500000000002</v>
      </c>
      <c r="H50" s="200">
        <f>IFERROR(VLOOKUP($C50,'SINAPI JULHO 2021'!$A:$D,4,0),IFERROR(VLOOKUP($C50,'5-COMP. PROPRIA'!$B$1:$I$7981,8,0),""))</f>
        <v>55.87</v>
      </c>
      <c r="I50" s="200">
        <f>H50*'4-BDI'!$E$29</f>
        <v>71.647688000000002</v>
      </c>
      <c r="J50" s="201">
        <f t="shared" si="10"/>
        <v>9994.2999999999993</v>
      </c>
      <c r="K50" s="123">
        <f t="shared" si="11"/>
        <v>12816.69</v>
      </c>
    </row>
    <row r="51" spans="2:11" ht="30">
      <c r="B51" s="11" t="s">
        <v>6881</v>
      </c>
      <c r="C51" s="79">
        <f>QUANT!C106</f>
        <v>96557</v>
      </c>
      <c r="D51" s="79" t="str">
        <f>QUANT!D106</f>
        <v>SINAPI</v>
      </c>
      <c r="E51" s="80" t="str">
        <f>IFERROR(VLOOKUP($C51,'SINAPI JULHO 2021'!$1:$1048576,2,0),IFERROR(VLOOKUP($C51,'5-COMP. PROPRIA'!$B$1:$I$7981,4,0),""))</f>
        <v>CONCRETAGEM DE BLOCOS DE COROAMENTO E VIGAS BALDRAMES, FCK 30 MPA, COM USO DE BOMBA  LANÇAMENTO, ADENSAMENTO E ACABAMENTO. AF_06/2017</v>
      </c>
      <c r="F51" s="81" t="str">
        <f>IFERROR(VLOOKUP($C51,'SINAPI JULHO 2021'!$A:$D,3,0),IFERROR(VLOOKUP($C51,'5-COMP. PROPRIA'!$B$1:$I$7981,5,0),""))</f>
        <v>M3</v>
      </c>
      <c r="G51" s="129">
        <f>QUANT!K106</f>
        <v>9.9960000000000004</v>
      </c>
      <c r="H51" s="200">
        <f>IFERROR(VLOOKUP($C51,'SINAPI JULHO 2021'!$A:$D,4,0),IFERROR(VLOOKUP($C51,'5-COMP. PROPRIA'!$B$1:$I$7981,8,0),""))</f>
        <v>565.45000000000005</v>
      </c>
      <c r="I51" s="200">
        <f>H51*'4-BDI'!$E$29</f>
        <v>725.13308000000006</v>
      </c>
      <c r="J51" s="201">
        <f t="shared" ref="J51" si="12">TRUNC(G51*H51,2)</f>
        <v>5652.23</v>
      </c>
      <c r="K51" s="123">
        <f t="shared" ref="K51" si="13">TRUNC(G51*I51,2)</f>
        <v>7248.43</v>
      </c>
    </row>
    <row r="52" spans="2:11" ht="15">
      <c r="B52" s="474" t="s">
        <v>4463</v>
      </c>
      <c r="C52" s="475"/>
      <c r="D52" s="476"/>
      <c r="E52" s="477" t="str">
        <f>QUANT!E107</f>
        <v>QUADRA</v>
      </c>
      <c r="F52" s="478"/>
      <c r="G52" s="479"/>
      <c r="H52" s="480"/>
      <c r="I52" s="481"/>
      <c r="J52" s="481"/>
      <c r="K52" s="482"/>
    </row>
    <row r="53" spans="2:11" ht="15">
      <c r="B53" s="222" t="s">
        <v>4464</v>
      </c>
      <c r="C53" s="79"/>
      <c r="D53" s="79"/>
      <c r="E53" s="225" t="str">
        <f>QUANT!E108</f>
        <v>RADIER</v>
      </c>
      <c r="F53" s="81"/>
      <c r="G53" s="129"/>
      <c r="H53" s="200"/>
      <c r="I53" s="200"/>
      <c r="J53" s="201"/>
      <c r="K53" s="123"/>
    </row>
    <row r="54" spans="2:11" ht="30">
      <c r="B54" s="11" t="s">
        <v>6880</v>
      </c>
      <c r="C54" s="79">
        <f>QUANT!C109</f>
        <v>97101</v>
      </c>
      <c r="D54" s="79" t="str">
        <f>QUANT!D109</f>
        <v>SINAPI</v>
      </c>
      <c r="E54" s="80" t="str">
        <f>IFERROR(VLOOKUP($C54,'SINAPI JULHO 2021'!$1:$1048576,2,0),IFERROR(VLOOKUP($C54,'5-COMP. PROPRIA'!$B$1:$I$7981,4,0),""))</f>
        <v>EXECUÇÃO DE RADIER, ESPESSURA DE 10 CM, FCK = 30 MPA, COM USO DE FORMAS EM MADEIRA SERRADA. AF_09/2017</v>
      </c>
      <c r="F54" s="81" t="str">
        <f>IFERROR(VLOOKUP($C54,'SINAPI JULHO 2021'!$A:$D,3,0),IFERROR(VLOOKUP($C54,'5-COMP. PROPRIA'!$B$1:$I$7981,5,0),""))</f>
        <v>M2</v>
      </c>
      <c r="G54" s="129">
        <f>QUANT!K109</f>
        <v>39.900000000000006</v>
      </c>
      <c r="H54" s="200">
        <f>IFERROR(VLOOKUP($C54,'SINAPI JULHO 2021'!$A:$D,4,0),IFERROR(VLOOKUP($C54,'5-COMP. PROPRIA'!$B$1:$I$7981,8,0),""))</f>
        <v>227.54</v>
      </c>
      <c r="I54" s="200">
        <f>H54*'4-BDI'!$E$29</f>
        <v>291.79729599999996</v>
      </c>
      <c r="J54" s="201">
        <f t="shared" ref="J54" si="14">TRUNC(G54*H54,2)</f>
        <v>9078.84</v>
      </c>
      <c r="K54" s="123">
        <f t="shared" ref="K54" si="15">TRUNC(G54*I54,2)</f>
        <v>11642.71</v>
      </c>
    </row>
    <row r="55" spans="2:11" ht="15" customHeight="1">
      <c r="B55" s="834" t="s">
        <v>3506</v>
      </c>
      <c r="C55" s="836"/>
      <c r="D55" s="836"/>
      <c r="E55" s="836"/>
      <c r="F55" s="836"/>
      <c r="G55" s="836"/>
      <c r="H55" s="837"/>
      <c r="I55" s="202"/>
      <c r="J55" s="126">
        <f>TRUNC(SUM(J33:J54),2)</f>
        <v>69319.94</v>
      </c>
      <c r="K55" s="125">
        <f>TRUNC(SUM(K33:K54),2)</f>
        <v>88895.91</v>
      </c>
    </row>
    <row r="56" spans="2:11" ht="15">
      <c r="B56" s="5" t="s">
        <v>3326</v>
      </c>
      <c r="C56" s="6"/>
      <c r="D56" s="7"/>
      <c r="E56" s="8" t="str">
        <f>QUANT!E110</f>
        <v xml:space="preserve">SUPERESTRUTURA </v>
      </c>
      <c r="F56" s="9"/>
      <c r="G56" s="128"/>
      <c r="H56" s="221"/>
      <c r="I56" s="121"/>
      <c r="J56" s="121"/>
      <c r="K56" s="122"/>
    </row>
    <row r="57" spans="2:11" ht="15">
      <c r="B57" s="474" t="s">
        <v>3327</v>
      </c>
      <c r="C57" s="475"/>
      <c r="D57" s="476"/>
      <c r="E57" s="477" t="str">
        <f>QUANT!E111</f>
        <v>MURO</v>
      </c>
      <c r="F57" s="478"/>
      <c r="G57" s="479"/>
      <c r="H57" s="480"/>
      <c r="I57" s="481"/>
      <c r="J57" s="481"/>
      <c r="K57" s="482"/>
    </row>
    <row r="58" spans="2:11" ht="15">
      <c r="B58" s="222" t="s">
        <v>5743</v>
      </c>
      <c r="C58" s="79"/>
      <c r="D58" s="79"/>
      <c r="E58" s="225" t="str">
        <f>QUANT!E112</f>
        <v>PILAR</v>
      </c>
      <c r="F58" s="81"/>
      <c r="G58" s="129"/>
      <c r="H58" s="200"/>
      <c r="I58" s="200"/>
      <c r="J58" s="201"/>
      <c r="K58" s="123"/>
    </row>
    <row r="59" spans="2:11" ht="30">
      <c r="B59" s="11" t="s">
        <v>6882</v>
      </c>
      <c r="C59" s="79">
        <f>QUANT!C113</f>
        <v>92415</v>
      </c>
      <c r="D59" s="79" t="str">
        <f>QUANT!D113</f>
        <v>SINAPI</v>
      </c>
      <c r="E59" s="80" t="str">
        <f>IFERROR(VLOOKUP($C59,'SINAPI JULHO 2021'!$1:$1048576,2,0),IFERROR(VLOOKUP($C59,'5-COMP. PROPRIA'!$B$1:$I$7981,4,0),""))</f>
        <v>MONTAGEM E DESMONTAGEM DE FÔRMA DE PILARES RETANGULARES E ESTRUTURAS SIMILARES, PÉ-DIREITO SIMPLES, EM CHAPA DE MADEIRA COMPENSADA RESINADA, 2 UTILIZAÇÕES. AF_09/2020</v>
      </c>
      <c r="F59" s="81" t="str">
        <f>IFERROR(VLOOKUP($C59,'SINAPI JULHO 2021'!$A:$D,3,0),IFERROR(VLOOKUP($C59,'5-COMP. PROPRIA'!$B$1:$I$7981,5,0),""))</f>
        <v>M2</v>
      </c>
      <c r="G59" s="129">
        <f>QUANT!K113</f>
        <v>190.49999999999997</v>
      </c>
      <c r="H59" s="200">
        <f>IFERROR(VLOOKUP($C59,'SINAPI JULHO 2021'!$A:$D,4,0),IFERROR(VLOOKUP($C59,'5-COMP. PROPRIA'!$B$1:$I$7981,8,0),""))</f>
        <v>103.61</v>
      </c>
      <c r="I59" s="200">
        <f>H59*'4-BDI'!$E$29</f>
        <v>132.86946399999999</v>
      </c>
      <c r="J59" s="201">
        <f t="shared" ref="J59:J68" si="16">TRUNC(G59*H59,2)</f>
        <v>19737.7</v>
      </c>
      <c r="K59" s="123">
        <f t="shared" ref="K59:K68" si="17">TRUNC(G59*I59,2)</f>
        <v>25311.63</v>
      </c>
    </row>
    <row r="60" spans="2:11" ht="45">
      <c r="B60" s="11" t="s">
        <v>6883</v>
      </c>
      <c r="C60" s="79">
        <f>QUANT!C119</f>
        <v>92775</v>
      </c>
      <c r="D60" s="79" t="str">
        <f>QUANT!D119</f>
        <v>SINAPI</v>
      </c>
      <c r="E60" s="80" t="str">
        <f>IFERROR(VLOOKUP($C60,'SINAPI JULHO 2021'!$1:$1048576,2,0),IFERROR(VLOOKUP($C60,'5-COMP. PROPRIA'!$B$1:$I$7981,4,0),""))</f>
        <v>ARMAÇÃO DE PILAR OU VIGA DE UMA ESTRUTURA CONVENCIONAL DE CONCRETO ARMADO EM UMA EDIFICAÇÃO TÉRREA OU SOBRADO UTILIZANDO AÇO CA-60 DE 5,0 MM - MONTAGEM. AF_12/2015</v>
      </c>
      <c r="F60" s="81" t="str">
        <f>IFERROR(VLOOKUP($C60,'SINAPI JULHO 2021'!$A:$D,3,0),IFERROR(VLOOKUP($C60,'5-COMP. PROPRIA'!$B$1:$I$7981,5,0),""))</f>
        <v>KG</v>
      </c>
      <c r="G60" s="129">
        <f>QUANT!K119</f>
        <v>437.6</v>
      </c>
      <c r="H60" s="200">
        <f>IFERROR(VLOOKUP($C60,'SINAPI JULHO 2021'!$A:$D,4,0),IFERROR(VLOOKUP($C60,'5-COMP. PROPRIA'!$B$1:$I$7981,8,0),""))</f>
        <v>20.52</v>
      </c>
      <c r="I60" s="200">
        <f>H60*'4-BDI'!$E$29</f>
        <v>26.314847999999998</v>
      </c>
      <c r="J60" s="201">
        <f t="shared" si="16"/>
        <v>8979.5499999999993</v>
      </c>
      <c r="K60" s="123">
        <f t="shared" si="17"/>
        <v>11515.37</v>
      </c>
    </row>
    <row r="61" spans="2:11" ht="45">
      <c r="B61" s="11" t="s">
        <v>6884</v>
      </c>
      <c r="C61" s="79">
        <f>QUANT!C120</f>
        <v>92778</v>
      </c>
      <c r="D61" s="79" t="str">
        <f>QUANT!D120</f>
        <v>SINAPI</v>
      </c>
      <c r="E61" s="80" t="str">
        <f>IFERROR(VLOOKUP($C61,'SINAPI JULHO 2021'!$1:$1048576,2,0),IFERROR(VLOOKUP($C61,'5-COMP. PROPRIA'!$B$1:$I$7981,4,0),""))</f>
        <v>ARMAÇÃO DE PILAR OU VIGA DE UMA ESTRUTURA CONVENCIONAL DE CONCRETO ARMADO EM UMA EDIFICAÇÃO TÉRREA OU SOBRADO UTILIZANDO AÇO CA-50 DE 10,0 MM - MONTAGEM. AF_12/2015</v>
      </c>
      <c r="F61" s="81" t="str">
        <f>IFERROR(VLOOKUP($C61,'SINAPI JULHO 2021'!$A:$D,3,0),IFERROR(VLOOKUP($C61,'5-COMP. PROPRIA'!$B$1:$I$7981,5,0),""))</f>
        <v>KG</v>
      </c>
      <c r="G61" s="129">
        <f>QUANT!K120</f>
        <v>222.3</v>
      </c>
      <c r="H61" s="200">
        <f>IFERROR(VLOOKUP($C61,'SINAPI JULHO 2021'!$A:$D,4,0),IFERROR(VLOOKUP($C61,'5-COMP. PROPRIA'!$B$1:$I$7981,8,0),""))</f>
        <v>17.91</v>
      </c>
      <c r="I61" s="200">
        <f>H61*'4-BDI'!$E$29</f>
        <v>22.967783999999998</v>
      </c>
      <c r="J61" s="201">
        <f t="shared" si="16"/>
        <v>3981.39</v>
      </c>
      <c r="K61" s="123">
        <f t="shared" si="17"/>
        <v>5105.7299999999996</v>
      </c>
    </row>
    <row r="62" spans="2:11" ht="45">
      <c r="B62" s="11" t="s">
        <v>6885</v>
      </c>
      <c r="C62" s="79">
        <f>QUANT!C121</f>
        <v>92720</v>
      </c>
      <c r="D62" s="79" t="str">
        <f>QUANT!D121</f>
        <v>SINAPI</v>
      </c>
      <c r="E62" s="80" t="str">
        <f>IFERROR(VLOOKUP($C62,'SINAPI JULHO 2021'!$1:$1048576,2,0),IFERROR(VLOOKUP($C62,'5-COMP. PROPRIA'!$B$1:$I$7981,4,0),""))</f>
        <v>CONCRETAGEM DE PILARES, FCK = 25 MPA, COM USO DE BOMBA EM EDIFICAÇÃO COM SEÇÃO MÉDIA DE PILARES MENOR OU IGUAL A 0,25 M² - LANÇAMENTO, ADENSAMENTO E ACABAMENTO. AF_12/2015</v>
      </c>
      <c r="F62" s="81" t="str">
        <f>IFERROR(VLOOKUP($C62,'SINAPI JULHO 2021'!$A:$D,3,0),IFERROR(VLOOKUP($C62,'5-COMP. PROPRIA'!$B$1:$I$7981,5,0),""))</f>
        <v>M3</v>
      </c>
      <c r="G62" s="129">
        <f>QUANT!K121</f>
        <v>9.9450000000000003</v>
      </c>
      <c r="H62" s="200">
        <f>IFERROR(VLOOKUP($C62,'SINAPI JULHO 2021'!$A:$D,4,0),IFERROR(VLOOKUP($C62,'5-COMP. PROPRIA'!$B$1:$I$7981,8,0),""))</f>
        <v>536.79</v>
      </c>
      <c r="I62" s="200">
        <f>H62*'4-BDI'!$E$29</f>
        <v>688.3794959999999</v>
      </c>
      <c r="J62" s="201">
        <f t="shared" si="16"/>
        <v>5338.37</v>
      </c>
      <c r="K62" s="123">
        <f t="shared" si="17"/>
        <v>6845.93</v>
      </c>
    </row>
    <row r="63" spans="2:11" ht="15">
      <c r="B63" s="222" t="s">
        <v>5744</v>
      </c>
      <c r="C63" s="79"/>
      <c r="D63" s="79"/>
      <c r="E63" s="225" t="str">
        <f>QUANT!E122</f>
        <v>VIGA</v>
      </c>
      <c r="F63" s="81"/>
      <c r="G63" s="129"/>
      <c r="H63" s="200"/>
      <c r="I63" s="200"/>
      <c r="J63" s="201"/>
      <c r="K63" s="123"/>
    </row>
    <row r="64" spans="2:11" ht="30">
      <c r="B64" s="11" t="s">
        <v>6886</v>
      </c>
      <c r="C64" s="79">
        <f>QUANT!C123</f>
        <v>92463</v>
      </c>
      <c r="D64" s="79" t="str">
        <f>QUANT!D123</f>
        <v>SINAPI</v>
      </c>
      <c r="E64" s="80" t="str">
        <f>IFERROR(VLOOKUP($C64,'SINAPI JULHO 2021'!$1:$1048576,2,0),IFERROR(VLOOKUP($C64,'5-COMP. PROPRIA'!$B$1:$I$7981,4,0),""))</f>
        <v>MONTAGEM E DESMONTAGEM DE FÔRMA DE VIGA, ESCORAMENTO COM GARFO DE MADEIRA, PÉ-DIREITO SIMPLES, EM CHAPA DE MADEIRA RESINADA, 8 UTILIZAÇÕES. AF_09/2020</v>
      </c>
      <c r="F64" s="81" t="str">
        <f>IFERROR(VLOOKUP($C64,'SINAPI JULHO 2021'!$A:$D,3,0),IFERROR(VLOOKUP($C64,'5-COMP. PROPRIA'!$B$1:$I$7981,5,0),""))</f>
        <v>M2</v>
      </c>
      <c r="G64" s="129">
        <f>QUANT!K123</f>
        <v>178.88500000000002</v>
      </c>
      <c r="H64" s="200">
        <f>IFERROR(VLOOKUP($C64,'SINAPI JULHO 2021'!$A:$D,4,0),IFERROR(VLOOKUP($C64,'5-COMP. PROPRIA'!$B$1:$I$7981,8,0),""))</f>
        <v>88.3</v>
      </c>
      <c r="I64" s="200">
        <f>H64*'4-BDI'!$E$29</f>
        <v>113.23591999999999</v>
      </c>
      <c r="J64" s="201">
        <f t="shared" si="16"/>
        <v>15795.54</v>
      </c>
      <c r="K64" s="123">
        <f t="shared" si="17"/>
        <v>20256.2</v>
      </c>
    </row>
    <row r="65" spans="2:11" ht="45">
      <c r="B65" s="11" t="s">
        <v>6887</v>
      </c>
      <c r="C65" s="79">
        <f>QUANT!C124</f>
        <v>92775</v>
      </c>
      <c r="D65" s="79" t="str">
        <f>QUANT!D124</f>
        <v>SINAPI</v>
      </c>
      <c r="E65" s="80" t="str">
        <f>IFERROR(VLOOKUP($C65,'SINAPI JULHO 2021'!$1:$1048576,2,0),IFERROR(VLOOKUP($C65,'5-COMP. PROPRIA'!$B$1:$I$7981,4,0),""))</f>
        <v>ARMAÇÃO DE PILAR OU VIGA DE UMA ESTRUTURA CONVENCIONAL DE CONCRETO ARMADO EM UMA EDIFICAÇÃO TÉRREA OU SOBRADO UTILIZANDO AÇO CA-60 DE 5,0 MM - MONTAGEM. AF_12/2015</v>
      </c>
      <c r="F65" s="81" t="str">
        <f>IFERROR(VLOOKUP($C65,'SINAPI JULHO 2021'!$A:$D,3,0),IFERROR(VLOOKUP($C65,'5-COMP. PROPRIA'!$B$1:$I$7981,5,0),""))</f>
        <v>KG</v>
      </c>
      <c r="G65" s="129">
        <f>QUANT!K124</f>
        <v>244.6</v>
      </c>
      <c r="H65" s="200">
        <f>IFERROR(VLOOKUP($C65,'SINAPI JULHO 2021'!$A:$D,4,0),IFERROR(VLOOKUP($C65,'5-COMP. PROPRIA'!$B$1:$I$7981,8,0),""))</f>
        <v>20.52</v>
      </c>
      <c r="I65" s="200">
        <f>H65*'4-BDI'!$E$29</f>
        <v>26.314847999999998</v>
      </c>
      <c r="J65" s="201">
        <f t="shared" si="16"/>
        <v>5019.1899999999996</v>
      </c>
      <c r="K65" s="123">
        <f t="shared" si="17"/>
        <v>6436.61</v>
      </c>
    </row>
    <row r="66" spans="2:11" ht="45">
      <c r="B66" s="11" t="s">
        <v>6888</v>
      </c>
      <c r="C66" s="79">
        <f>QUANT!C125</f>
        <v>92777</v>
      </c>
      <c r="D66" s="79" t="str">
        <f>QUANT!D125</f>
        <v>SINAPI</v>
      </c>
      <c r="E66" s="80" t="str">
        <f>IFERROR(VLOOKUP($C66,'SINAPI JULHO 2021'!$1:$1048576,2,0),IFERROR(VLOOKUP($C66,'5-COMP. PROPRIA'!$B$1:$I$7981,4,0),""))</f>
        <v>ARMAÇÃO DE PILAR OU VIGA DE UMA ESTRUTURA CONVENCIONAL DE CONCRETO ARMADO EM UMA EDIFICAÇÃO TÉRREA OU SOBRADO UTILIZANDO AÇO CA-50 DE 8,0 MM - MONTAGEM. AF_12/2015</v>
      </c>
      <c r="F66" s="81" t="str">
        <f>IFERROR(VLOOKUP($C66,'SINAPI JULHO 2021'!$A:$D,3,0),IFERROR(VLOOKUP($C66,'5-COMP. PROPRIA'!$B$1:$I$7981,5,0),""))</f>
        <v>KG</v>
      </c>
      <c r="G66" s="129">
        <f>QUANT!K125</f>
        <v>311.10000000000002</v>
      </c>
      <c r="H66" s="200">
        <f>IFERROR(VLOOKUP($C66,'SINAPI JULHO 2021'!$A:$D,4,0),IFERROR(VLOOKUP($C66,'5-COMP. PROPRIA'!$B$1:$I$7981,8,0),""))</f>
        <v>19.72</v>
      </c>
      <c r="I66" s="200">
        <f>H66*'4-BDI'!$E$29</f>
        <v>25.288927999999999</v>
      </c>
      <c r="J66" s="201">
        <f t="shared" si="16"/>
        <v>6134.89</v>
      </c>
      <c r="K66" s="123">
        <f t="shared" si="17"/>
        <v>7867.38</v>
      </c>
    </row>
    <row r="67" spans="2:11" ht="45">
      <c r="B67" s="11" t="s">
        <v>6889</v>
      </c>
      <c r="C67" s="79">
        <f>QUANT!C126</f>
        <v>92778</v>
      </c>
      <c r="D67" s="79" t="str">
        <f>QUANT!D126</f>
        <v>SINAPI</v>
      </c>
      <c r="E67" s="80" t="str">
        <f>IFERROR(VLOOKUP($C67,'SINAPI JULHO 2021'!$1:$1048576,2,0),IFERROR(VLOOKUP($C67,'5-COMP. PROPRIA'!$B$1:$I$7981,4,0),""))</f>
        <v>ARMAÇÃO DE PILAR OU VIGA DE UMA ESTRUTURA CONVENCIONAL DE CONCRETO ARMADO EM UMA EDIFICAÇÃO TÉRREA OU SOBRADO UTILIZANDO AÇO CA-50 DE 10,0 MM - MONTAGEM. AF_12/2015</v>
      </c>
      <c r="F67" s="81" t="str">
        <f>IFERROR(VLOOKUP($C67,'SINAPI JULHO 2021'!$A:$D,3,0),IFERROR(VLOOKUP($C67,'5-COMP. PROPRIA'!$B$1:$I$7981,5,0),""))</f>
        <v>KG</v>
      </c>
      <c r="G67" s="129">
        <f>QUANT!K126</f>
        <v>44.2</v>
      </c>
      <c r="H67" s="200">
        <f>IFERROR(VLOOKUP($C67,'SINAPI JULHO 2021'!$A:$D,4,0),IFERROR(VLOOKUP($C67,'5-COMP. PROPRIA'!$B$1:$I$7981,8,0),""))</f>
        <v>17.91</v>
      </c>
      <c r="I67" s="200">
        <f>H67*'4-BDI'!$E$29</f>
        <v>22.967783999999998</v>
      </c>
      <c r="J67" s="201">
        <f t="shared" si="16"/>
        <v>791.62</v>
      </c>
      <c r="K67" s="123">
        <f t="shared" si="17"/>
        <v>1015.17</v>
      </c>
    </row>
    <row r="68" spans="2:11" ht="45">
      <c r="B68" s="11" t="s">
        <v>6890</v>
      </c>
      <c r="C68" s="79">
        <f>QUANT!C127</f>
        <v>92725</v>
      </c>
      <c r="D68" s="79" t="str">
        <f>QUANT!D127</f>
        <v>SINAPI</v>
      </c>
      <c r="E68" s="80" t="str">
        <f>IFERROR(VLOOKUP($C68,'SINAPI JULHO 2021'!$1:$1048576,2,0),IFERROR(VLOOKUP($C68,'5-COMP. PROPRIA'!$B$1:$I$7981,4,0),""))</f>
        <v>CONCRETAGEM DE VIGAS E LAJES, FCK=20 MPA, PARA LAJES MACIÇAS OU NERVURADAS COM USO DE BOMBA EM EDIFICAÇÃO COM ÁREA MÉDIA DE LAJES MENOR OU IGUAL A 20 M² - LANÇAMENTO, ADENSAMENTO E ACABAMENTO. AF_12/2015</v>
      </c>
      <c r="F68" s="81" t="str">
        <f>IFERROR(VLOOKUP($C68,'SINAPI JULHO 2021'!$A:$D,3,0),IFERROR(VLOOKUP($C68,'5-COMP. PROPRIA'!$B$1:$I$7981,5,0),""))</f>
        <v>M3</v>
      </c>
      <c r="G68" s="129">
        <f>QUANT!K127</f>
        <v>9.9960000000000004</v>
      </c>
      <c r="H68" s="200">
        <f>IFERROR(VLOOKUP($C68,'SINAPI JULHO 2021'!$A:$D,4,0),IFERROR(VLOOKUP($C68,'5-COMP. PROPRIA'!$B$1:$I$7981,8,0),""))</f>
        <v>517.85</v>
      </c>
      <c r="I68" s="200">
        <f>H68*'4-BDI'!$E$29</f>
        <v>664.09084000000007</v>
      </c>
      <c r="J68" s="201">
        <f t="shared" si="16"/>
        <v>5176.42</v>
      </c>
      <c r="K68" s="123">
        <f t="shared" si="17"/>
        <v>6638.25</v>
      </c>
    </row>
    <row r="69" spans="2:11" ht="15">
      <c r="B69" s="474" t="s">
        <v>3328</v>
      </c>
      <c r="C69" s="475"/>
      <c r="D69" s="476"/>
      <c r="E69" s="477" t="str">
        <f>QUANT!E128</f>
        <v>COBERTURA</v>
      </c>
      <c r="F69" s="478"/>
      <c r="G69" s="479"/>
      <c r="H69" s="480"/>
      <c r="I69" s="481"/>
      <c r="J69" s="481"/>
      <c r="K69" s="482"/>
    </row>
    <row r="70" spans="2:11" ht="15">
      <c r="B70" s="222" t="s">
        <v>5745</v>
      </c>
      <c r="C70" s="79"/>
      <c r="D70" s="79"/>
      <c r="E70" s="225" t="str">
        <f>QUANT!E129</f>
        <v>PILARES - PLATIBANDA</v>
      </c>
      <c r="F70" s="81"/>
      <c r="G70" s="129"/>
      <c r="H70" s="200"/>
      <c r="I70" s="200"/>
      <c r="J70" s="201"/>
      <c r="K70" s="123"/>
    </row>
    <row r="71" spans="2:11" ht="30">
      <c r="B71" s="11" t="s">
        <v>6891</v>
      </c>
      <c r="C71" s="79">
        <f>QUANT!C131</f>
        <v>92269</v>
      </c>
      <c r="D71" s="79" t="str">
        <f>QUANT!D131</f>
        <v>SINAPI</v>
      </c>
      <c r="E71" s="80" t="str">
        <f>IFERROR(VLOOKUP($C71,'SINAPI JULHO 2021'!$1:$1048576,2,0),IFERROR(VLOOKUP($C71,'5-COMP. PROPRIA'!$B$1:$I$7981,4,0),""))</f>
        <v>FABRICAÇÃO DE FÔRMA PARA PILARES E ESTRUTURAS SIMILARES, EM MADEIRA SERRADA, E=25 MM. AF_09/2020</v>
      </c>
      <c r="F71" s="81" t="str">
        <f>IFERROR(VLOOKUP($C71,'SINAPI JULHO 2021'!$A:$D,3,0),IFERROR(VLOOKUP($C71,'5-COMP. PROPRIA'!$B$1:$I$7981,5,0),""))</f>
        <v>M2</v>
      </c>
      <c r="G71" s="129">
        <f>QUANT!K131</f>
        <v>20.399999999999999</v>
      </c>
      <c r="H71" s="200">
        <f>IFERROR(VLOOKUP($C71,'SINAPI JULHO 2021'!$A:$D,4,0),IFERROR(VLOOKUP($C71,'5-COMP. PROPRIA'!$B$1:$I$7981,8,0),""))</f>
        <v>132.5</v>
      </c>
      <c r="I71" s="200">
        <f>H71*'4-BDI'!$E$29</f>
        <v>169.91800000000001</v>
      </c>
      <c r="J71" s="201">
        <f t="shared" ref="J71" si="18">TRUNC(G71*H71,2)</f>
        <v>2703</v>
      </c>
      <c r="K71" s="123">
        <f t="shared" ref="K71" si="19">TRUNC(G71*I71,2)</f>
        <v>3466.32</v>
      </c>
    </row>
    <row r="72" spans="2:11" ht="45">
      <c r="B72" s="11" t="s">
        <v>6892</v>
      </c>
      <c r="C72" s="79">
        <f>QUANT!C132</f>
        <v>92775</v>
      </c>
      <c r="D72" s="79" t="str">
        <f>QUANT!D132</f>
        <v>SINAPI</v>
      </c>
      <c r="E72" s="80" t="str">
        <f>IFERROR(VLOOKUP($C72,'SINAPI JULHO 2021'!$1:$1048576,2,0),IFERROR(VLOOKUP($C72,'5-COMP. PROPRIA'!$B$1:$I$7981,4,0),""))</f>
        <v>ARMAÇÃO DE PILAR OU VIGA DE UMA ESTRUTURA CONVENCIONAL DE CONCRETO ARMADO EM UMA EDIFICAÇÃO TÉRREA OU SOBRADO UTILIZANDO AÇO CA-60 DE 5,0 MM - MONTAGEM. AF_12/2015</v>
      </c>
      <c r="F72" s="81" t="str">
        <f>IFERROR(VLOOKUP($C72,'SINAPI JULHO 2021'!$A:$D,3,0),IFERROR(VLOOKUP($C72,'5-COMP. PROPRIA'!$B$1:$I$7981,5,0),""))</f>
        <v>KG</v>
      </c>
      <c r="G72" s="129">
        <f>QUANT!K132</f>
        <v>29.424743750000005</v>
      </c>
      <c r="H72" s="200">
        <f>IFERROR(VLOOKUP($C72,'SINAPI JULHO 2021'!$A:$D,4,0),IFERROR(VLOOKUP($C72,'5-COMP. PROPRIA'!$B$1:$I$7981,8,0),""))</f>
        <v>20.52</v>
      </c>
      <c r="I72" s="200">
        <f>H72*'4-BDI'!$E$29</f>
        <v>26.314847999999998</v>
      </c>
      <c r="J72" s="201">
        <f t="shared" ref="J72:J75" si="20">TRUNC(G72*H72,2)</f>
        <v>603.79</v>
      </c>
      <c r="K72" s="123">
        <f t="shared" ref="K72:K75" si="21">TRUNC(G72*I72,2)</f>
        <v>774.3</v>
      </c>
    </row>
    <row r="73" spans="2:11" ht="45">
      <c r="B73" s="11" t="s">
        <v>6893</v>
      </c>
      <c r="C73" s="79">
        <f>QUANT!C135</f>
        <v>92776</v>
      </c>
      <c r="D73" s="79" t="str">
        <f>QUANT!D135</f>
        <v>SINAPI</v>
      </c>
      <c r="E73" s="80" t="str">
        <f>IFERROR(VLOOKUP($C73,'SINAPI JULHO 2021'!$1:$1048576,2,0),IFERROR(VLOOKUP($C73,'5-COMP. PROPRIA'!$B$1:$I$7981,4,0),""))</f>
        <v>ARMAÇÃO DE PILAR OU VIGA DE UMA ESTRUTURA CONVENCIONAL DE CONCRETO ARMADO EM UMA EDIFICAÇÃO TÉRREA OU SOBRADO UTILIZANDO AÇO CA-50 DE 6,3 MM - MONTAGEM. AF_12/2015</v>
      </c>
      <c r="F73" s="81" t="str">
        <f>IFERROR(VLOOKUP($C73,'SINAPI JULHO 2021'!$A:$D,3,0),IFERROR(VLOOKUP($C73,'5-COMP. PROPRIA'!$B$1:$I$7981,5,0),""))</f>
        <v>KG</v>
      </c>
      <c r="G73" s="129">
        <f>QUANT!K135</f>
        <v>7.3373910750000011</v>
      </c>
      <c r="H73" s="200">
        <f>IFERROR(VLOOKUP($C73,'SINAPI JULHO 2021'!$A:$D,4,0),IFERROR(VLOOKUP($C73,'5-COMP. PROPRIA'!$B$1:$I$7981,8,0),""))</f>
        <v>20.34</v>
      </c>
      <c r="I73" s="200">
        <f>H73*'4-BDI'!$E$29</f>
        <v>26.084015999999998</v>
      </c>
      <c r="J73" s="201">
        <f t="shared" si="20"/>
        <v>149.24</v>
      </c>
      <c r="K73" s="123">
        <f t="shared" si="21"/>
        <v>191.38</v>
      </c>
    </row>
    <row r="74" spans="2:11" ht="45">
      <c r="B74" s="11" t="s">
        <v>6894</v>
      </c>
      <c r="C74" s="79">
        <f>QUANT!C138</f>
        <v>92778</v>
      </c>
      <c r="D74" s="79" t="str">
        <f>QUANT!D138</f>
        <v>SINAPI</v>
      </c>
      <c r="E74" s="80" t="str">
        <f>IFERROR(VLOOKUP($C74,'SINAPI JULHO 2021'!$1:$1048576,2,0),IFERROR(VLOOKUP($C74,'5-COMP. PROPRIA'!$B$1:$I$7981,4,0),""))</f>
        <v>ARMAÇÃO DE PILAR OU VIGA DE UMA ESTRUTURA CONVENCIONAL DE CONCRETO ARMADO EM UMA EDIFICAÇÃO TÉRREA OU SOBRADO UTILIZANDO AÇO CA-50 DE 10,0 MM - MONTAGEM. AF_12/2015</v>
      </c>
      <c r="F74" s="81" t="str">
        <f>IFERROR(VLOOKUP($C74,'SINAPI JULHO 2021'!$A:$D,3,0),IFERROR(VLOOKUP($C74,'5-COMP. PROPRIA'!$B$1:$I$7981,5,0),""))</f>
        <v>KG</v>
      </c>
      <c r="G74" s="129">
        <f>QUANT!K138</f>
        <v>41.84167750000001</v>
      </c>
      <c r="H74" s="200">
        <f>IFERROR(VLOOKUP($C74,'SINAPI JULHO 2021'!$A:$D,4,0),IFERROR(VLOOKUP($C74,'5-COMP. PROPRIA'!$B$1:$I$7981,8,0),""))</f>
        <v>17.91</v>
      </c>
      <c r="I74" s="200">
        <f>H74*'4-BDI'!$E$29</f>
        <v>22.967783999999998</v>
      </c>
      <c r="J74" s="201">
        <f t="shared" si="20"/>
        <v>749.38</v>
      </c>
      <c r="K74" s="123">
        <f t="shared" si="21"/>
        <v>961.01</v>
      </c>
    </row>
    <row r="75" spans="2:11" ht="45">
      <c r="B75" s="11" t="s">
        <v>13046</v>
      </c>
      <c r="C75" s="79">
        <f>QUANT!C141</f>
        <v>92779</v>
      </c>
      <c r="D75" s="79" t="str">
        <f>QUANT!D141</f>
        <v>SINAPI</v>
      </c>
      <c r="E75" s="80" t="str">
        <f>IFERROR(VLOOKUP($C75,'SINAPI JULHO 2021'!$1:$1048576,2,0),IFERROR(VLOOKUP($C75,'5-COMP. PROPRIA'!$B$1:$I$7981,4,0),""))</f>
        <v>ARMAÇÃO DE PILAR OU VIGA DE UMA ESTRUTURA CONVENCIONAL DE CONCRETO ARMADO EM UMA EDIFICAÇÃO TÉRREA OU SOBRADO UTILIZANDO AÇO CA-50 DE 12,5 MM - MONTAGEM. AF_12/2015</v>
      </c>
      <c r="F75" s="81" t="str">
        <f>IFERROR(VLOOKUP($C75,'SINAPI JULHO 2021'!$A:$D,3,0),IFERROR(VLOOKUP($C75,'5-COMP. PROPRIA'!$B$1:$I$7981,5,0),""))</f>
        <v>KG</v>
      </c>
      <c r="G75" s="129">
        <f>QUANT!K141</f>
        <v>17.042472656250002</v>
      </c>
      <c r="H75" s="200">
        <f>IFERROR(VLOOKUP($C75,'SINAPI JULHO 2021'!$A:$D,4,0),IFERROR(VLOOKUP($C75,'5-COMP. PROPRIA'!$B$1:$I$7981,8,0),""))</f>
        <v>15.23</v>
      </c>
      <c r="I75" s="200">
        <f>H75*'4-BDI'!$E$29</f>
        <v>19.530951999999999</v>
      </c>
      <c r="J75" s="201">
        <f t="shared" si="20"/>
        <v>259.55</v>
      </c>
      <c r="K75" s="123">
        <f t="shared" si="21"/>
        <v>332.85</v>
      </c>
    </row>
    <row r="76" spans="2:11" ht="45">
      <c r="B76" s="11" t="s">
        <v>13047</v>
      </c>
      <c r="C76" s="79">
        <f>QUANT!C144</f>
        <v>92720</v>
      </c>
      <c r="D76" s="79" t="str">
        <f>QUANT!D144</f>
        <v>SINAPI</v>
      </c>
      <c r="E76" s="80" t="str">
        <f>IFERROR(VLOOKUP($C76,'SINAPI JULHO 2021'!$1:$1048576,2,0),IFERROR(VLOOKUP($C76,'5-COMP. PROPRIA'!$B$1:$I$7981,4,0),""))</f>
        <v>CONCRETAGEM DE PILARES, FCK = 25 MPA, COM USO DE BOMBA EM EDIFICAÇÃO COM SEÇÃO MÉDIA DE PILARES MENOR OU IGUAL A 0,25 M² - LANÇAMENTO, ADENSAMENTO E ACABAMENTO. AF_12/2015</v>
      </c>
      <c r="F76" s="81" t="str">
        <f>IFERROR(VLOOKUP($C76,'SINAPI JULHO 2021'!$A:$D,3,0),IFERROR(VLOOKUP($C76,'5-COMP. PROPRIA'!$B$1:$I$7981,5,0),""))</f>
        <v>M3</v>
      </c>
      <c r="G76" s="129">
        <f>QUANT!K144</f>
        <v>1.26</v>
      </c>
      <c r="H76" s="200">
        <f>IFERROR(VLOOKUP($C76,'SINAPI JULHO 2021'!$A:$D,4,0),IFERROR(VLOOKUP($C76,'5-COMP. PROPRIA'!$B$1:$I$7981,8,0),""))</f>
        <v>536.79</v>
      </c>
      <c r="I76" s="200">
        <f>H76*'4-BDI'!$E$29</f>
        <v>688.3794959999999</v>
      </c>
      <c r="J76" s="201">
        <f t="shared" ref="J76" si="22">TRUNC(G76*H76,2)</f>
        <v>676.35</v>
      </c>
      <c r="K76" s="123">
        <f t="shared" ref="K76" si="23">TRUNC(G76*I76,2)</f>
        <v>867.35</v>
      </c>
    </row>
    <row r="77" spans="2:11" ht="15">
      <c r="B77" s="222" t="s">
        <v>5746</v>
      </c>
      <c r="C77" s="79"/>
      <c r="D77" s="79"/>
      <c r="E77" s="225" t="str">
        <f>QUANT!E145</f>
        <v>VIGAS - PAVIMENTO SUPERIOR</v>
      </c>
      <c r="F77" s="81"/>
      <c r="G77" s="129"/>
      <c r="H77" s="200"/>
      <c r="I77" s="200"/>
      <c r="J77" s="201"/>
      <c r="K77" s="123"/>
    </row>
    <row r="78" spans="2:11" ht="45.75" customHeight="1">
      <c r="B78" s="11" t="s">
        <v>6895</v>
      </c>
      <c r="C78" s="79">
        <f>QUANT!C146</f>
        <v>92452</v>
      </c>
      <c r="D78" s="79" t="str">
        <f>QUANT!D146</f>
        <v>SINAPI</v>
      </c>
      <c r="E78" s="80" t="str">
        <f>IFERROR(VLOOKUP($C78,'SINAPI JULHO 2021'!$1:$1048576,2,0),IFERROR(VLOOKUP($C78,'5-COMP. PROPRIA'!$B$1:$I$7981,4,0),""))</f>
        <v>MONTAGEM E DESMONTAGEM DE FÔRMA DE VIGA, ESCORAMENTO METÁLICO, PÉ-DIREITO SIMPLES, EM CHAPA DE MADEIRA RESINADA, 2 UTILIZAÇÕES. AF_09/2020</v>
      </c>
      <c r="F78" s="81" t="str">
        <f>IFERROR(VLOOKUP($C78,'SINAPI JULHO 2021'!$A:$D,3,0),IFERROR(VLOOKUP($C78,'5-COMP. PROPRIA'!$B$1:$I$7981,5,0),""))</f>
        <v>M2</v>
      </c>
      <c r="G78" s="129">
        <f>QUANT!K146</f>
        <v>207.9</v>
      </c>
      <c r="H78" s="200">
        <f>IFERROR(VLOOKUP($C78,'SINAPI JULHO 2021'!$A:$D,4,0),IFERROR(VLOOKUP($C78,'5-COMP. PROPRIA'!$B$1:$I$7981,8,0),""))</f>
        <v>121.28</v>
      </c>
      <c r="I78" s="200">
        <f>H78*'4-BDI'!$E$29</f>
        <v>155.529472</v>
      </c>
      <c r="J78" s="201">
        <f t="shared" ref="J78" si="24">TRUNC(G78*H78,2)</f>
        <v>25214.11</v>
      </c>
      <c r="K78" s="123">
        <f t="shared" ref="K78" si="25">TRUNC(G78*I78,2)</f>
        <v>32334.57</v>
      </c>
    </row>
    <row r="79" spans="2:11" ht="30">
      <c r="B79" s="11" t="s">
        <v>6896</v>
      </c>
      <c r="C79" s="79">
        <f>QUANT!C147</f>
        <v>92783</v>
      </c>
      <c r="D79" s="79" t="str">
        <f>QUANT!D147</f>
        <v>SINAPI</v>
      </c>
      <c r="E79" s="80" t="str">
        <f>IFERROR(VLOOKUP($C79,'SINAPI JULHO 2021'!$1:$1048576,2,0),IFERROR(VLOOKUP($C79,'5-COMP. PROPRIA'!$B$1:$I$7981,4,0),""))</f>
        <v>ARMAÇÃO DE LAJE DE UMA ESTRUTURA CONVENCIONAL DE CONCRETO ARMADO EM UMA EDIFICAÇÃO TÉRREA OU SOBRADO UTILIZANDO AÇO CA-60 DE 4,2 MM - MONTAGEM. AF_12/2015</v>
      </c>
      <c r="F79" s="81" t="str">
        <f>IFERROR(VLOOKUP($C79,'SINAPI JULHO 2021'!$A:$D,3,0),IFERROR(VLOOKUP($C79,'5-COMP. PROPRIA'!$B$1:$I$7981,5,0),""))</f>
        <v>KG</v>
      </c>
      <c r="G79" s="129">
        <f>QUANT!K147</f>
        <v>233.3</v>
      </c>
      <c r="H79" s="200">
        <f>IFERROR(VLOOKUP($C79,'SINAPI JULHO 2021'!$A:$D,4,0),IFERROR(VLOOKUP($C79,'5-COMP. PROPRIA'!$B$1:$I$7981,8,0),""))</f>
        <v>20.5</v>
      </c>
      <c r="I79" s="200">
        <f>H79*'4-BDI'!$E$29</f>
        <v>26.289200000000001</v>
      </c>
      <c r="J79" s="201">
        <f t="shared" ref="J79:J85" si="26">TRUNC(G79*H79,2)</f>
        <v>4782.6499999999996</v>
      </c>
      <c r="K79" s="123">
        <f t="shared" ref="K79:K85" si="27">TRUNC(G79*I79,2)</f>
        <v>6133.27</v>
      </c>
    </row>
    <row r="80" spans="2:11" ht="45">
      <c r="B80" s="11" t="s">
        <v>6897</v>
      </c>
      <c r="C80" s="79">
        <f>QUANT!C148</f>
        <v>92775</v>
      </c>
      <c r="D80" s="79" t="str">
        <f>QUANT!D148</f>
        <v>SINAPI</v>
      </c>
      <c r="E80" s="80" t="str">
        <f>IFERROR(VLOOKUP($C80,'SINAPI JULHO 2021'!$1:$1048576,2,0),IFERROR(VLOOKUP($C80,'5-COMP. PROPRIA'!$B$1:$I$7981,4,0),""))</f>
        <v>ARMAÇÃO DE PILAR OU VIGA DE UMA ESTRUTURA CONVENCIONAL DE CONCRETO ARMADO EM UMA EDIFICAÇÃO TÉRREA OU SOBRADO UTILIZANDO AÇO CA-60 DE 5,0 MM - MONTAGEM. AF_12/2015</v>
      </c>
      <c r="F80" s="81" t="str">
        <f>IFERROR(VLOOKUP($C80,'SINAPI JULHO 2021'!$A:$D,3,0),IFERROR(VLOOKUP($C80,'5-COMP. PROPRIA'!$B$1:$I$7981,5,0),""))</f>
        <v>KG</v>
      </c>
      <c r="G80" s="129">
        <f>QUANT!K148</f>
        <v>30.4</v>
      </c>
      <c r="H80" s="200">
        <f>IFERROR(VLOOKUP($C80,'SINAPI JULHO 2021'!$A:$D,4,0),IFERROR(VLOOKUP($C80,'5-COMP. PROPRIA'!$B$1:$I$7981,8,0),""))</f>
        <v>20.52</v>
      </c>
      <c r="I80" s="200">
        <f>H80*'4-BDI'!$E$29</f>
        <v>26.314847999999998</v>
      </c>
      <c r="J80" s="201">
        <f t="shared" si="26"/>
        <v>623.79999999999995</v>
      </c>
      <c r="K80" s="123">
        <f t="shared" si="27"/>
        <v>799.97</v>
      </c>
    </row>
    <row r="81" spans="2:11" ht="45">
      <c r="B81" s="11" t="s">
        <v>6898</v>
      </c>
      <c r="C81" s="79">
        <f>QUANT!C149</f>
        <v>92776</v>
      </c>
      <c r="D81" s="79" t="str">
        <f>QUANT!D149</f>
        <v>SINAPI</v>
      </c>
      <c r="E81" s="80" t="str">
        <f>IFERROR(VLOOKUP($C81,'SINAPI JULHO 2021'!$1:$1048576,2,0),IFERROR(VLOOKUP($C81,'5-COMP. PROPRIA'!$B$1:$I$7981,4,0),""))</f>
        <v>ARMAÇÃO DE PILAR OU VIGA DE UMA ESTRUTURA CONVENCIONAL DE CONCRETO ARMADO EM UMA EDIFICAÇÃO TÉRREA OU SOBRADO UTILIZANDO AÇO CA-50 DE 6,3 MM - MONTAGEM. AF_12/2015</v>
      </c>
      <c r="F81" s="81" t="str">
        <f>IFERROR(VLOOKUP($C81,'SINAPI JULHO 2021'!$A:$D,3,0),IFERROR(VLOOKUP($C81,'5-COMP. PROPRIA'!$B$1:$I$7981,5,0),""))</f>
        <v>KG</v>
      </c>
      <c r="G81" s="129">
        <f>QUANT!K149</f>
        <v>308.3</v>
      </c>
      <c r="H81" s="200">
        <f>IFERROR(VLOOKUP($C81,'SINAPI JULHO 2021'!$A:$D,4,0),IFERROR(VLOOKUP($C81,'5-COMP. PROPRIA'!$B$1:$I$7981,8,0),""))</f>
        <v>20.34</v>
      </c>
      <c r="I81" s="200">
        <f>H81*'4-BDI'!$E$29</f>
        <v>26.084015999999998</v>
      </c>
      <c r="J81" s="201">
        <f t="shared" si="26"/>
        <v>6270.82</v>
      </c>
      <c r="K81" s="123">
        <f t="shared" si="27"/>
        <v>8041.7</v>
      </c>
    </row>
    <row r="82" spans="2:11" ht="45">
      <c r="B82" s="11" t="s">
        <v>6899</v>
      </c>
      <c r="C82" s="79">
        <f>QUANT!C150</f>
        <v>92777</v>
      </c>
      <c r="D82" s="79" t="str">
        <f>QUANT!D150</f>
        <v>SINAPI</v>
      </c>
      <c r="E82" s="80" t="str">
        <f>IFERROR(VLOOKUP($C82,'SINAPI JULHO 2021'!$1:$1048576,2,0),IFERROR(VLOOKUP($C82,'5-COMP. PROPRIA'!$B$1:$I$7981,4,0),""))</f>
        <v>ARMAÇÃO DE PILAR OU VIGA DE UMA ESTRUTURA CONVENCIONAL DE CONCRETO ARMADO EM UMA EDIFICAÇÃO TÉRREA OU SOBRADO UTILIZANDO AÇO CA-50 DE 8,0 MM - MONTAGEM. AF_12/2015</v>
      </c>
      <c r="F82" s="81" t="str">
        <f>IFERROR(VLOOKUP($C82,'SINAPI JULHO 2021'!$A:$D,3,0),IFERROR(VLOOKUP($C82,'5-COMP. PROPRIA'!$B$1:$I$7981,5,0),""))</f>
        <v>KG</v>
      </c>
      <c r="G82" s="129">
        <f>QUANT!K150</f>
        <v>2.1</v>
      </c>
      <c r="H82" s="200">
        <f>IFERROR(VLOOKUP($C82,'SINAPI JULHO 2021'!$A:$D,4,0),IFERROR(VLOOKUP($C82,'5-COMP. PROPRIA'!$B$1:$I$7981,8,0),""))</f>
        <v>19.72</v>
      </c>
      <c r="I82" s="200">
        <f>H82*'4-BDI'!$E$29</f>
        <v>25.288927999999999</v>
      </c>
      <c r="J82" s="201">
        <f t="shared" si="26"/>
        <v>41.41</v>
      </c>
      <c r="K82" s="123">
        <f t="shared" si="27"/>
        <v>53.1</v>
      </c>
    </row>
    <row r="83" spans="2:11" ht="45">
      <c r="B83" s="11" t="s">
        <v>13048</v>
      </c>
      <c r="C83" s="79">
        <f>QUANT!C151</f>
        <v>92778</v>
      </c>
      <c r="D83" s="79" t="str">
        <f>QUANT!D151</f>
        <v>SINAPI</v>
      </c>
      <c r="E83" s="80" t="str">
        <f>IFERROR(VLOOKUP($C83,'SINAPI JULHO 2021'!$1:$1048576,2,0),IFERROR(VLOOKUP($C83,'5-COMP. PROPRIA'!$B$1:$I$7981,4,0),""))</f>
        <v>ARMAÇÃO DE PILAR OU VIGA DE UMA ESTRUTURA CONVENCIONAL DE CONCRETO ARMADO EM UMA EDIFICAÇÃO TÉRREA OU SOBRADO UTILIZANDO AÇO CA-50 DE 10,0 MM - MONTAGEM. AF_12/2015</v>
      </c>
      <c r="F83" s="81" t="str">
        <f>IFERROR(VLOOKUP($C83,'SINAPI JULHO 2021'!$A:$D,3,0),IFERROR(VLOOKUP($C83,'5-COMP. PROPRIA'!$B$1:$I$7981,5,0),""))</f>
        <v>KG</v>
      </c>
      <c r="G83" s="129">
        <f>QUANT!K151</f>
        <v>550.20000000000005</v>
      </c>
      <c r="H83" s="200">
        <f>IFERROR(VLOOKUP($C83,'SINAPI JULHO 2021'!$A:$D,4,0),IFERROR(VLOOKUP($C83,'5-COMP. PROPRIA'!$B$1:$I$7981,8,0),""))</f>
        <v>17.91</v>
      </c>
      <c r="I83" s="200">
        <f>H83*'4-BDI'!$E$29</f>
        <v>22.967783999999998</v>
      </c>
      <c r="J83" s="201">
        <f t="shared" si="26"/>
        <v>9854.08</v>
      </c>
      <c r="K83" s="123">
        <f t="shared" si="27"/>
        <v>12636.87</v>
      </c>
    </row>
    <row r="84" spans="2:11" ht="45">
      <c r="B84" s="11" t="s">
        <v>13049</v>
      </c>
      <c r="C84" s="79">
        <f>QUANT!C152</f>
        <v>92779</v>
      </c>
      <c r="D84" s="79" t="str">
        <f>QUANT!D152</f>
        <v>SINAPI</v>
      </c>
      <c r="E84" s="80" t="str">
        <f>IFERROR(VLOOKUP($C84,'SINAPI JULHO 2021'!$1:$1048576,2,0),IFERROR(VLOOKUP($C84,'5-COMP. PROPRIA'!$B$1:$I$7981,4,0),""))</f>
        <v>ARMAÇÃO DE PILAR OU VIGA DE UMA ESTRUTURA CONVENCIONAL DE CONCRETO ARMADO EM UMA EDIFICAÇÃO TÉRREA OU SOBRADO UTILIZANDO AÇO CA-50 DE 12,5 MM - MONTAGEM. AF_12/2015</v>
      </c>
      <c r="F84" s="81" t="str">
        <f>IFERROR(VLOOKUP($C84,'SINAPI JULHO 2021'!$A:$D,3,0),IFERROR(VLOOKUP($C84,'5-COMP. PROPRIA'!$B$1:$I$7981,5,0),""))</f>
        <v>KG</v>
      </c>
      <c r="G84" s="129">
        <f>QUANT!K152</f>
        <v>46.2</v>
      </c>
      <c r="H84" s="200">
        <f>IFERROR(VLOOKUP($C84,'SINAPI JULHO 2021'!$A:$D,4,0),IFERROR(VLOOKUP($C84,'5-COMP. PROPRIA'!$B$1:$I$7981,8,0),""))</f>
        <v>15.23</v>
      </c>
      <c r="I84" s="200">
        <f>H84*'4-BDI'!$E$29</f>
        <v>19.530951999999999</v>
      </c>
      <c r="J84" s="201">
        <f t="shared" si="26"/>
        <v>703.62</v>
      </c>
      <c r="K84" s="123">
        <f t="shared" si="27"/>
        <v>902.32</v>
      </c>
    </row>
    <row r="85" spans="2:11" ht="45">
      <c r="B85" s="11" t="s">
        <v>13050</v>
      </c>
      <c r="C85" s="79">
        <f>QUANT!C153</f>
        <v>92780</v>
      </c>
      <c r="D85" s="79" t="str">
        <f>QUANT!D153</f>
        <v>SINAPI</v>
      </c>
      <c r="E85" s="80" t="str">
        <f>IFERROR(VLOOKUP($C85,'SINAPI JULHO 2021'!$1:$1048576,2,0),IFERROR(VLOOKUP($C85,'5-COMP. PROPRIA'!$B$1:$I$7981,4,0),""))</f>
        <v>ARMAÇÃO DE PILAR OU VIGA DE UMA ESTRUTURA CONVENCIONAL DE CONCRETO ARMADO EM UMA EDIFICAÇÃO TÉRREA OU SOBRADO UTILIZANDO AÇO CA-50 DE 16,0 MM - MONTAGEM. AF_12/2015</v>
      </c>
      <c r="F85" s="81" t="str">
        <f>IFERROR(VLOOKUP($C85,'SINAPI JULHO 2021'!$A:$D,3,0),IFERROR(VLOOKUP($C85,'5-COMP. PROPRIA'!$B$1:$I$7981,5,0),""))</f>
        <v>KG</v>
      </c>
      <c r="G85" s="129">
        <f>QUANT!K153</f>
        <v>292.45</v>
      </c>
      <c r="H85" s="200">
        <f>IFERROR(VLOOKUP($C85,'SINAPI JULHO 2021'!$A:$D,4,0),IFERROR(VLOOKUP($C85,'5-COMP. PROPRIA'!$B$1:$I$7981,8,0),""))</f>
        <v>14.69</v>
      </c>
      <c r="I85" s="200">
        <f>H85*'4-BDI'!$E$29</f>
        <v>18.838456000000001</v>
      </c>
      <c r="J85" s="201">
        <f t="shared" si="26"/>
        <v>4296.09</v>
      </c>
      <c r="K85" s="123">
        <f t="shared" si="27"/>
        <v>5509.3</v>
      </c>
    </row>
    <row r="86" spans="2:11" ht="30">
      <c r="B86" s="11" t="s">
        <v>13051</v>
      </c>
      <c r="C86" s="79">
        <f>QUANT!C154</f>
        <v>96557</v>
      </c>
      <c r="D86" s="79" t="str">
        <f>QUANT!D154</f>
        <v>SINAPI</v>
      </c>
      <c r="E86" s="80" t="str">
        <f>IFERROR(VLOOKUP($C86,'SINAPI JULHO 2021'!$1:$1048576,2,0),IFERROR(VLOOKUP($C86,'5-COMP. PROPRIA'!$B$1:$I$7981,4,0),""))</f>
        <v>CONCRETAGEM DE BLOCOS DE COROAMENTO E VIGAS BALDRAMES, FCK 30 MPA, COM USO DE BOMBA  LANÇAMENTO, ADENSAMENTO E ACABAMENTO. AF_06/2017</v>
      </c>
      <c r="F86" s="81" t="str">
        <f>IFERROR(VLOOKUP($C86,'SINAPI JULHO 2021'!$A:$D,3,0),IFERROR(VLOOKUP($C86,'5-COMP. PROPRIA'!$B$1:$I$7981,5,0),""))</f>
        <v>M3</v>
      </c>
      <c r="G86" s="129">
        <f>QUANT!K154</f>
        <v>21.5</v>
      </c>
      <c r="H86" s="200">
        <f>IFERROR(VLOOKUP($C86,'SINAPI JULHO 2021'!$A:$D,4,0),IFERROR(VLOOKUP($C86,'5-COMP. PROPRIA'!$B$1:$I$7981,8,0),""))</f>
        <v>565.45000000000005</v>
      </c>
      <c r="I86" s="200">
        <f>H86*'4-BDI'!$E$29</f>
        <v>725.13308000000006</v>
      </c>
      <c r="J86" s="201">
        <f t="shared" ref="J86" si="28">TRUNC(G86*H86,2)</f>
        <v>12157.17</v>
      </c>
      <c r="K86" s="123">
        <f t="shared" ref="K86" si="29">TRUNC(G86*I86,2)</f>
        <v>15590.36</v>
      </c>
    </row>
    <row r="87" spans="2:11" ht="15">
      <c r="B87" s="222" t="s">
        <v>13052</v>
      </c>
      <c r="C87" s="79"/>
      <c r="D87" s="79"/>
      <c r="E87" s="225" t="str">
        <f>QUANT!E155</f>
        <v>VIGAS  - COBERTURA (RESPALDO)</v>
      </c>
      <c r="F87" s="81"/>
      <c r="G87" s="129"/>
      <c r="H87" s="200"/>
      <c r="I87" s="200"/>
      <c r="J87" s="201"/>
      <c r="K87" s="123"/>
    </row>
    <row r="88" spans="2:11" ht="30">
      <c r="B88" s="11" t="s">
        <v>13053</v>
      </c>
      <c r="C88" s="79">
        <f>QUANT!C156</f>
        <v>92265</v>
      </c>
      <c r="D88" s="79" t="str">
        <f>QUANT!D156</f>
        <v>SINAPI</v>
      </c>
      <c r="E88" s="80" t="str">
        <f>IFERROR(VLOOKUP($C88,'SINAPI JULHO 2021'!$1:$1048576,2,0),IFERROR(VLOOKUP($C88,'5-COMP. PROPRIA'!$B$1:$I$7981,4,0),""))</f>
        <v>FABRICAÇÃO DE FÔRMA PARA VIGAS, EM CHAPA DE MADEIRA COMPENSADA RESINADA, E = 17 MM. AF_09/2020</v>
      </c>
      <c r="F88" s="81" t="str">
        <f>IFERROR(VLOOKUP($C88,'SINAPI JULHO 2021'!$A:$D,3,0),IFERROR(VLOOKUP($C88,'5-COMP. PROPRIA'!$B$1:$I$7981,5,0),""))</f>
        <v>M2</v>
      </c>
      <c r="G88" s="129">
        <f>QUANT!K156</f>
        <v>99.8</v>
      </c>
      <c r="H88" s="200">
        <f>IFERROR(VLOOKUP($C88,'SINAPI JULHO 2021'!$A:$D,4,0),IFERROR(VLOOKUP($C88,'5-COMP. PROPRIA'!$B$1:$I$7981,8,0),""))</f>
        <v>93.85</v>
      </c>
      <c r="I88" s="200">
        <f>H88*'4-BDI'!$E$29</f>
        <v>120.35323999999999</v>
      </c>
      <c r="J88" s="201">
        <f t="shared" ref="J88" si="30">TRUNC(G88*H88,2)</f>
        <v>9366.23</v>
      </c>
      <c r="K88" s="123">
        <f t="shared" ref="K88" si="31">TRUNC(G88*I88,2)</f>
        <v>12011.25</v>
      </c>
    </row>
    <row r="89" spans="2:11" ht="45">
      <c r="B89" s="11" t="s">
        <v>13054</v>
      </c>
      <c r="C89" s="79">
        <f>QUANT!C157</f>
        <v>92775</v>
      </c>
      <c r="D89" s="79" t="str">
        <f>QUANT!D157</f>
        <v>SINAPI</v>
      </c>
      <c r="E89" s="80" t="str">
        <f>IFERROR(VLOOKUP($C89,'SINAPI JULHO 2021'!$1:$1048576,2,0),IFERROR(VLOOKUP($C89,'5-COMP. PROPRIA'!$B$1:$I$7981,4,0),""))</f>
        <v>ARMAÇÃO DE PILAR OU VIGA DE UMA ESTRUTURA CONVENCIONAL DE CONCRETO ARMADO EM UMA EDIFICAÇÃO TÉRREA OU SOBRADO UTILIZANDO AÇO CA-60 DE 5,0 MM - MONTAGEM. AF_12/2015</v>
      </c>
      <c r="F89" s="81" t="str">
        <f>IFERROR(VLOOKUP($C89,'SINAPI JULHO 2021'!$A:$D,3,0),IFERROR(VLOOKUP($C89,'5-COMP. PROPRIA'!$B$1:$I$7981,5,0),""))</f>
        <v>KG</v>
      </c>
      <c r="G89" s="129">
        <f>QUANT!K157</f>
        <v>70.3</v>
      </c>
      <c r="H89" s="200">
        <f>IFERROR(VLOOKUP($C89,'SINAPI JULHO 2021'!$A:$D,4,0),IFERROR(VLOOKUP($C89,'5-COMP. PROPRIA'!$B$1:$I$7981,8,0),""))</f>
        <v>20.52</v>
      </c>
      <c r="I89" s="200">
        <f>H89*'4-BDI'!$E$29</f>
        <v>26.314847999999998</v>
      </c>
      <c r="J89" s="201">
        <f t="shared" ref="J89:J93" si="32">TRUNC(G89*H89,2)</f>
        <v>1442.55</v>
      </c>
      <c r="K89" s="123">
        <f t="shared" ref="K89:K93" si="33">TRUNC(G89*I89,2)</f>
        <v>1849.93</v>
      </c>
    </row>
    <row r="90" spans="2:11" ht="45">
      <c r="B90" s="11" t="s">
        <v>13055</v>
      </c>
      <c r="C90" s="79">
        <f>QUANT!C158</f>
        <v>92776</v>
      </c>
      <c r="D90" s="79" t="str">
        <f>QUANT!D158</f>
        <v>SINAPI</v>
      </c>
      <c r="E90" s="80" t="str">
        <f>IFERROR(VLOOKUP($C90,'SINAPI JULHO 2021'!$1:$1048576,2,0),IFERROR(VLOOKUP($C90,'5-COMP. PROPRIA'!$B$1:$I$7981,4,0),""))</f>
        <v>ARMAÇÃO DE PILAR OU VIGA DE UMA ESTRUTURA CONVENCIONAL DE CONCRETO ARMADO EM UMA EDIFICAÇÃO TÉRREA OU SOBRADO UTILIZANDO AÇO CA-50 DE 6,3 MM - MONTAGEM. AF_12/2015</v>
      </c>
      <c r="F90" s="81" t="str">
        <f>IFERROR(VLOOKUP($C90,'SINAPI JULHO 2021'!$A:$D,3,0),IFERROR(VLOOKUP($C90,'5-COMP. PROPRIA'!$B$1:$I$7981,5,0),""))</f>
        <v>KG</v>
      </c>
      <c r="G90" s="129">
        <f>QUANT!K158</f>
        <v>108.6</v>
      </c>
      <c r="H90" s="200">
        <f>IFERROR(VLOOKUP($C90,'SINAPI JULHO 2021'!$A:$D,4,0),IFERROR(VLOOKUP($C90,'5-COMP. PROPRIA'!$B$1:$I$7981,8,0),""))</f>
        <v>20.34</v>
      </c>
      <c r="I90" s="200">
        <f>H90*'4-BDI'!$E$29</f>
        <v>26.084015999999998</v>
      </c>
      <c r="J90" s="201">
        <f t="shared" si="32"/>
        <v>2208.92</v>
      </c>
      <c r="K90" s="123">
        <f t="shared" si="33"/>
        <v>2832.72</v>
      </c>
    </row>
    <row r="91" spans="2:11" ht="45">
      <c r="B91" s="11" t="s">
        <v>13056</v>
      </c>
      <c r="C91" s="79">
        <f>QUANT!C159</f>
        <v>92777</v>
      </c>
      <c r="D91" s="79" t="str">
        <f>QUANT!D159</f>
        <v>SINAPI</v>
      </c>
      <c r="E91" s="80" t="str">
        <f>IFERROR(VLOOKUP($C91,'SINAPI JULHO 2021'!$1:$1048576,2,0),IFERROR(VLOOKUP($C91,'5-COMP. PROPRIA'!$B$1:$I$7981,4,0),""))</f>
        <v>ARMAÇÃO DE PILAR OU VIGA DE UMA ESTRUTURA CONVENCIONAL DE CONCRETO ARMADO EM UMA EDIFICAÇÃO TÉRREA OU SOBRADO UTILIZANDO AÇO CA-50 DE 8,0 MM - MONTAGEM. AF_12/2015</v>
      </c>
      <c r="F91" s="81" t="str">
        <f>IFERROR(VLOOKUP($C91,'SINAPI JULHO 2021'!$A:$D,3,0),IFERROR(VLOOKUP($C91,'5-COMP. PROPRIA'!$B$1:$I$7981,5,0),""))</f>
        <v>KG</v>
      </c>
      <c r="G91" s="129">
        <f>QUANT!K159</f>
        <v>67.150000000000006</v>
      </c>
      <c r="H91" s="200">
        <f>IFERROR(VLOOKUP($C91,'SINAPI JULHO 2021'!$A:$D,4,0),IFERROR(VLOOKUP($C91,'5-COMP. PROPRIA'!$B$1:$I$7981,8,0),""))</f>
        <v>19.72</v>
      </c>
      <c r="I91" s="200">
        <f>H91*'4-BDI'!$E$29</f>
        <v>25.288927999999999</v>
      </c>
      <c r="J91" s="201">
        <f t="shared" si="32"/>
        <v>1324.19</v>
      </c>
      <c r="K91" s="123">
        <f t="shared" si="33"/>
        <v>1698.15</v>
      </c>
    </row>
    <row r="92" spans="2:11" ht="45">
      <c r="B92" s="11" t="s">
        <v>13057</v>
      </c>
      <c r="C92" s="79">
        <f>QUANT!C160</f>
        <v>92778</v>
      </c>
      <c r="D92" s="79" t="str">
        <f>QUANT!D160</f>
        <v>SINAPI</v>
      </c>
      <c r="E92" s="80" t="str">
        <f>IFERROR(VLOOKUP($C92,'SINAPI JULHO 2021'!$1:$1048576,2,0),IFERROR(VLOOKUP($C92,'5-COMP. PROPRIA'!$B$1:$I$7981,4,0),""))</f>
        <v>ARMAÇÃO DE PILAR OU VIGA DE UMA ESTRUTURA CONVENCIONAL DE CONCRETO ARMADO EM UMA EDIFICAÇÃO TÉRREA OU SOBRADO UTILIZANDO AÇO CA-50 DE 10,0 MM - MONTAGEM. AF_12/2015</v>
      </c>
      <c r="F92" s="81" t="str">
        <f>IFERROR(VLOOKUP($C92,'SINAPI JULHO 2021'!$A:$D,3,0),IFERROR(VLOOKUP($C92,'5-COMP. PROPRIA'!$B$1:$I$7981,5,0),""))</f>
        <v>KG</v>
      </c>
      <c r="G92" s="129">
        <f>QUANT!K160</f>
        <v>96.15</v>
      </c>
      <c r="H92" s="200">
        <f>IFERROR(VLOOKUP($C92,'SINAPI JULHO 2021'!$A:$D,4,0),IFERROR(VLOOKUP($C92,'5-COMP. PROPRIA'!$B$1:$I$7981,8,0),""))</f>
        <v>17.91</v>
      </c>
      <c r="I92" s="200">
        <f>H92*'4-BDI'!$E$29</f>
        <v>22.967783999999998</v>
      </c>
      <c r="J92" s="201">
        <f t="shared" si="32"/>
        <v>1722.04</v>
      </c>
      <c r="K92" s="123">
        <f t="shared" si="33"/>
        <v>2208.35</v>
      </c>
    </row>
    <row r="93" spans="2:11" ht="30">
      <c r="B93" s="11" t="s">
        <v>13058</v>
      </c>
      <c r="C93" s="79">
        <f>QUANT!C161</f>
        <v>96557</v>
      </c>
      <c r="D93" s="79" t="str">
        <f>QUANT!D161</f>
        <v>SINAPI</v>
      </c>
      <c r="E93" s="80" t="str">
        <f>IFERROR(VLOOKUP($C93,'SINAPI JULHO 2021'!$1:$1048576,2,0),IFERROR(VLOOKUP($C93,'5-COMP. PROPRIA'!$B$1:$I$7981,4,0),""))</f>
        <v>CONCRETAGEM DE BLOCOS DE COROAMENTO E VIGAS BALDRAMES, FCK 30 MPA, COM USO DE BOMBA  LANÇAMENTO, ADENSAMENTO E ACABAMENTO. AF_06/2017</v>
      </c>
      <c r="F93" s="81" t="str">
        <f>IFERROR(VLOOKUP($C93,'SINAPI JULHO 2021'!$A:$D,3,0),IFERROR(VLOOKUP($C93,'5-COMP. PROPRIA'!$B$1:$I$7981,5,0),""))</f>
        <v>M3</v>
      </c>
      <c r="G93" s="129">
        <f>QUANT!K161</f>
        <v>6.65</v>
      </c>
      <c r="H93" s="200">
        <f>IFERROR(VLOOKUP($C93,'SINAPI JULHO 2021'!$A:$D,4,0),IFERROR(VLOOKUP($C93,'5-COMP. PROPRIA'!$B$1:$I$7981,8,0),""))</f>
        <v>565.45000000000005</v>
      </c>
      <c r="I93" s="200">
        <f>H93*'4-BDI'!$E$29</f>
        <v>725.13308000000006</v>
      </c>
      <c r="J93" s="201">
        <f t="shared" si="32"/>
        <v>3760.24</v>
      </c>
      <c r="K93" s="123">
        <f t="shared" si="33"/>
        <v>4822.13</v>
      </c>
    </row>
    <row r="94" spans="2:11" ht="15">
      <c r="B94" s="222" t="s">
        <v>13059</v>
      </c>
      <c r="C94" s="79"/>
      <c r="D94" s="79"/>
      <c r="E94" s="225" t="str">
        <f>QUANT!E162</f>
        <v>LAJES - ESCOLA</v>
      </c>
      <c r="F94" s="81"/>
      <c r="G94" s="129"/>
      <c r="H94" s="200"/>
      <c r="I94" s="200"/>
      <c r="J94" s="201"/>
      <c r="K94" s="123"/>
    </row>
    <row r="95" spans="2:11" ht="45">
      <c r="B95" s="11" t="s">
        <v>13060</v>
      </c>
      <c r="C95" s="79">
        <f>QUANT!C163</f>
        <v>92776</v>
      </c>
      <c r="D95" s="79" t="str">
        <f>QUANT!D163</f>
        <v>SINAPI</v>
      </c>
      <c r="E95" s="80" t="str">
        <f>IFERROR(VLOOKUP($C95,'SINAPI JULHO 2021'!$1:$1048576,2,0),IFERROR(VLOOKUP($C95,'5-COMP. PROPRIA'!$B$1:$I$7981,4,0),""))</f>
        <v>ARMAÇÃO DE PILAR OU VIGA DE UMA ESTRUTURA CONVENCIONAL DE CONCRETO ARMADO EM UMA EDIFICAÇÃO TÉRREA OU SOBRADO UTILIZANDO AÇO CA-50 DE 6,3 MM - MONTAGEM. AF_12/2015</v>
      </c>
      <c r="F95" s="81" t="str">
        <f>IFERROR(VLOOKUP($C95,'SINAPI JULHO 2021'!$A:$D,3,0),IFERROR(VLOOKUP($C95,'5-COMP. PROPRIA'!$B$1:$I$7981,5,0),""))</f>
        <v>KG</v>
      </c>
      <c r="G95" s="129">
        <f>QUANT!K163</f>
        <v>404.7</v>
      </c>
      <c r="H95" s="200">
        <f>IFERROR(VLOOKUP($C95,'SINAPI JULHO 2021'!$A:$D,4,0),IFERROR(VLOOKUP($C95,'5-COMP. PROPRIA'!$B$1:$I$7981,8,0),""))</f>
        <v>20.34</v>
      </c>
      <c r="I95" s="200">
        <f>H95*'4-BDI'!$E$29</f>
        <v>26.084015999999998</v>
      </c>
      <c r="J95" s="201">
        <f t="shared" ref="J95" si="34">TRUNC(G95*H95,2)</f>
        <v>8231.59</v>
      </c>
      <c r="K95" s="123">
        <f t="shared" ref="K95" si="35">TRUNC(G95*I95,2)</f>
        <v>10556.2</v>
      </c>
    </row>
    <row r="96" spans="2:11" ht="45">
      <c r="B96" s="11" t="s">
        <v>13061</v>
      </c>
      <c r="C96" s="79">
        <f>QUANT!C164</f>
        <v>92777</v>
      </c>
      <c r="D96" s="79" t="str">
        <f>QUANT!D164</f>
        <v>SINAPI</v>
      </c>
      <c r="E96" s="80" t="str">
        <f>IFERROR(VLOOKUP($C96,'SINAPI JULHO 2021'!$1:$1048576,2,0),IFERROR(VLOOKUP($C96,'5-COMP. PROPRIA'!$B$1:$I$7981,4,0),""))</f>
        <v>ARMAÇÃO DE PILAR OU VIGA DE UMA ESTRUTURA CONVENCIONAL DE CONCRETO ARMADO EM UMA EDIFICAÇÃO TÉRREA OU SOBRADO UTILIZANDO AÇO CA-50 DE 8,0 MM - MONTAGEM. AF_12/2015</v>
      </c>
      <c r="F96" s="81" t="str">
        <f>IFERROR(VLOOKUP($C96,'SINAPI JULHO 2021'!$A:$D,3,0),IFERROR(VLOOKUP($C96,'5-COMP. PROPRIA'!$B$1:$I$7981,5,0),""))</f>
        <v>KG</v>
      </c>
      <c r="G96" s="129">
        <f>QUANT!K164</f>
        <v>7.5</v>
      </c>
      <c r="H96" s="200">
        <f>IFERROR(VLOOKUP($C96,'SINAPI JULHO 2021'!$A:$D,4,0),IFERROR(VLOOKUP($C96,'5-COMP. PROPRIA'!$B$1:$I$7981,8,0),""))</f>
        <v>19.72</v>
      </c>
      <c r="I96" s="200">
        <f>H96*'4-BDI'!$E$29</f>
        <v>25.288927999999999</v>
      </c>
      <c r="J96" s="201">
        <f t="shared" ref="J96:J101" si="36">TRUNC(G96*H96,2)</f>
        <v>147.9</v>
      </c>
      <c r="K96" s="123">
        <f t="shared" ref="K96:K101" si="37">TRUNC(G96*I96,2)</f>
        <v>189.66</v>
      </c>
    </row>
    <row r="97" spans="2:11" ht="45">
      <c r="B97" s="11" t="s">
        <v>13062</v>
      </c>
      <c r="C97" s="79">
        <f>QUANT!C165</f>
        <v>92778</v>
      </c>
      <c r="D97" s="79" t="str">
        <f>QUANT!D165</f>
        <v>SINAPI</v>
      </c>
      <c r="E97" s="80" t="str">
        <f>IFERROR(VLOOKUP($C97,'SINAPI JULHO 2021'!$1:$1048576,2,0),IFERROR(VLOOKUP($C97,'5-COMP. PROPRIA'!$B$1:$I$7981,4,0),""))</f>
        <v>ARMAÇÃO DE PILAR OU VIGA DE UMA ESTRUTURA CONVENCIONAL DE CONCRETO ARMADO EM UMA EDIFICAÇÃO TÉRREA OU SOBRADO UTILIZANDO AÇO CA-50 DE 10,0 MM - MONTAGEM. AF_12/2015</v>
      </c>
      <c r="F97" s="81" t="str">
        <f>IFERROR(VLOOKUP($C97,'SINAPI JULHO 2021'!$A:$D,3,0),IFERROR(VLOOKUP($C97,'5-COMP. PROPRIA'!$B$1:$I$7981,5,0),""))</f>
        <v>KG</v>
      </c>
      <c r="G97" s="129">
        <f>QUANT!K165</f>
        <v>15.15</v>
      </c>
      <c r="H97" s="200">
        <f>IFERROR(VLOOKUP($C97,'SINAPI JULHO 2021'!$A:$D,4,0),IFERROR(VLOOKUP($C97,'5-COMP. PROPRIA'!$B$1:$I$7981,8,0),""))</f>
        <v>17.91</v>
      </c>
      <c r="I97" s="200">
        <f>H97*'4-BDI'!$E$29</f>
        <v>22.967783999999998</v>
      </c>
      <c r="J97" s="201">
        <f t="shared" si="36"/>
        <v>271.33</v>
      </c>
      <c r="K97" s="123">
        <f t="shared" si="37"/>
        <v>347.96</v>
      </c>
    </row>
    <row r="98" spans="2:11" ht="45">
      <c r="B98" s="11" t="s">
        <v>13063</v>
      </c>
      <c r="C98" s="79">
        <f>QUANT!C166</f>
        <v>92779</v>
      </c>
      <c r="D98" s="79" t="str">
        <f>QUANT!D166</f>
        <v>SINAPI</v>
      </c>
      <c r="E98" s="80" t="str">
        <f>IFERROR(VLOOKUP($C98,'SINAPI JULHO 2021'!$1:$1048576,2,0),IFERROR(VLOOKUP($C98,'5-COMP. PROPRIA'!$B$1:$I$7981,4,0),""))</f>
        <v>ARMAÇÃO DE PILAR OU VIGA DE UMA ESTRUTURA CONVENCIONAL DE CONCRETO ARMADO EM UMA EDIFICAÇÃO TÉRREA OU SOBRADO UTILIZANDO AÇO CA-50 DE 12,5 MM - MONTAGEM. AF_12/2015</v>
      </c>
      <c r="F98" s="81" t="str">
        <f>IFERROR(VLOOKUP($C98,'SINAPI JULHO 2021'!$A:$D,3,0),IFERROR(VLOOKUP($C98,'5-COMP. PROPRIA'!$B$1:$I$7981,5,0),""))</f>
        <v>KG</v>
      </c>
      <c r="G98" s="129">
        <f>QUANT!K166</f>
        <v>3.45</v>
      </c>
      <c r="H98" s="200">
        <f>IFERROR(VLOOKUP($C98,'SINAPI JULHO 2021'!$A:$D,4,0),IFERROR(VLOOKUP($C98,'5-COMP. PROPRIA'!$B$1:$I$7981,8,0),""))</f>
        <v>15.23</v>
      </c>
      <c r="I98" s="200">
        <f>H98*'4-BDI'!$E$29</f>
        <v>19.530951999999999</v>
      </c>
      <c r="J98" s="201">
        <f t="shared" si="36"/>
        <v>52.54</v>
      </c>
      <c r="K98" s="123">
        <f t="shared" si="37"/>
        <v>67.38</v>
      </c>
    </row>
    <row r="99" spans="2:11" ht="30">
      <c r="B99" s="11" t="s">
        <v>13064</v>
      </c>
      <c r="C99" s="79" t="str">
        <f>QUANT!C167</f>
        <v>CP-LAJ-01</v>
      </c>
      <c r="D99" s="79" t="str">
        <f>QUANT!D167</f>
        <v>PRÓPRIA</v>
      </c>
      <c r="E99" s="80" t="str">
        <f>IFERROR(VLOOKUP($C99,'SINAPI JULHO 2021'!$1:$1048576,2,0),IFERROR(VLOOKUP($C99,'5-COMP. PROPRIA'!$B$1:$I$7981,4,0),""))</f>
        <v xml:space="preserve">LAJE PRÉ-MOLDADA UNIDIRECIONAL, BIAPOIADA, PARA PISO, ENCHIMENTO EM CERÂMICA, VIGOTA CONVENCIONAL, ALTURA TOTAL DA LAJE (ENCHIMENTO+CAPA) = (8+4) VÃO ATÉ 6,00 M </v>
      </c>
      <c r="F99" s="81" t="str">
        <f>IFERROR(VLOOKUP($C99,'SINAPI JULHO 2021'!$A:$D,3,0),IFERROR(VLOOKUP($C99,'5-COMP. PROPRIA'!$B$1:$I$7981,5,0),""))</f>
        <v>M2</v>
      </c>
      <c r="G99" s="129">
        <f>QUANT!K167</f>
        <v>360</v>
      </c>
      <c r="H99" s="200">
        <f>IFERROR(VLOOKUP($C99,'SINAPI JULHO 2021'!$A:$D,4,0),IFERROR(VLOOKUP($C99,'5-COMP. PROPRIA'!$B$1:$I$7981,8,0),""))</f>
        <v>221.3</v>
      </c>
      <c r="I99" s="200">
        <f>H99*'4-BDI'!$E$29</f>
        <v>283.79512</v>
      </c>
      <c r="J99" s="201">
        <f t="shared" si="36"/>
        <v>79668</v>
      </c>
      <c r="K99" s="123">
        <f t="shared" si="37"/>
        <v>102166.24</v>
      </c>
    </row>
    <row r="100" spans="2:11" ht="15">
      <c r="B100" s="474" t="s">
        <v>13065</v>
      </c>
      <c r="C100" s="475"/>
      <c r="D100" s="476"/>
      <c r="E100" s="477" t="str">
        <f>QUANT!E168</f>
        <v>LAJE - ARQUIBANCADA</v>
      </c>
      <c r="F100" s="478"/>
      <c r="G100" s="479"/>
      <c r="H100" s="480"/>
      <c r="I100" s="481"/>
      <c r="J100" s="481"/>
      <c r="K100" s="482"/>
    </row>
    <row r="101" spans="2:11" ht="30">
      <c r="B101" s="11" t="s">
        <v>13066</v>
      </c>
      <c r="C101" s="79">
        <f>QUANT!C169</f>
        <v>101963</v>
      </c>
      <c r="D101" s="79" t="str">
        <f>QUANT!D169</f>
        <v>SINAPI</v>
      </c>
      <c r="E101" s="80" t="str">
        <f>IFERROR(VLOOKUP($C101,'SINAPI JULHO 2021'!$1:$1048576,2,0),IFERROR(VLOOKUP($C101,'5-COMP. PROPRIA'!$B$1:$I$7981,4,0),""))</f>
        <v>LAJE PRÉ-MOLDADA UNIDIRECIONAL, BIAPOIADA, PARA PISO, ENCHIMENTO EM CERÂMICA, VIGOTA CONVENCIONAL, ALTURA TOTAL DA LAJE (ENCHIMENTO+CAPA) = (8+4). AF_11/2020</v>
      </c>
      <c r="F101" s="81" t="str">
        <f>IFERROR(VLOOKUP($C101,'SINAPI JULHO 2021'!$A:$D,3,0),IFERROR(VLOOKUP($C101,'5-COMP. PROPRIA'!$B$1:$I$7981,5,0),""))</f>
        <v>M2</v>
      </c>
      <c r="G101" s="129">
        <f>QUANT!K169</f>
        <v>29.260000000000005</v>
      </c>
      <c r="H101" s="200">
        <f>IFERROR(VLOOKUP($C101,'SINAPI JULHO 2021'!$A:$D,4,0),IFERROR(VLOOKUP($C101,'5-COMP. PROPRIA'!$B$1:$I$7981,8,0),""))</f>
        <v>169.31</v>
      </c>
      <c r="I101" s="200">
        <f>H101*'4-BDI'!$E$29</f>
        <v>217.123144</v>
      </c>
      <c r="J101" s="201">
        <f t="shared" si="36"/>
        <v>4954.01</v>
      </c>
      <c r="K101" s="123">
        <f t="shared" si="37"/>
        <v>6353.02</v>
      </c>
    </row>
    <row r="102" spans="2:11" ht="15" customHeight="1">
      <c r="B102" s="834" t="s">
        <v>3506</v>
      </c>
      <c r="C102" s="836"/>
      <c r="D102" s="836"/>
      <c r="E102" s="836"/>
      <c r="F102" s="836"/>
      <c r="G102" s="836"/>
      <c r="H102" s="837"/>
      <c r="I102" s="202"/>
      <c r="J102" s="126">
        <f>TRUNC(SUM(J59:J101),2)</f>
        <v>253189.27</v>
      </c>
      <c r="K102" s="125">
        <f>TRUNC(SUM(K59:K101),2)</f>
        <v>324689.93</v>
      </c>
    </row>
    <row r="103" spans="2:11" ht="15">
      <c r="B103" s="5" t="s">
        <v>594</v>
      </c>
      <c r="C103" s="6"/>
      <c r="D103" s="7"/>
      <c r="E103" s="8" t="str">
        <f>QUANT!E170</f>
        <v>ÁGUAS PLUVIAIS</v>
      </c>
      <c r="F103" s="9"/>
      <c r="G103" s="128"/>
      <c r="H103" s="221"/>
      <c r="I103" s="121"/>
      <c r="J103" s="121"/>
      <c r="K103" s="122"/>
    </row>
    <row r="104" spans="2:11" ht="19.5" customHeight="1">
      <c r="B104" s="222" t="s">
        <v>28</v>
      </c>
      <c r="C104" s="79"/>
      <c r="D104" s="79"/>
      <c r="E104" s="225" t="str">
        <f>QUANT!E171</f>
        <v>DRENAGEM DO PÁTIO E TUBOS DE DECIDAS DO TELHADO</v>
      </c>
      <c r="F104" s="81"/>
      <c r="G104" s="129"/>
      <c r="H104" s="200"/>
      <c r="I104" s="200"/>
      <c r="J104" s="201"/>
      <c r="K104" s="123"/>
    </row>
    <row r="105" spans="2:11" ht="15">
      <c r="B105" s="11" t="s">
        <v>13068</v>
      </c>
      <c r="C105" s="79">
        <f>QUANT!C172</f>
        <v>93358</v>
      </c>
      <c r="D105" s="79" t="str">
        <f>QUANT!D172</f>
        <v>SINAPI</v>
      </c>
      <c r="E105" s="80" t="str">
        <f>IFERROR(VLOOKUP($C105,'SINAPI JULHO 2021'!$1:$1048576,2,0),IFERROR(VLOOKUP($C105,'5-COMP. PROPRIA'!$B$1:$I$7981,4,0),""))</f>
        <v>ESCAVAÇÃO MANUAL DE VALA COM PROFUNDIDADE MENOR OU IGUAL A 1,30 M. AF_02/2021</v>
      </c>
      <c r="F105" s="81" t="str">
        <f>IFERROR(VLOOKUP($C105,'SINAPI JULHO 2021'!$A:$D,3,0),IFERROR(VLOOKUP($C105,'5-COMP. PROPRIA'!$B$1:$I$7981,5,0),""))</f>
        <v>M3</v>
      </c>
      <c r="G105" s="129">
        <f>QUANT!K172</f>
        <v>89.237000000000009</v>
      </c>
      <c r="H105" s="200">
        <f>IFERROR(VLOOKUP($C105,'SINAPI JULHO 2021'!$A:$D,4,0),IFERROR(VLOOKUP($C105,'5-COMP. PROPRIA'!$B$1:$I$7981,8,0),""))</f>
        <v>55.46</v>
      </c>
      <c r="I105" s="200">
        <f>H105*'4-BDI'!$E$29</f>
        <v>71.121904000000001</v>
      </c>
      <c r="J105" s="201">
        <f t="shared" ref="J105:J106" si="38">TRUNC(G105*H105,2)</f>
        <v>4949.08</v>
      </c>
      <c r="K105" s="123">
        <f t="shared" ref="K105:K106" si="39">TRUNC(G105*I105,2)</f>
        <v>6346.7</v>
      </c>
    </row>
    <row r="106" spans="2:11" ht="30">
      <c r="B106" s="11" t="s">
        <v>13069</v>
      </c>
      <c r="C106" s="79">
        <f>QUANT!C183</f>
        <v>97898</v>
      </c>
      <c r="D106" s="79" t="str">
        <f>QUANT!D183</f>
        <v>SINAPI</v>
      </c>
      <c r="E106" s="80" t="str">
        <f>IFERROR(VLOOKUP($C106,'SINAPI JULHO 2021'!$1:$1048576,2,0),IFERROR(VLOOKUP($C106,'5-COMP. PROPRIA'!$B$1:$I$7981,4,0),""))</f>
        <v>CAIXA ENTERRADA HIDRÁULICA RETANGULAR, EM CONCRETO PRÉ-MOLDADO, DIMENSÕES INTERNAS: 0,8X0,8X0,5 M. AF_12/2020</v>
      </c>
      <c r="F106" s="81" t="str">
        <f>IFERROR(VLOOKUP($C106,'SINAPI JULHO 2021'!$A:$D,3,0),IFERROR(VLOOKUP($C106,'5-COMP. PROPRIA'!$B$1:$I$7981,5,0),""))</f>
        <v>UN</v>
      </c>
      <c r="G106" s="129">
        <f>QUANT!K183</f>
        <v>16</v>
      </c>
      <c r="H106" s="200">
        <f>IFERROR(VLOOKUP($C106,'SINAPI JULHO 2021'!$A:$D,4,0),IFERROR(VLOOKUP($C106,'5-COMP. PROPRIA'!$B$1:$I$7981,8,0),""))</f>
        <v>724.68</v>
      </c>
      <c r="I106" s="200">
        <f>H106*'4-BDI'!$E$29</f>
        <v>929.32963199999995</v>
      </c>
      <c r="J106" s="201">
        <f t="shared" si="38"/>
        <v>11594.88</v>
      </c>
      <c r="K106" s="123">
        <f t="shared" si="39"/>
        <v>14869.27</v>
      </c>
    </row>
    <row r="107" spans="2:11" ht="30">
      <c r="B107" s="11" t="s">
        <v>13070</v>
      </c>
      <c r="C107" s="79">
        <f>QUANT!C184</f>
        <v>99260</v>
      </c>
      <c r="D107" s="79" t="str">
        <f>QUANT!D184</f>
        <v>SINAPI</v>
      </c>
      <c r="E107" s="80" t="str">
        <f>IFERROR(VLOOKUP($C107,'SINAPI JULHO 2021'!$1:$1048576,2,0),IFERROR(VLOOKUP($C107,'5-COMP. PROPRIA'!$B$1:$I$7981,4,0),""))</f>
        <v>CAIXA ENTERRADA HIDRÁULICA RETANGULAR, EM ALVENARIA COM BLOCOS DE CONCRETO, DIMENSÕES INTERNAS: 0,6X0,6X0,6 M PARA REDE DE DRENAGEM. AF_12/2020</v>
      </c>
      <c r="F107" s="81" t="str">
        <f>IFERROR(VLOOKUP($C107,'SINAPI JULHO 2021'!$A:$D,3,0),IFERROR(VLOOKUP($C107,'5-COMP. PROPRIA'!$B$1:$I$7981,5,0),""))</f>
        <v>UN</v>
      </c>
      <c r="G107" s="129">
        <f>QUANT!K184</f>
        <v>2</v>
      </c>
      <c r="H107" s="200">
        <f>IFERROR(VLOOKUP($C107,'SINAPI JULHO 2021'!$A:$D,4,0),IFERROR(VLOOKUP($C107,'5-COMP. PROPRIA'!$B$1:$I$7981,8,0),""))</f>
        <v>335.65</v>
      </c>
      <c r="I107" s="200">
        <f>H107*'4-BDI'!$E$29</f>
        <v>430.43755999999996</v>
      </c>
      <c r="J107" s="201">
        <f t="shared" ref="J107:J117" si="40">TRUNC(G107*H107,2)</f>
        <v>671.3</v>
      </c>
      <c r="K107" s="123">
        <f t="shared" ref="K107:K117" si="41">TRUNC(G107*I107,2)</f>
        <v>860.87</v>
      </c>
    </row>
    <row r="108" spans="2:11" ht="30">
      <c r="B108" s="11" t="s">
        <v>13071</v>
      </c>
      <c r="C108" s="79" t="str">
        <f>QUANT!C185</f>
        <v>CP-GRE-01</v>
      </c>
      <c r="D108" s="79" t="str">
        <f>QUANT!D185</f>
        <v>PRÓPRIA</v>
      </c>
      <c r="E108" s="80" t="str">
        <f>IFERROR(VLOOKUP($C108,'SINAPI JULHO 2021'!$1:$1048576,2,0),IFERROR(VLOOKUP($C108,'5-COMP. PROPRIA'!$B$1:$I$7981,4,0),""))</f>
        <v>CANALETA TIPO MEIA CANA D= 80CM COM GRELHA EM CONCRETO ARMADO PERFURADO PARA DRENAGEM DE ÁGUA, FORNECIMENTO E INSTALAÇÃO.</v>
      </c>
      <c r="F108" s="81" t="str">
        <f>IFERROR(VLOOKUP($C108,'SINAPI JULHO 2021'!$A:$D,3,0),IFERROR(VLOOKUP($C108,'5-COMP. PROPRIA'!$B$1:$I$7981,5,0),""))</f>
        <v>M</v>
      </c>
      <c r="G108" s="129">
        <f>QUANT!K185</f>
        <v>46</v>
      </c>
      <c r="H108" s="200">
        <f>IFERROR(VLOOKUP($C108,'SINAPI JULHO 2021'!$A:$D,4,0),IFERROR(VLOOKUP($C108,'5-COMP. PROPRIA'!$B$1:$I$7981,8,0),""))</f>
        <v>199.04</v>
      </c>
      <c r="I108" s="200">
        <f>H108*'4-BDI'!$E$29</f>
        <v>255.24889599999997</v>
      </c>
      <c r="J108" s="201">
        <f t="shared" si="40"/>
        <v>9155.84</v>
      </c>
      <c r="K108" s="123">
        <f t="shared" si="41"/>
        <v>11741.44</v>
      </c>
    </row>
    <row r="109" spans="2:11" ht="30">
      <c r="B109" s="11" t="s">
        <v>13072</v>
      </c>
      <c r="C109" s="79">
        <f>QUANT!C186</f>
        <v>94228</v>
      </c>
      <c r="D109" s="79" t="str">
        <f>QUANT!D186</f>
        <v>SINAPI</v>
      </c>
      <c r="E109" s="80" t="str">
        <f>IFERROR(VLOOKUP($C109,'SINAPI JULHO 2021'!$1:$1048576,2,0),IFERROR(VLOOKUP($C109,'5-COMP. PROPRIA'!$B$1:$I$7981,4,0),""))</f>
        <v>CALHA EM CHAPA DE AÇO GALVANIZADO NÚMERO 24, DESENVOLVIMENTO DE 50 CM, INCLUSO TRANSPORTE VERTICAL. AF_07/2019</v>
      </c>
      <c r="F109" s="81" t="str">
        <f>IFERROR(VLOOKUP($C109,'SINAPI JULHO 2021'!$A:$D,3,0),IFERROR(VLOOKUP($C109,'5-COMP. PROPRIA'!$B$1:$I$7981,5,0),""))</f>
        <v>M</v>
      </c>
      <c r="G109" s="129">
        <f>QUANT!K186</f>
        <v>133.6</v>
      </c>
      <c r="H109" s="200">
        <f>IFERROR(VLOOKUP($C109,'SINAPI JULHO 2021'!$A:$D,4,0),IFERROR(VLOOKUP($C109,'5-COMP. PROPRIA'!$B$1:$I$7981,8,0),""))</f>
        <v>77.260000000000005</v>
      </c>
      <c r="I109" s="200">
        <f>H109*'4-BDI'!$E$29</f>
        <v>99.078224000000006</v>
      </c>
      <c r="J109" s="201">
        <f t="shared" si="40"/>
        <v>10321.93</v>
      </c>
      <c r="K109" s="123">
        <f t="shared" si="41"/>
        <v>13236.85</v>
      </c>
    </row>
    <row r="110" spans="2:11" ht="30">
      <c r="B110" s="11" t="s">
        <v>13073</v>
      </c>
      <c r="C110" s="79">
        <f>QUANT!C187</f>
        <v>100327</v>
      </c>
      <c r="D110" s="79" t="str">
        <f>QUANT!D187</f>
        <v>SINAPI</v>
      </c>
      <c r="E110" s="80" t="str">
        <f>IFERROR(VLOOKUP($C110,'SINAPI JULHO 2021'!$1:$1048576,2,0),IFERROR(VLOOKUP($C110,'5-COMP. PROPRIA'!$B$1:$I$7981,4,0),""))</f>
        <v>RUFO EXTERNO/INTERNO EM CHAPA DE AÇO GALVANIZADO NÚMERO 26, CORTE DE 33 CM, INCLUSO IÇAMENTO. AF_07/2019</v>
      </c>
      <c r="F110" s="81" t="str">
        <f>IFERROR(VLOOKUP($C110,'SINAPI JULHO 2021'!$A:$D,3,0),IFERROR(VLOOKUP($C110,'5-COMP. PROPRIA'!$B$1:$I$7981,5,0),""))</f>
        <v>M</v>
      </c>
      <c r="G110" s="129">
        <f>QUANT!K187</f>
        <v>94.8</v>
      </c>
      <c r="H110" s="200">
        <f>IFERROR(VLOOKUP($C110,'SINAPI JULHO 2021'!$A:$D,4,0),IFERROR(VLOOKUP($C110,'5-COMP. PROPRIA'!$B$1:$I$7981,8,0),""))</f>
        <v>50.88</v>
      </c>
      <c r="I110" s="200">
        <f>H110*'4-BDI'!$E$29</f>
        <v>65.248512000000005</v>
      </c>
      <c r="J110" s="201">
        <f t="shared" si="40"/>
        <v>4823.42</v>
      </c>
      <c r="K110" s="123">
        <f t="shared" si="41"/>
        <v>6185.55</v>
      </c>
    </row>
    <row r="111" spans="2:11" ht="30">
      <c r="B111" s="11" t="s">
        <v>13074</v>
      </c>
      <c r="C111" s="79">
        <f>QUANT!C188</f>
        <v>89578</v>
      </c>
      <c r="D111" s="79" t="str">
        <f>QUANT!D188</f>
        <v>SINAPI</v>
      </c>
      <c r="E111" s="80" t="str">
        <f>IFERROR(VLOOKUP($C111,'SINAPI JULHO 2021'!$1:$1048576,2,0),IFERROR(VLOOKUP($C111,'5-COMP. PROPRIA'!$B$1:$I$7981,4,0),""))</f>
        <v>TUBO PVC, SÉRIE R, ÁGUA PLUVIAL, DN 100 MM, FORNECIDO E INSTALADO EM CONDUTORES VERTICAIS DE ÁGUAS PLUVIAIS. AF_12/2014</v>
      </c>
      <c r="F111" s="81" t="str">
        <f>IFERROR(VLOOKUP($C111,'SINAPI JULHO 2021'!$A:$D,3,0),IFERROR(VLOOKUP($C111,'5-COMP. PROPRIA'!$B$1:$I$7981,5,0),""))</f>
        <v>M</v>
      </c>
      <c r="G111" s="129">
        <f>QUANT!K188</f>
        <v>254</v>
      </c>
      <c r="H111" s="200">
        <f>IFERROR(VLOOKUP($C111,'SINAPI JULHO 2021'!$A:$D,4,0),IFERROR(VLOOKUP($C111,'5-COMP. PROPRIA'!$B$1:$I$7981,8,0),""))</f>
        <v>38.65</v>
      </c>
      <c r="I111" s="200">
        <f>H111*'4-BDI'!$E$29</f>
        <v>49.56476</v>
      </c>
      <c r="J111" s="201">
        <f t="shared" si="40"/>
        <v>9817.1</v>
      </c>
      <c r="K111" s="123">
        <f t="shared" si="41"/>
        <v>12589.44</v>
      </c>
    </row>
    <row r="112" spans="2:11" ht="30">
      <c r="B112" s="11" t="s">
        <v>13075</v>
      </c>
      <c r="C112" s="79">
        <f>QUANT!C189</f>
        <v>89585</v>
      </c>
      <c r="D112" s="79" t="str">
        <f>QUANT!D189</f>
        <v>SINAPI</v>
      </c>
      <c r="E112" s="80" t="str">
        <f>IFERROR(VLOOKUP($C112,'SINAPI JULHO 2021'!$1:$1048576,2,0),IFERROR(VLOOKUP($C112,'5-COMP. PROPRIA'!$B$1:$I$7981,4,0),""))</f>
        <v>JOELHO 45 GRAUS, PVC, SERIE R, ÁGUA PLUVIAL, DN 100 MM, JUNTA ELÁSTICA, FORNECIDO E INSTALADO EM CONDUTORES VERTICAIS DE ÁGUAS PLUVIAIS. AF_12/2014</v>
      </c>
      <c r="F112" s="81" t="str">
        <f>IFERROR(VLOOKUP($C112,'SINAPI JULHO 2021'!$A:$D,3,0),IFERROR(VLOOKUP($C112,'5-COMP. PROPRIA'!$B$1:$I$7981,5,0),""))</f>
        <v>UN</v>
      </c>
      <c r="G112" s="129">
        <f>QUANT!K189</f>
        <v>16</v>
      </c>
      <c r="H112" s="200">
        <f>IFERROR(VLOOKUP($C112,'SINAPI JULHO 2021'!$A:$D,4,0),IFERROR(VLOOKUP($C112,'5-COMP. PROPRIA'!$B$1:$I$7981,8,0),""))</f>
        <v>30.95</v>
      </c>
      <c r="I112" s="200">
        <f>H112*'4-BDI'!$E$29</f>
        <v>39.690280000000001</v>
      </c>
      <c r="J112" s="201">
        <f t="shared" si="40"/>
        <v>495.2</v>
      </c>
      <c r="K112" s="123">
        <f t="shared" si="41"/>
        <v>635.04</v>
      </c>
    </row>
    <row r="113" spans="2:11" ht="30">
      <c r="B113" s="11" t="s">
        <v>13076</v>
      </c>
      <c r="C113" s="79">
        <f>QUANT!C190</f>
        <v>89584</v>
      </c>
      <c r="D113" s="79" t="str">
        <f>QUANT!D190</f>
        <v>SINAPI</v>
      </c>
      <c r="E113" s="80" t="str">
        <f>IFERROR(VLOOKUP($C113,'SINAPI JULHO 2021'!$1:$1048576,2,0),IFERROR(VLOOKUP($C113,'5-COMP. PROPRIA'!$B$1:$I$7981,4,0),""))</f>
        <v>JOELHO 90 GRAUS, PVC, SERIE R, ÁGUA PLUVIAL, DN 100 MM, JUNTA ELÁSTICA, FORNECIDO E INSTALADO EM CONDUTORES VERTICAIS DE ÁGUAS PLUVIAIS. AF_12/2014</v>
      </c>
      <c r="F113" s="81" t="str">
        <f>IFERROR(VLOOKUP($C113,'SINAPI JULHO 2021'!$A:$D,3,0),IFERROR(VLOOKUP($C113,'5-COMP. PROPRIA'!$B$1:$I$7981,5,0),""))</f>
        <v>UN</v>
      </c>
      <c r="G113" s="129">
        <f>QUANT!K190</f>
        <v>22</v>
      </c>
      <c r="H113" s="200">
        <f>IFERROR(VLOOKUP($C113,'SINAPI JULHO 2021'!$A:$D,4,0),IFERROR(VLOOKUP($C113,'5-COMP. PROPRIA'!$B$1:$I$7981,8,0),""))</f>
        <v>38.29</v>
      </c>
      <c r="I113" s="200">
        <f>H113*'4-BDI'!$E$29</f>
        <v>49.103096000000001</v>
      </c>
      <c r="J113" s="201">
        <f t="shared" si="40"/>
        <v>842.38</v>
      </c>
      <c r="K113" s="123">
        <f t="shared" si="41"/>
        <v>1080.26</v>
      </c>
    </row>
    <row r="114" spans="2:11" ht="30">
      <c r="B114" s="11" t="s">
        <v>13077</v>
      </c>
      <c r="C114" s="79">
        <f>QUANT!C191</f>
        <v>90702</v>
      </c>
      <c r="D114" s="79" t="str">
        <f>QUANT!D191</f>
        <v>SINAPI</v>
      </c>
      <c r="E114" s="80" t="str">
        <f>IFERROR(VLOOKUP($C114,'SINAPI JULHO 2021'!$1:$1048576,2,0),IFERROR(VLOOKUP($C114,'5-COMP. PROPRIA'!$B$1:$I$7981,4,0),""))</f>
        <v>TUBO DE PVC CORRUGADO DE DUPLA PAREDE PARA REDE COLETORA DE ESGOTO, DN 200 MM, JUNTA ELÁSTICA - FORNECIMENTO E ASSENTAMENTO. AF_01/2021</v>
      </c>
      <c r="F114" s="81" t="str">
        <f>IFERROR(VLOOKUP($C114,'SINAPI JULHO 2021'!$A:$D,3,0),IFERROR(VLOOKUP($C114,'5-COMP. PROPRIA'!$B$1:$I$7981,5,0),""))</f>
        <v>M</v>
      </c>
      <c r="G114" s="129">
        <f>QUANT!K191</f>
        <v>100</v>
      </c>
      <c r="H114" s="200">
        <f>IFERROR(VLOOKUP($C114,'SINAPI JULHO 2021'!$A:$D,4,0),IFERROR(VLOOKUP($C114,'5-COMP. PROPRIA'!$B$1:$I$7981,8,0),""))</f>
        <v>120</v>
      </c>
      <c r="I114" s="200">
        <f>H114*'4-BDI'!$E$29</f>
        <v>153.88800000000001</v>
      </c>
      <c r="J114" s="201">
        <f t="shared" si="40"/>
        <v>12000</v>
      </c>
      <c r="K114" s="123">
        <f t="shared" si="41"/>
        <v>15388.8</v>
      </c>
    </row>
    <row r="115" spans="2:11" ht="15">
      <c r="B115" s="222" t="s">
        <v>5747</v>
      </c>
      <c r="C115" s="79"/>
      <c r="D115" s="79"/>
      <c r="E115" s="225" t="str">
        <f>QUANT!E192</f>
        <v>DRENO DO AR</v>
      </c>
      <c r="F115" s="81"/>
      <c r="G115" s="129"/>
      <c r="H115" s="200"/>
      <c r="I115" s="200"/>
      <c r="J115" s="201"/>
      <c r="K115" s="123"/>
    </row>
    <row r="116" spans="2:11" ht="30">
      <c r="B116" s="11" t="s">
        <v>13078</v>
      </c>
      <c r="C116" s="79">
        <f>QUANT!C193</f>
        <v>97886</v>
      </c>
      <c r="D116" s="79" t="str">
        <f>QUANT!D193</f>
        <v>SINAPI</v>
      </c>
      <c r="E116" s="80" t="str">
        <f>IFERROR(VLOOKUP($C116,'SINAPI JULHO 2021'!$1:$1048576,2,0),IFERROR(VLOOKUP($C116,'5-COMP. PROPRIA'!$B$1:$I$7981,4,0),""))</f>
        <v>CAIXA ENTERRADA ELÉTRICA RETANGULAR, EM ALVENARIA COM TIJOLOS CERÂMICOS MACIÇOS, FUNDO COM BRITA, DIMENSÕES INTERNAS: 0,3X0,3X0,3 M. AF_12/2020</v>
      </c>
      <c r="F116" s="81" t="str">
        <f>IFERROR(VLOOKUP($C116,'SINAPI JULHO 2021'!$A:$D,3,0),IFERROR(VLOOKUP($C116,'5-COMP. PROPRIA'!$B$1:$I$7981,5,0),""))</f>
        <v>UN</v>
      </c>
      <c r="G116" s="129">
        <f>QUANT!K193</f>
        <v>7</v>
      </c>
      <c r="H116" s="200">
        <f>IFERROR(VLOOKUP($C116,'SINAPI JULHO 2021'!$A:$D,4,0),IFERROR(VLOOKUP($C116,'5-COMP. PROPRIA'!$B$1:$I$7981,8,0),""))</f>
        <v>146.86000000000001</v>
      </c>
      <c r="I116" s="200">
        <f>H116*'4-BDI'!$E$29</f>
        <v>188.33326400000001</v>
      </c>
      <c r="J116" s="201">
        <f t="shared" si="40"/>
        <v>1028.02</v>
      </c>
      <c r="K116" s="123">
        <f t="shared" si="41"/>
        <v>1318.33</v>
      </c>
    </row>
    <row r="117" spans="2:11" ht="30">
      <c r="B117" s="11" t="s">
        <v>13079</v>
      </c>
      <c r="C117" s="79">
        <f>QUANT!C194</f>
        <v>89576</v>
      </c>
      <c r="D117" s="79" t="str">
        <f>QUANT!D194</f>
        <v>SINAPI</v>
      </c>
      <c r="E117" s="80" t="str">
        <f>IFERROR(VLOOKUP($C117,'SINAPI JULHO 2021'!$1:$1048576,2,0),IFERROR(VLOOKUP($C117,'5-COMP. PROPRIA'!$B$1:$I$7981,4,0),""))</f>
        <v>TUBO PVC, SÉRIE R, ÁGUA PLUVIAL, DN 75 MM, FORNECIDO E INSTALADO EM CONDUTORES VERTICAIS DE ÁGUAS PLUVIAIS. AF_12/2014</v>
      </c>
      <c r="F117" s="81" t="str">
        <f>IFERROR(VLOOKUP($C117,'SINAPI JULHO 2021'!$A:$D,3,0),IFERROR(VLOOKUP($C117,'5-COMP. PROPRIA'!$B$1:$I$7981,5,0),""))</f>
        <v>M</v>
      </c>
      <c r="G117" s="129">
        <f>QUANT!K194</f>
        <v>53</v>
      </c>
      <c r="H117" s="200">
        <f>IFERROR(VLOOKUP($C117,'SINAPI JULHO 2021'!$A:$D,4,0),IFERROR(VLOOKUP($C117,'5-COMP. PROPRIA'!$B$1:$I$7981,8,0),""))</f>
        <v>22.36</v>
      </c>
      <c r="I117" s="200">
        <f>H117*'4-BDI'!$E$29</f>
        <v>28.674464</v>
      </c>
      <c r="J117" s="201">
        <f t="shared" si="40"/>
        <v>1185.08</v>
      </c>
      <c r="K117" s="123">
        <f t="shared" si="41"/>
        <v>1519.74</v>
      </c>
    </row>
    <row r="118" spans="2:11" ht="30">
      <c r="B118" s="11" t="s">
        <v>13080</v>
      </c>
      <c r="C118" s="79">
        <f>QUANT!C195</f>
        <v>89599</v>
      </c>
      <c r="D118" s="79" t="str">
        <f>QUANT!D195</f>
        <v>SINAPI</v>
      </c>
      <c r="E118" s="80" t="str">
        <f>IFERROR(VLOOKUP($C118,'SINAPI JULHO 2021'!$1:$1048576,2,0),IFERROR(VLOOKUP($C118,'5-COMP. PROPRIA'!$B$1:$I$7981,4,0),""))</f>
        <v>LUVA SIMPLES, PVC, SERIE R, ÁGUA PLUVIAL, DN 75 MM, JUNTA ELÁSTICA, FORNECIDO E INSTALADO EM CONDUTORES VERTICAIS DE ÁGUAS PLUVIAIS. AF_12/2014</v>
      </c>
      <c r="F118" s="81" t="str">
        <f>IFERROR(VLOOKUP($C118,'SINAPI JULHO 2021'!$A:$D,3,0),IFERROR(VLOOKUP($C118,'5-COMP. PROPRIA'!$B$1:$I$7981,5,0),""))</f>
        <v>UN</v>
      </c>
      <c r="G118" s="129">
        <f>QUANT!K195</f>
        <v>33</v>
      </c>
      <c r="H118" s="200">
        <f>IFERROR(VLOOKUP($C118,'SINAPI JULHO 2021'!$A:$D,4,0),IFERROR(VLOOKUP($C118,'5-COMP. PROPRIA'!$B$1:$I$7981,8,0),""))</f>
        <v>18.02</v>
      </c>
      <c r="I118" s="200">
        <f>H118*'4-BDI'!$E$29</f>
        <v>23.108847999999998</v>
      </c>
      <c r="J118" s="201">
        <f t="shared" ref="J118:J121" si="42">TRUNC(G118*H118,2)</f>
        <v>594.66</v>
      </c>
      <c r="K118" s="123">
        <f t="shared" ref="K118:K121" si="43">TRUNC(G118*I118,2)</f>
        <v>762.59</v>
      </c>
    </row>
    <row r="119" spans="2:11" ht="30">
      <c r="B119" s="11" t="s">
        <v>13081</v>
      </c>
      <c r="C119" s="79">
        <f>QUANT!C196</f>
        <v>89582</v>
      </c>
      <c r="D119" s="79" t="str">
        <f>QUANT!D196</f>
        <v>SINAPI</v>
      </c>
      <c r="E119" s="80" t="str">
        <f>IFERROR(VLOOKUP($C119,'SINAPI JULHO 2021'!$1:$1048576,2,0),IFERROR(VLOOKUP($C119,'5-COMP. PROPRIA'!$B$1:$I$7981,4,0),""))</f>
        <v>JOELHO 45 GRAUS, PVC, SERIE R, ÁGUA PLUVIAL, DN 75 MM, JUNTA ELÁSTICA, FORNECIDO E INSTALADO EM CONDUTORES VERTICAIS DE ÁGUAS PLUVIAIS. AF_12/2014</v>
      </c>
      <c r="F119" s="81" t="str">
        <f>IFERROR(VLOOKUP($C119,'SINAPI JULHO 2021'!$A:$D,3,0),IFERROR(VLOOKUP($C119,'5-COMP. PROPRIA'!$B$1:$I$7981,5,0),""))</f>
        <v>UN</v>
      </c>
      <c r="G119" s="129">
        <f>QUANT!K196</f>
        <v>46</v>
      </c>
      <c r="H119" s="200">
        <f>IFERROR(VLOOKUP($C119,'SINAPI JULHO 2021'!$A:$D,4,0),IFERROR(VLOOKUP($C119,'5-COMP. PROPRIA'!$B$1:$I$7981,8,0),""))</f>
        <v>22.82</v>
      </c>
      <c r="I119" s="200">
        <f>H119*'4-BDI'!$E$29</f>
        <v>29.264368000000001</v>
      </c>
      <c r="J119" s="201">
        <f t="shared" si="42"/>
        <v>1049.72</v>
      </c>
      <c r="K119" s="123">
        <f t="shared" si="43"/>
        <v>1346.16</v>
      </c>
    </row>
    <row r="120" spans="2:11" ht="30">
      <c r="B120" s="11" t="s">
        <v>13082</v>
      </c>
      <c r="C120" s="79">
        <f>QUANT!C197</f>
        <v>89865</v>
      </c>
      <c r="D120" s="79" t="str">
        <f>QUANT!D197</f>
        <v>SINAPI</v>
      </c>
      <c r="E120" s="80" t="str">
        <f>IFERROR(VLOOKUP($C120,'SINAPI JULHO 2021'!$1:$1048576,2,0),IFERROR(VLOOKUP($C120,'5-COMP. PROPRIA'!$B$1:$I$7981,4,0),""))</f>
        <v>TUBO, PVC, SOLDÁVEL, DN 25MM, INSTALADO EM DRENO DE AR-CONDICIONADO - FORNECIMENTO E INSTALAÇÃO. AF_12/2014</v>
      </c>
      <c r="F120" s="81" t="str">
        <f>IFERROR(VLOOKUP($C120,'SINAPI JULHO 2021'!$A:$D,3,0),IFERROR(VLOOKUP($C120,'5-COMP. PROPRIA'!$B$1:$I$7981,5,0),""))</f>
        <v>M</v>
      </c>
      <c r="G120" s="129">
        <f>QUANT!K197</f>
        <v>112.25000000000001</v>
      </c>
      <c r="H120" s="200">
        <f>IFERROR(VLOOKUP($C120,'SINAPI JULHO 2021'!$A:$D,4,0),IFERROR(VLOOKUP($C120,'5-COMP. PROPRIA'!$B$1:$I$7981,8,0),""))</f>
        <v>9.8699999999999992</v>
      </c>
      <c r="I120" s="200">
        <f>H120*'4-BDI'!$E$29</f>
        <v>12.657287999999999</v>
      </c>
      <c r="J120" s="201">
        <f t="shared" si="42"/>
        <v>1107.9000000000001</v>
      </c>
      <c r="K120" s="123">
        <f t="shared" si="43"/>
        <v>1420.78</v>
      </c>
    </row>
    <row r="121" spans="2:11" ht="30">
      <c r="B121" s="11" t="s">
        <v>13083</v>
      </c>
      <c r="C121" s="79">
        <f>QUANT!C198</f>
        <v>89866</v>
      </c>
      <c r="D121" s="79" t="str">
        <f>QUANT!D198</f>
        <v>SINAPI</v>
      </c>
      <c r="E121" s="80" t="str">
        <f>IFERROR(VLOOKUP($C121,'SINAPI JULHO 2021'!$1:$1048576,2,0),IFERROR(VLOOKUP($C121,'5-COMP. PROPRIA'!$B$1:$I$7981,4,0),""))</f>
        <v>JOELHO 90 GRAUS, PVC, SOLDÁVEL, DN 25MM, INSTALADO EM DRENO DE AR-CONDICIONADO - FORNECIMENTO E INSTALAÇÃO. AF_12/2014</v>
      </c>
      <c r="F121" s="81" t="str">
        <f>IFERROR(VLOOKUP($C121,'SINAPI JULHO 2021'!$A:$D,3,0),IFERROR(VLOOKUP($C121,'5-COMP. PROPRIA'!$B$1:$I$7981,5,0),""))</f>
        <v>UN</v>
      </c>
      <c r="G121" s="129">
        <f>QUANT!K198</f>
        <v>31</v>
      </c>
      <c r="H121" s="200">
        <f>IFERROR(VLOOKUP($C121,'SINAPI JULHO 2021'!$A:$D,4,0),IFERROR(VLOOKUP($C121,'5-COMP. PROPRIA'!$B$1:$I$7981,8,0),""))</f>
        <v>4.09</v>
      </c>
      <c r="I121" s="200">
        <f>H121*'4-BDI'!$E$29</f>
        <v>5.2450159999999997</v>
      </c>
      <c r="J121" s="201">
        <f t="shared" si="42"/>
        <v>126.79</v>
      </c>
      <c r="K121" s="123">
        <f t="shared" si="43"/>
        <v>162.59</v>
      </c>
    </row>
    <row r="122" spans="2:11" ht="30">
      <c r="B122" s="11" t="s">
        <v>13084</v>
      </c>
      <c r="C122" s="79">
        <f>QUANT!C199</f>
        <v>89869</v>
      </c>
      <c r="D122" s="79" t="str">
        <f>QUANT!D199</f>
        <v>SINAPI</v>
      </c>
      <c r="E122" s="80" t="str">
        <f>IFERROR(VLOOKUP($C122,'SINAPI JULHO 2021'!$1:$1048576,2,0),IFERROR(VLOOKUP($C122,'5-COMP. PROPRIA'!$B$1:$I$7981,4,0),""))</f>
        <v>TE, PVC, SOLDÁVEL, DN 25MM, INSTALADO EM DRENO DE AR-CONDICIONADO - FORNECIMENTO E INSTALAÇÃO. AF_12/2014</v>
      </c>
      <c r="F122" s="81" t="str">
        <f>IFERROR(VLOOKUP($C122,'SINAPI JULHO 2021'!$A:$D,3,0),IFERROR(VLOOKUP($C122,'5-COMP. PROPRIA'!$B$1:$I$7981,5,0),""))</f>
        <v>UN</v>
      </c>
      <c r="G122" s="129">
        <f>QUANT!K199</f>
        <v>15</v>
      </c>
      <c r="H122" s="200">
        <f>IFERROR(VLOOKUP($C122,'SINAPI JULHO 2021'!$A:$D,4,0),IFERROR(VLOOKUP($C122,'5-COMP. PROPRIA'!$B$1:$I$7981,8,0),""))</f>
        <v>6.93</v>
      </c>
      <c r="I122" s="200">
        <f>H122*'4-BDI'!$E$29</f>
        <v>8.8870319999999996</v>
      </c>
      <c r="J122" s="201">
        <f t="shared" ref="J122:J123" si="44">TRUNC(G122*H122,2)</f>
        <v>103.95</v>
      </c>
      <c r="K122" s="123">
        <f t="shared" ref="K122:K123" si="45">TRUNC(G122*I122,2)</f>
        <v>133.30000000000001</v>
      </c>
    </row>
    <row r="123" spans="2:11" ht="30">
      <c r="B123" s="11" t="s">
        <v>13085</v>
      </c>
      <c r="C123" s="79">
        <f>QUANT!C200</f>
        <v>89868</v>
      </c>
      <c r="D123" s="79" t="str">
        <f>QUANT!D200</f>
        <v>SINAPI</v>
      </c>
      <c r="E123" s="80" t="str">
        <f>IFERROR(VLOOKUP($C123,'SINAPI JULHO 2021'!$1:$1048576,2,0),IFERROR(VLOOKUP($C123,'5-COMP. PROPRIA'!$B$1:$I$7981,4,0),""))</f>
        <v>LUVA, PVC, SOLDÁVEL, DN 25MM, INSTALADO EM DRENO DE AR-CONDICIONADO - FORNECIMENTO E INSTALAÇÃO. AF_12/2014</v>
      </c>
      <c r="F123" s="81" t="str">
        <f>IFERROR(VLOOKUP($C123,'SINAPI JULHO 2021'!$A:$D,3,0),IFERROR(VLOOKUP($C123,'5-COMP. PROPRIA'!$B$1:$I$7981,5,0),""))</f>
        <v>UN</v>
      </c>
      <c r="G123" s="129">
        <f>QUANT!K200</f>
        <v>19</v>
      </c>
      <c r="H123" s="200">
        <f>IFERROR(VLOOKUP($C123,'SINAPI JULHO 2021'!$A:$D,4,0),IFERROR(VLOOKUP($C123,'5-COMP. PROPRIA'!$B$1:$I$7981,8,0),""))</f>
        <v>3.2</v>
      </c>
      <c r="I123" s="200">
        <f>H123*'4-BDI'!$E$29</f>
        <v>4.1036799999999998</v>
      </c>
      <c r="J123" s="201">
        <f t="shared" si="44"/>
        <v>60.8</v>
      </c>
      <c r="K123" s="123">
        <f t="shared" si="45"/>
        <v>77.959999999999994</v>
      </c>
    </row>
    <row r="124" spans="2:11" ht="15">
      <c r="B124" s="834" t="s">
        <v>3506</v>
      </c>
      <c r="C124" s="836"/>
      <c r="D124" s="836"/>
      <c r="E124" s="836"/>
      <c r="F124" s="836"/>
      <c r="G124" s="836"/>
      <c r="H124" s="837"/>
      <c r="I124" s="202"/>
      <c r="J124" s="126">
        <f>TRUNC(SUM(J105:J123),2)</f>
        <v>69928.05</v>
      </c>
      <c r="K124" s="125">
        <f>TRUNC(SUM(K105:K123),2)</f>
        <v>89675.67</v>
      </c>
    </row>
    <row r="125" spans="2:11" ht="15">
      <c r="B125" s="5" t="s">
        <v>595</v>
      </c>
      <c r="C125" s="6"/>
      <c r="D125" s="7"/>
      <c r="E125" s="8" t="str">
        <f>QUANT!E201</f>
        <v>IMPERMEABILIZAÇÃO</v>
      </c>
      <c r="F125" s="9"/>
      <c r="G125" s="128"/>
      <c r="H125" s="221"/>
      <c r="I125" s="121"/>
      <c r="J125" s="121"/>
      <c r="K125" s="122"/>
    </row>
    <row r="126" spans="2:11" ht="15">
      <c r="B126" s="11" t="s">
        <v>23</v>
      </c>
      <c r="C126" s="79">
        <f>QUANT!C203</f>
        <v>98557</v>
      </c>
      <c r="D126" s="79" t="str">
        <f>QUANT!D203</f>
        <v>SINAPI</v>
      </c>
      <c r="E126" s="80" t="str">
        <f>IFERROR(VLOOKUP($C126,'SINAPI JULHO 2021'!$1:$1048576,2,0),IFERROR(VLOOKUP($C126,'5-COMP. PROPRIA'!$B$1:$I$7981,4,0),""))</f>
        <v>IMPERMEABILIZAÇÃO DE SUPERFÍCIE COM EMULSÃO ASFÁLTICA, 2 DEMÃOS AF_06/2018</v>
      </c>
      <c r="F126" s="81" t="str">
        <f>IFERROR(VLOOKUP($C126,'SINAPI JULHO 2021'!$A:$D,3,0),IFERROR(VLOOKUP($C126,'5-COMP. PROPRIA'!$B$1:$I$7981,5,0),""))</f>
        <v>M2</v>
      </c>
      <c r="G126" s="129">
        <f>QUANT!K203</f>
        <v>1143.0999999999999</v>
      </c>
      <c r="H126" s="200">
        <f>IFERROR(VLOOKUP($C126,'SINAPI JULHO 2021'!$A:$D,4,0),IFERROR(VLOOKUP($C126,'5-COMP. PROPRIA'!$B$1:$I$7981,8,0),""))</f>
        <v>55.87</v>
      </c>
      <c r="I126" s="200">
        <f>H126*'4-BDI'!$E$29</f>
        <v>71.647688000000002</v>
      </c>
      <c r="J126" s="201">
        <f t="shared" ref="J126" si="46">TRUNC(G126*H126,2)</f>
        <v>63864.99</v>
      </c>
      <c r="K126" s="123">
        <f t="shared" ref="K126" si="47">TRUNC(G126*I126,2)</f>
        <v>81900.47</v>
      </c>
    </row>
    <row r="127" spans="2:11" ht="15" customHeight="1">
      <c r="B127" s="834" t="s">
        <v>3506</v>
      </c>
      <c r="C127" s="836"/>
      <c r="D127" s="836"/>
      <c r="E127" s="836"/>
      <c r="F127" s="836"/>
      <c r="G127" s="836"/>
      <c r="H127" s="837"/>
      <c r="I127" s="202"/>
      <c r="J127" s="126">
        <f>TRUNC(SUM(J126),2)</f>
        <v>63864.99</v>
      </c>
      <c r="K127" s="125">
        <f>TRUNC(SUM(K126),2)</f>
        <v>81900.47</v>
      </c>
    </row>
    <row r="128" spans="2:11" ht="15">
      <c r="B128" s="5" t="s">
        <v>596</v>
      </c>
      <c r="C128" s="6"/>
      <c r="D128" s="7"/>
      <c r="E128" s="8" t="str">
        <f>QUANT!E205</f>
        <v>FECHAMENTO EM ALVENARIA</v>
      </c>
      <c r="F128" s="9"/>
      <c r="G128" s="128"/>
      <c r="H128" s="221"/>
      <c r="I128" s="121"/>
      <c r="J128" s="121"/>
      <c r="K128" s="122"/>
    </row>
    <row r="129" spans="2:11" ht="45">
      <c r="B129" s="11" t="s">
        <v>24</v>
      </c>
      <c r="C129" s="79">
        <f>QUANT!C206</f>
        <v>87480</v>
      </c>
      <c r="D129" s="79" t="str">
        <f>QUANT!D206</f>
        <v>SINAPI</v>
      </c>
      <c r="E129" s="80" t="str">
        <f>IFERROR(VLOOKUP($C129,'SINAPI JULHO 2021'!$1:$1048576,2,0),IFERROR(VLOOKUP($C129,'5-COMP. PROPRIA'!$B$1:$I$7981,4,0),""))</f>
        <v>ALVENARIA DE VEDAÇÃO DE BLOCOS CERÂMICOS FURADOS NA VERTICAL DE 14X19X39CM (ESPESSURA 14CM) DE PAREDES COM ÁREA LÍQUIDA MAIOR OU IGUAL A 6M² SEM VÃOS E ARGAMASSA DE ASSENTAMENTO COM PREPARO MANUAL. AF_06/2014</v>
      </c>
      <c r="F129" s="81" t="str">
        <f>IFERROR(VLOOKUP($C129,'SINAPI JULHO 2021'!$A:$D,3,0),IFERROR(VLOOKUP($C129,'5-COMP. PROPRIA'!$B$1:$I$7981,5,0),""))</f>
        <v>M2</v>
      </c>
      <c r="G129" s="129">
        <f>QUANT!K206</f>
        <v>1899.2695000000006</v>
      </c>
      <c r="H129" s="200">
        <f>IFERROR(VLOOKUP($C129,'SINAPI JULHO 2021'!$A:$D,4,0),IFERROR(VLOOKUP($C129,'5-COMP. PROPRIA'!$B$1:$I$7981,8,0),""))</f>
        <v>68.03</v>
      </c>
      <c r="I129" s="200">
        <f>H129*'4-BDI'!$E$29</f>
        <v>87.241671999999994</v>
      </c>
      <c r="J129" s="201">
        <f t="shared" ref="J129" si="48">TRUNC(G129*H129,2)</f>
        <v>129207.3</v>
      </c>
      <c r="K129" s="123">
        <f t="shared" ref="K129" si="49">TRUNC(G129*I129,2)</f>
        <v>165695.44</v>
      </c>
    </row>
    <row r="130" spans="2:11" ht="45">
      <c r="B130" s="11" t="s">
        <v>25</v>
      </c>
      <c r="C130" s="79">
        <f>QUANT!C263</f>
        <v>89456</v>
      </c>
      <c r="D130" s="79" t="str">
        <f>QUANT!D263</f>
        <v>SINAPI</v>
      </c>
      <c r="E130" s="80" t="str">
        <f>IFERROR(VLOOKUP($C130,'SINAPI JULHO 2021'!$1:$1048576,2,0),IFERROR(VLOOKUP($C130,'5-COMP. PROPRIA'!$B$1:$I$7981,4,0),""))</f>
        <v>ALVENARIA DE BLOCOS DE CONCRETO ESTRUTURAL 14X19X39 CM, (ESPESSURA 14 CM) FBK = 14,0 MPA, PARA PAREDES COM ÁREA LÍQUIDA MAIOR OU IGUAL A 6M², SEM VÃOS, UTILIZANDO PALHETA. AF_12/2014</v>
      </c>
      <c r="F130" s="81" t="str">
        <f>IFERROR(VLOOKUP($C130,'SINAPI JULHO 2021'!$A:$D,3,0),IFERROR(VLOOKUP($C130,'5-COMP. PROPRIA'!$B$1:$I$7981,5,0),""))</f>
        <v>M2</v>
      </c>
      <c r="G130" s="129">
        <f>QUANT!K263</f>
        <v>127.68</v>
      </c>
      <c r="H130" s="200">
        <f>IFERROR(VLOOKUP($C130,'SINAPI JULHO 2021'!$A:$D,4,0),IFERROR(VLOOKUP($C130,'5-COMP. PROPRIA'!$B$1:$I$7981,8,0),""))</f>
        <v>76.739999999999995</v>
      </c>
      <c r="I130" s="200">
        <f>H130*'4-BDI'!$E$29</f>
        <v>98.41137599999999</v>
      </c>
      <c r="J130" s="201">
        <f t="shared" ref="J130:J132" si="50">TRUNC(G130*H130,2)</f>
        <v>9798.16</v>
      </c>
      <c r="K130" s="123">
        <f t="shared" ref="K130:K132" si="51">TRUNC(G130*I130,2)</f>
        <v>12565.16</v>
      </c>
    </row>
    <row r="131" spans="2:11" ht="45">
      <c r="B131" s="11" t="s">
        <v>26</v>
      </c>
      <c r="C131" s="79">
        <f>QUANT!C266</f>
        <v>87455</v>
      </c>
      <c r="D131" s="79" t="str">
        <f>QUANT!D266</f>
        <v>SINAPI</v>
      </c>
      <c r="E131" s="80" t="str">
        <f>IFERROR(VLOOKUP($C131,'SINAPI JULHO 2021'!$1:$1048576,2,0),IFERROR(VLOOKUP($C131,'5-COMP. PROPRIA'!$B$1:$I$7981,4,0),""))</f>
        <v>ALVENARIA DE VEDAÇÃO DE BLOCOS VAZADOS DE CONCRETO DE 14X19X39CM (ESPESSURA 14CM) DE PAREDES COM ÁREA LÍQUIDA MAIOR OU IGUAL A 6M² SEM VÃOS E ARGAMASSA DE ASSENTAMENTO COM PREPARO EM BETONEIRA. AF_06/2014</v>
      </c>
      <c r="F131" s="81" t="str">
        <f>IFERROR(VLOOKUP($C131,'SINAPI JULHO 2021'!$A:$D,3,0),IFERROR(VLOOKUP($C131,'5-COMP. PROPRIA'!$B$1:$I$7981,5,0),""))</f>
        <v>M2</v>
      </c>
      <c r="G131" s="129">
        <f>QUANT!K266</f>
        <v>562.35</v>
      </c>
      <c r="H131" s="200">
        <f>IFERROR(VLOOKUP($C131,'SINAPI JULHO 2021'!$A:$D,4,0),IFERROR(VLOOKUP($C131,'5-COMP. PROPRIA'!$B$1:$I$7981,8,0),""))</f>
        <v>66.209999999999994</v>
      </c>
      <c r="I131" s="200">
        <f>H131*'4-BDI'!$E$29</f>
        <v>84.907703999999995</v>
      </c>
      <c r="J131" s="201">
        <f t="shared" si="50"/>
        <v>37233.19</v>
      </c>
      <c r="K131" s="123">
        <f t="shared" si="51"/>
        <v>47747.839999999997</v>
      </c>
    </row>
    <row r="132" spans="2:11" ht="30">
      <c r="B132" s="11" t="s">
        <v>6743</v>
      </c>
      <c r="C132" s="79">
        <f>QUANT!C270</f>
        <v>101161</v>
      </c>
      <c r="D132" s="79" t="str">
        <f>QUANT!D270</f>
        <v>SINAPI</v>
      </c>
      <c r="E132" s="80" t="str">
        <f>IFERROR(VLOOKUP($C132,'SINAPI JULHO 2021'!$1:$1048576,2,0),IFERROR(VLOOKUP($C132,'5-COMP. PROPRIA'!$B$1:$I$7981,4,0),""))</f>
        <v>ALVENARIA DE VEDAÇÃO COM ELEMENTO VAZADO DE CONCRETO (COBOGÓ) DE 7X50X50CM E ARGAMASSA DE ASSENTAMENTO COM PREPARO EM BETONEIRA. AF_05/2020</v>
      </c>
      <c r="F132" s="81" t="str">
        <f>IFERROR(VLOOKUP($C132,'SINAPI JULHO 2021'!$A:$D,3,0),IFERROR(VLOOKUP($C132,'5-COMP. PROPRIA'!$B$1:$I$7981,5,0),""))</f>
        <v>M2</v>
      </c>
      <c r="G132" s="129">
        <f>QUANT!K270</f>
        <v>50.4</v>
      </c>
      <c r="H132" s="200">
        <f>IFERROR(VLOOKUP($C132,'SINAPI JULHO 2021'!$A:$D,4,0),IFERROR(VLOOKUP($C132,'5-COMP. PROPRIA'!$B$1:$I$7981,8,0),""))</f>
        <v>157.02000000000001</v>
      </c>
      <c r="I132" s="200">
        <f>H132*'4-BDI'!$E$29</f>
        <v>201.362448</v>
      </c>
      <c r="J132" s="201">
        <f t="shared" si="50"/>
        <v>7913.8</v>
      </c>
      <c r="K132" s="123">
        <f t="shared" si="51"/>
        <v>10148.66</v>
      </c>
    </row>
    <row r="133" spans="2:11" ht="15">
      <c r="B133" s="11" t="s">
        <v>5748</v>
      </c>
      <c r="C133" s="79">
        <f>QUANT!C272</f>
        <v>93183</v>
      </c>
      <c r="D133" s="79" t="str">
        <f>QUANT!D272</f>
        <v>SINAPI</v>
      </c>
      <c r="E133" s="80" t="str">
        <f>IFERROR(VLOOKUP($C133,'SINAPI JULHO 2021'!$1:$1048576,2,0),IFERROR(VLOOKUP($C133,'5-COMP. PROPRIA'!$B$1:$I$7981,4,0),""))</f>
        <v>VERGA PRÉ-MOLDADA PARA JANELAS COM MAIS DE 1,5 M DE VÃO. AF_03/2016</v>
      </c>
      <c r="F133" s="81" t="str">
        <f>IFERROR(VLOOKUP($C133,'SINAPI JULHO 2021'!$A:$D,3,0),IFERROR(VLOOKUP($C133,'5-COMP. PROPRIA'!$B$1:$I$7981,5,0),""))</f>
        <v>M</v>
      </c>
      <c r="G133" s="129">
        <f>QUANT!K272</f>
        <v>232.18000000000004</v>
      </c>
      <c r="H133" s="200">
        <f>IFERROR(VLOOKUP($C133,'SINAPI JULHO 2021'!$A:$D,4,0),IFERROR(VLOOKUP($C133,'5-COMP. PROPRIA'!$B$1:$I$7981,8,0),""))</f>
        <v>48.92</v>
      </c>
      <c r="I133" s="200">
        <f>H133*'4-BDI'!$E$29</f>
        <v>62.735008000000001</v>
      </c>
      <c r="J133" s="201">
        <f t="shared" ref="J133" si="52">TRUNC(G133*H133,2)</f>
        <v>11358.24</v>
      </c>
      <c r="K133" s="123">
        <f t="shared" ref="K133" si="53">TRUNC(G133*I133,2)</f>
        <v>14565.81</v>
      </c>
    </row>
    <row r="134" spans="2:11" ht="15">
      <c r="B134" s="11" t="s">
        <v>5749</v>
      </c>
      <c r="C134" s="79">
        <f>QUANT!C318</f>
        <v>93184</v>
      </c>
      <c r="D134" s="79" t="str">
        <f>QUANT!D318</f>
        <v>SINAPI</v>
      </c>
      <c r="E134" s="80" t="str">
        <f>IFERROR(VLOOKUP($C134,'SINAPI JULHO 2021'!$1:$1048576,2,0),IFERROR(VLOOKUP($C134,'5-COMP. PROPRIA'!$B$1:$I$7981,4,0),""))</f>
        <v>VERGA PRÉ-MOLDADA PARA PORTAS COM ATÉ 1,5 M DE VÃO. AF_03/2016</v>
      </c>
      <c r="F134" s="81" t="str">
        <f>IFERROR(VLOOKUP($C134,'SINAPI JULHO 2021'!$A:$D,3,0),IFERROR(VLOOKUP($C134,'5-COMP. PROPRIA'!$B$1:$I$7981,5,0),""))</f>
        <v>M</v>
      </c>
      <c r="G134" s="129">
        <f>QUANT!K318</f>
        <v>58.49999999999995</v>
      </c>
      <c r="H134" s="200">
        <f>IFERROR(VLOOKUP($C134,'SINAPI JULHO 2021'!$A:$D,4,0),IFERROR(VLOOKUP($C134,'5-COMP. PROPRIA'!$B$1:$I$7981,8,0),""))</f>
        <v>26.96</v>
      </c>
      <c r="I134" s="200">
        <f>H134*'4-BDI'!$E$29</f>
        <v>34.573504</v>
      </c>
      <c r="J134" s="201">
        <f t="shared" ref="J134" si="54">TRUNC(G134*H134,2)</f>
        <v>1577.16</v>
      </c>
      <c r="K134" s="123">
        <f t="shared" ref="K134" si="55">TRUNC(G134*I134,2)</f>
        <v>2022.54</v>
      </c>
    </row>
    <row r="135" spans="2:11" ht="15">
      <c r="B135" s="11" t="s">
        <v>6744</v>
      </c>
      <c r="C135" s="79">
        <f>QUANT!C364</f>
        <v>93195</v>
      </c>
      <c r="D135" s="79" t="str">
        <f>QUANT!D364</f>
        <v>SINAPI</v>
      </c>
      <c r="E135" s="80" t="str">
        <f>IFERROR(VLOOKUP($C135,'SINAPI JULHO 2021'!$1:$1048576,2,0),IFERROR(VLOOKUP($C135,'5-COMP. PROPRIA'!$B$1:$I$7981,4,0),""))</f>
        <v>CONTRAVERGA PRÉ-MOLDADA PARA VÃOS DE MAIS DE 1,5 M DE COMPRIMENTO. AF_03/2016</v>
      </c>
      <c r="F135" s="81" t="str">
        <f>IFERROR(VLOOKUP($C135,'SINAPI JULHO 2021'!$A:$D,3,0),IFERROR(VLOOKUP($C135,'5-COMP. PROPRIA'!$B$1:$I$7981,5,0),""))</f>
        <v>M</v>
      </c>
      <c r="G135" s="129">
        <f>QUANT!K364</f>
        <v>232.18000000000004</v>
      </c>
      <c r="H135" s="200">
        <f>IFERROR(VLOOKUP($C135,'SINAPI JULHO 2021'!$A:$D,4,0),IFERROR(VLOOKUP($C135,'5-COMP. PROPRIA'!$B$1:$I$7981,8,0),""))</f>
        <v>43.39</v>
      </c>
      <c r="I135" s="200">
        <f>H135*'4-BDI'!$E$29</f>
        <v>55.643335999999998</v>
      </c>
      <c r="J135" s="201">
        <f t="shared" ref="J135" si="56">TRUNC(G135*H135,2)</f>
        <v>10074.290000000001</v>
      </c>
      <c r="K135" s="123">
        <f t="shared" ref="K135" si="57">TRUNC(G135*I135,2)</f>
        <v>12919.26</v>
      </c>
    </row>
    <row r="136" spans="2:11" ht="30">
      <c r="B136" s="11" t="s">
        <v>5750</v>
      </c>
      <c r="C136" s="79">
        <f>QUANT!C410</f>
        <v>93200</v>
      </c>
      <c r="D136" s="79" t="str">
        <f>QUANT!D410</f>
        <v>SINAPI</v>
      </c>
      <c r="E136" s="80" t="str">
        <f>IFERROR(VLOOKUP($C136,'SINAPI JULHO 2021'!$1:$1048576,2,0),IFERROR(VLOOKUP($C136,'5-COMP. PROPRIA'!$B$1:$I$7981,4,0),""))</f>
        <v>FIXAÇÃO (ENCUNHAMENTO) DE ALVENARIA DE VEDAÇÃO COM ARGAMASSA APLICADA COM BISNAGA. AF_03/2016</v>
      </c>
      <c r="F136" s="81" t="str">
        <f>IFERROR(VLOOKUP($C136,'SINAPI JULHO 2021'!$A:$D,3,0),IFERROR(VLOOKUP($C136,'5-COMP. PROPRIA'!$B$1:$I$7981,5,0),""))</f>
        <v>M</v>
      </c>
      <c r="G136" s="129">
        <f>QUANT!K410</f>
        <v>887.79</v>
      </c>
      <c r="H136" s="200">
        <f>IFERROR(VLOOKUP($C136,'SINAPI JULHO 2021'!$A:$D,4,0),IFERROR(VLOOKUP($C136,'5-COMP. PROPRIA'!$B$1:$I$7981,8,0),""))</f>
        <v>2.2400000000000002</v>
      </c>
      <c r="I136" s="200">
        <f>H136*'4-BDI'!$E$29</f>
        <v>2.872576</v>
      </c>
      <c r="J136" s="201">
        <f t="shared" ref="J136" si="58">TRUNC(G136*H136,2)</f>
        <v>1988.64</v>
      </c>
      <c r="K136" s="123">
        <f t="shared" ref="K136" si="59">TRUNC(G136*I136,2)</f>
        <v>2550.2399999999998</v>
      </c>
    </row>
    <row r="137" spans="2:11" ht="15" customHeight="1">
      <c r="B137" s="834" t="s">
        <v>3506</v>
      </c>
      <c r="C137" s="835"/>
      <c r="D137" s="835"/>
      <c r="E137" s="835"/>
      <c r="F137" s="835"/>
      <c r="G137" s="835"/>
      <c r="H137" s="835"/>
      <c r="I137" s="202"/>
      <c r="J137" s="126">
        <f>TRUNC(SUM(J129:J136),2)</f>
        <v>209150.78</v>
      </c>
      <c r="K137" s="125">
        <f>TRUNC(SUM(K129:K136),2)</f>
        <v>268214.95</v>
      </c>
    </row>
    <row r="138" spans="2:11" ht="15">
      <c r="B138" s="5" t="s">
        <v>597</v>
      </c>
      <c r="C138" s="6"/>
      <c r="D138" s="7"/>
      <c r="E138" s="8" t="str">
        <f>QUANT!E412</f>
        <v>SISTEMA DE COBERTURA</v>
      </c>
      <c r="F138" s="9"/>
      <c r="G138" s="128"/>
      <c r="H138" s="221"/>
      <c r="I138" s="121"/>
      <c r="J138" s="121"/>
      <c r="K138" s="122"/>
    </row>
    <row r="139" spans="2:11" ht="15">
      <c r="B139" s="222" t="s">
        <v>29</v>
      </c>
      <c r="C139" s="79"/>
      <c r="D139" s="79"/>
      <c r="E139" s="225" t="str">
        <f>QUANT!E413</f>
        <v>ESCOLA</v>
      </c>
      <c r="F139" s="81"/>
      <c r="G139" s="129"/>
      <c r="H139" s="200"/>
      <c r="I139" s="200"/>
      <c r="J139" s="201"/>
      <c r="K139" s="123"/>
    </row>
    <row r="140" spans="2:11" ht="30">
      <c r="B140" s="11" t="s">
        <v>6925</v>
      </c>
      <c r="C140" s="79">
        <f>QUANT!C414</f>
        <v>92620</v>
      </c>
      <c r="D140" s="79" t="str">
        <f>QUANT!D414</f>
        <v>SINAPI</v>
      </c>
      <c r="E140" s="80" t="str">
        <f>IFERROR(VLOOKUP($C140,'SINAPI JULHO 2021'!$1:$1048576,2,0),IFERROR(VLOOKUP($C140,'5-COMP. PROPRIA'!$B$1:$I$7981,4,0),""))</f>
        <v>FABRICAÇÃO E INSTALAÇÃO DE TESOURA INTEIRA EM AÇO, VÃO DE 12 M, PARA TELHA ONDULADA DE FIBROCIMENTO, METÁLICA, PLÁSTICA OU TERMOACÚSTICA, INCLUSO IÇAMENTO. AF_12/2015</v>
      </c>
      <c r="F140" s="81" t="str">
        <f>IFERROR(VLOOKUP($C140,'SINAPI JULHO 2021'!$A:$D,3,0),IFERROR(VLOOKUP($C140,'5-COMP. PROPRIA'!$B$1:$I$7981,5,0),""))</f>
        <v>UN</v>
      </c>
      <c r="G140" s="129">
        <f>QUANT!K414</f>
        <v>2</v>
      </c>
      <c r="H140" s="200">
        <f>IFERROR(VLOOKUP($C140,'SINAPI JULHO 2021'!$A:$D,4,0),IFERROR(VLOOKUP($C140,'5-COMP. PROPRIA'!$B$1:$I$7981,8,0),""))</f>
        <v>2147.66</v>
      </c>
      <c r="I140" s="200">
        <f>H140*'4-BDI'!$E$29</f>
        <v>2754.1591839999996</v>
      </c>
      <c r="J140" s="201">
        <f t="shared" ref="J140" si="60">TRUNC(G140*H140,2)</f>
        <v>4295.32</v>
      </c>
      <c r="K140" s="123">
        <f t="shared" ref="K140" si="61">TRUNC(G140*I140,2)</f>
        <v>5508.31</v>
      </c>
    </row>
    <row r="141" spans="2:11" ht="30">
      <c r="B141" s="11" t="s">
        <v>6926</v>
      </c>
      <c r="C141" s="79">
        <f>QUANT!C415</f>
        <v>92616</v>
      </c>
      <c r="D141" s="79" t="str">
        <f>QUANT!D415</f>
        <v>SINAPI</v>
      </c>
      <c r="E141" s="80" t="str">
        <f>IFERROR(VLOOKUP($C141,'SINAPI JULHO 2021'!$1:$1048576,2,0),IFERROR(VLOOKUP($C141,'5-COMP. PROPRIA'!$B$1:$I$7981,4,0),""))</f>
        <v>FABRICAÇÃO E INSTALAÇÃO DE TESOURA INTEIRA EM AÇO, VÃO DE 10 M, PARA TELHA ONDULADA DE FIBROCIMENTO, METÁLICA, PLÁSTICA OU TERMOACÚSTICA, INCLUSO IÇAMENTO. AF_12/2015</v>
      </c>
      <c r="F141" s="81" t="str">
        <f>IFERROR(VLOOKUP($C141,'SINAPI JULHO 2021'!$A:$D,3,0),IFERROR(VLOOKUP($C141,'5-COMP. PROPRIA'!$B$1:$I$7981,5,0),""))</f>
        <v>UN</v>
      </c>
      <c r="G141" s="129">
        <f>QUANT!K415</f>
        <v>15</v>
      </c>
      <c r="H141" s="200">
        <f>IFERROR(VLOOKUP($C141,'SINAPI JULHO 2021'!$A:$D,4,0),IFERROR(VLOOKUP($C141,'5-COMP. PROPRIA'!$B$1:$I$7981,8,0),""))</f>
        <v>1869.65</v>
      </c>
      <c r="I141" s="200">
        <f>H141*'4-BDI'!$E$29</f>
        <v>2397.6391600000002</v>
      </c>
      <c r="J141" s="201">
        <f t="shared" ref="J141:J157" si="62">TRUNC(G141*H141,2)</f>
        <v>28044.75</v>
      </c>
      <c r="K141" s="123">
        <f t="shared" ref="K141:K157" si="63">TRUNC(G141*I141,2)</f>
        <v>35964.58</v>
      </c>
    </row>
    <row r="142" spans="2:11" ht="30">
      <c r="B142" s="11" t="s">
        <v>6927</v>
      </c>
      <c r="C142" s="79">
        <f>QUANT!C416</f>
        <v>92614</v>
      </c>
      <c r="D142" s="79" t="str">
        <f>QUANT!D416</f>
        <v>SINAPI</v>
      </c>
      <c r="E142" s="80" t="str">
        <f>IFERROR(VLOOKUP($C142,'SINAPI JULHO 2021'!$1:$1048576,2,0),IFERROR(VLOOKUP($C142,'5-COMP. PROPRIA'!$B$1:$I$7981,4,0),""))</f>
        <v>FABRICAÇÃO E INSTALAÇÃO DE TESOURA INTEIRA EM AÇO, VÃO DE 9 M, PARA TELHA ONDULADA DE FIBROCIMENTO, METÁLICA, PLÁSTICA OU TERMOACÚSTICA, INCLUSO IÇAMENTO. AF_12/2015</v>
      </c>
      <c r="F142" s="81" t="str">
        <f>IFERROR(VLOOKUP($C142,'SINAPI JULHO 2021'!$A:$D,3,0),IFERROR(VLOOKUP($C142,'5-COMP. PROPRIA'!$B$1:$I$7981,5,0),""))</f>
        <v>UN</v>
      </c>
      <c r="G142" s="129">
        <f>QUANT!K416</f>
        <v>2</v>
      </c>
      <c r="H142" s="200">
        <f>IFERROR(VLOOKUP($C142,'SINAPI JULHO 2021'!$A:$D,4,0),IFERROR(VLOOKUP($C142,'5-COMP. PROPRIA'!$B$1:$I$7981,8,0),""))</f>
        <v>1651.67</v>
      </c>
      <c r="I142" s="200">
        <f>H142*'4-BDI'!$E$29</f>
        <v>2118.1016079999999</v>
      </c>
      <c r="J142" s="201">
        <f t="shared" si="62"/>
        <v>3303.34</v>
      </c>
      <c r="K142" s="123">
        <f t="shared" si="63"/>
        <v>4236.2</v>
      </c>
    </row>
    <row r="143" spans="2:11" ht="45">
      <c r="B143" s="11" t="s">
        <v>6928</v>
      </c>
      <c r="C143" s="79">
        <f>QUANT!C417</f>
        <v>92612</v>
      </c>
      <c r="D143" s="79" t="str">
        <f>QUANT!D417</f>
        <v>SINAPI</v>
      </c>
      <c r="E143" s="80" t="str">
        <f>IFERROR(VLOOKUP($C143,'SINAPI JULHO 2021'!$1:$1048576,2,0),IFERROR(VLOOKUP($C143,'5-COMP. PROPRIA'!$B$1:$I$7981,4,0),""))</f>
        <v>FABRICAÇÃO E INSTALAÇÃO DE TESOURA INTEIRA EM AÇO, VÃO DE 8 M, PARA TELHA ONDULADA DE FIBROCIMENTO, METÁLICA, PLÁSTICA OU TERMOACÚSTICA, INCLUSO IÇAMENTO, INCLUSO IÇAMENTO. AF_12/2015</v>
      </c>
      <c r="F143" s="81" t="str">
        <f>IFERROR(VLOOKUP($C143,'SINAPI JULHO 2021'!$A:$D,3,0),IFERROR(VLOOKUP($C143,'5-COMP. PROPRIA'!$B$1:$I$7981,5,0),""))</f>
        <v>UN</v>
      </c>
      <c r="G143" s="129">
        <f>QUANT!K417</f>
        <v>9</v>
      </c>
      <c r="H143" s="200">
        <f>IFERROR(VLOOKUP($C143,'SINAPI JULHO 2021'!$A:$D,4,0),IFERROR(VLOOKUP($C143,'5-COMP. PROPRIA'!$B$1:$I$7981,8,0),""))</f>
        <v>1463.03</v>
      </c>
      <c r="I143" s="200">
        <f>H143*'4-BDI'!$E$29</f>
        <v>1876.189672</v>
      </c>
      <c r="J143" s="201">
        <f t="shared" si="62"/>
        <v>13167.27</v>
      </c>
      <c r="K143" s="123">
        <f t="shared" si="63"/>
        <v>16885.7</v>
      </c>
    </row>
    <row r="144" spans="2:11" ht="30">
      <c r="B144" s="11" t="s">
        <v>6929</v>
      </c>
      <c r="C144" s="79">
        <f>QUANT!C418</f>
        <v>92610</v>
      </c>
      <c r="D144" s="79" t="str">
        <f>QUANT!D418</f>
        <v>SINAPI</v>
      </c>
      <c r="E144" s="80" t="str">
        <f>IFERROR(VLOOKUP($C144,'SINAPI JULHO 2021'!$1:$1048576,2,0),IFERROR(VLOOKUP($C144,'5-COMP. PROPRIA'!$B$1:$I$7981,4,0),""))</f>
        <v>FABRICAÇÃO E INSTALAÇÃO DE TESOURA INTEIRA EM AÇO, VÃO DE 7 M, PARA TELHA ONDULADA DE FIBROCIMENTO, METÁLICA, PLÁSTICA OU TERMOACÚSTICA, INCLUSO IÇAMENTO. AF_12/2015</v>
      </c>
      <c r="F144" s="81" t="str">
        <f>IFERROR(VLOOKUP($C144,'SINAPI JULHO 2021'!$A:$D,3,0),IFERROR(VLOOKUP($C144,'5-COMP. PROPRIA'!$B$1:$I$7981,5,0),""))</f>
        <v>UN</v>
      </c>
      <c r="G144" s="129">
        <f>QUANT!K418</f>
        <v>2</v>
      </c>
      <c r="H144" s="200">
        <f>IFERROR(VLOOKUP($C144,'SINAPI JULHO 2021'!$A:$D,4,0),IFERROR(VLOOKUP($C144,'5-COMP. PROPRIA'!$B$1:$I$7981,8,0),""))</f>
        <v>1300.49</v>
      </c>
      <c r="I144" s="200">
        <f>H144*'4-BDI'!$E$29</f>
        <v>1667.748376</v>
      </c>
      <c r="J144" s="201">
        <f t="shared" si="62"/>
        <v>2600.98</v>
      </c>
      <c r="K144" s="123">
        <f t="shared" si="63"/>
        <v>3335.49</v>
      </c>
    </row>
    <row r="145" spans="2:11" ht="30">
      <c r="B145" s="11" t="s">
        <v>6930</v>
      </c>
      <c r="C145" s="79">
        <f>QUANT!C419</f>
        <v>92608</v>
      </c>
      <c r="D145" s="79" t="str">
        <f>QUANT!D419</f>
        <v>SINAPI</v>
      </c>
      <c r="E145" s="80" t="str">
        <f>IFERROR(VLOOKUP($C145,'SINAPI JULHO 2021'!$1:$1048576,2,0),IFERROR(VLOOKUP($C145,'5-COMP. PROPRIA'!$B$1:$I$7981,4,0),""))</f>
        <v>FABRICAÇÃO E INSTALAÇÃO DE TESOURA INTEIRA EM AÇO, VÃO DE 6 M, PARA TELHA ONDULADA DE FIBROCIMENTO, METÁLICA, PLÁSTICA OU TERMOACÚSTICA, INCLUSO IÇAMENTO. AF_12/2015</v>
      </c>
      <c r="F145" s="81" t="str">
        <f>IFERROR(VLOOKUP($C145,'SINAPI JULHO 2021'!$A:$D,3,0),IFERROR(VLOOKUP($C145,'5-COMP. PROPRIA'!$B$1:$I$7981,5,0),""))</f>
        <v>UN</v>
      </c>
      <c r="G145" s="129">
        <f>QUANT!K419</f>
        <v>9</v>
      </c>
      <c r="H145" s="200">
        <f>IFERROR(VLOOKUP($C145,'SINAPI JULHO 2021'!$A:$D,4,0),IFERROR(VLOOKUP($C145,'5-COMP. PROPRIA'!$B$1:$I$7981,8,0),""))</f>
        <v>1161.49</v>
      </c>
      <c r="I145" s="200">
        <f>H145*'4-BDI'!$E$29</f>
        <v>1489.494776</v>
      </c>
      <c r="J145" s="201">
        <f t="shared" si="62"/>
        <v>10453.41</v>
      </c>
      <c r="K145" s="123">
        <f t="shared" si="63"/>
        <v>13405.45</v>
      </c>
    </row>
    <row r="146" spans="2:11" ht="30">
      <c r="B146" s="11" t="s">
        <v>6931</v>
      </c>
      <c r="C146" s="79">
        <f>QUANT!C420</f>
        <v>92606</v>
      </c>
      <c r="D146" s="79" t="str">
        <f>QUANT!D420</f>
        <v>SINAPI</v>
      </c>
      <c r="E146" s="80" t="str">
        <f>IFERROR(VLOOKUP($C146,'SINAPI JULHO 2021'!$1:$1048576,2,0),IFERROR(VLOOKUP($C146,'5-COMP. PROPRIA'!$B$1:$I$7981,4,0),""))</f>
        <v>FABRICAÇÃO E INSTALAÇÃO DE TESOURA INTEIRA EM AÇO, VÃO DE 5 M, PARA TELHA ONDULADA DE FIBROCIMENTO, METÁLICA, PLÁSTICA OU TERMOACÚSTICA, INCLUSO IÇAMENTO. AF_12/2015</v>
      </c>
      <c r="F146" s="81" t="str">
        <f>IFERROR(VLOOKUP($C146,'SINAPI JULHO 2021'!$A:$D,3,0),IFERROR(VLOOKUP($C146,'5-COMP. PROPRIA'!$B$1:$I$7981,5,0),""))</f>
        <v>UN</v>
      </c>
      <c r="G146" s="129">
        <f>QUANT!K420</f>
        <v>2</v>
      </c>
      <c r="H146" s="200">
        <f>IFERROR(VLOOKUP($C146,'SINAPI JULHO 2021'!$A:$D,4,0),IFERROR(VLOOKUP($C146,'5-COMP. PROPRIA'!$B$1:$I$7981,8,0),""))</f>
        <v>949.15</v>
      </c>
      <c r="I146" s="200">
        <f>H146*'4-BDI'!$E$29</f>
        <v>1217.1899599999999</v>
      </c>
      <c r="J146" s="201">
        <f t="shared" si="62"/>
        <v>1898.3</v>
      </c>
      <c r="K146" s="123">
        <f t="shared" si="63"/>
        <v>2434.37</v>
      </c>
    </row>
    <row r="147" spans="2:11" ht="30">
      <c r="B147" s="11" t="s">
        <v>6932</v>
      </c>
      <c r="C147" s="79">
        <f>QUANT!C421</f>
        <v>92604</v>
      </c>
      <c r="D147" s="79" t="str">
        <f>QUANT!D421</f>
        <v>SINAPI</v>
      </c>
      <c r="E147" s="80" t="str">
        <f>IFERROR(VLOOKUP($C147,'SINAPI JULHO 2021'!$1:$1048576,2,0),IFERROR(VLOOKUP($C147,'5-COMP. PROPRIA'!$B$1:$I$7981,4,0),""))</f>
        <v>FABRICAÇÃO E INSTALAÇÃO DE TESOURA INTEIRA EM AÇO, VÃO DE 4 M, PARA TELHA ONDULADA DE FIBROCIMENTO, METÁLICA, PLÁSTICA OU TERMOACÚSTICA, INCLUSO IÇAMENTO. AF_12/2015</v>
      </c>
      <c r="F147" s="81" t="str">
        <f>IFERROR(VLOOKUP($C147,'SINAPI JULHO 2021'!$A:$D,3,0),IFERROR(VLOOKUP($C147,'5-COMP. PROPRIA'!$B$1:$I$7981,5,0),""))</f>
        <v>UN</v>
      </c>
      <c r="G147" s="129">
        <f>QUANT!K421</f>
        <v>4</v>
      </c>
      <c r="H147" s="200">
        <f>IFERROR(VLOOKUP($C147,'SINAPI JULHO 2021'!$A:$D,4,0),IFERROR(VLOOKUP($C147,'5-COMP. PROPRIA'!$B$1:$I$7981,8,0),""))</f>
        <v>810.14</v>
      </c>
      <c r="I147" s="200">
        <f>H147*'4-BDI'!$E$29</f>
        <v>1038.923536</v>
      </c>
      <c r="J147" s="201">
        <f t="shared" si="62"/>
        <v>3240.56</v>
      </c>
      <c r="K147" s="123">
        <f t="shared" si="63"/>
        <v>4155.6899999999996</v>
      </c>
    </row>
    <row r="148" spans="2:11" ht="30">
      <c r="B148" s="11" t="s">
        <v>13086</v>
      </c>
      <c r="C148" s="79">
        <f>QUANT!C422</f>
        <v>92602</v>
      </c>
      <c r="D148" s="79" t="str">
        <f>QUANT!D422</f>
        <v>SINAPI</v>
      </c>
      <c r="E148" s="80" t="str">
        <f>IFERROR(VLOOKUP($C148,'SINAPI JULHO 2021'!$1:$1048576,2,0),IFERROR(VLOOKUP($C148,'5-COMP. PROPRIA'!$B$1:$I$7981,4,0),""))</f>
        <v>FABRICAÇÃO E INSTALAÇÃO DE TESOURA INTEIRA EM AÇO, VÃO DE 3 M, PARA TELHA ONDULADA DE FIBROCIMENTO, METÁLICA, PLÁSTICA OU TERMOACÚSTICA, INCLUSO IÇAMENTO.. AF_12/2015</v>
      </c>
      <c r="F148" s="81" t="str">
        <f>IFERROR(VLOOKUP($C148,'SINAPI JULHO 2021'!$A:$D,3,0),IFERROR(VLOOKUP($C148,'5-COMP. PROPRIA'!$B$1:$I$7981,5,0),""))</f>
        <v>UN</v>
      </c>
      <c r="G148" s="129">
        <f>QUANT!K422</f>
        <v>27</v>
      </c>
      <c r="H148" s="200">
        <f>IFERROR(VLOOKUP($C148,'SINAPI JULHO 2021'!$A:$D,4,0),IFERROR(VLOOKUP($C148,'5-COMP. PROPRIA'!$B$1:$I$7981,8,0),""))</f>
        <v>706.31</v>
      </c>
      <c r="I148" s="200">
        <f>H148*'4-BDI'!$E$29</f>
        <v>905.77194399999996</v>
      </c>
      <c r="J148" s="201">
        <f t="shared" si="62"/>
        <v>19070.37</v>
      </c>
      <c r="K148" s="123">
        <f t="shared" si="63"/>
        <v>24455.84</v>
      </c>
    </row>
    <row r="149" spans="2:11" ht="30">
      <c r="B149" s="11" t="s">
        <v>13087</v>
      </c>
      <c r="C149" s="79">
        <f>QUANT!C423</f>
        <v>92570</v>
      </c>
      <c r="D149" s="79" t="str">
        <f>QUANT!D423</f>
        <v>SINAPI</v>
      </c>
      <c r="E149" s="80" t="str">
        <f>IFERROR(VLOOKUP($C149,'SINAPI JULHO 2021'!$1:$1048576,2,0),IFERROR(VLOOKUP($C149,'5-COMP. PROPRIA'!$B$1:$I$7981,4,0),""))</f>
        <v>TRAMA DE AÇO COMPOSTA POR RIPAS PARA TELHADOS DE ATÉ 2 ÁGUAS PARA TELHA DE ENCAIXE DE CERÂMICA OU DE CONCRETO, INCLUSO TRANSPORTE VERTICAL. AF_07/2019</v>
      </c>
      <c r="F149" s="81" t="str">
        <f>IFERROR(VLOOKUP($C149,'SINAPI JULHO 2021'!$A:$D,3,0),IFERROR(VLOOKUP($C149,'5-COMP. PROPRIA'!$B$1:$I$7981,5,0),""))</f>
        <v>M2</v>
      </c>
      <c r="G149" s="129">
        <f>QUANT!K423</f>
        <v>1396.9483</v>
      </c>
      <c r="H149" s="200">
        <f>IFERROR(VLOOKUP($C149,'SINAPI JULHO 2021'!$A:$D,4,0),IFERROR(VLOOKUP($C149,'5-COMP. PROPRIA'!$B$1:$I$7981,8,0),""))</f>
        <v>49.5</v>
      </c>
      <c r="I149" s="200">
        <f>H149*'4-BDI'!$E$29</f>
        <v>63.4788</v>
      </c>
      <c r="J149" s="201">
        <f t="shared" si="62"/>
        <v>69148.94</v>
      </c>
      <c r="K149" s="123">
        <f t="shared" si="63"/>
        <v>88676.6</v>
      </c>
    </row>
    <row r="150" spans="2:11" ht="30">
      <c r="B150" s="11" t="s">
        <v>13088</v>
      </c>
      <c r="C150" s="79">
        <f>QUANT!C424</f>
        <v>94216</v>
      </c>
      <c r="D150" s="79" t="str">
        <f>QUANT!D424</f>
        <v>SINAPI</v>
      </c>
      <c r="E150" s="80" t="str">
        <f>IFERROR(VLOOKUP($C150,'SINAPI JULHO 2021'!$1:$1048576,2,0),IFERROR(VLOOKUP($C150,'5-COMP. PROPRIA'!$B$1:$I$7981,4,0),""))</f>
        <v>TELHAMENTO COM TELHA METÁLICA TERMOACÚSTICA E = 30 MM, COM ATÉ 2 ÁGUAS, INCLUSO IÇAMENTO. AF_07/2019</v>
      </c>
      <c r="F150" s="81" t="str">
        <f>IFERROR(VLOOKUP($C150,'SINAPI JULHO 2021'!$A:$D,3,0),IFERROR(VLOOKUP($C150,'5-COMP. PROPRIA'!$B$1:$I$7981,5,0),""))</f>
        <v>M2</v>
      </c>
      <c r="G150" s="129">
        <f>QUANT!K424</f>
        <v>1223.7483</v>
      </c>
      <c r="H150" s="200">
        <f>IFERROR(VLOOKUP($C150,'SINAPI JULHO 2021'!$A:$D,4,0),IFERROR(VLOOKUP($C150,'5-COMP. PROPRIA'!$B$1:$I$7981,8,0),""))</f>
        <v>259.32</v>
      </c>
      <c r="I150" s="200">
        <f>H150*'4-BDI'!$E$29</f>
        <v>332.55196799999999</v>
      </c>
      <c r="J150" s="201">
        <f t="shared" si="62"/>
        <v>317342.40000000002</v>
      </c>
      <c r="K150" s="123">
        <f t="shared" si="63"/>
        <v>406959.9</v>
      </c>
    </row>
    <row r="151" spans="2:11" ht="30">
      <c r="B151" s="11" t="s">
        <v>13089</v>
      </c>
      <c r="C151" s="79">
        <f>QUANT!C425</f>
        <v>94449</v>
      </c>
      <c r="D151" s="79" t="str">
        <f>QUANT!D425</f>
        <v>SINAPI</v>
      </c>
      <c r="E151" s="80" t="str">
        <f>IFERROR(VLOOKUP($C151,'SINAPI JULHO 2021'!$1:$1048576,2,0),IFERROR(VLOOKUP($C151,'5-COMP. PROPRIA'!$B$1:$I$7981,4,0),""))</f>
        <v>TELHAMENTO COM TELHA ONDULADA DE FIBRA DE VIDRO E = 0,6 MM, PARA TELHADO COM INCLINAÇÃO MAIOR QUE 10°, COM ATÉ 2 ÁGUAS, INCLUSO IÇAMENTO. AF_07/2019</v>
      </c>
      <c r="F151" s="81" t="str">
        <f>IFERROR(VLOOKUP($C151,'SINAPI JULHO 2021'!$A:$D,3,0),IFERROR(VLOOKUP($C151,'5-COMP. PROPRIA'!$B$1:$I$7981,5,0),""))</f>
        <v>M2</v>
      </c>
      <c r="G151" s="129">
        <f>QUANT!K425</f>
        <v>173.20000000000002</v>
      </c>
      <c r="H151" s="200">
        <f>IFERROR(VLOOKUP($C151,'SINAPI JULHO 2021'!$A:$D,4,0),IFERROR(VLOOKUP($C151,'5-COMP. PROPRIA'!$B$1:$I$7981,8,0),""))</f>
        <v>53.45</v>
      </c>
      <c r="I151" s="200">
        <f>H151*'4-BDI'!$E$29</f>
        <v>68.544280000000001</v>
      </c>
      <c r="J151" s="201">
        <f t="shared" si="62"/>
        <v>9257.5400000000009</v>
      </c>
      <c r="K151" s="123">
        <f t="shared" si="63"/>
        <v>11871.86</v>
      </c>
    </row>
    <row r="152" spans="2:11" ht="30">
      <c r="B152" s="11" t="s">
        <v>13090</v>
      </c>
      <c r="C152" s="79">
        <f>QUANT!C426</f>
        <v>94213</v>
      </c>
      <c r="D152" s="79" t="str">
        <f>QUANT!D426</f>
        <v>SINAPI</v>
      </c>
      <c r="E152" s="80" t="str">
        <f>IFERROR(VLOOKUP($C152,'SINAPI JULHO 2021'!$1:$1048576,2,0),IFERROR(VLOOKUP($C152,'5-COMP. PROPRIA'!$B$1:$I$7981,4,0),""))</f>
        <v>TELHAMENTO COM TELHA DE AÇO/ALUMÍNIO E = 0,5 MM, COM ATÉ 2 ÁGUAS, INCLUSO IÇAMENTO. AF_07/2019</v>
      </c>
      <c r="F152" s="81" t="str">
        <f>IFERROR(VLOOKUP($C152,'SINAPI JULHO 2021'!$A:$D,3,0),IFERROR(VLOOKUP($C152,'5-COMP. PROPRIA'!$B$1:$I$7981,5,0),""))</f>
        <v>M2</v>
      </c>
      <c r="G152" s="129">
        <f>QUANT!K426</f>
        <v>104.19499999999999</v>
      </c>
      <c r="H152" s="200">
        <f>IFERROR(VLOOKUP($C152,'SINAPI JULHO 2021'!$A:$D,4,0),IFERROR(VLOOKUP($C152,'5-COMP. PROPRIA'!$B$1:$I$7981,8,0),""))</f>
        <v>86.46</v>
      </c>
      <c r="I152" s="200">
        <f>H152*'4-BDI'!$E$29</f>
        <v>110.87630399999999</v>
      </c>
      <c r="J152" s="201">
        <f t="shared" si="62"/>
        <v>9008.69</v>
      </c>
      <c r="K152" s="123">
        <f t="shared" si="63"/>
        <v>11552.75</v>
      </c>
    </row>
    <row r="153" spans="2:11" ht="45">
      <c r="B153" s="11" t="s">
        <v>13091</v>
      </c>
      <c r="C153" s="79" t="str">
        <f>QUANT!C427</f>
        <v>CP- COB-01</v>
      </c>
      <c r="D153" s="79" t="str">
        <f>QUANT!D427</f>
        <v>PRÓPRIA</v>
      </c>
      <c r="E153" s="80" t="str">
        <f>IFERROR(VLOOKUP($C153,'SINAPI JULHO 2021'!$1:$1048576,2,0),IFERROR(VLOOKUP($C153,'5-COMP. PROPRIA'!$B$1:$I$7981,4,0),""))</f>
        <v>BEIRAL METALICO EM CHAPA DE AÇO DOBRADO #16 E=1,50MM, INCLUSIVE 2 DEMÃO DE PINTURA ESMALTE SOBRE 2 DEMÃO DE FUNDO ANTICORROSIVO (ZARCÃO) - FORNECIMENTO E INSTALAÇÃO (L= 20 CM)</v>
      </c>
      <c r="F153" s="81" t="str">
        <f>IFERROR(VLOOKUP($C153,'SINAPI JULHO 2021'!$A:$D,3,0),IFERROR(VLOOKUP($C153,'5-COMP. PROPRIA'!$B$1:$I$7981,5,0),""))</f>
        <v>M</v>
      </c>
      <c r="G153" s="129">
        <f>QUANT!K427</f>
        <v>217.1</v>
      </c>
      <c r="H153" s="200">
        <f>IFERROR(VLOOKUP($C153,'SINAPI JULHO 2021'!$A:$D,4,0),IFERROR(VLOOKUP($C153,'5-COMP. PROPRIA'!$B$1:$I$7981,8,0),""))</f>
        <v>105.77</v>
      </c>
      <c r="I153" s="200">
        <f>H153*'4-BDI'!$E$29</f>
        <v>135.63944799999999</v>
      </c>
      <c r="J153" s="201">
        <f t="shared" si="62"/>
        <v>22962.66</v>
      </c>
      <c r="K153" s="123">
        <f t="shared" si="63"/>
        <v>29447.32</v>
      </c>
    </row>
    <row r="154" spans="2:11" ht="30">
      <c r="B154" s="11" t="s">
        <v>13092</v>
      </c>
      <c r="C154" s="79">
        <f>QUANT!C428</f>
        <v>100733</v>
      </c>
      <c r="D154" s="79" t="str">
        <f>QUANT!D428</f>
        <v>SINAPI</v>
      </c>
      <c r="E154" s="80" t="str">
        <f>IFERROR(VLOOKUP($C154,'SINAPI JULHO 2021'!$1:$1048576,2,0),IFERROR(VLOOKUP($C154,'5-COMP. PROPRIA'!$B$1:$I$7981,4,0),""))</f>
        <v>PINTURA COM TINTA ACRÍLICA DE FUNDO PULVERIZADA SOBRE SUPERFÍCIES METÁLICAS (EXCETO PERFIL) EXECUTADO EM OBRA (POR DEMÃO). AF_01/2020_P</v>
      </c>
      <c r="F154" s="81" t="str">
        <f>IFERROR(VLOOKUP($C154,'SINAPI JULHO 2021'!$A:$D,3,0),IFERROR(VLOOKUP($C154,'5-COMP. PROPRIA'!$B$1:$I$7981,5,0),""))</f>
        <v>M2</v>
      </c>
      <c r="G154" s="129">
        <f>QUANT!K428</f>
        <v>1898.706654969697</v>
      </c>
      <c r="H154" s="200">
        <f>IFERROR(VLOOKUP($C154,'SINAPI JULHO 2021'!$A:$D,4,0),IFERROR(VLOOKUP($C154,'5-COMP. PROPRIA'!$B$1:$I$7981,8,0),""))</f>
        <v>7.11</v>
      </c>
      <c r="I154" s="200">
        <f>H154*'4-BDI'!$E$29</f>
        <v>9.1178640000000009</v>
      </c>
      <c r="J154" s="201">
        <f t="shared" si="62"/>
        <v>13499.8</v>
      </c>
      <c r="K154" s="123">
        <f t="shared" si="63"/>
        <v>17312.14</v>
      </c>
    </row>
    <row r="155" spans="2:11" ht="15">
      <c r="B155" s="222" t="s">
        <v>30</v>
      </c>
      <c r="C155" s="79"/>
      <c r="D155" s="79"/>
      <c r="E155" s="225" t="str">
        <f>QUANT!E434</f>
        <v>QUADRA</v>
      </c>
      <c r="F155" s="81"/>
      <c r="G155" s="129"/>
      <c r="H155" s="200"/>
      <c r="I155" s="200"/>
      <c r="J155" s="201"/>
      <c r="K155" s="123"/>
    </row>
    <row r="156" spans="2:11" ht="30">
      <c r="B156" s="11" t="s">
        <v>6933</v>
      </c>
      <c r="C156" s="79">
        <f>QUANT!C436</f>
        <v>94213</v>
      </c>
      <c r="D156" s="79" t="str">
        <f>QUANT!D436</f>
        <v>SINAPI</v>
      </c>
      <c r="E156" s="80" t="str">
        <f>IFERROR(VLOOKUP($C156,'SINAPI JULHO 2021'!$1:$1048576,2,0),IFERROR(VLOOKUP($C156,'5-COMP. PROPRIA'!$B$1:$I$7981,4,0),""))</f>
        <v>TELHAMENTO COM TELHA DE AÇO/ALUMÍNIO E = 0,5 MM, COM ATÉ 2 ÁGUAS, INCLUSO IÇAMENTO. AF_07/2019</v>
      </c>
      <c r="F156" s="81" t="str">
        <f>IFERROR(VLOOKUP($C156,'SINAPI JULHO 2021'!$A:$D,3,0),IFERROR(VLOOKUP($C156,'5-COMP. PROPRIA'!$B$1:$I$7981,5,0),""))</f>
        <v>M2</v>
      </c>
      <c r="G156" s="129">
        <f>QUANT!K436</f>
        <v>557.53750000000002</v>
      </c>
      <c r="H156" s="200">
        <f>IFERROR(VLOOKUP($C156,'SINAPI JULHO 2021'!$A:$D,4,0),IFERROR(VLOOKUP($C156,'5-COMP. PROPRIA'!$B$1:$I$7981,8,0),""))</f>
        <v>86.46</v>
      </c>
      <c r="I156" s="200">
        <f>H156*'4-BDI'!$E$29</f>
        <v>110.87630399999999</v>
      </c>
      <c r="J156" s="201">
        <f t="shared" si="62"/>
        <v>48204.69</v>
      </c>
      <c r="K156" s="123">
        <f t="shared" si="63"/>
        <v>61817.69</v>
      </c>
    </row>
    <row r="157" spans="2:11" ht="45">
      <c r="B157" s="11" t="s">
        <v>6934</v>
      </c>
      <c r="C157" s="79">
        <f>QUANT!C437</f>
        <v>100725</v>
      </c>
      <c r="D157" s="79" t="str">
        <f>QUANT!D437</f>
        <v>SINAPI</v>
      </c>
      <c r="E157" s="80" t="str">
        <f>IFERROR(VLOOKUP($C157,'SINAPI JULHO 2021'!$1:$1048576,2,0),IFERROR(VLOOKUP($C157,'5-COMP. PROPRIA'!$B$1:$I$7981,4,0),""))</f>
        <v>PINTURA COM TINTA ALQUÍDICA DE FUNDO E ACABAMENTO (ESMALTE SINTÉTICO GRAFITE) PULVERIZADA SOBRE SUPERFÍCIES METÁLICAS (EXCETO PERFIL) EXECUTADO EM OBRA (POR DEMÃO). AF_01/2020_P</v>
      </c>
      <c r="F157" s="81" t="str">
        <f>IFERROR(VLOOKUP($C157,'SINAPI JULHO 2021'!$A:$D,3,0),IFERROR(VLOOKUP($C157,'5-COMP. PROPRIA'!$B$1:$I$7981,5,0),""))</f>
        <v>M2</v>
      </c>
      <c r="G157" s="129">
        <f>QUANT!K437</f>
        <v>905.53750000000002</v>
      </c>
      <c r="H157" s="200">
        <f>IFERROR(VLOOKUP($C157,'SINAPI JULHO 2021'!$A:$D,4,0),IFERROR(VLOOKUP($C157,'5-COMP. PROPRIA'!$B$1:$I$7981,8,0),""))</f>
        <v>16.37</v>
      </c>
      <c r="I157" s="200">
        <f>H157*'4-BDI'!$E$29</f>
        <v>20.992888000000001</v>
      </c>
      <c r="J157" s="201">
        <f t="shared" si="62"/>
        <v>14823.64</v>
      </c>
      <c r="K157" s="123">
        <f t="shared" si="63"/>
        <v>19009.84</v>
      </c>
    </row>
    <row r="158" spans="2:11" ht="15">
      <c r="B158" s="834" t="s">
        <v>3506</v>
      </c>
      <c r="C158" s="835"/>
      <c r="D158" s="835"/>
      <c r="E158" s="835"/>
      <c r="F158" s="835"/>
      <c r="G158" s="835"/>
      <c r="H158" s="835"/>
      <c r="I158" s="202"/>
      <c r="J158" s="126">
        <f>TRUNC(SUM(J140:J157),2)</f>
        <v>590322.66</v>
      </c>
      <c r="K158" s="125">
        <f>TRUNC(SUM(K140:K157),2)</f>
        <v>757029.73</v>
      </c>
    </row>
    <row r="159" spans="2:11" ht="15">
      <c r="B159" s="5" t="s">
        <v>598</v>
      </c>
      <c r="C159" s="6"/>
      <c r="D159" s="7"/>
      <c r="E159" s="8" t="str">
        <f>QUANT!E439</f>
        <v>ESQUADRIAS</v>
      </c>
      <c r="F159" s="9"/>
      <c r="G159" s="128"/>
      <c r="H159" s="221"/>
      <c r="I159" s="121"/>
      <c r="J159" s="121"/>
      <c r="K159" s="122"/>
    </row>
    <row r="160" spans="2:11" ht="45">
      <c r="B160" s="11" t="s">
        <v>4480</v>
      </c>
      <c r="C160" s="79">
        <f>QUANT!C440</f>
        <v>94573</v>
      </c>
      <c r="D160" s="79" t="str">
        <f>QUANT!D440</f>
        <v>SINAPI</v>
      </c>
      <c r="E160" s="80" t="str">
        <f>IFERROR(VLOOKUP($C160,'SINAPI JULHO 2021'!$1:$1048576,2,0),IFERROR(VLOOKUP($C160,'5-COMP. PROPRIA'!$B$1:$I$7981,4,0),""))</f>
        <v>JANELA DE ALUMÍNIO DE CORRER COM 4 FOLHAS PARA VIDROS, COM VIDROS, BATENTE, ACABAMENTO COM ACETATO OU BRILHANTE E FERRAGENS. EXCLUSIVE ALIZAR E CONTRAMARCO. FORNECIMENTO E INSTALAÇÃO. AF_12/2019</v>
      </c>
      <c r="F160" s="81" t="str">
        <f>IFERROR(VLOOKUP($C160,'SINAPI JULHO 2021'!$A:$D,3,0),IFERROR(VLOOKUP($C160,'5-COMP. PROPRIA'!$B$1:$I$7981,5,0),""))</f>
        <v>M2</v>
      </c>
      <c r="G160" s="129">
        <f>QUANT!K440</f>
        <v>82.4</v>
      </c>
      <c r="H160" s="200">
        <f>IFERROR(VLOOKUP($C160,'SINAPI JULHO 2021'!$A:$D,4,0),IFERROR(VLOOKUP($C160,'5-COMP. PROPRIA'!$B$1:$I$7981,8,0),""))</f>
        <v>562.99</v>
      </c>
      <c r="I160" s="200">
        <f>H160*'4-BDI'!$E$29</f>
        <v>721.97837600000003</v>
      </c>
      <c r="J160" s="201">
        <f t="shared" ref="J160" si="64">TRUNC(G160*H160,2)</f>
        <v>46390.37</v>
      </c>
      <c r="K160" s="123">
        <f t="shared" ref="K160" si="65">TRUNC(G160*I160,2)</f>
        <v>59491.01</v>
      </c>
    </row>
    <row r="161" spans="2:11" ht="30">
      <c r="B161" s="11" t="s">
        <v>4481</v>
      </c>
      <c r="C161" s="79">
        <f>QUANT!C444</f>
        <v>94569</v>
      </c>
      <c r="D161" s="79" t="str">
        <f>QUANT!D444</f>
        <v>SINAPI</v>
      </c>
      <c r="E161" s="80" t="str">
        <f>IFERROR(VLOOKUP($C161,'SINAPI JULHO 2021'!$1:$1048576,2,0),IFERROR(VLOOKUP($C161,'5-COMP. PROPRIA'!$B$1:$I$7981,4,0),""))</f>
        <v>JANELA DE ALUMÍNIO TIPO MAXIM-AR, COM VIDROS, BATENTE E FERRAGENS. EXCLUSIVE ALIZAR, ACABAMENTO E CONTRAMARCO. FORNECIMENTO E INSTALAÇÃO. AF_12/2019</v>
      </c>
      <c r="F161" s="81" t="str">
        <f>IFERROR(VLOOKUP($C161,'SINAPI JULHO 2021'!$A:$D,3,0),IFERROR(VLOOKUP($C161,'5-COMP. PROPRIA'!$B$1:$I$7981,5,0),""))</f>
        <v>M2</v>
      </c>
      <c r="G161" s="129">
        <f>QUANT!K444</f>
        <v>46.2</v>
      </c>
      <c r="H161" s="200">
        <f>IFERROR(VLOOKUP($C161,'SINAPI JULHO 2021'!$A:$D,4,0),IFERROR(VLOOKUP($C161,'5-COMP. PROPRIA'!$B$1:$I$7981,8,0),""))</f>
        <v>789.93</v>
      </c>
      <c r="I161" s="200">
        <f>H161*'4-BDI'!$E$29</f>
        <v>1013.006232</v>
      </c>
      <c r="J161" s="201">
        <f t="shared" ref="J161:J169" si="66">TRUNC(G161*H161,2)</f>
        <v>36494.76</v>
      </c>
      <c r="K161" s="123">
        <f t="shared" ref="K161:K169" si="67">TRUNC(G161*I161,2)</f>
        <v>46800.88</v>
      </c>
    </row>
    <row r="162" spans="2:11" ht="30">
      <c r="B162" s="11" t="s">
        <v>4482</v>
      </c>
      <c r="C162" s="79">
        <f>QUANT!C450</f>
        <v>100674</v>
      </c>
      <c r="D162" s="79" t="str">
        <f>QUANT!D450</f>
        <v>SINAPI</v>
      </c>
      <c r="E162" s="80" t="str">
        <f>IFERROR(VLOOKUP($C162,'SINAPI JULHO 2021'!$1:$1048576,2,0),IFERROR(VLOOKUP($C162,'5-COMP. PROPRIA'!$B$1:$I$7981,4,0),""))</f>
        <v>JANELA FIXA DE ALUMÍNIO PARA VIDRO, COM VIDRO, BATENTE E FERRAGENS. EXCLUSIVE ACABAMENTO, ALIZAR E CONTRAMARCO. FORNECIMENTO E INSTALAÇÃO. AF_12/2019</v>
      </c>
      <c r="F162" s="81" t="str">
        <f>IFERROR(VLOOKUP($C162,'SINAPI JULHO 2021'!$A:$D,3,0),IFERROR(VLOOKUP($C162,'5-COMP. PROPRIA'!$B$1:$I$7981,5,0),""))</f>
        <v>M2</v>
      </c>
      <c r="G162" s="129">
        <f>QUANT!K450</f>
        <v>1.7999999999999998</v>
      </c>
      <c r="H162" s="200">
        <f>IFERROR(VLOOKUP($C162,'SINAPI JULHO 2021'!$A:$D,4,0),IFERROR(VLOOKUP($C162,'5-COMP. PROPRIA'!$B$1:$I$7981,8,0),""))</f>
        <v>540.96</v>
      </c>
      <c r="I162" s="200">
        <f>H162*'4-BDI'!$E$29</f>
        <v>693.72710400000005</v>
      </c>
      <c r="J162" s="201">
        <f t="shared" si="66"/>
        <v>973.72</v>
      </c>
      <c r="K162" s="123">
        <f t="shared" si="67"/>
        <v>1248.7</v>
      </c>
    </row>
    <row r="163" spans="2:11" ht="30">
      <c r="B163" s="11" t="s">
        <v>6935</v>
      </c>
      <c r="C163" s="79" t="str">
        <f>QUANT!C451</f>
        <v>CP-ESQ-01</v>
      </c>
      <c r="D163" s="79" t="str">
        <f>QUANT!D451</f>
        <v>PRÓPRIA</v>
      </c>
      <c r="E163" s="80" t="str">
        <f>IFERROR(VLOOKUP($C163,'SINAPI JULHO 2021'!$1:$1048576,2,0),IFERROR(VLOOKUP($C163,'5-COMP. PROPRIA'!$B$1:$I$7981,4,0),""))</f>
        <v>PORTA DE FERRO, DE ABRIR, TIPO CHAPA CORRUGADA (0,90 X 2,10)M, COM GUARNICOES (FECHADURA, REQUADRO BATENTES E ALIZAR) - FORNECIMENTO E INSTALAÇÃO</v>
      </c>
      <c r="F163" s="81" t="str">
        <f>IFERROR(VLOOKUP($C163,'SINAPI JULHO 2021'!$A:$D,3,0),IFERROR(VLOOKUP($C163,'5-COMP. PROPRIA'!$B$1:$I$7981,5,0),""))</f>
        <v>UN</v>
      </c>
      <c r="G163" s="129">
        <f>QUANT!K451</f>
        <v>47</v>
      </c>
      <c r="H163" s="200">
        <f>IFERROR(VLOOKUP($C163,'SINAPI JULHO 2021'!$A:$D,4,0),IFERROR(VLOOKUP($C163,'5-COMP. PROPRIA'!$B$1:$I$7981,8,0),""))</f>
        <v>909.76</v>
      </c>
      <c r="I163" s="200">
        <f>H163*'4-BDI'!$E$29</f>
        <v>1166.676224</v>
      </c>
      <c r="J163" s="201">
        <f t="shared" si="66"/>
        <v>42758.720000000001</v>
      </c>
      <c r="K163" s="123">
        <f t="shared" si="67"/>
        <v>54833.78</v>
      </c>
    </row>
    <row r="164" spans="2:11" ht="30">
      <c r="B164" s="11" t="s">
        <v>6936</v>
      </c>
      <c r="C164" s="79">
        <f>QUANT!C452</f>
        <v>91341</v>
      </c>
      <c r="D164" s="79" t="str">
        <f>QUANT!D452</f>
        <v>SINAPI</v>
      </c>
      <c r="E164" s="80" t="str">
        <f>IFERROR(VLOOKUP($C164,'SINAPI JULHO 2021'!$1:$1048576,2,0),IFERROR(VLOOKUP($C164,'5-COMP. PROPRIA'!$B$1:$I$7981,4,0),""))</f>
        <v>PORTA EM ALUMÍNIO DE ABRIR TIPO VENEZIANA COM GUARNIÇÃO, FIXAÇÃO COM PARAFUSOS - FORNECIMENTO E INSTALAÇÃO. AF_12/2019</v>
      </c>
      <c r="F164" s="81" t="str">
        <f>IFERROR(VLOOKUP($C164,'SINAPI JULHO 2021'!$A:$D,3,0),IFERROR(VLOOKUP($C164,'5-COMP. PROPRIA'!$B$1:$I$7981,5,0),""))</f>
        <v>M2</v>
      </c>
      <c r="G164" s="129">
        <f>QUANT!K452</f>
        <v>30.72</v>
      </c>
      <c r="H164" s="200">
        <f>IFERROR(VLOOKUP($C164,'SINAPI JULHO 2021'!$A:$D,4,0),IFERROR(VLOOKUP($C164,'5-COMP. PROPRIA'!$B$1:$I$7981,8,0),""))</f>
        <v>519.91</v>
      </c>
      <c r="I164" s="200">
        <f>H164*'4-BDI'!$E$29</f>
        <v>666.73258399999997</v>
      </c>
      <c r="J164" s="201">
        <f t="shared" si="66"/>
        <v>15971.63</v>
      </c>
      <c r="K164" s="123">
        <f t="shared" si="67"/>
        <v>20482.02</v>
      </c>
    </row>
    <row r="165" spans="2:11" ht="45">
      <c r="B165" s="11" t="s">
        <v>13093</v>
      </c>
      <c r="C165" s="79" t="str">
        <f>QUANT!C455</f>
        <v>CP-ESQ-06</v>
      </c>
      <c r="D165" s="79" t="str">
        <f>QUANT!D455</f>
        <v>PRÓPRIA</v>
      </c>
      <c r="E165" s="80" t="str">
        <f>IFERROR(VLOOKUP($C165,'SINAPI JULHO 2021'!$1:$1048576,2,0),IFERROR(VLOOKUP($C165,'5-COMP. PROPRIA'!$B$1:$I$7981,4,0),""))</f>
        <v>PORTAO DE ABRIR EM CHAPA TIPO PAINEL LAMBRIL QUADRADO MEIA ALTURA, COM GRADE SUPERIOR, COMPLETA COM REQUADRO, ACABAMENTO NATURAL, COM FEICHOS E TRINCOS FORNECIMENTO E INSTALAÇÃO.</v>
      </c>
      <c r="F165" s="81" t="str">
        <f>IFERROR(VLOOKUP($C165,'SINAPI JULHO 2021'!$A:$D,3,0),IFERROR(VLOOKUP($C165,'5-COMP. PROPRIA'!$B$1:$I$7981,5,0),""))</f>
        <v>M2</v>
      </c>
      <c r="G165" s="129">
        <f>QUANT!K455</f>
        <v>36.659999999999997</v>
      </c>
      <c r="H165" s="200">
        <f>IFERROR(VLOOKUP($C165,'SINAPI JULHO 2021'!$A:$D,4,0),IFERROR(VLOOKUP($C165,'5-COMP. PROPRIA'!$B$1:$I$7981,8,0),""))</f>
        <v>607.83000000000004</v>
      </c>
      <c r="I165" s="200">
        <f>H165*'4-BDI'!$E$29</f>
        <v>779.48119200000008</v>
      </c>
      <c r="J165" s="201">
        <f t="shared" si="66"/>
        <v>22283.040000000001</v>
      </c>
      <c r="K165" s="123">
        <f t="shared" si="67"/>
        <v>28575.78</v>
      </c>
    </row>
    <row r="166" spans="2:11" ht="45">
      <c r="B166" s="11" t="s">
        <v>13094</v>
      </c>
      <c r="C166" s="79" t="str">
        <f>QUANT!C456</f>
        <v>CP-ESQ-05</v>
      </c>
      <c r="D166" s="79" t="str">
        <f>QUANT!D456</f>
        <v>PRÓPRIA</v>
      </c>
      <c r="E166" s="80" t="str">
        <f>IFERROR(VLOOKUP($C166,'SINAPI JULHO 2021'!$1:$1048576,2,0),IFERROR(VLOOKUP($C166,'5-COMP. PROPRIA'!$B$1:$I$7981,4,0),""))</f>
        <v>PORTAO DE CORRER EM CHAPA TIPO PAINEL LAMBRIL QUADRADO, COM PORTA SOCIAL COMPLETA INCLUIDA, COM REQUADRO, ACABAMENTO NATURAL, COM TRILHOS E ROLDANAS. FORNECIMENTO E INSTALAÇÃO.</v>
      </c>
      <c r="F166" s="81" t="str">
        <f>IFERROR(VLOOKUP($C166,'SINAPI JULHO 2021'!$A:$D,3,0),IFERROR(VLOOKUP($C166,'5-COMP. PROPRIA'!$B$1:$I$7981,5,0),""))</f>
        <v>M2</v>
      </c>
      <c r="G166" s="129">
        <f>QUANT!K456</f>
        <v>9</v>
      </c>
      <c r="H166" s="200">
        <f>IFERROR(VLOOKUP($C166,'SINAPI JULHO 2021'!$A:$D,4,0),IFERROR(VLOOKUP($C166,'5-COMP. PROPRIA'!$B$1:$I$7981,8,0),""))</f>
        <v>1018.41</v>
      </c>
      <c r="I166" s="200">
        <f>H166*'4-BDI'!$E$29</f>
        <v>1306.0089840000001</v>
      </c>
      <c r="J166" s="201">
        <f t="shared" si="66"/>
        <v>9165.69</v>
      </c>
      <c r="K166" s="123">
        <f t="shared" si="67"/>
        <v>11754.08</v>
      </c>
    </row>
    <row r="167" spans="2:11" ht="45">
      <c r="B167" s="11" t="s">
        <v>13095</v>
      </c>
      <c r="C167" s="79">
        <f>QUANT!C459</f>
        <v>100761</v>
      </c>
      <c r="D167" s="79" t="str">
        <f>QUANT!D459</f>
        <v>SINAPI</v>
      </c>
      <c r="E167" s="80" t="str">
        <f>IFERROR(VLOOKUP($C167,'SINAPI JULHO 2021'!$1:$1048576,2,0),IFERROR(VLOOKUP($C167,'5-COMP. PROPRIA'!$B$1:$I$7981,4,0),""))</f>
        <v>PINTURA COM TINTA ALQUÍDICA DE ACABAMENTO (ESMALTE SINTÉTICO FOSCO) PULVERIZADA SOBRE SUPERFÍCIES METÁLICAS (EXCETO PERFIL) EXECUTADO EM OBRA (02 DEMÃOS). AF_01/2020_P</v>
      </c>
      <c r="F167" s="81" t="str">
        <f>IFERROR(VLOOKUP($C167,'SINAPI JULHO 2021'!$A:$D,3,0),IFERROR(VLOOKUP($C167,'5-COMP. PROPRIA'!$B$1:$I$7981,5,0),""))</f>
        <v>M2</v>
      </c>
      <c r="G167" s="129">
        <f>QUANT!K459</f>
        <v>268.98</v>
      </c>
      <c r="H167" s="200">
        <f>IFERROR(VLOOKUP($C167,'SINAPI JULHO 2021'!$A:$D,4,0),IFERROR(VLOOKUP($C167,'5-COMP. PROPRIA'!$B$1:$I$7981,8,0),""))</f>
        <v>31.73</v>
      </c>
      <c r="I167" s="200">
        <f>H167*'4-BDI'!$E$29</f>
        <v>40.690551999999997</v>
      </c>
      <c r="J167" s="201">
        <f t="shared" si="66"/>
        <v>8534.73</v>
      </c>
      <c r="K167" s="123">
        <f t="shared" si="67"/>
        <v>10944.94</v>
      </c>
    </row>
    <row r="168" spans="2:11" ht="30">
      <c r="B168" s="11" t="s">
        <v>13096</v>
      </c>
      <c r="C168" s="79" t="str">
        <f>QUANT!C464</f>
        <v>CP-ESQ-02</v>
      </c>
      <c r="D168" s="79" t="str">
        <f>QUANT!D464</f>
        <v>PRÓPRIA</v>
      </c>
      <c r="E168" s="80" t="str">
        <f>IFERROR(VLOOKUP($C168,'SINAPI JULHO 2021'!$1:$1048576,2,0),IFERROR(VLOOKUP($C168,'5-COMP. PROPRIA'!$B$1:$I$7981,4,0),""))</f>
        <v>JANELA DE DE ENROLAR,  FIXAÇÃO COM ARGAMASSA, PADRONIZADA INCLUSO PEITORIL EM GRANILITE 60CM (ABERTURA NA VERTICAL "PASSA PRATO" - FORNECIMENTO E INSTALAÇÃO</v>
      </c>
      <c r="F168" s="81" t="str">
        <f>IFERROR(VLOOKUP($C168,'SINAPI JULHO 2021'!$A:$D,3,0),IFERROR(VLOOKUP($C168,'5-COMP. PROPRIA'!$B$1:$I$7981,5,0),""))</f>
        <v>M2</v>
      </c>
      <c r="G168" s="129">
        <f>QUANT!K464</f>
        <v>4.32</v>
      </c>
      <c r="H168" s="200">
        <f>IFERROR(VLOOKUP($C168,'SINAPI JULHO 2021'!$A:$D,4,0),IFERROR(VLOOKUP($C168,'5-COMP. PROPRIA'!$B$1:$I$7981,8,0),""))</f>
        <v>1379.51</v>
      </c>
      <c r="I168" s="200">
        <f>H168*'4-BDI'!$E$29</f>
        <v>1769.0836239999999</v>
      </c>
      <c r="J168" s="201">
        <f t="shared" si="66"/>
        <v>5959.48</v>
      </c>
      <c r="K168" s="123">
        <f t="shared" si="67"/>
        <v>7642.44</v>
      </c>
    </row>
    <row r="169" spans="2:11" ht="30">
      <c r="B169" s="11" t="s">
        <v>13097</v>
      </c>
      <c r="C169" s="79" t="str">
        <f>QUANT!C468</f>
        <v>CP-ESQ-03</v>
      </c>
      <c r="D169" s="79" t="str">
        <f>QUANT!D468</f>
        <v>PRÓPRIA</v>
      </c>
      <c r="E169" s="80" t="str">
        <f>IFERROR(VLOOKUP($C169,'SINAPI JULHO 2021'!$1:$1048576,2,0),IFERROR(VLOOKUP($C169,'5-COMP. PROPRIA'!$B$1:$I$7981,4,0),""))</f>
        <v>TELA DE PROTEÇÃO DE FIBRA DE VIDRO ANTI CHAMAS COM REQUADRO EM ALUMINIO - FORNECIMENTO E INSTALAÇÃO</v>
      </c>
      <c r="F169" s="81" t="str">
        <f>IFERROR(VLOOKUP($C169,'SINAPI JULHO 2021'!$A:$D,3,0),IFERROR(VLOOKUP($C169,'5-COMP. PROPRIA'!$B$1:$I$7981,5,0),""))</f>
        <v>M2</v>
      </c>
      <c r="G169" s="129">
        <f>QUANT!K468</f>
        <v>4</v>
      </c>
      <c r="H169" s="200">
        <f>IFERROR(VLOOKUP($C169,'SINAPI JULHO 2021'!$A:$D,4,0),IFERROR(VLOOKUP($C169,'5-COMP. PROPRIA'!$B$1:$I$7981,8,0),""))</f>
        <v>253.02</v>
      </c>
      <c r="I169" s="200">
        <f>H169*'4-BDI'!$E$29</f>
        <v>324.472848</v>
      </c>
      <c r="J169" s="201">
        <f t="shared" si="66"/>
        <v>1012.08</v>
      </c>
      <c r="K169" s="123">
        <f t="shared" si="67"/>
        <v>1297.8900000000001</v>
      </c>
    </row>
    <row r="170" spans="2:11" ht="45">
      <c r="B170" s="11" t="s">
        <v>13098</v>
      </c>
      <c r="C170" s="79" t="str">
        <f>QUANT!C471</f>
        <v>CP-ESQ-07</v>
      </c>
      <c r="D170" s="79" t="str">
        <f>QUANT!D471</f>
        <v>PRÓPRIA</v>
      </c>
      <c r="E170" s="80" t="str">
        <f>IFERROR(VLOOKUP($C170,'SINAPI JULHO 2021'!$1:$1048576,2,0),IFERROR(VLOOKUP($C170,'5-COMP. PROPRIA'!$B$1:$I$7981,4,0),""))</f>
        <v>BRISE METALICO PARA PROTEÇÃO COM REQUADRO SOLDADO E CHUMBADO EM ALVENARIA COM ACABAMENTO EM PINTURA ESMALTE SOBRE FUNDO (TIPO ZARCÃO) 2 DEMÃOS - FORNECIMENTO E INSTALAÇÃO</v>
      </c>
      <c r="F170" s="81" t="str">
        <f>IFERROR(VLOOKUP($C170,'SINAPI JULHO 2021'!$A:$D,3,0),IFERROR(VLOOKUP($C170,'5-COMP. PROPRIA'!$B$1:$I$7981,5,0),""))</f>
        <v>M2</v>
      </c>
      <c r="G170" s="129">
        <f>QUANT!K471</f>
        <v>57.900000000000006</v>
      </c>
      <c r="H170" s="200">
        <f>IFERROR(VLOOKUP($C170,'SINAPI JULHO 2021'!$A:$D,4,0),IFERROR(VLOOKUP($C170,'5-COMP. PROPRIA'!$B$1:$I$7981,8,0),""))</f>
        <v>474.23</v>
      </c>
      <c r="I170" s="200">
        <f>H170*'4-BDI'!$E$29</f>
        <v>608.15255200000001</v>
      </c>
      <c r="J170" s="201">
        <f t="shared" ref="J170" si="68">TRUNC(G170*H170,2)</f>
        <v>27457.91</v>
      </c>
      <c r="K170" s="123">
        <f t="shared" ref="K170" si="69">TRUNC(G170*I170,2)</f>
        <v>35212.03</v>
      </c>
    </row>
    <row r="171" spans="2:11" ht="15">
      <c r="B171" s="834" t="s">
        <v>3506</v>
      </c>
      <c r="C171" s="835"/>
      <c r="D171" s="835"/>
      <c r="E171" s="835"/>
      <c r="F171" s="835"/>
      <c r="G171" s="835"/>
      <c r="H171" s="835"/>
      <c r="I171" s="124"/>
      <c r="J171" s="126">
        <f>TRUNC(SUM(J160:J170),2)</f>
        <v>217002.13</v>
      </c>
      <c r="K171" s="125">
        <f>TRUNC(SUM(K160:K170),2)</f>
        <v>278283.55</v>
      </c>
    </row>
    <row r="172" spans="2:11" ht="15">
      <c r="B172" s="5" t="s">
        <v>599</v>
      </c>
      <c r="C172" s="6"/>
      <c r="D172" s="7"/>
      <c r="E172" s="8" t="str">
        <f>QUANT!E472</f>
        <v>DIVISORIAS, BANCADAS E PEITORIS</v>
      </c>
      <c r="F172" s="9"/>
      <c r="G172" s="128"/>
      <c r="H172" s="221"/>
      <c r="I172" s="121"/>
      <c r="J172" s="121"/>
      <c r="K172" s="122"/>
    </row>
    <row r="173" spans="2:11" ht="30">
      <c r="B173" s="11" t="s">
        <v>3329</v>
      </c>
      <c r="C173" s="79">
        <f>QUANT!C473</f>
        <v>102253</v>
      </c>
      <c r="D173" s="79" t="str">
        <f>QUANT!D473</f>
        <v>SINAPI</v>
      </c>
      <c r="E173" s="80" t="str">
        <f>IFERROR(VLOOKUP($C173,'SINAPI JULHO 2021'!$1:$1048576,2,0),IFERROR(VLOOKUP($C173,'5-COMP. PROPRIA'!$B$1:$I$7981,4,0),""))</f>
        <v>DIVISORIA SANITÁRIA, TIPO CABINE, EM GRANITO CINZA POLIDO, ESP = 3CM, ASSENTADO COM ARGAMASSA COLANTE AC III-E, EXCLUSIVE FERRAGENS. AF_01/2021</v>
      </c>
      <c r="F173" s="81" t="str">
        <f>IFERROR(VLOOKUP($C173,'SINAPI JULHO 2021'!$A:$D,3,0),IFERROR(VLOOKUP($C173,'5-COMP. PROPRIA'!$B$1:$I$7981,5,0),""))</f>
        <v>M2</v>
      </c>
      <c r="G173" s="129">
        <f>QUANT!K473</f>
        <v>95.65</v>
      </c>
      <c r="H173" s="200">
        <f>IFERROR(VLOOKUP($C173,'SINAPI JULHO 2021'!$A:$D,4,0),IFERROR(VLOOKUP($C173,'5-COMP. PROPRIA'!$B$1:$I$7981,8,0),""))</f>
        <v>566.95000000000005</v>
      </c>
      <c r="I173" s="200">
        <f>H173*'4-BDI'!$E$29</f>
        <v>727.05668000000003</v>
      </c>
      <c r="J173" s="201">
        <f t="shared" ref="J173" si="70">TRUNC(G173*H173,2)</f>
        <v>54228.76</v>
      </c>
      <c r="K173" s="123">
        <f t="shared" ref="K173" si="71">TRUNC(G173*I173,2)</f>
        <v>69542.97</v>
      </c>
    </row>
    <row r="174" spans="2:11" ht="37.5" customHeight="1">
      <c r="B174" s="11" t="s">
        <v>5751</v>
      </c>
      <c r="C174" s="79" t="str">
        <f>QUANT!C481</f>
        <v>CP-GRN-01</v>
      </c>
      <c r="D174" s="79" t="str">
        <f>QUANT!D481</f>
        <v>PRÓPRIA</v>
      </c>
      <c r="E174" s="80" t="str">
        <f>IFERROR(VLOOKUP($C174,'SINAPI JULHO 2021'!$1:$1048576,2,0),IFERROR(VLOOKUP($C174,'5-COMP. PROPRIA'!$B$1:$I$7981,4,0),""))</f>
        <v>BANCO EM GRANITO CINZA POLIDO E=3CM, ASSENTADO COM ARGAMASSA COLANTE AC III-E, INCLUSIVE FERRAGENS - FORNECIMENTO E INSTALAÇÃO.</v>
      </c>
      <c r="F174" s="81" t="str">
        <f>IFERROR(VLOOKUP($C174,'SINAPI JULHO 2021'!$A:$D,3,0),IFERROR(VLOOKUP($C174,'5-COMP. PROPRIA'!$B$1:$I$7981,5,0),""))</f>
        <v>M2</v>
      </c>
      <c r="G174" s="129">
        <f>QUANT!K481</f>
        <v>13.95</v>
      </c>
      <c r="H174" s="200">
        <f>IFERROR(VLOOKUP($C174,'SINAPI JULHO 2021'!$A:$D,4,0),IFERROR(VLOOKUP($C174,'5-COMP. PROPRIA'!$B$1:$I$7981,8,0),""))</f>
        <v>562.26</v>
      </c>
      <c r="I174" s="200">
        <f>H174*'4-BDI'!$E$29</f>
        <v>721.04222400000003</v>
      </c>
      <c r="J174" s="201">
        <f t="shared" ref="J174:J176" si="72">TRUNC(G174*H174,2)</f>
        <v>7843.52</v>
      </c>
      <c r="K174" s="123">
        <f t="shared" ref="K174:K176" si="73">TRUNC(G174*I174,2)</f>
        <v>10058.530000000001</v>
      </c>
    </row>
    <row r="175" spans="2:11" ht="45">
      <c r="B175" s="11" t="s">
        <v>5752</v>
      </c>
      <c r="C175" s="79" t="str">
        <f>QUANT!C489</f>
        <v>CP-GRN-02</v>
      </c>
      <c r="D175" s="79" t="str">
        <f>QUANT!D489</f>
        <v>PRÓPRIA</v>
      </c>
      <c r="E175" s="80" t="str">
        <f>IFERROR(VLOOKUP($C175,'SINAPI JULHO 2021'!$1:$1048576,2,0),IFERROR(VLOOKUP($C175,'5-COMP. PROPRIA'!$B$1:$I$7981,4,0),""))</f>
        <v>BANCADA EM GRANITO CINZA, POLIDO, TIPO ANDORINHA/ QUARTZ/ CASTELO/ CORUMBA OU OUTROS EQUIVALENTES DA REGIAO, E=  *2,5* CM, INCLUSIVE FERRAGENS, FRONTÃO E SAIA COM 10 CM - FORNECIMENTO E INSTALAÇÃO</v>
      </c>
      <c r="F175" s="81" t="str">
        <f>IFERROR(VLOOKUP($C175,'SINAPI JULHO 2021'!$A:$D,3,0),IFERROR(VLOOKUP($C175,'5-COMP. PROPRIA'!$B$1:$I$7981,5,0),""))</f>
        <v>M2</v>
      </c>
      <c r="G175" s="129">
        <f>QUANT!K489</f>
        <v>18.149999999999999</v>
      </c>
      <c r="H175" s="200">
        <f>IFERROR(VLOOKUP($C175,'SINAPI JULHO 2021'!$A:$D,4,0),IFERROR(VLOOKUP($C175,'5-COMP. PROPRIA'!$B$1:$I$7981,8,0),""))</f>
        <v>653.16999999999996</v>
      </c>
      <c r="I175" s="200">
        <f>H175*'4-BDI'!$E$29</f>
        <v>837.62520799999993</v>
      </c>
      <c r="J175" s="201">
        <f t="shared" si="72"/>
        <v>11855.03</v>
      </c>
      <c r="K175" s="123">
        <f t="shared" si="73"/>
        <v>15202.89</v>
      </c>
    </row>
    <row r="176" spans="2:11" ht="30">
      <c r="B176" s="11" t="s">
        <v>6937</v>
      </c>
      <c r="C176" s="79">
        <f>QUANT!C491</f>
        <v>101965</v>
      </c>
      <c r="D176" s="79" t="str">
        <f>QUANT!D491</f>
        <v>SINAPI</v>
      </c>
      <c r="E176" s="80" t="str">
        <f>IFERROR(VLOOKUP($C176,'SINAPI JULHO 2021'!$1:$1048576,2,0),IFERROR(VLOOKUP($C176,'5-COMP. PROPRIA'!$B$1:$I$7981,4,0),""))</f>
        <v>PEITORIL LINEAR EM GRANITO OU MÁRMORE, L = 15CM, COMPRIMENTO DE ATÉ 2M, ASSENTADO COM ARGAMASSA 1:6 COM ADITIVO. AF_11/2020</v>
      </c>
      <c r="F176" s="81" t="str">
        <f>IFERROR(VLOOKUP($C176,'SINAPI JULHO 2021'!$A:$D,3,0),IFERROR(VLOOKUP($C176,'5-COMP. PROPRIA'!$B$1:$I$7981,5,0),""))</f>
        <v>M</v>
      </c>
      <c r="G176" s="129">
        <f>QUANT!K491</f>
        <v>175.15</v>
      </c>
      <c r="H176" s="200">
        <f>IFERROR(VLOOKUP($C176,'SINAPI JULHO 2021'!$A:$D,4,0),IFERROR(VLOOKUP($C176,'5-COMP. PROPRIA'!$B$1:$I$7981,8,0),""))</f>
        <v>111.11</v>
      </c>
      <c r="I176" s="200">
        <f>H176*'4-BDI'!$E$29</f>
        <v>142.48746399999999</v>
      </c>
      <c r="J176" s="201">
        <f t="shared" si="72"/>
        <v>19460.91</v>
      </c>
      <c r="K176" s="123">
        <f t="shared" si="73"/>
        <v>24956.67</v>
      </c>
    </row>
    <row r="177" spans="1:11" ht="15">
      <c r="B177" s="834" t="s">
        <v>3506</v>
      </c>
      <c r="C177" s="835"/>
      <c r="D177" s="835"/>
      <c r="E177" s="835"/>
      <c r="F177" s="835"/>
      <c r="G177" s="835"/>
      <c r="H177" s="835"/>
      <c r="I177" s="124"/>
      <c r="J177" s="126">
        <f>TRUNC(SUM(J173:J176),2)</f>
        <v>93388.22</v>
      </c>
      <c r="K177" s="125">
        <f>TRUNC(SUM(K173:K176),2)</f>
        <v>119761.06</v>
      </c>
    </row>
    <row r="178" spans="1:11" s="76" customFormat="1" ht="15">
      <c r="A178" s="82"/>
      <c r="B178" s="5" t="s">
        <v>4466</v>
      </c>
      <c r="C178" s="6"/>
      <c r="D178" s="7"/>
      <c r="E178" s="8" t="str">
        <f>QUANT!E492</f>
        <v>REVESTIMENTO INTERNO E EXTERNO</v>
      </c>
      <c r="F178" s="9"/>
      <c r="G178" s="128"/>
      <c r="H178" s="221"/>
      <c r="I178" s="121"/>
      <c r="J178" s="121"/>
      <c r="K178" s="122"/>
    </row>
    <row r="179" spans="1:11" s="76" customFormat="1" ht="30">
      <c r="A179" s="82"/>
      <c r="B179" s="11" t="s">
        <v>4467</v>
      </c>
      <c r="C179" s="79">
        <f>QUANT!C494</f>
        <v>87879</v>
      </c>
      <c r="D179" s="79" t="str">
        <f>QUANT!D494</f>
        <v>SINAPI</v>
      </c>
      <c r="E179" s="80" t="str">
        <f>IFERROR(VLOOKUP($C179,'SINAPI JULHO 2021'!$1:$1048576,2,0),IFERROR(VLOOKUP($C179,'5-COMP. PROPRIA'!$B$1:$I$7981,4,0),""))</f>
        <v>CHAPISCO APLICADO EM ALVENARIAS E ESTRUTURAS DE CONCRETO INTERNAS, COM COLHER DE PEDREIRO.  ARGAMASSA TRAÇO 1:3 COM PREPARO EM BETONEIRA 400L. AF_06/2014</v>
      </c>
      <c r="F179" s="81" t="str">
        <f>IFERROR(VLOOKUP($C179,'SINAPI JULHO 2021'!$A:$D,3,0),IFERROR(VLOOKUP($C179,'5-COMP. PROPRIA'!$B$1:$I$7981,5,0),""))</f>
        <v>M2</v>
      </c>
      <c r="G179" s="129">
        <f>QUANT!K494</f>
        <v>6982.2300000000014</v>
      </c>
      <c r="H179" s="200">
        <f>IFERROR(VLOOKUP($C179,'SINAPI JULHO 2021'!$A:$D,4,0),IFERROR(VLOOKUP($C179,'5-COMP. PROPRIA'!$B$1:$I$7981,8,0),""))</f>
        <v>3.01</v>
      </c>
      <c r="I179" s="200">
        <f>H179*'4-BDI'!$E$29</f>
        <v>3.8600239999999997</v>
      </c>
      <c r="J179" s="201">
        <f t="shared" ref="J179" si="74">TRUNC(G179*H179,2)</f>
        <v>21016.51</v>
      </c>
      <c r="K179" s="123">
        <f t="shared" ref="K179" si="75">TRUNC(G179*I179,2)</f>
        <v>26951.57</v>
      </c>
    </row>
    <row r="180" spans="1:11" s="76" customFormat="1" ht="60">
      <c r="B180" s="11" t="s">
        <v>4471</v>
      </c>
      <c r="C180" s="79">
        <f>QUANT!C498</f>
        <v>87553</v>
      </c>
      <c r="D180" s="79" t="str">
        <f>QUANT!D498</f>
        <v>SINAPI</v>
      </c>
      <c r="E180" s="80" t="str">
        <f>IFERROR(VLOOKUP($C180,'SINAPI JULHO 2021'!$1:$1048576,2,0),IFERROR(VLOOKUP($C180,'5-COMP. PROPRIA'!$B$1:$I$7981,4,0),""))</f>
        <v>EMBOÇO, PARA RECEBIMENTO DE CERÂMICA, EM ARGAMASSA TRAÇO 1:2:8, PREPARO MECÂNICO COM BETONEIRA 400L, APLICADO MANUALMENTE EM FACES INTERNAS DE PAREDES, PARA AMBIENTE COM ÁREA MAIOR QUE 10M2, ESPESSURA DE 10MM, COM EXECUÇÃO DE TALISCAS. AF_06/2014</v>
      </c>
      <c r="F180" s="81" t="str">
        <f>IFERROR(VLOOKUP($C180,'SINAPI JULHO 2021'!$A:$D,3,0),IFERROR(VLOOKUP($C180,'5-COMP. PROPRIA'!$B$1:$I$7981,5,0),""))</f>
        <v>M2</v>
      </c>
      <c r="G180" s="129">
        <f>QUANT!K498</f>
        <v>2114.98</v>
      </c>
      <c r="H180" s="200">
        <f>IFERROR(VLOOKUP($C180,'SINAPI JULHO 2021'!$A:$D,4,0),IFERROR(VLOOKUP($C180,'5-COMP. PROPRIA'!$B$1:$I$7981,8,0),""))</f>
        <v>13.32</v>
      </c>
      <c r="I180" s="200">
        <f>H180*'4-BDI'!$E$29</f>
        <v>17.081568000000001</v>
      </c>
      <c r="J180" s="201">
        <f t="shared" ref="J180" si="76">TRUNC(G180*H180,2)</f>
        <v>28171.53</v>
      </c>
      <c r="K180" s="123">
        <f t="shared" ref="K180" si="77">TRUNC(G180*I180,2)</f>
        <v>36127.17</v>
      </c>
    </row>
    <row r="181" spans="1:11" s="76" customFormat="1" ht="45">
      <c r="B181" s="11" t="s">
        <v>4472</v>
      </c>
      <c r="C181" s="79">
        <f>QUANT!C548</f>
        <v>87529</v>
      </c>
      <c r="D181" s="79" t="str">
        <f>QUANT!D548</f>
        <v>SINAPI</v>
      </c>
      <c r="E181" s="80" t="str">
        <f>IFERROR(VLOOKUP($C181,'SINAPI JULHO 2021'!$1:$1048576,2,0),IFERROR(VLOOKUP($C181,'5-COMP. PROPRIA'!$B$1:$I$7981,4,0),""))</f>
        <v>MASSA ÚNICA, PARA RECEBIMENTO DE PINTURA, EM ARGAMASSA TRAÇO 1:2:8, PREPARO MECÂNICO COM BETONEIRA 400L, APLICADA MANUALMENTE EM FACES INTERNAS DE PAREDES, ESPESSURA DE 20MM, COM EXECUÇÃO DE TALISCAS. AF_06/2014</v>
      </c>
      <c r="F181" s="81" t="str">
        <f>IFERROR(VLOOKUP($C181,'SINAPI JULHO 2021'!$A:$D,3,0),IFERROR(VLOOKUP($C181,'5-COMP. PROPRIA'!$B$1:$I$7981,5,0),""))</f>
        <v>M2</v>
      </c>
      <c r="G181" s="129">
        <f>QUANT!K548</f>
        <v>4867.2500000000018</v>
      </c>
      <c r="H181" s="200">
        <f>IFERROR(VLOOKUP($C181,'SINAPI JULHO 2021'!$A:$D,4,0),IFERROR(VLOOKUP($C181,'5-COMP. PROPRIA'!$B$1:$I$7981,8,0),""))</f>
        <v>26.15</v>
      </c>
      <c r="I181" s="200">
        <f>H181*'4-BDI'!$E$29</f>
        <v>33.534759999999999</v>
      </c>
      <c r="J181" s="201">
        <f t="shared" ref="J181:J184" si="78">TRUNC(G181*H181,2)</f>
        <v>127278.58</v>
      </c>
      <c r="K181" s="123">
        <f t="shared" ref="K181:K184" si="79">TRUNC(G181*I181,2)</f>
        <v>163222.06</v>
      </c>
    </row>
    <row r="182" spans="1:11" s="76" customFormat="1" ht="45">
      <c r="B182" s="11" t="s">
        <v>13102</v>
      </c>
      <c r="C182" s="79">
        <f>QUANT!C550</f>
        <v>87273</v>
      </c>
      <c r="D182" s="79" t="str">
        <f>QUANT!D550</f>
        <v>SINAPI</v>
      </c>
      <c r="E182" s="80" t="str">
        <f>IFERROR(VLOOKUP($C182,'SINAPI JULHO 2021'!$1:$1048576,2,0),IFERROR(VLOOKUP($C182,'5-COMP. PROPRIA'!$B$1:$I$7981,4,0),""))</f>
        <v>REVESTIMENTO CERÂMICO PARA PAREDES INTERNAS COM PLACAS TIPO ESMALTADA EXTRA DE DIMENSÕES 33X45 CM APLICADAS EM AMBIENTES DE ÁREA MAIOR QUE 5 M² NA ALTURA INTEIRA DAS PAREDES. AF_06/2014</v>
      </c>
      <c r="F182" s="81" t="str">
        <f>IFERROR(VLOOKUP($C182,'SINAPI JULHO 2021'!$A:$D,3,0),IFERROR(VLOOKUP($C182,'5-COMP. PROPRIA'!$B$1:$I$7981,5,0),""))</f>
        <v>M2</v>
      </c>
      <c r="G182" s="129">
        <f>QUANT!K550</f>
        <v>1827.98</v>
      </c>
      <c r="H182" s="200">
        <f>IFERROR(VLOOKUP($C182,'SINAPI JULHO 2021'!$A:$D,4,0),IFERROR(VLOOKUP($C182,'5-COMP. PROPRIA'!$B$1:$I$7981,8,0),""))</f>
        <v>53.7</v>
      </c>
      <c r="I182" s="200">
        <f>H182*'4-BDI'!$E$29</f>
        <v>68.864879999999999</v>
      </c>
      <c r="J182" s="201">
        <f t="shared" si="78"/>
        <v>98162.52</v>
      </c>
      <c r="K182" s="123">
        <f t="shared" si="79"/>
        <v>125883.62</v>
      </c>
    </row>
    <row r="183" spans="1:11" s="76" customFormat="1" ht="45">
      <c r="B183" s="11" t="s">
        <v>13103</v>
      </c>
      <c r="C183" s="79">
        <f>QUANT!C552</f>
        <v>87244</v>
      </c>
      <c r="D183" s="79" t="str">
        <f>QUANT!D552</f>
        <v>SINAPI</v>
      </c>
      <c r="E183" s="80" t="str">
        <f>IFERROR(VLOOKUP($C183,'SINAPI JULHO 2021'!$1:$1048576,2,0),IFERROR(VLOOKUP($C183,'5-COMP. PROPRIA'!$B$1:$I$7981,4,0),""))</f>
        <v>REVESTIMENTO CERÂMICO PARA PAREDES EXTERNAS EM PASTILHAS DE PORCELANA 5 X 5 CM (PLACAS DE 30 X 30 CM), ALINHADAS A PRUMO, APLICADO EM SUPERFÍCIES EXTERNAS DA SACADA. AF_06/2014</v>
      </c>
      <c r="F183" s="81" t="str">
        <f>IFERROR(VLOOKUP($C183,'SINAPI JULHO 2021'!$A:$D,3,0),IFERROR(VLOOKUP($C183,'5-COMP. PROPRIA'!$B$1:$I$7981,5,0),""))</f>
        <v>M2</v>
      </c>
      <c r="G183" s="129">
        <f>QUANT!K552</f>
        <v>287</v>
      </c>
      <c r="H183" s="200">
        <f>IFERROR(VLOOKUP($C183,'SINAPI JULHO 2021'!$A:$D,4,0),IFERROR(VLOOKUP($C183,'5-COMP. PROPRIA'!$B$1:$I$7981,8,0),""))</f>
        <v>179.98</v>
      </c>
      <c r="I183" s="200">
        <f>H183*'4-BDI'!$E$29</f>
        <v>230.80635199999998</v>
      </c>
      <c r="J183" s="201">
        <f t="shared" si="78"/>
        <v>51654.26</v>
      </c>
      <c r="K183" s="123">
        <f t="shared" si="79"/>
        <v>66241.42</v>
      </c>
    </row>
    <row r="184" spans="1:11" s="76" customFormat="1" ht="30">
      <c r="B184" s="11" t="s">
        <v>13104</v>
      </c>
      <c r="C184" s="79">
        <f>QUANT!C554</f>
        <v>96111</v>
      </c>
      <c r="D184" s="79" t="str">
        <f>QUANT!D554</f>
        <v>SINAPI</v>
      </c>
      <c r="E184" s="80" t="str">
        <f>IFERROR(VLOOKUP($C184,'SINAPI JULHO 2021'!$1:$1048576,2,0),IFERROR(VLOOKUP($C184,'5-COMP. PROPRIA'!$B$1:$I$7981,4,0),""))</f>
        <v>FORRO EM RÉGUAS DE PVC, FRISADO, PARA AMBIENTES RESIDENCIAIS, INCLUSIVE ESTRUTURA DE FIXAÇÃO. AF_05/2017_P</v>
      </c>
      <c r="F184" s="81" t="str">
        <f>IFERROR(VLOOKUP($C184,'SINAPI JULHO 2021'!$A:$D,3,0),IFERROR(VLOOKUP($C184,'5-COMP. PROPRIA'!$B$1:$I$7981,5,0),""))</f>
        <v>M2</v>
      </c>
      <c r="G184" s="129">
        <f>QUANT!K554</f>
        <v>2012.7299999999998</v>
      </c>
      <c r="H184" s="200">
        <f>IFERROR(VLOOKUP($C184,'SINAPI JULHO 2021'!$A:$D,4,0),IFERROR(VLOOKUP($C184,'5-COMP. PROPRIA'!$B$1:$I$7981,8,0),""))</f>
        <v>54.96</v>
      </c>
      <c r="I184" s="200">
        <f>H184*'4-BDI'!$E$29</f>
        <v>70.480704000000003</v>
      </c>
      <c r="J184" s="201">
        <f t="shared" si="78"/>
        <v>110619.64</v>
      </c>
      <c r="K184" s="123">
        <f t="shared" si="79"/>
        <v>141858.62</v>
      </c>
    </row>
    <row r="185" spans="1:11" s="76" customFormat="1" ht="15" customHeight="1">
      <c r="B185" s="834" t="s">
        <v>3506</v>
      </c>
      <c r="C185" s="835"/>
      <c r="D185" s="835"/>
      <c r="E185" s="835"/>
      <c r="F185" s="835"/>
      <c r="G185" s="835"/>
      <c r="H185" s="835"/>
      <c r="I185" s="202"/>
      <c r="J185" s="126">
        <f>TRUNC(SUM(J179:J184),2)</f>
        <v>436903.04</v>
      </c>
      <c r="K185" s="125">
        <f>TRUNC(SUM(K179:K184),2)</f>
        <v>560284.46</v>
      </c>
    </row>
    <row r="186" spans="1:11" s="76" customFormat="1" ht="15">
      <c r="B186" s="5" t="s">
        <v>4473</v>
      </c>
      <c r="C186" s="6"/>
      <c r="D186" s="7"/>
      <c r="E186" s="8" t="str">
        <f>QUANT!E556</f>
        <v>PISOS E CALÇAMENTOS</v>
      </c>
      <c r="F186" s="9"/>
      <c r="G186" s="128"/>
      <c r="H186" s="221"/>
      <c r="I186" s="121"/>
      <c r="J186" s="121"/>
      <c r="K186" s="122"/>
    </row>
    <row r="187" spans="1:11" s="76" customFormat="1" ht="15">
      <c r="B187" s="222" t="s">
        <v>4474</v>
      </c>
      <c r="C187" s="79"/>
      <c r="D187" s="79"/>
      <c r="E187" s="225" t="str">
        <f>QUANT!E557</f>
        <v>ESCOLA</v>
      </c>
      <c r="F187" s="81"/>
      <c r="G187" s="129"/>
      <c r="H187" s="200"/>
      <c r="I187" s="200"/>
      <c r="J187" s="201"/>
      <c r="K187" s="123"/>
    </row>
    <row r="188" spans="1:11" s="76" customFormat="1" ht="30">
      <c r="B188" s="11" t="s">
        <v>5753</v>
      </c>
      <c r="C188" s="79">
        <f>QUANT!C558</f>
        <v>94319</v>
      </c>
      <c r="D188" s="79" t="str">
        <f>QUANT!D558</f>
        <v>SINAPI</v>
      </c>
      <c r="E188" s="80" t="str">
        <f>IFERROR(VLOOKUP($C188,'SINAPI JULHO 2021'!$1:$1048576,2,0),IFERROR(VLOOKUP($C188,'5-COMP. PROPRIA'!$B$1:$I$7981,4,0),""))</f>
        <v>ATERRO MANUAL DE VALAS COM SOLO ARGILO-ARENOSO E COMPACTAÇÃO MECANIZADA. AF_05/2016</v>
      </c>
      <c r="F188" s="81" t="str">
        <f>IFERROR(VLOOKUP($C188,'SINAPI JULHO 2021'!$A:$D,3,0),IFERROR(VLOOKUP($C188,'5-COMP. PROPRIA'!$B$1:$I$7981,5,0),""))</f>
        <v>M3</v>
      </c>
      <c r="G188" s="129">
        <f>QUANT!K558</f>
        <v>50</v>
      </c>
      <c r="H188" s="200">
        <f>IFERROR(VLOOKUP($C188,'SINAPI JULHO 2021'!$A:$D,4,0),IFERROR(VLOOKUP($C188,'5-COMP. PROPRIA'!$B$1:$I$7981,8,0),""))</f>
        <v>32.020000000000003</v>
      </c>
      <c r="I188" s="200">
        <f>H188*'4-BDI'!$E$29</f>
        <v>41.062448000000003</v>
      </c>
      <c r="J188" s="201">
        <f t="shared" ref="J188" si="80">TRUNC(G188*H188,2)</f>
        <v>1601</v>
      </c>
      <c r="K188" s="123">
        <f t="shared" ref="K188" si="81">TRUNC(G188*I188,2)</f>
        <v>2053.12</v>
      </c>
    </row>
    <row r="189" spans="1:11" s="76" customFormat="1" ht="30">
      <c r="B189" s="11" t="s">
        <v>5754</v>
      </c>
      <c r="C189" s="79">
        <f>QUANT!C559</f>
        <v>97084</v>
      </c>
      <c r="D189" s="79" t="str">
        <f>QUANT!D559</f>
        <v>SINAPI</v>
      </c>
      <c r="E189" s="80" t="str">
        <f>IFERROR(VLOOKUP($C189,'SINAPI JULHO 2021'!$1:$1048576,2,0),IFERROR(VLOOKUP($C189,'5-COMP. PROPRIA'!$B$1:$I$7981,4,0),""))</f>
        <v>COMPACTAÇÃO MECÂNICA DE SOLO PARA EXECUÇÃO DE RADIER, COM COMPACTADOR DE SOLOS TIPO PLACA VIBRATÓRIA. AF_09/2017</v>
      </c>
      <c r="F189" s="81" t="str">
        <f>IFERROR(VLOOKUP($C189,'SINAPI JULHO 2021'!$A:$D,3,0),IFERROR(VLOOKUP($C189,'5-COMP. PROPRIA'!$B$1:$I$7981,5,0),""))</f>
        <v>M2</v>
      </c>
      <c r="G189" s="129">
        <f>QUANT!K559</f>
        <v>902.91</v>
      </c>
      <c r="H189" s="200">
        <f>IFERROR(VLOOKUP($C189,'SINAPI JULHO 2021'!$A:$D,4,0),IFERROR(VLOOKUP($C189,'5-COMP. PROPRIA'!$B$1:$I$7981,8,0),""))</f>
        <v>0.45</v>
      </c>
      <c r="I189" s="200">
        <f>H189*'4-BDI'!$E$29</f>
        <v>0.57708000000000004</v>
      </c>
      <c r="J189" s="201">
        <f t="shared" ref="J189:J191" si="82">TRUNC(G189*H189,2)</f>
        <v>406.3</v>
      </c>
      <c r="K189" s="123">
        <f t="shared" ref="K189:K191" si="83">TRUNC(G189*I189,2)</f>
        <v>521.04999999999995</v>
      </c>
    </row>
    <row r="190" spans="1:11" s="76" customFormat="1" ht="30">
      <c r="B190" s="11" t="s">
        <v>5755</v>
      </c>
      <c r="C190" s="79">
        <f>QUANT!C560</f>
        <v>95241</v>
      </c>
      <c r="D190" s="79" t="str">
        <f>QUANT!D560</f>
        <v>SINAPI</v>
      </c>
      <c r="E190" s="80" t="str">
        <f>IFERROR(VLOOKUP($C190,'SINAPI JULHO 2021'!$1:$1048576,2,0),IFERROR(VLOOKUP($C190,'5-COMP. PROPRIA'!$B$1:$I$7981,4,0),""))</f>
        <v>LASTRO DE CONCRETO MAGRO, APLICADO EM PISOS, LAJES SOBRE SOLO OU RADIERS, ESPESSURA DE 5 CM. AF_07/2016</v>
      </c>
      <c r="F190" s="81" t="str">
        <f>IFERROR(VLOOKUP($C190,'SINAPI JULHO 2021'!$A:$D,3,0),IFERROR(VLOOKUP($C190,'5-COMP. PROPRIA'!$B$1:$I$7981,5,0),""))</f>
        <v>M2</v>
      </c>
      <c r="G190" s="129">
        <f>QUANT!K560</f>
        <v>902.91</v>
      </c>
      <c r="H190" s="200">
        <f>IFERROR(VLOOKUP($C190,'SINAPI JULHO 2021'!$A:$D,4,0),IFERROR(VLOOKUP($C190,'5-COMP. PROPRIA'!$B$1:$I$7981,8,0),""))</f>
        <v>22.52</v>
      </c>
      <c r="I190" s="200">
        <f>H190*'4-BDI'!$E$29</f>
        <v>28.879648</v>
      </c>
      <c r="J190" s="201">
        <f t="shared" si="82"/>
        <v>20333.53</v>
      </c>
      <c r="K190" s="123">
        <f t="shared" si="83"/>
        <v>26075.72</v>
      </c>
    </row>
    <row r="191" spans="1:11" s="76" customFormat="1" ht="45">
      <c r="B191" s="11" t="s">
        <v>13105</v>
      </c>
      <c r="C191" s="79">
        <f>QUANT!C592</f>
        <v>87620</v>
      </c>
      <c r="D191" s="79" t="str">
        <f>QUANT!D592</f>
        <v>SINAPI</v>
      </c>
      <c r="E191" s="80" t="str">
        <f>IFERROR(VLOOKUP($C191,'SINAPI JULHO 2021'!$1:$1048576,2,0),IFERROR(VLOOKUP($C191,'5-COMP. PROPRIA'!$B$1:$I$7981,4,0),""))</f>
        <v>CONTRAPISO EM ARGAMASSA TRAÇO 1:4 (CIMENTO E AREIA), PREPARO MECÂNICO COM BETONEIRA 400 L, APLICADO EM ÁREAS SECAS SOBRE LAJE, ADERIDO, ACABAMENTO NÃO REFORÇADO, ESPESSURA 2CM. AF_07/2021</v>
      </c>
      <c r="F191" s="81" t="str">
        <f>IFERROR(VLOOKUP($C191,'SINAPI JULHO 2021'!$A:$D,3,0),IFERROR(VLOOKUP($C191,'5-COMP. PROPRIA'!$B$1:$I$7981,5,0),""))</f>
        <v>M2</v>
      </c>
      <c r="G191" s="129">
        <f>QUANT!K592</f>
        <v>2012.7299999999998</v>
      </c>
      <c r="H191" s="200">
        <f>IFERROR(VLOOKUP($C191,'SINAPI JULHO 2021'!$A:$D,4,0),IFERROR(VLOOKUP($C191,'5-COMP. PROPRIA'!$B$1:$I$7981,8,0),""))</f>
        <v>25.15</v>
      </c>
      <c r="I191" s="200">
        <f>H191*'4-BDI'!$E$29</f>
        <v>32.252359999999996</v>
      </c>
      <c r="J191" s="201">
        <f t="shared" si="82"/>
        <v>50620.15</v>
      </c>
      <c r="K191" s="123">
        <f t="shared" si="83"/>
        <v>64915.29</v>
      </c>
    </row>
    <row r="192" spans="1:11" s="76" customFormat="1" ht="15">
      <c r="B192" s="11" t="s">
        <v>13106</v>
      </c>
      <c r="C192" s="79" t="str">
        <f>QUANT!C617</f>
        <v>CP-PIS-01</v>
      </c>
      <c r="D192" s="79" t="str">
        <f>QUANT!D617</f>
        <v>PRÓPRIA</v>
      </c>
      <c r="E192" s="80" t="str">
        <f>IFERROR(VLOOKUP($C192,'SINAPI JULHO 2021'!$1:$1048576,2,0),IFERROR(VLOOKUP($C192,'5-COMP. PROPRIA'!$B$1:$I$7981,4,0),""))</f>
        <v>PISO GRANILITE MOLDADO IN LOCO - FORNECIMENTO E INSTALAÇÃO</v>
      </c>
      <c r="F192" s="81" t="str">
        <f>IFERROR(VLOOKUP($C192,'SINAPI JULHO 2021'!$A:$D,3,0),IFERROR(VLOOKUP($C192,'5-COMP. PROPRIA'!$B$1:$I$7981,5,0),""))</f>
        <v>M2</v>
      </c>
      <c r="G192" s="129">
        <f>QUANT!K617</f>
        <v>1872.7299999999996</v>
      </c>
      <c r="H192" s="200">
        <f>IFERROR(VLOOKUP($C192,'SINAPI JULHO 2021'!$A:$D,4,0),IFERROR(VLOOKUP($C192,'5-COMP. PROPRIA'!$B$1:$I$7981,8,0),""))</f>
        <v>95.56</v>
      </c>
      <c r="I192" s="200">
        <f>H192*'4-BDI'!$E$29</f>
        <v>122.546144</v>
      </c>
      <c r="J192" s="201">
        <f t="shared" ref="J192:J196" si="84">TRUNC(G192*H192,2)</f>
        <v>178958.07</v>
      </c>
      <c r="K192" s="123">
        <f t="shared" ref="K192:K196" si="85">TRUNC(G192*I192,2)</f>
        <v>229495.84</v>
      </c>
    </row>
    <row r="193" spans="2:11" s="76" customFormat="1" ht="15">
      <c r="B193" s="11" t="s">
        <v>13107</v>
      </c>
      <c r="C193" s="79" t="str">
        <f>QUANT!C618</f>
        <v>CP-PIS-02</v>
      </c>
      <c r="D193" s="79" t="str">
        <f>QUANT!D618</f>
        <v>PRÓPRIA</v>
      </c>
      <c r="E193" s="80" t="str">
        <f>IFERROR(VLOOKUP($C193,'SINAPI JULHO 2021'!$1:$1048576,2,0),IFERROR(VLOOKUP($C193,'5-COMP. PROPRIA'!$B$1:$I$7981,4,0),""))</f>
        <v>PISO FULGET (GRANITO LAVADO) MOLDADO IN LOCO FORNECIMENTO E INSTALAÇÃO.</v>
      </c>
      <c r="F193" s="81" t="str">
        <f>IFERROR(VLOOKUP($C193,'SINAPI JULHO 2021'!$A:$D,3,0),IFERROR(VLOOKUP($C193,'5-COMP. PROPRIA'!$B$1:$I$7981,5,0),""))</f>
        <v>M2</v>
      </c>
      <c r="G193" s="129">
        <f>QUANT!K618</f>
        <v>151.66199999999998</v>
      </c>
      <c r="H193" s="200">
        <f>IFERROR(VLOOKUP($C193,'SINAPI JULHO 2021'!$A:$D,4,0),IFERROR(VLOOKUP($C193,'5-COMP. PROPRIA'!$B$1:$I$7981,8,0),""))</f>
        <v>128.47</v>
      </c>
      <c r="I193" s="200">
        <f>H193*'4-BDI'!$E$29</f>
        <v>164.74992799999998</v>
      </c>
      <c r="J193" s="201">
        <f t="shared" si="84"/>
        <v>19484.009999999998</v>
      </c>
      <c r="K193" s="123">
        <f t="shared" si="85"/>
        <v>24986.3</v>
      </c>
    </row>
    <row r="194" spans="2:11" s="76" customFormat="1" ht="30">
      <c r="B194" s="11" t="s">
        <v>13108</v>
      </c>
      <c r="C194" s="79">
        <f>QUANT!C619</f>
        <v>92399</v>
      </c>
      <c r="D194" s="79" t="str">
        <f>QUANT!D619</f>
        <v>SINAPI</v>
      </c>
      <c r="E194" s="80" t="str">
        <f>IFERROR(VLOOKUP($C194,'SINAPI JULHO 2021'!$1:$1048576,2,0),IFERROR(VLOOKUP($C194,'5-COMP. PROPRIA'!$B$1:$I$7981,4,0),""))</f>
        <v>EXECUÇÃO DE VIA EM PISO INTERTRAVADO, COM BLOCO RETANGULAR COR NATURAL DE 20 X 10 CM, ESPESSURA 8 CM. AF_12/2015</v>
      </c>
      <c r="F194" s="81" t="str">
        <f>IFERROR(VLOOKUP($C194,'SINAPI JULHO 2021'!$A:$D,3,0),IFERROR(VLOOKUP($C194,'5-COMP. PROPRIA'!$B$1:$I$7981,5,0),""))</f>
        <v>M2</v>
      </c>
      <c r="G194" s="129">
        <f>QUANT!K619</f>
        <v>515</v>
      </c>
      <c r="H194" s="200">
        <f>IFERROR(VLOOKUP($C194,'SINAPI JULHO 2021'!$A:$D,4,0),IFERROR(VLOOKUP($C194,'5-COMP. PROPRIA'!$B$1:$I$7981,8,0),""))</f>
        <v>76.69</v>
      </c>
      <c r="I194" s="200">
        <f>H194*'4-BDI'!$E$29</f>
        <v>98.347256000000002</v>
      </c>
      <c r="J194" s="201">
        <f t="shared" si="84"/>
        <v>39495.35</v>
      </c>
      <c r="K194" s="123">
        <f t="shared" si="85"/>
        <v>50648.83</v>
      </c>
    </row>
    <row r="195" spans="2:11" s="76" customFormat="1" ht="30">
      <c r="B195" s="11" t="s">
        <v>13109</v>
      </c>
      <c r="C195" s="79">
        <f>QUANT!C624</f>
        <v>101733</v>
      </c>
      <c r="D195" s="79" t="str">
        <f>QUANT!D624</f>
        <v>SINAPI</v>
      </c>
      <c r="E195" s="80" t="str">
        <f>IFERROR(VLOOKUP($C195,'SINAPI JULHO 2021'!$1:$1048576,2,0),IFERROR(VLOOKUP($C195,'5-COMP. PROPRIA'!$B$1:$I$7981,4,0),""))</f>
        <v>PISO DE BORRACHA PASTILHADO/FRISADO, ESPESSURA 7MM, ASSENTADO COM ARGAMASSA. AF_09/2020</v>
      </c>
      <c r="F195" s="81" t="str">
        <f>IFERROR(VLOOKUP($C195,'SINAPI JULHO 2021'!$A:$D,3,0),IFERROR(VLOOKUP($C195,'5-COMP. PROPRIA'!$B$1:$I$7981,5,0),""))</f>
        <v>M2</v>
      </c>
      <c r="G195" s="129">
        <f>QUANT!K624</f>
        <v>85</v>
      </c>
      <c r="H195" s="200">
        <f>IFERROR(VLOOKUP($C195,'SINAPI JULHO 2021'!$A:$D,4,0),IFERROR(VLOOKUP($C195,'5-COMP. PROPRIA'!$B$1:$I$7981,8,0),""))</f>
        <v>219.96</v>
      </c>
      <c r="I195" s="200">
        <f>H195*'4-BDI'!$E$29</f>
        <v>282.07670400000001</v>
      </c>
      <c r="J195" s="201">
        <f t="shared" si="84"/>
        <v>18696.599999999999</v>
      </c>
      <c r="K195" s="123">
        <f t="shared" si="85"/>
        <v>23976.51</v>
      </c>
    </row>
    <row r="196" spans="2:11" s="76" customFormat="1" ht="30">
      <c r="B196" s="11" t="s">
        <v>13110</v>
      </c>
      <c r="C196" s="79">
        <f>QUANT!C625</f>
        <v>101749</v>
      </c>
      <c r="D196" s="79" t="str">
        <f>QUANT!D625</f>
        <v>SINAPI</v>
      </c>
      <c r="E196" s="80" t="str">
        <f>IFERROR(VLOOKUP($C196,'SINAPI JULHO 2021'!$1:$1048576,2,0),IFERROR(VLOOKUP($C196,'5-COMP. PROPRIA'!$B$1:$I$7981,4,0),""))</f>
        <v>PISO CIMENTADO, TRAÇO 1:3 (CIMENTO E AREIA), ACABAMENTO LISO, ESPESSURA 4,0 CM, PREPARO MECÂNICO DA ARGAMASSA. AF_09/2020</v>
      </c>
      <c r="F196" s="81" t="str">
        <f>IFERROR(VLOOKUP($C196,'SINAPI JULHO 2021'!$A:$D,3,0),IFERROR(VLOOKUP($C196,'5-COMP. PROPRIA'!$B$1:$I$7981,5,0),""))</f>
        <v>M2</v>
      </c>
      <c r="G196" s="129">
        <f>QUANT!K625</f>
        <v>44.8</v>
      </c>
      <c r="H196" s="200">
        <f>IFERROR(VLOOKUP($C196,'SINAPI JULHO 2021'!$A:$D,4,0),IFERROR(VLOOKUP($C196,'5-COMP. PROPRIA'!$B$1:$I$7981,8,0),""))</f>
        <v>39.79</v>
      </c>
      <c r="I196" s="200">
        <f>H196*'4-BDI'!$E$29</f>
        <v>51.026696000000001</v>
      </c>
      <c r="J196" s="201">
        <f t="shared" si="84"/>
        <v>1782.59</v>
      </c>
      <c r="K196" s="123">
        <f t="shared" si="85"/>
        <v>2285.9899999999998</v>
      </c>
    </row>
    <row r="197" spans="2:11" s="76" customFormat="1" ht="30">
      <c r="B197" s="11" t="s">
        <v>13111</v>
      </c>
      <c r="C197" s="79">
        <f>QUANT!C626</f>
        <v>98554</v>
      </c>
      <c r="D197" s="79" t="str">
        <f>QUANT!D626</f>
        <v>SINAPI</v>
      </c>
      <c r="E197" s="80" t="str">
        <f>IFERROR(VLOOKUP($C197,'SINAPI JULHO 2021'!$1:$1048576,2,0),IFERROR(VLOOKUP($C197,'5-COMP. PROPRIA'!$B$1:$I$7981,4,0),""))</f>
        <v>IMPERMEABILIZAÇÃO DE SUPERFÍCIE COM MEMBRANA À BASE DE RESINA ACRÍLICA, 3 DEMÃOS. AF_06/2018</v>
      </c>
      <c r="F197" s="81" t="str">
        <f>IFERROR(VLOOKUP($C197,'SINAPI JULHO 2021'!$A:$D,3,0),IFERROR(VLOOKUP($C197,'5-COMP. PROPRIA'!$B$1:$I$7981,5,0),""))</f>
        <v>M2</v>
      </c>
      <c r="G197" s="129">
        <f>QUANT!K626</f>
        <v>2024.3919999999996</v>
      </c>
      <c r="H197" s="200">
        <f>IFERROR(VLOOKUP($C197,'SINAPI JULHO 2021'!$A:$D,4,0),IFERROR(VLOOKUP($C197,'5-COMP. PROPRIA'!$B$1:$I$7981,8,0),""))</f>
        <v>33.64</v>
      </c>
      <c r="I197" s="200">
        <f>H197*'4-BDI'!$E$29</f>
        <v>43.139935999999999</v>
      </c>
      <c r="J197" s="201">
        <f t="shared" ref="J197:J201" si="86">TRUNC(G197*H197,2)</f>
        <v>68100.539999999994</v>
      </c>
      <c r="K197" s="123">
        <f t="shared" ref="K197:K201" si="87">TRUNC(G197*I197,2)</f>
        <v>87332.14</v>
      </c>
    </row>
    <row r="198" spans="2:11" s="76" customFormat="1" ht="15">
      <c r="B198" s="11" t="s">
        <v>13112</v>
      </c>
      <c r="C198" s="79">
        <f>QUANT!C627</f>
        <v>101094</v>
      </c>
      <c r="D198" s="79" t="str">
        <f>QUANT!D627</f>
        <v>SINAPI</v>
      </c>
      <c r="E198" s="80" t="str">
        <f>IFERROR(VLOOKUP($C198,'SINAPI JULHO 2021'!$1:$1048576,2,0),IFERROR(VLOOKUP($C198,'5-COMP. PROPRIA'!$B$1:$I$7981,4,0),""))</f>
        <v>PISO PODOTÁTIL, DIRECIONAL OU ALERTA, ASSENTADO SOBRE ARGAMASSA. AF_05/2020</v>
      </c>
      <c r="F198" s="81" t="str">
        <f>IFERROR(VLOOKUP($C198,'SINAPI JULHO 2021'!$A:$D,3,0),IFERROR(VLOOKUP($C198,'5-COMP. PROPRIA'!$B$1:$I$7981,5,0),""))</f>
        <v>M</v>
      </c>
      <c r="G198" s="129">
        <f>QUANT!K627</f>
        <v>332.45000000000005</v>
      </c>
      <c r="H198" s="200">
        <f>IFERROR(VLOOKUP($C198,'SINAPI JULHO 2021'!$A:$D,4,0),IFERROR(VLOOKUP($C198,'5-COMP. PROPRIA'!$B$1:$I$7981,8,0),""))</f>
        <v>140.09</v>
      </c>
      <c r="I198" s="200">
        <f>H198*'4-BDI'!$E$29</f>
        <v>179.65141600000001</v>
      </c>
      <c r="J198" s="201">
        <f t="shared" si="86"/>
        <v>46572.92</v>
      </c>
      <c r="K198" s="123">
        <f t="shared" si="87"/>
        <v>59725.11</v>
      </c>
    </row>
    <row r="199" spans="2:11" s="76" customFormat="1" ht="15">
      <c r="B199" s="11" t="s">
        <v>13113</v>
      </c>
      <c r="C199" s="79">
        <f>QUANT!C631</f>
        <v>98504</v>
      </c>
      <c r="D199" s="79" t="str">
        <f>QUANT!D631</f>
        <v>SINAPI</v>
      </c>
      <c r="E199" s="80" t="str">
        <f>IFERROR(VLOOKUP($C199,'SINAPI JULHO 2021'!$1:$1048576,2,0),IFERROR(VLOOKUP($C199,'5-COMP. PROPRIA'!$B$1:$I$7981,4,0),""))</f>
        <v>PLANTIO DE GRAMA EM PLACAS. AF_05/2018</v>
      </c>
      <c r="F199" s="81" t="str">
        <f>IFERROR(VLOOKUP($C199,'SINAPI JULHO 2021'!$A:$D,3,0),IFERROR(VLOOKUP($C199,'5-COMP. PROPRIA'!$B$1:$I$7981,5,0),""))</f>
        <v>M2</v>
      </c>
      <c r="G199" s="129">
        <f>QUANT!K631</f>
        <v>224</v>
      </c>
      <c r="H199" s="200">
        <f>IFERROR(VLOOKUP($C199,'SINAPI JULHO 2021'!$A:$D,4,0),IFERROR(VLOOKUP($C199,'5-COMP. PROPRIA'!$B$1:$I$7981,8,0),""))</f>
        <v>11.42</v>
      </c>
      <c r="I199" s="200">
        <f>H199*'4-BDI'!$E$29</f>
        <v>14.645007999999999</v>
      </c>
      <c r="J199" s="201">
        <f t="shared" si="86"/>
        <v>2558.08</v>
      </c>
      <c r="K199" s="123">
        <f t="shared" si="87"/>
        <v>3280.48</v>
      </c>
    </row>
    <row r="200" spans="2:11" s="76" customFormat="1" ht="30">
      <c r="B200" s="11" t="s">
        <v>13114</v>
      </c>
      <c r="C200" s="79">
        <f>QUANT!C632</f>
        <v>100324</v>
      </c>
      <c r="D200" s="79" t="str">
        <f>QUANT!D632</f>
        <v>SINAPI</v>
      </c>
      <c r="E200" s="80" t="str">
        <f>IFERROR(VLOOKUP($C200,'SINAPI JULHO 2021'!$1:$1048576,2,0),IFERROR(VLOOKUP($C200,'5-COMP. PROPRIA'!$B$1:$I$7981,4,0),""))</f>
        <v>LASTRO COM MATERIAL GRANULAR (PEDRA BRITADA N.1 E PEDRA BRITADA N.2), APLICADO EM PISOS OU LAJES SOBRE SOLO, ESPESSURA DE *10 CM*. AF_07/2019</v>
      </c>
      <c r="F200" s="81" t="str">
        <f>IFERROR(VLOOKUP($C200,'SINAPI JULHO 2021'!$A:$D,3,0),IFERROR(VLOOKUP($C200,'5-COMP. PROPRIA'!$B$1:$I$7981,5,0),""))</f>
        <v>M3</v>
      </c>
      <c r="G200" s="129">
        <f>QUANT!K632</f>
        <v>15</v>
      </c>
      <c r="H200" s="200">
        <f>IFERROR(VLOOKUP($C200,'SINAPI JULHO 2021'!$A:$D,4,0),IFERROR(VLOOKUP($C200,'5-COMP. PROPRIA'!$B$1:$I$7981,8,0),""))</f>
        <v>113.29</v>
      </c>
      <c r="I200" s="200">
        <f>H200*'4-BDI'!$E$29</f>
        <v>145.283096</v>
      </c>
      <c r="J200" s="201">
        <f t="shared" si="86"/>
        <v>1699.35</v>
      </c>
      <c r="K200" s="123">
        <f t="shared" si="87"/>
        <v>2179.2399999999998</v>
      </c>
    </row>
    <row r="201" spans="2:11" s="76" customFormat="1" ht="45">
      <c r="B201" s="11" t="s">
        <v>13115</v>
      </c>
      <c r="C201" s="79">
        <f>QUANT!C633</f>
        <v>94269</v>
      </c>
      <c r="D201" s="79" t="str">
        <f>QUANT!D633</f>
        <v>SINAPI</v>
      </c>
      <c r="E201" s="80" t="str">
        <f>IFERROR(VLOOKUP($C201,'SINAPI JULHO 2021'!$1:$1048576,2,0),IFERROR(VLOOKUP($C201,'5-COMP. PROPRIA'!$B$1:$I$7981,4,0),""))</f>
        <v>GUIA (MEIO-FIO) E SARJETA CONJUGADOS DE CONCRETO, MOLDADA  IN LOCO  EM TRECHO RETO COM EXTRUSORA, 60 CM BASE (15 CM BASE DA GUIA + 45 CM BASE DA SARJETA) X 26 CM ALTURA. AF_06/2016</v>
      </c>
      <c r="F201" s="81" t="str">
        <f>IFERROR(VLOOKUP($C201,'SINAPI JULHO 2021'!$A:$D,3,0),IFERROR(VLOOKUP($C201,'5-COMP. PROPRIA'!$B$1:$I$7981,5,0),""))</f>
        <v>M</v>
      </c>
      <c r="G201" s="129">
        <f>QUANT!K633</f>
        <v>135</v>
      </c>
      <c r="H201" s="200">
        <f>IFERROR(VLOOKUP($C201,'SINAPI JULHO 2021'!$A:$D,4,0),IFERROR(VLOOKUP($C201,'5-COMP. PROPRIA'!$B$1:$I$7981,8,0),""))</f>
        <v>61.58</v>
      </c>
      <c r="I201" s="200">
        <f>H201*'4-BDI'!$E$29</f>
        <v>78.970191999999997</v>
      </c>
      <c r="J201" s="201">
        <f t="shared" si="86"/>
        <v>8313.2999999999993</v>
      </c>
      <c r="K201" s="123">
        <f t="shared" si="87"/>
        <v>10660.97</v>
      </c>
    </row>
    <row r="202" spans="2:11" s="76" customFormat="1" ht="15">
      <c r="B202" s="222" t="s">
        <v>6902</v>
      </c>
      <c r="C202" s="79"/>
      <c r="D202" s="79"/>
      <c r="E202" s="225" t="str">
        <f>QUANT!E634</f>
        <v>QUADRA</v>
      </c>
      <c r="F202" s="81"/>
      <c r="G202" s="129"/>
      <c r="H202" s="200"/>
      <c r="I202" s="200"/>
      <c r="J202" s="201"/>
      <c r="K202" s="123"/>
    </row>
    <row r="203" spans="2:11" s="76" customFormat="1" ht="15">
      <c r="B203" s="11" t="s">
        <v>6938</v>
      </c>
      <c r="C203" s="79">
        <f>QUANT!C635</f>
        <v>102488</v>
      </c>
      <c r="D203" s="79" t="str">
        <f>QUANT!D635</f>
        <v>SINAPI</v>
      </c>
      <c r="E203" s="80" t="str">
        <f>IFERROR(VLOOKUP($C203,'SINAPI JULHO 2021'!$1:$1048576,2,0),IFERROR(VLOOKUP($C203,'5-COMP. PROPRIA'!$B$1:$I$7981,4,0),""))</f>
        <v>PREPARO DO PISO CIMENTADO PARA PINTURA - LIXAMENTO E LIMPEZA. AF_05/2021</v>
      </c>
      <c r="F203" s="81" t="str">
        <f>IFERROR(VLOOKUP($C203,'SINAPI JULHO 2021'!$A:$D,3,0),IFERROR(VLOOKUP($C203,'5-COMP. PROPRIA'!$B$1:$I$7981,5,0),""))</f>
        <v>M2</v>
      </c>
      <c r="G203" s="129">
        <f>QUANT!K635</f>
        <v>662.56</v>
      </c>
      <c r="H203" s="200">
        <f>IFERROR(VLOOKUP($C203,'SINAPI JULHO 2021'!$A:$D,4,0),IFERROR(VLOOKUP($C203,'5-COMP. PROPRIA'!$B$1:$I$7981,8,0),""))</f>
        <v>2.31</v>
      </c>
      <c r="I203" s="200">
        <f>H203*'4-BDI'!$E$29</f>
        <v>2.9623439999999999</v>
      </c>
      <c r="J203" s="201">
        <f t="shared" ref="J203" si="88">TRUNC(G203*H203,2)</f>
        <v>1530.51</v>
      </c>
      <c r="K203" s="123">
        <f t="shared" ref="K203" si="89">TRUNC(G203*I203,2)</f>
        <v>1962.73</v>
      </c>
    </row>
    <row r="204" spans="2:11" s="76" customFormat="1" ht="30">
      <c r="B204" s="11" t="s">
        <v>6939</v>
      </c>
      <c r="C204" s="79">
        <f>QUANT!C636</f>
        <v>102494</v>
      </c>
      <c r="D204" s="79" t="str">
        <f>QUANT!D636</f>
        <v>SINAPI</v>
      </c>
      <c r="E204" s="80" t="str">
        <f>IFERROR(VLOOKUP($C204,'SINAPI JULHO 2021'!$1:$1048576,2,0),IFERROR(VLOOKUP($C204,'5-COMP. PROPRIA'!$B$1:$I$7981,4,0),""))</f>
        <v>PINTURA DE PISO COM TINTA EPÓXI, APLICAÇÃO MANUAL, 2 DEMÃOS, INCLUSO PRIMER EPÓXI. AF_05/2021</v>
      </c>
      <c r="F204" s="81" t="str">
        <f>IFERROR(VLOOKUP($C204,'SINAPI JULHO 2021'!$A:$D,3,0),IFERROR(VLOOKUP($C204,'5-COMP. PROPRIA'!$B$1:$I$7981,5,0),""))</f>
        <v>M2</v>
      </c>
      <c r="G204" s="129">
        <f>QUANT!K636</f>
        <v>432</v>
      </c>
      <c r="H204" s="200">
        <f>IFERROR(VLOOKUP($C204,'SINAPI JULHO 2021'!$A:$D,4,0),IFERROR(VLOOKUP($C204,'5-COMP. PROPRIA'!$B$1:$I$7981,8,0),""))</f>
        <v>36.03</v>
      </c>
      <c r="I204" s="200">
        <f>H204*'4-BDI'!$E$29</f>
        <v>46.204872000000002</v>
      </c>
      <c r="J204" s="201">
        <f t="shared" ref="J204:J206" si="90">TRUNC(G204*H204,2)</f>
        <v>15564.96</v>
      </c>
      <c r="K204" s="123">
        <f t="shared" ref="K204:K206" si="91">TRUNC(G204*I204,2)</f>
        <v>19960.5</v>
      </c>
    </row>
    <row r="205" spans="2:11" s="76" customFormat="1" ht="30">
      <c r="B205" s="11" t="s">
        <v>13116</v>
      </c>
      <c r="C205" s="79">
        <f>QUANT!C637</f>
        <v>102504</v>
      </c>
      <c r="D205" s="79" t="str">
        <f>QUANT!D637</f>
        <v>SINAPI</v>
      </c>
      <c r="E205" s="80" t="str">
        <f>IFERROR(VLOOKUP($C205,'SINAPI JULHO 2021'!$1:$1048576,2,0),IFERROR(VLOOKUP($C205,'5-COMP. PROPRIA'!$B$1:$I$7981,4,0),""))</f>
        <v>PINTURA DE DEMARCAÇÃO DE QUADRA POLIESPORTIVA COM TINTA ACRÍLICA, E = 5 CM, APLICAÇÃO MANUAL. AF_05/2021</v>
      </c>
      <c r="F205" s="81" t="str">
        <f>IFERROR(VLOOKUP($C205,'SINAPI JULHO 2021'!$A:$D,3,0),IFERROR(VLOOKUP($C205,'5-COMP. PROPRIA'!$B$1:$I$7981,5,0),""))</f>
        <v>M</v>
      </c>
      <c r="G205" s="129">
        <f>QUANT!K637</f>
        <v>393.85</v>
      </c>
      <c r="H205" s="200">
        <f>IFERROR(VLOOKUP($C205,'SINAPI JULHO 2021'!$A:$D,4,0),IFERROR(VLOOKUP($C205,'5-COMP. PROPRIA'!$B$1:$I$7981,8,0),""))</f>
        <v>6.51</v>
      </c>
      <c r="I205" s="200">
        <f>H205*'4-BDI'!$E$29</f>
        <v>8.3484239999999996</v>
      </c>
      <c r="J205" s="201">
        <f t="shared" si="90"/>
        <v>2563.96</v>
      </c>
      <c r="K205" s="123">
        <f t="shared" si="91"/>
        <v>3288.02</v>
      </c>
    </row>
    <row r="206" spans="2:11" s="76" customFormat="1" ht="30">
      <c r="B206" s="11" t="s">
        <v>13117</v>
      </c>
      <c r="C206" s="79">
        <f>QUANT!C638</f>
        <v>102492</v>
      </c>
      <c r="D206" s="79" t="str">
        <f>QUANT!D638</f>
        <v>SINAPI</v>
      </c>
      <c r="E206" s="80" t="str">
        <f>IFERROR(VLOOKUP($C206,'SINAPI JULHO 2021'!$1:$1048576,2,0),IFERROR(VLOOKUP($C206,'5-COMP. PROPRIA'!$B$1:$I$7981,4,0),""))</f>
        <v>PINTURA DE PISO COM TINTA ACRÍLICA, APLICAÇÃO MANUAL, 3 DEMÃOS, INCLUSO FUNDO PREPARADOR. AF_05/2021</v>
      </c>
      <c r="F206" s="81" t="str">
        <f>IFERROR(VLOOKUP($C206,'SINAPI JULHO 2021'!$A:$D,3,0),IFERROR(VLOOKUP($C206,'5-COMP. PROPRIA'!$B$1:$I$7981,5,0),""))</f>
        <v>M2</v>
      </c>
      <c r="G206" s="129">
        <f>QUANT!K638</f>
        <v>230.56</v>
      </c>
      <c r="H206" s="200">
        <f>IFERROR(VLOOKUP($C206,'SINAPI JULHO 2021'!$A:$D,4,0),IFERROR(VLOOKUP($C206,'5-COMP. PROPRIA'!$B$1:$I$7981,8,0),""))</f>
        <v>15.73</v>
      </c>
      <c r="I206" s="200">
        <f>H206*'4-BDI'!$E$29</f>
        <v>20.172152000000001</v>
      </c>
      <c r="J206" s="201">
        <f t="shared" si="90"/>
        <v>3626.7</v>
      </c>
      <c r="K206" s="123">
        <f t="shared" si="91"/>
        <v>4650.8900000000003</v>
      </c>
    </row>
    <row r="207" spans="2:11" s="76" customFormat="1" ht="15">
      <c r="B207" s="834" t="s">
        <v>3506</v>
      </c>
      <c r="C207" s="835"/>
      <c r="D207" s="835"/>
      <c r="E207" s="835"/>
      <c r="F207" s="835"/>
      <c r="G207" s="835"/>
      <c r="H207" s="835"/>
      <c r="I207" s="124"/>
      <c r="J207" s="126">
        <f>TRUNC(SUM(J187:J206),2)</f>
        <v>481907.92</v>
      </c>
      <c r="K207" s="125">
        <f>TRUNC(SUM(K187:K206),2)</f>
        <v>617998.73</v>
      </c>
    </row>
    <row r="208" spans="2:11" ht="15">
      <c r="B208" s="5" t="s">
        <v>5756</v>
      </c>
      <c r="C208" s="6"/>
      <c r="D208" s="7"/>
      <c r="E208" s="8" t="str">
        <f>QUANT!E639</f>
        <v>PINTURA INTERNA E EXTERNA</v>
      </c>
      <c r="F208" s="9"/>
      <c r="G208" s="128"/>
      <c r="H208" s="221"/>
      <c r="I208" s="121"/>
      <c r="J208" s="121"/>
      <c r="K208" s="122"/>
    </row>
    <row r="209" spans="2:11" ht="15">
      <c r="B209" s="222" t="s">
        <v>5757</v>
      </c>
      <c r="C209" s="79"/>
      <c r="D209" s="79"/>
      <c r="E209" s="225" t="str">
        <f>QUANT!E641</f>
        <v>MURO</v>
      </c>
      <c r="F209" s="81"/>
      <c r="G209" s="129"/>
      <c r="H209" s="200"/>
      <c r="I209" s="200"/>
      <c r="J209" s="201"/>
      <c r="K209" s="123"/>
    </row>
    <row r="210" spans="2:11" ht="30" customHeight="1">
      <c r="B210" s="11" t="s">
        <v>6940</v>
      </c>
      <c r="C210" s="79">
        <f>QUANT!C642</f>
        <v>88485</v>
      </c>
      <c r="D210" s="79" t="str">
        <f>QUANT!D642</f>
        <v>SINAPI</v>
      </c>
      <c r="E210" s="80" t="str">
        <f>IFERROR(VLOOKUP($C210,'SINAPI JULHO 2021'!$1:$1048576,2,0),IFERROR(VLOOKUP($C210,'5-COMP. PROPRIA'!$B$1:$I$7981,4,0),""))</f>
        <v>APLICAÇÃO DE FUNDO SELADOR ACRÍLICO EM PAREDES, UMA DEMÃO. AF_06/2014</v>
      </c>
      <c r="F210" s="81" t="str">
        <f>IFERROR(VLOOKUP($C210,'SINAPI JULHO 2021'!$A:$D,3,0),IFERROR(VLOOKUP($C210,'5-COMP. PROPRIA'!$B$1:$I$7981,5,0),""))</f>
        <v>M2</v>
      </c>
      <c r="G210" s="275">
        <f>QUANT!K642</f>
        <v>1225.5</v>
      </c>
      <c r="H210" s="200">
        <f>IFERROR(VLOOKUP($C210,'SINAPI JULHO 2021'!$A:$D,4,0),IFERROR(VLOOKUP($C210,'5-COMP. PROPRIA'!$B$1:$I$7981,8,0),""))</f>
        <v>1.57</v>
      </c>
      <c r="I210" s="200">
        <f>H210*'4-BDI'!$E$29</f>
        <v>2.0133680000000003</v>
      </c>
      <c r="J210" s="201">
        <f>TRUNC(G210*H210,2)</f>
        <v>1924.03</v>
      </c>
      <c r="K210" s="123">
        <f>TRUNC(G210*I210,2)</f>
        <v>2467.38</v>
      </c>
    </row>
    <row r="211" spans="2:11" ht="30" customHeight="1">
      <c r="B211" s="11" t="s">
        <v>6941</v>
      </c>
      <c r="C211" s="79">
        <f>QUANT!C643</f>
        <v>96135</v>
      </c>
      <c r="D211" s="79" t="str">
        <f>QUANT!D643</f>
        <v>SINAPI</v>
      </c>
      <c r="E211" s="80" t="str">
        <f>IFERROR(VLOOKUP($C211,'SINAPI JULHO 2021'!$1:$1048576,2,0),IFERROR(VLOOKUP($C211,'5-COMP. PROPRIA'!$B$1:$I$7981,4,0),""))</f>
        <v>APLICAÇÃO MANUAL DE MASSA ACRÍLICA EM PAREDES EXTERNAS DE CASAS, DUAS DEMÃOS. AF_05/2017</v>
      </c>
      <c r="F211" s="81" t="str">
        <f>IFERROR(VLOOKUP($C211,'SINAPI JULHO 2021'!$A:$D,3,0),IFERROR(VLOOKUP($C211,'5-COMP. PROPRIA'!$B$1:$I$7981,5,0),""))</f>
        <v>M2</v>
      </c>
      <c r="G211" s="275">
        <f>QUANT!K643</f>
        <v>1225.5</v>
      </c>
      <c r="H211" s="200">
        <f>IFERROR(VLOOKUP($C211,'SINAPI JULHO 2021'!$A:$D,4,0),IFERROR(VLOOKUP($C211,'5-COMP. PROPRIA'!$B$1:$I$7981,8,0),""))</f>
        <v>20.54</v>
      </c>
      <c r="I211" s="200">
        <f>H211*'4-BDI'!$E$29</f>
        <v>26.340495999999998</v>
      </c>
      <c r="J211" s="201">
        <f t="shared" ref="J211:J214" si="92">TRUNC(G211*H211,2)</f>
        <v>25171.77</v>
      </c>
      <c r="K211" s="123">
        <f t="shared" ref="K211:K214" si="93">TRUNC(G211*I211,2)</f>
        <v>32280.27</v>
      </c>
    </row>
    <row r="212" spans="2:11" ht="30" customHeight="1">
      <c r="B212" s="11" t="s">
        <v>6942</v>
      </c>
      <c r="C212" s="79" t="str">
        <f>QUANT!C644</f>
        <v>CP-PIN-01</v>
      </c>
      <c r="D212" s="79" t="str">
        <f>QUANT!D644</f>
        <v>PRÓPRIA</v>
      </c>
      <c r="E212" s="80" t="str">
        <f>IFERROR(VLOOKUP($C212,'SINAPI JULHO 2021'!$1:$1048576,2,0),IFERROR(VLOOKUP($C212,'5-COMP. PROPRIA'!$B$1:$I$7981,4,0),""))</f>
        <v>PINTURA TINTA DE ACABAMENTO (PIGMENTADA) ESMALTE BRILHANTE BASE B2, 2 DEMÃOS.</v>
      </c>
      <c r="F212" s="81" t="str">
        <f>IFERROR(VLOOKUP($C212,'SINAPI JULHO 2021'!$A:$D,3,0),IFERROR(VLOOKUP($C212,'5-COMP. PROPRIA'!$B$1:$I$7981,5,0),""))</f>
        <v>M2</v>
      </c>
      <c r="G212" s="275">
        <f>QUANT!K644</f>
        <v>449.35</v>
      </c>
      <c r="H212" s="200">
        <f>IFERROR(VLOOKUP($C212,'SINAPI JULHO 2021'!$A:$D,4,0),IFERROR(VLOOKUP($C212,'5-COMP. PROPRIA'!$B$1:$I$7981,8,0),""))</f>
        <v>12.76</v>
      </c>
      <c r="I212" s="200">
        <f>H212*'4-BDI'!$E$29</f>
        <v>16.363423999999998</v>
      </c>
      <c r="J212" s="201">
        <f t="shared" si="92"/>
        <v>5733.7</v>
      </c>
      <c r="K212" s="123">
        <f t="shared" si="93"/>
        <v>7352.9</v>
      </c>
    </row>
    <row r="213" spans="2:11" ht="30" customHeight="1">
      <c r="B213" s="11" t="s">
        <v>6943</v>
      </c>
      <c r="C213" s="79">
        <f>QUANT!C645</f>
        <v>88488</v>
      </c>
      <c r="D213" s="79" t="str">
        <f>QUANT!D645</f>
        <v>SINAPI</v>
      </c>
      <c r="E213" s="80" t="str">
        <f>IFERROR(VLOOKUP($C213,'SINAPI JULHO 2021'!$1:$1048576,2,0),IFERROR(VLOOKUP($C213,'5-COMP. PROPRIA'!$B$1:$I$7981,4,0),""))</f>
        <v>APLICAÇÃO MANUAL DE PINTURA COM TINTA LÁTEX ACRÍLICA EM TETO, DUAS DEMÃOS. AF_06/2014</v>
      </c>
      <c r="F213" s="81" t="str">
        <f>IFERROR(VLOOKUP($C213,'SINAPI JULHO 2021'!$A:$D,3,0),IFERROR(VLOOKUP($C213,'5-COMP. PROPRIA'!$B$1:$I$7981,5,0),""))</f>
        <v>M2</v>
      </c>
      <c r="G213" s="275">
        <f>QUANT!K645</f>
        <v>776.15</v>
      </c>
      <c r="H213" s="200">
        <f>IFERROR(VLOOKUP($C213,'SINAPI JULHO 2021'!$A:$D,4,0),IFERROR(VLOOKUP($C213,'5-COMP. PROPRIA'!$B$1:$I$7981,8,0),""))</f>
        <v>12.78</v>
      </c>
      <c r="I213" s="200">
        <f>H213*'4-BDI'!$E$29</f>
        <v>16.389071999999999</v>
      </c>
      <c r="J213" s="201">
        <f t="shared" si="92"/>
        <v>9919.19</v>
      </c>
      <c r="K213" s="123">
        <f t="shared" si="93"/>
        <v>12720.37</v>
      </c>
    </row>
    <row r="214" spans="2:11" ht="30" customHeight="1">
      <c r="B214" s="11" t="s">
        <v>6944</v>
      </c>
      <c r="C214" s="79" t="str">
        <f>QUANT!C646</f>
        <v>CP-PIN-02</v>
      </c>
      <c r="D214" s="79" t="str">
        <f>QUANT!D646</f>
        <v>PRÓPRIA</v>
      </c>
      <c r="E214" s="80" t="str">
        <f>IFERROR(VLOOKUP($C214,'SINAPI JULHO 2021'!$1:$1048576,2,0),IFERROR(VLOOKUP($C214,'5-COMP. PROPRIA'!$B$1:$I$7981,4,0),""))</f>
        <v>LETRA CAIXA ALTA PARA NOMENCLATURA E LOGOMARCA SEM RELEVO (CONFORME PROJETO) - FORNECIMENTO E INSTALAÇÃO</v>
      </c>
      <c r="F214" s="81" t="str">
        <f>IFERROR(VLOOKUP($C214,'SINAPI JULHO 2021'!$A:$D,3,0),IFERROR(VLOOKUP($C214,'5-COMP. PROPRIA'!$B$1:$I$7981,5,0),""))</f>
        <v xml:space="preserve">UN    </v>
      </c>
      <c r="G214" s="275">
        <f>QUANT!K646</f>
        <v>1</v>
      </c>
      <c r="H214" s="200">
        <f>IFERROR(VLOOKUP($C214,'SINAPI JULHO 2021'!$A:$D,4,0),IFERROR(VLOOKUP($C214,'5-COMP. PROPRIA'!$B$1:$I$7981,8,0),""))</f>
        <v>6250.48</v>
      </c>
      <c r="I214" s="200">
        <f>H214*'4-BDI'!$E$29</f>
        <v>8015.6155519999993</v>
      </c>
      <c r="J214" s="201">
        <f t="shared" si="92"/>
        <v>6250.48</v>
      </c>
      <c r="K214" s="123">
        <f t="shared" si="93"/>
        <v>8015.61</v>
      </c>
    </row>
    <row r="215" spans="2:11" ht="15">
      <c r="B215" s="222" t="s">
        <v>5758</v>
      </c>
      <c r="C215" s="79"/>
      <c r="D215" s="79"/>
      <c r="E215" s="225" t="str">
        <f>QUANT!E647</f>
        <v>ESCOLA- INTERNO E SALAS</v>
      </c>
      <c r="F215" s="81"/>
      <c r="G215" s="129"/>
      <c r="H215" s="200"/>
      <c r="I215" s="200"/>
      <c r="J215" s="201"/>
      <c r="K215" s="123"/>
    </row>
    <row r="216" spans="2:11" ht="30" customHeight="1">
      <c r="B216" s="11" t="s">
        <v>6945</v>
      </c>
      <c r="C216" s="79">
        <f>QUANT!C648</f>
        <v>88415</v>
      </c>
      <c r="D216" s="79" t="str">
        <f>QUANT!D648</f>
        <v>SINAPI</v>
      </c>
      <c r="E216" s="80" t="str">
        <f>IFERROR(VLOOKUP($C216,'SINAPI JULHO 2021'!$1:$1048576,2,0),IFERROR(VLOOKUP($C216,'5-COMP. PROPRIA'!$B$1:$I$7981,4,0),""))</f>
        <v>APLICAÇÃO MANUAL DE FUNDO SELADOR ACRÍLICO EM PAREDES EXTERNAS DE CASAS. AF_06/2014</v>
      </c>
      <c r="F216" s="81" t="str">
        <f>IFERROR(VLOOKUP($C216,'SINAPI JULHO 2021'!$A:$D,3,0),IFERROR(VLOOKUP($C216,'5-COMP. PROPRIA'!$B$1:$I$7981,5,0),""))</f>
        <v>M2</v>
      </c>
      <c r="G216" s="275">
        <f>QUANT!K648</f>
        <v>4867.2500000000018</v>
      </c>
      <c r="H216" s="200">
        <f>IFERROR(VLOOKUP($C216,'SINAPI JULHO 2021'!$A:$D,4,0),IFERROR(VLOOKUP($C216,'5-COMP. PROPRIA'!$B$1:$I$7981,8,0),""))</f>
        <v>1.85</v>
      </c>
      <c r="I216" s="200">
        <f>H216*'4-BDI'!$E$29</f>
        <v>2.3724400000000001</v>
      </c>
      <c r="J216" s="201">
        <f t="shared" ref="J216:J217" si="94">TRUNC(G216*H216,2)</f>
        <v>9004.41</v>
      </c>
      <c r="K216" s="123">
        <f t="shared" ref="K216:K217" si="95">TRUNC(G216*I216,2)</f>
        <v>11547.25</v>
      </c>
    </row>
    <row r="217" spans="2:11" ht="30">
      <c r="B217" s="11" t="s">
        <v>6946</v>
      </c>
      <c r="C217" s="79">
        <f>QUANT!C649</f>
        <v>96135</v>
      </c>
      <c r="D217" s="79" t="str">
        <f>QUANT!D649</f>
        <v>SINAPI</v>
      </c>
      <c r="E217" s="80" t="str">
        <f>IFERROR(VLOOKUP($C217,'SINAPI JULHO 2021'!$1:$1048576,2,0),IFERROR(VLOOKUP($C217,'5-COMP. PROPRIA'!$B$1:$I$7981,4,0),""))</f>
        <v>APLICAÇÃO MANUAL DE MASSA ACRÍLICA EM PAREDES EXTERNAS DE CASAS, DUAS DEMÃOS. AF_05/2017</v>
      </c>
      <c r="F217" s="81" t="str">
        <f>IFERROR(VLOOKUP($C217,'SINAPI JULHO 2021'!$A:$D,3,0),IFERROR(VLOOKUP($C217,'5-COMP. PROPRIA'!$B$1:$I$7981,5,0),""))</f>
        <v>M2</v>
      </c>
      <c r="G217" s="275">
        <f>QUANT!K649</f>
        <v>4867.2500000000018</v>
      </c>
      <c r="H217" s="200">
        <f>IFERROR(VLOOKUP($C217,'SINAPI JULHO 2021'!$A:$D,4,0),IFERROR(VLOOKUP($C217,'5-COMP. PROPRIA'!$B$1:$I$7981,8,0),""))</f>
        <v>20.54</v>
      </c>
      <c r="I217" s="200">
        <f>H217*'4-BDI'!$E$29</f>
        <v>26.340495999999998</v>
      </c>
      <c r="J217" s="201">
        <f t="shared" si="94"/>
        <v>99973.31</v>
      </c>
      <c r="K217" s="123">
        <f t="shared" si="95"/>
        <v>128205.77</v>
      </c>
    </row>
    <row r="218" spans="2:11" ht="30">
      <c r="B218" s="11" t="s">
        <v>6947</v>
      </c>
      <c r="C218" s="79">
        <f>QUANT!C650</f>
        <v>88488</v>
      </c>
      <c r="D218" s="79" t="str">
        <f>QUANT!D650</f>
        <v>SINAPI</v>
      </c>
      <c r="E218" s="80" t="str">
        <f>IFERROR(VLOOKUP($C218,'SINAPI JULHO 2021'!$1:$1048576,2,0),IFERROR(VLOOKUP($C218,'5-COMP. PROPRIA'!$B$1:$I$7981,4,0),""))</f>
        <v>APLICAÇÃO MANUAL DE PINTURA COM TINTA LÁTEX ACRÍLICA EM TETO, DUAS DEMÃOS. AF_06/2014</v>
      </c>
      <c r="F218" s="81" t="str">
        <f>IFERROR(VLOOKUP($C218,'SINAPI JULHO 2021'!$A:$D,3,0),IFERROR(VLOOKUP($C218,'5-COMP. PROPRIA'!$B$1:$I$7981,5,0),""))</f>
        <v>M2</v>
      </c>
      <c r="G218" s="275">
        <f>QUANT!K650</f>
        <v>4867.2500000000018</v>
      </c>
      <c r="H218" s="200">
        <f>IFERROR(VLOOKUP($C218,'SINAPI JULHO 2021'!$A:$D,4,0),IFERROR(VLOOKUP($C218,'5-COMP. PROPRIA'!$B$1:$I$7981,8,0),""))</f>
        <v>12.78</v>
      </c>
      <c r="I218" s="200">
        <f>H218*'4-BDI'!$E$29</f>
        <v>16.389071999999999</v>
      </c>
      <c r="J218" s="201">
        <f t="shared" ref="J218:J219" si="96">TRUNC(G218*H218,2)</f>
        <v>62203.45</v>
      </c>
      <c r="K218" s="123">
        <f t="shared" ref="K218:K219" si="97">TRUNC(G218*I218,2)</f>
        <v>79769.710000000006</v>
      </c>
    </row>
    <row r="219" spans="2:11" ht="15">
      <c r="B219" s="11" t="s">
        <v>6948</v>
      </c>
      <c r="C219" s="79" t="str">
        <f>QUANT!C651</f>
        <v>CP-PIN-01</v>
      </c>
      <c r="D219" s="79" t="str">
        <f>QUANT!D651</f>
        <v>PRÓPRIA</v>
      </c>
      <c r="E219" s="80" t="str">
        <f>IFERROR(VLOOKUP($C219,'SINAPI JULHO 2021'!$1:$1048576,2,0),IFERROR(VLOOKUP($C219,'5-COMP. PROPRIA'!$B$1:$I$7981,4,0),""))</f>
        <v>PINTURA TINTA DE ACABAMENTO (PIGMENTADA) ESMALTE BRILHANTE BASE B2, 2 DEMÃOS.</v>
      </c>
      <c r="F219" s="81" t="str">
        <f>IFERROR(VLOOKUP($C219,'SINAPI JULHO 2021'!$A:$D,3,0),IFERROR(VLOOKUP($C219,'5-COMP. PROPRIA'!$B$1:$I$7981,5,0),""))</f>
        <v>M2</v>
      </c>
      <c r="G219" s="275">
        <f>QUANT!K651</f>
        <v>256.17105263157907</v>
      </c>
      <c r="H219" s="200">
        <f>IFERROR(VLOOKUP($C219,'SINAPI JULHO 2021'!$A:$D,4,0),IFERROR(VLOOKUP($C219,'5-COMP. PROPRIA'!$B$1:$I$7981,8,0),""))</f>
        <v>12.76</v>
      </c>
      <c r="I219" s="200">
        <f>H219*'4-BDI'!$E$29</f>
        <v>16.363423999999998</v>
      </c>
      <c r="J219" s="201">
        <f t="shared" si="96"/>
        <v>3268.74</v>
      </c>
      <c r="K219" s="123">
        <f t="shared" si="97"/>
        <v>4191.83</v>
      </c>
    </row>
    <row r="220" spans="2:11" ht="15">
      <c r="B220" s="834" t="s">
        <v>3506</v>
      </c>
      <c r="C220" s="835"/>
      <c r="D220" s="835"/>
      <c r="E220" s="835"/>
      <c r="F220" s="835"/>
      <c r="G220" s="835"/>
      <c r="H220" s="835"/>
      <c r="I220" s="124"/>
      <c r="J220" s="126">
        <f>TRUNC(SUM(J210:J219),2)</f>
        <v>223449.08</v>
      </c>
      <c r="K220" s="125">
        <f>TRUNC(SUM(K210:K219),2)</f>
        <v>286551.09000000003</v>
      </c>
    </row>
    <row r="221" spans="2:11" s="76" customFormat="1" ht="15">
      <c r="B221" s="5" t="s">
        <v>5759</v>
      </c>
      <c r="C221" s="6"/>
      <c r="D221" s="7"/>
      <c r="E221" s="8" t="str">
        <f>QUANT!E652</f>
        <v xml:space="preserve">INSTALAÇÕES HIDROSSANITÁRIAS  </v>
      </c>
      <c r="F221" s="9"/>
      <c r="G221" s="128"/>
      <c r="H221" s="221"/>
      <c r="I221" s="121"/>
      <c r="J221" s="121"/>
      <c r="K221" s="122"/>
    </row>
    <row r="222" spans="2:11" s="76" customFormat="1" ht="15">
      <c r="B222" s="222" t="s">
        <v>5760</v>
      </c>
      <c r="C222" s="223"/>
      <c r="D222" s="224"/>
      <c r="E222" s="225" t="str">
        <f>QUANT!E653</f>
        <v xml:space="preserve">INSTALAÇÕES SANITÁRIAS  </v>
      </c>
      <c r="F222" s="120"/>
      <c r="G222" s="129"/>
      <c r="H222" s="218"/>
      <c r="I222" s="200"/>
      <c r="J222" s="201"/>
      <c r="K222" s="123"/>
    </row>
    <row r="223" spans="2:11" s="76" customFormat="1" ht="30">
      <c r="B223" s="12" t="s">
        <v>6903</v>
      </c>
      <c r="C223" s="114">
        <f>QUANT!C654</f>
        <v>97901</v>
      </c>
      <c r="D223" s="114" t="str">
        <f>QUANT!D654</f>
        <v>SINAPI</v>
      </c>
      <c r="E223" s="80" t="str">
        <f>IFERROR(VLOOKUP($C223,'SINAPI JULHO 2021'!$1:$1048576,2,0),IFERROR(VLOOKUP($C223,'5-COMP. PROPRIA'!$B$1:$I$7981,4,0),""))</f>
        <v>CAIXA ENTERRADA HIDRÁULICA RETANGULAR EM ALVENARIA COM TIJOLOS CERÂMICOS MACIÇOS, DIMENSÕES INTERNAS: 0,4X0,4X0,4 M PARA REDE DE ESGOTO. AF_12/2020</v>
      </c>
      <c r="F223" s="81" t="str">
        <f>IFERROR(VLOOKUP($C223,'SINAPI JULHO 2021'!$A:$D,3,0),IFERROR(VLOOKUP($C223,'5-COMP. PROPRIA'!$B$1:$I$7981,5,0),""))</f>
        <v>UN</v>
      </c>
      <c r="G223" s="129">
        <f>QUANT!K654</f>
        <v>1</v>
      </c>
      <c r="H223" s="200">
        <f>IFERROR(VLOOKUP($C223,'SINAPI JULHO 2021'!$A:$D,4,0),IFERROR(VLOOKUP($C223,'5-COMP. PROPRIA'!$B$1:$I$7981,8,0),""))</f>
        <v>254.84</v>
      </c>
      <c r="I223" s="200">
        <f>H223*'4-BDI'!$E$29</f>
        <v>326.80681600000003</v>
      </c>
      <c r="J223" s="201">
        <f>TRUNC(G223*H223,2)</f>
        <v>254.84</v>
      </c>
      <c r="K223" s="123">
        <f>TRUNC(G223*I223,2)</f>
        <v>326.8</v>
      </c>
    </row>
    <row r="224" spans="2:11" s="76" customFormat="1" ht="30">
      <c r="B224" s="12" t="s">
        <v>6904</v>
      </c>
      <c r="C224" s="114">
        <f>QUANT!C655</f>
        <v>97902</v>
      </c>
      <c r="D224" s="114" t="str">
        <f>QUANT!D655</f>
        <v>SINAPI</v>
      </c>
      <c r="E224" s="80" t="str">
        <f>IFERROR(VLOOKUP($C224,'SINAPI JULHO 2021'!$1:$1048576,2,0),IFERROR(VLOOKUP($C224,'5-COMP. PROPRIA'!$B$1:$I$7981,4,0),""))</f>
        <v>CAIXA ENTERRADA HIDRÁULICA RETANGULAR EM ALVENARIA COM TIJOLOS CERÂMICOS MACIÇOS, DIMENSÕES INTERNAS: 0,6X0,6X0,6 M PARA REDE DE ESGOTO. AF_12/2020</v>
      </c>
      <c r="F224" s="81" t="str">
        <f>IFERROR(VLOOKUP($C224,'SINAPI JULHO 2021'!$A:$D,3,0),IFERROR(VLOOKUP($C224,'5-COMP. PROPRIA'!$B$1:$I$7981,5,0),""))</f>
        <v>UN</v>
      </c>
      <c r="G224" s="129">
        <f>QUANT!K655</f>
        <v>12</v>
      </c>
      <c r="H224" s="200">
        <f>IFERROR(VLOOKUP($C224,'SINAPI JULHO 2021'!$A:$D,4,0),IFERROR(VLOOKUP($C224,'5-COMP. PROPRIA'!$B$1:$I$7981,8,0),""))</f>
        <v>508.29</v>
      </c>
      <c r="I224" s="200">
        <f>H224*'4-BDI'!$E$29</f>
        <v>651.831096</v>
      </c>
      <c r="J224" s="201">
        <f t="shared" ref="J224:J252" si="98">TRUNC(G224*H224,2)</f>
        <v>6099.48</v>
      </c>
      <c r="K224" s="123">
        <f t="shared" ref="K224:K252" si="99">TRUNC(G224*I224,2)</f>
        <v>7821.97</v>
      </c>
    </row>
    <row r="225" spans="2:11" s="76" customFormat="1" ht="30">
      <c r="B225" s="12" t="s">
        <v>6905</v>
      </c>
      <c r="C225" s="114">
        <f>QUANT!C656</f>
        <v>89707</v>
      </c>
      <c r="D225" s="114" t="str">
        <f>QUANT!D656</f>
        <v>SINAPI</v>
      </c>
      <c r="E225" s="80" t="str">
        <f>IFERROR(VLOOKUP($C225,'SINAPI JULHO 2021'!$1:$1048576,2,0),IFERROR(VLOOKUP($C225,'5-COMP. PROPRIA'!$B$1:$I$7981,4,0),""))</f>
        <v>CAIXA SIFONADA, PVC, DN 100 X 100 X 50 MM, JUNTA ELÁSTICA, FORNECIDA E INSTALADA EM RAMAL DE DESCARGA OU EM RAMAL DE ESGOTO SANITÁRIO. AF_12/2014</v>
      </c>
      <c r="F225" s="81" t="str">
        <f>IFERROR(VLOOKUP($C225,'SINAPI JULHO 2021'!$A:$D,3,0),IFERROR(VLOOKUP($C225,'5-COMP. PROPRIA'!$B$1:$I$7981,5,0),""))</f>
        <v>UN</v>
      </c>
      <c r="G225" s="129">
        <f>QUANT!K656</f>
        <v>12</v>
      </c>
      <c r="H225" s="200">
        <f>IFERROR(VLOOKUP($C225,'SINAPI JULHO 2021'!$A:$D,4,0),IFERROR(VLOOKUP($C225,'5-COMP. PROPRIA'!$B$1:$I$7981,8,0),""))</f>
        <v>29.48</v>
      </c>
      <c r="I225" s="200">
        <f>H225*'4-BDI'!$E$29</f>
        <v>37.805152</v>
      </c>
      <c r="J225" s="201">
        <f t="shared" si="98"/>
        <v>353.76</v>
      </c>
      <c r="K225" s="123">
        <f t="shared" si="99"/>
        <v>453.66</v>
      </c>
    </row>
    <row r="226" spans="2:11" s="76" customFormat="1" ht="30">
      <c r="B226" s="12" t="s">
        <v>6906</v>
      </c>
      <c r="C226" s="114">
        <f>QUANT!C657</f>
        <v>89504</v>
      </c>
      <c r="D226" s="114" t="str">
        <f>QUANT!D657</f>
        <v>SINAPI</v>
      </c>
      <c r="E226" s="80" t="str">
        <f>IFERROR(VLOOKUP($C226,'SINAPI JULHO 2021'!$1:$1048576,2,0),IFERROR(VLOOKUP($C226,'5-COMP. PROPRIA'!$B$1:$I$7981,4,0),""))</f>
        <v>CURVA 45 GRAUS, PVC, SOLDÁVEL, DN 50MM, INSTALADO EM PRUMADA DE ÁGUA - FORNECIMENTO E INSTALAÇÃO. AF_12/2014</v>
      </c>
      <c r="F226" s="81" t="str">
        <f>IFERROR(VLOOKUP($C226,'SINAPI JULHO 2021'!$A:$D,3,0),IFERROR(VLOOKUP($C226,'5-COMP. PROPRIA'!$B$1:$I$7981,5,0),""))</f>
        <v>UN</v>
      </c>
      <c r="G226" s="129">
        <f>QUANT!K657</f>
        <v>1</v>
      </c>
      <c r="H226" s="200">
        <f>IFERROR(VLOOKUP($C226,'SINAPI JULHO 2021'!$A:$D,4,0),IFERROR(VLOOKUP($C226,'5-COMP. PROPRIA'!$B$1:$I$7981,8,0),""))</f>
        <v>18.579999999999998</v>
      </c>
      <c r="I226" s="200">
        <f>H226*'4-BDI'!$E$29</f>
        <v>23.826991999999997</v>
      </c>
      <c r="J226" s="201">
        <f t="shared" si="98"/>
        <v>18.579999999999998</v>
      </c>
      <c r="K226" s="123">
        <f t="shared" si="99"/>
        <v>23.82</v>
      </c>
    </row>
    <row r="227" spans="2:11" s="76" customFormat="1" ht="30">
      <c r="B227" s="12" t="s">
        <v>6949</v>
      </c>
      <c r="C227" s="114">
        <f>QUANT!C658</f>
        <v>89728</v>
      </c>
      <c r="D227" s="114" t="str">
        <f>QUANT!D658</f>
        <v>SINAPI</v>
      </c>
      <c r="E227" s="80" t="str">
        <f>IFERROR(VLOOKUP($C227,'SINAPI JULHO 2021'!$1:$1048576,2,0),IFERROR(VLOOKUP($C227,'5-COMP. PROPRIA'!$B$1:$I$7981,4,0),""))</f>
        <v>CURVA CURTA 90 GRAUS, PVC, SERIE NORMAL, ESGOTO PREDIAL, DN 40 MM, JUNTA SOLDÁVEL, FORNECIDO E INSTALADO EM RAMAL DE DESCARGA OU RAMAL DE ESGOTO SANITÁRIO. AF_12/2014</v>
      </c>
      <c r="F227" s="81" t="str">
        <f>IFERROR(VLOOKUP($C227,'SINAPI JULHO 2021'!$A:$D,3,0),IFERROR(VLOOKUP($C227,'5-COMP. PROPRIA'!$B$1:$I$7981,5,0),""))</f>
        <v>UN</v>
      </c>
      <c r="G227" s="129">
        <f>QUANT!K658</f>
        <v>51</v>
      </c>
      <c r="H227" s="200">
        <f>IFERROR(VLOOKUP($C227,'SINAPI JULHO 2021'!$A:$D,4,0),IFERROR(VLOOKUP($C227,'5-COMP. PROPRIA'!$B$1:$I$7981,8,0),""))</f>
        <v>8.9600000000000009</v>
      </c>
      <c r="I227" s="200">
        <f>H227*'4-BDI'!$E$29</f>
        <v>11.490304</v>
      </c>
      <c r="J227" s="201">
        <f t="shared" si="98"/>
        <v>456.96</v>
      </c>
      <c r="K227" s="123">
        <f t="shared" si="99"/>
        <v>586</v>
      </c>
    </row>
    <row r="228" spans="2:11" s="76" customFormat="1" ht="30">
      <c r="B228" s="12" t="s">
        <v>6950</v>
      </c>
      <c r="C228" s="114">
        <f>QUANT!C659</f>
        <v>89733</v>
      </c>
      <c r="D228" s="114" t="str">
        <f>QUANT!D659</f>
        <v>SINAPI</v>
      </c>
      <c r="E228" s="80" t="str">
        <f>IFERROR(VLOOKUP($C228,'SINAPI JULHO 2021'!$1:$1048576,2,0),IFERROR(VLOOKUP($C228,'5-COMP. PROPRIA'!$B$1:$I$7981,4,0),""))</f>
        <v>CURVA CURTA 90 GRAUS, PVC, SERIE NORMAL, ESGOTO PREDIAL, DN 50 MM, JUNTA ELÁSTICA, FORNECIDO E INSTALADO EM RAMAL DE DESCARGA OU RAMAL DE ESGOTO SANITÁRIO. AF_12/2014</v>
      </c>
      <c r="F228" s="81" t="str">
        <f>IFERROR(VLOOKUP($C228,'SINAPI JULHO 2021'!$A:$D,3,0),IFERROR(VLOOKUP($C228,'5-COMP. PROPRIA'!$B$1:$I$7981,5,0),""))</f>
        <v>UN</v>
      </c>
      <c r="G228" s="129">
        <f>QUANT!K659</f>
        <v>4</v>
      </c>
      <c r="H228" s="200">
        <f>IFERROR(VLOOKUP($C228,'SINAPI JULHO 2021'!$A:$D,4,0),IFERROR(VLOOKUP($C228,'5-COMP. PROPRIA'!$B$1:$I$7981,8,0),""))</f>
        <v>16.63</v>
      </c>
      <c r="I228" s="200">
        <f>H228*'4-BDI'!$E$29</f>
        <v>21.326311999999998</v>
      </c>
      <c r="J228" s="201">
        <f t="shared" si="98"/>
        <v>66.52</v>
      </c>
      <c r="K228" s="123">
        <f t="shared" si="99"/>
        <v>85.3</v>
      </c>
    </row>
    <row r="229" spans="2:11" s="76" customFormat="1" ht="30">
      <c r="B229" s="12" t="s">
        <v>6951</v>
      </c>
      <c r="C229" s="114">
        <f>QUANT!C660</f>
        <v>89742</v>
      </c>
      <c r="D229" s="114" t="str">
        <f>QUANT!D660</f>
        <v>SINAPI</v>
      </c>
      <c r="E229" s="80" t="str">
        <f>IFERROR(VLOOKUP($C229,'SINAPI JULHO 2021'!$1:$1048576,2,0),IFERROR(VLOOKUP($C229,'5-COMP. PROPRIA'!$B$1:$I$7981,4,0),""))</f>
        <v>CURVA CURTA 90 GRAUS, PVC, SERIE NORMAL, ESGOTO PREDIAL, DN 75 MM, JUNTA ELÁSTICA, FORNECIDO E INSTALADO EM RAMAL DE DESCARGA OU RAMAL DE ESGOTO SANITÁRIO. AF_12/2014</v>
      </c>
      <c r="F229" s="81" t="str">
        <f>IFERROR(VLOOKUP($C229,'SINAPI JULHO 2021'!$A:$D,3,0),IFERROR(VLOOKUP($C229,'5-COMP. PROPRIA'!$B$1:$I$7981,5,0),""))</f>
        <v>UN</v>
      </c>
      <c r="G229" s="129">
        <f>QUANT!K660</f>
        <v>5</v>
      </c>
      <c r="H229" s="200">
        <f>IFERROR(VLOOKUP($C229,'SINAPI JULHO 2021'!$A:$D,4,0),IFERROR(VLOOKUP($C229,'5-COMP. PROPRIA'!$B$1:$I$7981,8,0),""))</f>
        <v>28.58</v>
      </c>
      <c r="I229" s="200">
        <f>H229*'4-BDI'!$E$29</f>
        <v>36.650991999999995</v>
      </c>
      <c r="J229" s="201">
        <f t="shared" si="98"/>
        <v>142.9</v>
      </c>
      <c r="K229" s="123">
        <f t="shared" si="99"/>
        <v>183.25</v>
      </c>
    </row>
    <row r="230" spans="2:11" s="76" customFormat="1" ht="30">
      <c r="B230" s="12" t="s">
        <v>6952</v>
      </c>
      <c r="C230" s="114">
        <f>QUANT!C661</f>
        <v>89748</v>
      </c>
      <c r="D230" s="114" t="str">
        <f>QUANT!D661</f>
        <v>SINAPI</v>
      </c>
      <c r="E230" s="80" t="str">
        <f>IFERROR(VLOOKUP($C230,'SINAPI JULHO 2021'!$1:$1048576,2,0),IFERROR(VLOOKUP($C230,'5-COMP. PROPRIA'!$B$1:$I$7981,4,0),""))</f>
        <v>CURVA CURTA 90 GRAUS, PVC, SERIE NORMAL, ESGOTO PREDIAL, DN 100 MM, JUNTA ELÁSTICA, FORNECIDO E INSTALADO EM RAMAL DE DESCARGA OU RAMAL DE ESGOTO SANITÁRIO. AF_12/2014</v>
      </c>
      <c r="F230" s="81" t="str">
        <f>IFERROR(VLOOKUP($C230,'SINAPI JULHO 2021'!$A:$D,3,0),IFERROR(VLOOKUP($C230,'5-COMP. PROPRIA'!$B$1:$I$7981,5,0),""))</f>
        <v>UN</v>
      </c>
      <c r="G230" s="129">
        <f>QUANT!K661</f>
        <v>27</v>
      </c>
      <c r="H230" s="200">
        <f>IFERROR(VLOOKUP($C230,'SINAPI JULHO 2021'!$A:$D,4,0),IFERROR(VLOOKUP($C230,'5-COMP. PROPRIA'!$B$1:$I$7981,8,0),""))</f>
        <v>34.67</v>
      </c>
      <c r="I230" s="200">
        <f>H230*'4-BDI'!$E$29</f>
        <v>44.460808</v>
      </c>
      <c r="J230" s="201">
        <f t="shared" si="98"/>
        <v>936.09</v>
      </c>
      <c r="K230" s="123">
        <f t="shared" si="99"/>
        <v>1200.44</v>
      </c>
    </row>
    <row r="231" spans="2:11" s="76" customFormat="1" ht="30">
      <c r="B231" s="12" t="s">
        <v>13118</v>
      </c>
      <c r="C231" s="114">
        <f>QUANT!C662</f>
        <v>89750</v>
      </c>
      <c r="D231" s="114" t="str">
        <f>QUANT!D662</f>
        <v>SINAPI</v>
      </c>
      <c r="E231" s="80" t="str">
        <f>IFERROR(VLOOKUP($C231,'SINAPI JULHO 2021'!$1:$1048576,2,0),IFERROR(VLOOKUP($C231,'5-COMP. PROPRIA'!$B$1:$I$7981,4,0),""))</f>
        <v>CURVA LONGA 90 GRAUS, PVC, SERIE NORMAL, ESGOTO PREDIAL, DN 100 MM, JUNTA ELÁSTICA, FORNECIDO E INSTALADO EM RAMAL DE DESCARGA OU RAMAL DE ESGOTO SANITÁRIO. AF_12/2014</v>
      </c>
      <c r="F231" s="81" t="str">
        <f>IFERROR(VLOOKUP($C231,'SINAPI JULHO 2021'!$A:$D,3,0),IFERROR(VLOOKUP($C231,'5-COMP. PROPRIA'!$B$1:$I$7981,5,0),""))</f>
        <v>UN</v>
      </c>
      <c r="G231" s="129">
        <f>QUANT!K662</f>
        <v>8</v>
      </c>
      <c r="H231" s="200">
        <f>IFERROR(VLOOKUP($C231,'SINAPI JULHO 2021'!$A:$D,4,0),IFERROR(VLOOKUP($C231,'5-COMP. PROPRIA'!$B$1:$I$7981,8,0),""))</f>
        <v>56.8</v>
      </c>
      <c r="I231" s="200">
        <f>H231*'4-BDI'!$E$29</f>
        <v>72.840319999999991</v>
      </c>
      <c r="J231" s="201">
        <f t="shared" si="98"/>
        <v>454.4</v>
      </c>
      <c r="K231" s="123">
        <f t="shared" si="99"/>
        <v>582.72</v>
      </c>
    </row>
    <row r="232" spans="2:11" s="76" customFormat="1" ht="30">
      <c r="B232" s="12" t="s">
        <v>13119</v>
      </c>
      <c r="C232" s="114">
        <f>QUANT!C663</f>
        <v>89810</v>
      </c>
      <c r="D232" s="114" t="str">
        <f>QUANT!D663</f>
        <v>SINAPI</v>
      </c>
      <c r="E232" s="80" t="str">
        <f>IFERROR(VLOOKUP($C232,'SINAPI JULHO 2021'!$1:$1048576,2,0),IFERROR(VLOOKUP($C232,'5-COMP. PROPRIA'!$B$1:$I$7981,4,0),""))</f>
        <v>JOELHO 45 GRAUS, PVC, SERIE NORMAL, ESGOTO PREDIAL, DN 100 MM, JUNTA ELÁSTICA, FORNECIDO E INSTALADO EM PRUMADA DE ESGOTO SANITÁRIO OU VENTILAÇÃO. AF_12/2014</v>
      </c>
      <c r="F232" s="81" t="str">
        <f>IFERROR(VLOOKUP($C232,'SINAPI JULHO 2021'!$A:$D,3,0),IFERROR(VLOOKUP($C232,'5-COMP. PROPRIA'!$B$1:$I$7981,5,0),""))</f>
        <v>UN</v>
      </c>
      <c r="G232" s="129">
        <f>QUANT!K663</f>
        <v>14</v>
      </c>
      <c r="H232" s="200">
        <f>IFERROR(VLOOKUP($C232,'SINAPI JULHO 2021'!$A:$D,4,0),IFERROR(VLOOKUP($C232,'5-COMP. PROPRIA'!$B$1:$I$7981,8,0),""))</f>
        <v>18.079999999999998</v>
      </c>
      <c r="I232" s="200">
        <f>H232*'4-BDI'!$E$29</f>
        <v>23.185791999999999</v>
      </c>
      <c r="J232" s="201">
        <f t="shared" si="98"/>
        <v>253.12</v>
      </c>
      <c r="K232" s="123">
        <f t="shared" si="99"/>
        <v>324.60000000000002</v>
      </c>
    </row>
    <row r="233" spans="2:11" s="76" customFormat="1" ht="30">
      <c r="B233" s="12" t="s">
        <v>13120</v>
      </c>
      <c r="C233" s="114">
        <f>QUANT!C664</f>
        <v>89806</v>
      </c>
      <c r="D233" s="114" t="str">
        <f>QUANT!D664</f>
        <v>SINAPI</v>
      </c>
      <c r="E233" s="80" t="str">
        <f>IFERROR(VLOOKUP($C233,'SINAPI JULHO 2021'!$1:$1048576,2,0),IFERROR(VLOOKUP($C233,'5-COMP. PROPRIA'!$B$1:$I$7981,4,0),""))</f>
        <v>JOELHO 45 GRAUS, PVC, SERIE NORMAL, ESGOTO PREDIAL, DN 75 MM, JUNTA ELÁSTICA, FORNECIDO E INSTALADO EM PRUMADA DE ESGOTO SANITÁRIO OU VENTILAÇÃO. AF_12/2014</v>
      </c>
      <c r="F233" s="81" t="str">
        <f>IFERROR(VLOOKUP($C233,'SINAPI JULHO 2021'!$A:$D,3,0),IFERROR(VLOOKUP($C233,'5-COMP. PROPRIA'!$B$1:$I$7981,5,0),""))</f>
        <v>UN</v>
      </c>
      <c r="G233" s="129">
        <f>QUANT!K664</f>
        <v>1</v>
      </c>
      <c r="H233" s="200">
        <f>IFERROR(VLOOKUP($C233,'SINAPI JULHO 2021'!$A:$D,4,0),IFERROR(VLOOKUP($C233,'5-COMP. PROPRIA'!$B$1:$I$7981,8,0),""))</f>
        <v>14.49</v>
      </c>
      <c r="I233" s="200">
        <f>H233*'4-BDI'!$E$29</f>
        <v>18.581976000000001</v>
      </c>
      <c r="J233" s="201">
        <f t="shared" si="98"/>
        <v>14.49</v>
      </c>
      <c r="K233" s="123">
        <f t="shared" si="99"/>
        <v>18.579999999999998</v>
      </c>
    </row>
    <row r="234" spans="2:11" s="76" customFormat="1" ht="30">
      <c r="B234" s="12" t="s">
        <v>13121</v>
      </c>
      <c r="C234" s="114">
        <f>QUANT!C665</f>
        <v>89802</v>
      </c>
      <c r="D234" s="114" t="str">
        <f>QUANT!D665</f>
        <v>SINAPI</v>
      </c>
      <c r="E234" s="80" t="str">
        <f>IFERROR(VLOOKUP($C234,'SINAPI JULHO 2021'!$1:$1048576,2,0),IFERROR(VLOOKUP($C234,'5-COMP. PROPRIA'!$B$1:$I$7981,4,0),""))</f>
        <v>JOELHO 45 GRAUS, PVC, SERIE NORMAL, ESGOTO PREDIAL, DN 50 MM, JUNTA ELÁSTICA, FORNECIDO E INSTALADO EM PRUMADA DE ESGOTO SANITÁRIO OU VENTILAÇÃO. AF_12/2014</v>
      </c>
      <c r="F234" s="81" t="str">
        <f>IFERROR(VLOOKUP($C234,'SINAPI JULHO 2021'!$A:$D,3,0),IFERROR(VLOOKUP($C234,'5-COMP. PROPRIA'!$B$1:$I$7981,5,0),""))</f>
        <v>UN</v>
      </c>
      <c r="G234" s="129">
        <f>QUANT!K665</f>
        <v>13</v>
      </c>
      <c r="H234" s="200">
        <f>IFERROR(VLOOKUP($C234,'SINAPI JULHO 2021'!$A:$D,4,0),IFERROR(VLOOKUP($C234,'5-COMP. PROPRIA'!$B$1:$I$7981,8,0),""))</f>
        <v>7.76</v>
      </c>
      <c r="I234" s="200">
        <f>H234*'4-BDI'!$E$29</f>
        <v>9.9514239999999994</v>
      </c>
      <c r="J234" s="201">
        <f t="shared" si="98"/>
        <v>100.88</v>
      </c>
      <c r="K234" s="123">
        <f t="shared" si="99"/>
        <v>129.36000000000001</v>
      </c>
    </row>
    <row r="235" spans="2:11" s="76" customFormat="1" ht="30">
      <c r="B235" s="12" t="s">
        <v>13122</v>
      </c>
      <c r="C235" s="114">
        <f>QUANT!C666</f>
        <v>89726</v>
      </c>
      <c r="D235" s="114" t="str">
        <f>QUANT!D666</f>
        <v>SINAPI</v>
      </c>
      <c r="E235" s="80" t="str">
        <f>IFERROR(VLOOKUP($C235,'SINAPI JULHO 2021'!$1:$1048576,2,0),IFERROR(VLOOKUP($C235,'5-COMP. PROPRIA'!$B$1:$I$7981,4,0),""))</f>
        <v>JOELHO 45 GRAUS, PVC, SERIE NORMAL, ESGOTO PREDIAL, DN 40 MM, JUNTA SOLDÁVEL, FORNECIDO E INSTALADO EM RAMAL DE DESCARGA OU RAMAL DE ESGOTO SANITÁRIO. AF_12/2014</v>
      </c>
      <c r="F235" s="81" t="str">
        <f>IFERROR(VLOOKUP($C235,'SINAPI JULHO 2021'!$A:$D,3,0),IFERROR(VLOOKUP($C235,'5-COMP. PROPRIA'!$B$1:$I$7981,5,0),""))</f>
        <v>UN</v>
      </c>
      <c r="G235" s="129">
        <f>QUANT!K666</f>
        <v>51</v>
      </c>
      <c r="H235" s="200">
        <f>IFERROR(VLOOKUP($C235,'SINAPI JULHO 2021'!$A:$D,4,0),IFERROR(VLOOKUP($C235,'5-COMP. PROPRIA'!$B$1:$I$7981,8,0),""))</f>
        <v>5.99</v>
      </c>
      <c r="I235" s="200">
        <f>H235*'4-BDI'!$E$29</f>
        <v>7.6815759999999997</v>
      </c>
      <c r="J235" s="201">
        <f t="shared" si="98"/>
        <v>305.49</v>
      </c>
      <c r="K235" s="123">
        <f t="shared" si="99"/>
        <v>391.76</v>
      </c>
    </row>
    <row r="236" spans="2:11" s="76" customFormat="1" ht="30">
      <c r="B236" s="12" t="s">
        <v>13123</v>
      </c>
      <c r="C236" s="114">
        <f>QUANT!C667</f>
        <v>89744</v>
      </c>
      <c r="D236" s="114" t="str">
        <f>QUANT!D667</f>
        <v>SINAPI</v>
      </c>
      <c r="E236" s="80" t="str">
        <f>IFERROR(VLOOKUP($C236,'SINAPI JULHO 2021'!$1:$1048576,2,0),IFERROR(VLOOKUP($C236,'5-COMP. PROPRIA'!$B$1:$I$7981,4,0),""))</f>
        <v>JOELHO 90 GRAUS, PVC, SERIE NORMAL, ESGOTO PREDIAL, DN 100 MM, JUNTA ELÁSTICA, FORNECIDO E INSTALADO EM RAMAL DE DESCARGA OU RAMAL DE ESGOTO SANITÁRIO. AF_12/2014</v>
      </c>
      <c r="F236" s="81" t="str">
        <f>IFERROR(VLOOKUP($C236,'SINAPI JULHO 2021'!$A:$D,3,0),IFERROR(VLOOKUP($C236,'5-COMP. PROPRIA'!$B$1:$I$7981,5,0),""))</f>
        <v>UN</v>
      </c>
      <c r="G236" s="129">
        <f>QUANT!K667</f>
        <v>30</v>
      </c>
      <c r="H236" s="200">
        <f>IFERROR(VLOOKUP($C236,'SINAPI JULHO 2021'!$A:$D,4,0),IFERROR(VLOOKUP($C236,'5-COMP. PROPRIA'!$B$1:$I$7981,8,0),""))</f>
        <v>22.19</v>
      </c>
      <c r="I236" s="200">
        <f>H236*'4-BDI'!$E$29</f>
        <v>28.456456000000003</v>
      </c>
      <c r="J236" s="201">
        <f t="shared" si="98"/>
        <v>665.7</v>
      </c>
      <c r="K236" s="123">
        <f t="shared" si="99"/>
        <v>853.69</v>
      </c>
    </row>
    <row r="237" spans="2:11" s="76" customFormat="1" ht="30">
      <c r="B237" s="12" t="s">
        <v>13124</v>
      </c>
      <c r="C237" s="114">
        <f>QUANT!C668</f>
        <v>89731</v>
      </c>
      <c r="D237" s="114" t="str">
        <f>QUANT!D668</f>
        <v>SINAPI</v>
      </c>
      <c r="E237" s="80" t="str">
        <f>IFERROR(VLOOKUP($C237,'SINAPI JULHO 2021'!$1:$1048576,2,0),IFERROR(VLOOKUP($C237,'5-COMP. PROPRIA'!$B$1:$I$7981,4,0),""))</f>
        <v>JOELHO 90 GRAUS, PVC, SERIE NORMAL, ESGOTO PREDIAL, DN 50 MM, JUNTA ELÁSTICA, FORNECIDO E INSTALADO EM RAMAL DE DESCARGA OU RAMAL DE ESGOTO SANITÁRIO. AF_12/2014</v>
      </c>
      <c r="F237" s="81" t="str">
        <f>IFERROR(VLOOKUP($C237,'SINAPI JULHO 2021'!$A:$D,3,0),IFERROR(VLOOKUP($C237,'5-COMP. PROPRIA'!$B$1:$I$7981,5,0),""))</f>
        <v>UN</v>
      </c>
      <c r="G237" s="129">
        <f>QUANT!K668</f>
        <v>32</v>
      </c>
      <c r="H237" s="200">
        <f>IFERROR(VLOOKUP($C237,'SINAPI JULHO 2021'!$A:$D,4,0),IFERROR(VLOOKUP($C237,'5-COMP. PROPRIA'!$B$1:$I$7981,8,0),""))</f>
        <v>10.01</v>
      </c>
      <c r="I237" s="200">
        <f>H237*'4-BDI'!$E$29</f>
        <v>12.836824</v>
      </c>
      <c r="J237" s="201">
        <f t="shared" si="98"/>
        <v>320.32</v>
      </c>
      <c r="K237" s="123">
        <f t="shared" si="99"/>
        <v>410.77</v>
      </c>
    </row>
    <row r="238" spans="2:11" s="76" customFormat="1" ht="30">
      <c r="B238" s="12" t="s">
        <v>13125</v>
      </c>
      <c r="C238" s="114">
        <f>QUANT!C669</f>
        <v>89737</v>
      </c>
      <c r="D238" s="114" t="str">
        <f>QUANT!D669</f>
        <v>SINAPI</v>
      </c>
      <c r="E238" s="80" t="str">
        <f>IFERROR(VLOOKUP($C238,'SINAPI JULHO 2021'!$1:$1048576,2,0),IFERROR(VLOOKUP($C238,'5-COMP. PROPRIA'!$B$1:$I$7981,4,0),""))</f>
        <v>JOELHO 90 GRAUS, PVC, SERIE NORMAL, ESGOTO PREDIAL, DN 75 MM, JUNTA ELÁSTICA, FORNECIDO E INSTALADO EM RAMAL DE DESCARGA OU RAMAL DE ESGOTO SANITÁRIO. AF_12/2014</v>
      </c>
      <c r="F238" s="81" t="str">
        <f>IFERROR(VLOOKUP($C238,'SINAPI JULHO 2021'!$A:$D,3,0),IFERROR(VLOOKUP($C238,'5-COMP. PROPRIA'!$B$1:$I$7981,5,0),""))</f>
        <v>UN</v>
      </c>
      <c r="G238" s="129">
        <f>QUANT!K669</f>
        <v>10</v>
      </c>
      <c r="H238" s="200">
        <f>IFERROR(VLOOKUP($C238,'SINAPI JULHO 2021'!$A:$D,4,0),IFERROR(VLOOKUP($C238,'5-COMP. PROPRIA'!$B$1:$I$7981,8,0),""))</f>
        <v>17.11</v>
      </c>
      <c r="I238" s="200">
        <f>H238*'4-BDI'!$E$29</f>
        <v>21.941863999999999</v>
      </c>
      <c r="J238" s="201">
        <f t="shared" si="98"/>
        <v>171.1</v>
      </c>
      <c r="K238" s="123">
        <f t="shared" si="99"/>
        <v>219.41</v>
      </c>
    </row>
    <row r="239" spans="2:11" s="76" customFormat="1" ht="30">
      <c r="B239" s="12" t="s">
        <v>13126</v>
      </c>
      <c r="C239" s="114">
        <f>QUANT!C670</f>
        <v>89724</v>
      </c>
      <c r="D239" s="114" t="str">
        <f>QUANT!D670</f>
        <v>SINAPI</v>
      </c>
      <c r="E239" s="80" t="str">
        <f>IFERROR(VLOOKUP($C239,'SINAPI JULHO 2021'!$1:$1048576,2,0),IFERROR(VLOOKUP($C239,'5-COMP. PROPRIA'!$B$1:$I$7981,4,0),""))</f>
        <v>JOELHO 90 GRAUS, PVC, SERIE NORMAL, ESGOTO PREDIAL, DN 40 MM, JUNTA SOLDÁVEL, FORNECIDO E INSTALADO EM RAMAL DE DESCARGA OU RAMAL DE ESGOTO SANITÁRIO. AF_12/2014</v>
      </c>
      <c r="F239" s="81" t="str">
        <f>IFERROR(VLOOKUP($C239,'SINAPI JULHO 2021'!$A:$D,3,0),IFERROR(VLOOKUP($C239,'5-COMP. PROPRIA'!$B$1:$I$7981,5,0),""))</f>
        <v>UN</v>
      </c>
      <c r="G239" s="129">
        <f>QUANT!K670</f>
        <v>43</v>
      </c>
      <c r="H239" s="200">
        <f>IFERROR(VLOOKUP($C239,'SINAPI JULHO 2021'!$A:$D,4,0),IFERROR(VLOOKUP($C239,'5-COMP. PROPRIA'!$B$1:$I$7981,8,0),""))</f>
        <v>8.3699999999999992</v>
      </c>
      <c r="I239" s="200">
        <f>H239*'4-BDI'!$E$29</f>
        <v>10.733687999999999</v>
      </c>
      <c r="J239" s="201">
        <f t="shared" si="98"/>
        <v>359.91</v>
      </c>
      <c r="K239" s="123">
        <f t="shared" si="99"/>
        <v>461.54</v>
      </c>
    </row>
    <row r="240" spans="2:11" s="76" customFormat="1" ht="30">
      <c r="B240" s="12" t="s">
        <v>13127</v>
      </c>
      <c r="C240" s="114">
        <f>QUANT!C671</f>
        <v>89795</v>
      </c>
      <c r="D240" s="114" t="str">
        <f>QUANT!D671</f>
        <v>SINAPI</v>
      </c>
      <c r="E240" s="80" t="str">
        <f>IFERROR(VLOOKUP($C240,'SINAPI JULHO 2021'!$1:$1048576,2,0),IFERROR(VLOOKUP($C240,'5-COMP. PROPRIA'!$B$1:$I$7981,4,0),""))</f>
        <v>JUNÇÃO SIMPLES, PVC, SERIE NORMAL, ESGOTO PREDIAL, DN 75 X 75 MM, JUNTA ELÁSTICA, FORNECIDO E INSTALADO EM RAMAL DE DESCARGA OU RAMAL DE ESGOTO SANITÁRIO. AF_12/2014</v>
      </c>
      <c r="F240" s="81" t="str">
        <f>IFERROR(VLOOKUP($C240,'SINAPI JULHO 2021'!$A:$D,3,0),IFERROR(VLOOKUP($C240,'5-COMP. PROPRIA'!$B$1:$I$7981,5,0),""))</f>
        <v>UN</v>
      </c>
      <c r="G240" s="129">
        <f>QUANT!K671</f>
        <v>1</v>
      </c>
      <c r="H240" s="200">
        <f>IFERROR(VLOOKUP($C240,'SINAPI JULHO 2021'!$A:$D,4,0),IFERROR(VLOOKUP($C240,'5-COMP. PROPRIA'!$B$1:$I$7981,8,0),""))</f>
        <v>33.380000000000003</v>
      </c>
      <c r="I240" s="200">
        <f>H240*'4-BDI'!$E$29</f>
        <v>42.806512000000005</v>
      </c>
      <c r="J240" s="201">
        <f t="shared" si="98"/>
        <v>33.380000000000003</v>
      </c>
      <c r="K240" s="123">
        <f t="shared" si="99"/>
        <v>42.8</v>
      </c>
    </row>
    <row r="241" spans="2:11" s="76" customFormat="1" ht="30">
      <c r="B241" s="12" t="s">
        <v>13128</v>
      </c>
      <c r="C241" s="114">
        <f>QUANT!C672</f>
        <v>89797</v>
      </c>
      <c r="D241" s="114" t="str">
        <f>QUANT!D672</f>
        <v>SINAPI</v>
      </c>
      <c r="E241" s="80" t="str">
        <f>IFERROR(VLOOKUP($C241,'SINAPI JULHO 2021'!$1:$1048576,2,0),IFERROR(VLOOKUP($C241,'5-COMP. PROPRIA'!$B$1:$I$7981,4,0),""))</f>
        <v>JUNÇÃO SIMPLES, PVC, SERIE NORMAL, ESGOTO PREDIAL, DN 100 X 100 MM, JUNTA ELÁSTICA, FORNECIDO E INSTALADO EM RAMAL DE DESCARGA OU RAMAL DE ESGOTO SANITÁRIO. AF_12/2014</v>
      </c>
      <c r="F241" s="81" t="str">
        <f>IFERROR(VLOOKUP($C241,'SINAPI JULHO 2021'!$A:$D,3,0),IFERROR(VLOOKUP($C241,'5-COMP. PROPRIA'!$B$1:$I$7981,5,0),""))</f>
        <v>UN</v>
      </c>
      <c r="G241" s="129">
        <f>QUANT!K672</f>
        <v>21</v>
      </c>
      <c r="H241" s="200">
        <f>IFERROR(VLOOKUP($C241,'SINAPI JULHO 2021'!$A:$D,4,0),IFERROR(VLOOKUP($C241,'5-COMP. PROPRIA'!$B$1:$I$7981,8,0),""))</f>
        <v>43.65</v>
      </c>
      <c r="I241" s="200">
        <f>H241*'4-BDI'!$E$29</f>
        <v>55.976759999999999</v>
      </c>
      <c r="J241" s="201">
        <f t="shared" si="98"/>
        <v>916.65</v>
      </c>
      <c r="K241" s="123">
        <f t="shared" si="99"/>
        <v>1175.51</v>
      </c>
    </row>
    <row r="242" spans="2:11" s="76" customFormat="1" ht="30">
      <c r="B242" s="12" t="s">
        <v>13129</v>
      </c>
      <c r="C242" s="114">
        <f>QUANT!C673</f>
        <v>89785</v>
      </c>
      <c r="D242" s="114" t="str">
        <f>QUANT!D673</f>
        <v>SINAPI</v>
      </c>
      <c r="E242" s="80" t="str">
        <f>IFERROR(VLOOKUP($C242,'SINAPI JULHO 2021'!$1:$1048576,2,0),IFERROR(VLOOKUP($C242,'5-COMP. PROPRIA'!$B$1:$I$7981,4,0),""))</f>
        <v>JUNÇÃO SIMPLES, PVC, SERIE NORMAL, ESGOTO PREDIAL, DN 50 X 50 MM, JUNTA ELÁSTICA, FORNECIDO E INSTALADO EM RAMAL DE DESCARGA OU RAMAL DE ESGOTO SANITÁRIO. AF_12/2014</v>
      </c>
      <c r="F242" s="81" t="str">
        <f>IFERROR(VLOOKUP($C242,'SINAPI JULHO 2021'!$A:$D,3,0),IFERROR(VLOOKUP($C242,'5-COMP. PROPRIA'!$B$1:$I$7981,5,0),""))</f>
        <v>UN</v>
      </c>
      <c r="G242" s="129">
        <f>QUANT!K673</f>
        <v>3</v>
      </c>
      <c r="H242" s="200">
        <f>IFERROR(VLOOKUP($C242,'SINAPI JULHO 2021'!$A:$D,4,0),IFERROR(VLOOKUP($C242,'5-COMP. PROPRIA'!$B$1:$I$7981,8,0),""))</f>
        <v>20.72</v>
      </c>
      <c r="I242" s="200">
        <f>H242*'4-BDI'!$E$29</f>
        <v>26.571327999999998</v>
      </c>
      <c r="J242" s="201">
        <f t="shared" si="98"/>
        <v>62.16</v>
      </c>
      <c r="K242" s="123">
        <f t="shared" si="99"/>
        <v>79.709999999999994</v>
      </c>
    </row>
    <row r="243" spans="2:11" s="76" customFormat="1" ht="30">
      <c r="B243" s="12" t="s">
        <v>13130</v>
      </c>
      <c r="C243" s="114">
        <f>QUANT!C674</f>
        <v>89752</v>
      </c>
      <c r="D243" s="114" t="str">
        <f>QUANT!D674</f>
        <v>SINAPI</v>
      </c>
      <c r="E243" s="80" t="str">
        <f>IFERROR(VLOOKUP($C243,'SINAPI JULHO 2021'!$1:$1048576,2,0),IFERROR(VLOOKUP($C243,'5-COMP. PROPRIA'!$B$1:$I$7981,4,0),""))</f>
        <v>LUVA SIMPLES, PVC, SERIE NORMAL, ESGOTO PREDIAL, DN 40 MM, JUNTA SOLDÁVEL, FORNECIDO E INSTALADO EM RAMAL DE DESCARGA OU RAMAL DE ESGOTO SANITÁRIO. AF_12/2014</v>
      </c>
      <c r="F243" s="81" t="str">
        <f>IFERROR(VLOOKUP($C243,'SINAPI JULHO 2021'!$A:$D,3,0),IFERROR(VLOOKUP($C243,'5-COMP. PROPRIA'!$B$1:$I$7981,5,0),""))</f>
        <v>UN</v>
      </c>
      <c r="G243" s="129">
        <f>QUANT!K674</f>
        <v>1</v>
      </c>
      <c r="H243" s="200">
        <f>IFERROR(VLOOKUP($C243,'SINAPI JULHO 2021'!$A:$D,4,0),IFERROR(VLOOKUP($C243,'5-COMP. PROPRIA'!$B$1:$I$7981,8,0),""))</f>
        <v>5.28</v>
      </c>
      <c r="I243" s="200">
        <f>H243*'4-BDI'!$E$29</f>
        <v>6.7710720000000002</v>
      </c>
      <c r="J243" s="201">
        <f t="shared" si="98"/>
        <v>5.28</v>
      </c>
      <c r="K243" s="123">
        <f t="shared" si="99"/>
        <v>6.77</v>
      </c>
    </row>
    <row r="244" spans="2:11" s="76" customFormat="1" ht="30">
      <c r="B244" s="12" t="s">
        <v>13131</v>
      </c>
      <c r="C244" s="114">
        <f>QUANT!C675</f>
        <v>89754</v>
      </c>
      <c r="D244" s="114" t="str">
        <f>QUANT!D675</f>
        <v>SINAPI</v>
      </c>
      <c r="E244" s="80" t="str">
        <f>IFERROR(VLOOKUP($C244,'SINAPI JULHO 2021'!$1:$1048576,2,0),IFERROR(VLOOKUP($C244,'5-COMP. PROPRIA'!$B$1:$I$7981,4,0),""))</f>
        <v>LUVA DE CORRER, PVC, SERIE NORMAL, ESGOTO PREDIAL, DN 50 MM, JUNTA ELÁSTICA, FORNECIDO E INSTALADO EM RAMAL DE DESCARGA OU RAMAL DE ESGOTO SANITÁRIO. AF_12/2014</v>
      </c>
      <c r="F244" s="81" t="str">
        <f>IFERROR(VLOOKUP($C244,'SINAPI JULHO 2021'!$A:$D,3,0),IFERROR(VLOOKUP($C244,'5-COMP. PROPRIA'!$B$1:$I$7981,5,0),""))</f>
        <v>UN</v>
      </c>
      <c r="G244" s="129">
        <f>QUANT!K675</f>
        <v>3</v>
      </c>
      <c r="H244" s="200">
        <f>IFERROR(VLOOKUP($C244,'SINAPI JULHO 2021'!$A:$D,4,0),IFERROR(VLOOKUP($C244,'5-COMP. PROPRIA'!$B$1:$I$7981,8,0),""))</f>
        <v>15.51</v>
      </c>
      <c r="I244" s="200">
        <f>H244*'4-BDI'!$E$29</f>
        <v>19.890024</v>
      </c>
      <c r="J244" s="201">
        <f t="shared" si="98"/>
        <v>46.53</v>
      </c>
      <c r="K244" s="123">
        <f t="shared" si="99"/>
        <v>59.67</v>
      </c>
    </row>
    <row r="245" spans="2:11" s="76" customFormat="1" ht="30">
      <c r="B245" s="12" t="s">
        <v>13132</v>
      </c>
      <c r="C245" s="114">
        <f>QUANT!C676</f>
        <v>89776</v>
      </c>
      <c r="D245" s="114" t="str">
        <f>QUANT!D676</f>
        <v>SINAPI</v>
      </c>
      <c r="E245" s="80" t="str">
        <f>IFERROR(VLOOKUP($C245,'SINAPI JULHO 2021'!$1:$1048576,2,0),IFERROR(VLOOKUP($C245,'5-COMP. PROPRIA'!$B$1:$I$7981,4,0),""))</f>
        <v>LUVA DE CORRER, PVC, SERIE NORMAL, ESGOTO PREDIAL, DN 75 MM, JUNTA ELÁSTICA, FORNECIDO E INSTALADO EM RAMAL DE DESCARGA OU RAMAL DE ESGOTO SANITÁRIO. AF_12/2014</v>
      </c>
      <c r="F245" s="81" t="str">
        <f>IFERROR(VLOOKUP($C245,'SINAPI JULHO 2021'!$A:$D,3,0),IFERROR(VLOOKUP($C245,'5-COMP. PROPRIA'!$B$1:$I$7981,5,0),""))</f>
        <v>UN</v>
      </c>
      <c r="G245" s="129">
        <f>QUANT!K676</f>
        <v>1</v>
      </c>
      <c r="H245" s="200">
        <f>IFERROR(VLOOKUP($C245,'SINAPI JULHO 2021'!$A:$D,4,0),IFERROR(VLOOKUP($C245,'5-COMP. PROPRIA'!$B$1:$I$7981,8,0),""))</f>
        <v>19.46</v>
      </c>
      <c r="I245" s="200">
        <f>H245*'4-BDI'!$E$29</f>
        <v>24.955504000000001</v>
      </c>
      <c r="J245" s="201">
        <f t="shared" si="98"/>
        <v>19.46</v>
      </c>
      <c r="K245" s="123">
        <f t="shared" si="99"/>
        <v>24.95</v>
      </c>
    </row>
    <row r="246" spans="2:11" s="76" customFormat="1" ht="30">
      <c r="B246" s="12" t="s">
        <v>13133</v>
      </c>
      <c r="C246" s="114">
        <f>QUANT!C677</f>
        <v>89813</v>
      </c>
      <c r="D246" s="114" t="str">
        <f>QUANT!D677</f>
        <v>SINAPI</v>
      </c>
      <c r="E246" s="80" t="str">
        <f>IFERROR(VLOOKUP($C246,'SINAPI JULHO 2021'!$1:$1048576,2,0),IFERROR(VLOOKUP($C246,'5-COMP. PROPRIA'!$B$1:$I$7981,4,0),""))</f>
        <v>LUVA SIMPLES, PVC, SERIE NORMAL, ESGOTO PREDIAL, DN 50 MM, JUNTA ELÁSTICA, FORNECIDO E INSTALADO EM PRUMADA DE ESGOTO SANITÁRIO OU VENTILAÇÃO. AF_12/2014</v>
      </c>
      <c r="F246" s="81" t="str">
        <f>IFERROR(VLOOKUP($C246,'SINAPI JULHO 2021'!$A:$D,3,0),IFERROR(VLOOKUP($C246,'5-COMP. PROPRIA'!$B$1:$I$7981,5,0),""))</f>
        <v>UN</v>
      </c>
      <c r="G246" s="129">
        <f>QUANT!K677</f>
        <v>23</v>
      </c>
      <c r="H246" s="200">
        <f>IFERROR(VLOOKUP($C246,'SINAPI JULHO 2021'!$A:$D,4,0),IFERROR(VLOOKUP($C246,'5-COMP. PROPRIA'!$B$1:$I$7981,8,0),""))</f>
        <v>7.23</v>
      </c>
      <c r="I246" s="200">
        <f>H246*'4-BDI'!$E$29</f>
        <v>9.2717520000000011</v>
      </c>
      <c r="J246" s="201">
        <f t="shared" si="98"/>
        <v>166.29</v>
      </c>
      <c r="K246" s="123">
        <f t="shared" si="99"/>
        <v>213.25</v>
      </c>
    </row>
    <row r="247" spans="2:11" s="76" customFormat="1" ht="30">
      <c r="B247" s="12" t="s">
        <v>13134</v>
      </c>
      <c r="C247" s="114">
        <f>QUANT!C678</f>
        <v>89817</v>
      </c>
      <c r="D247" s="114" t="str">
        <f>QUANT!D678</f>
        <v>SINAPI</v>
      </c>
      <c r="E247" s="80" t="str">
        <f>IFERROR(VLOOKUP($C247,'SINAPI JULHO 2021'!$1:$1048576,2,0),IFERROR(VLOOKUP($C247,'5-COMP. PROPRIA'!$B$1:$I$7981,4,0),""))</f>
        <v>LUVA SIMPLES, PVC, SERIE NORMAL, ESGOTO PREDIAL, DN 75 MM, JUNTA ELÁSTICA, FORNECIDO E INSTALADO EM PRUMADA DE ESGOTO SANITÁRIO OU VENTILAÇÃO. AF_12/2014</v>
      </c>
      <c r="F247" s="81" t="str">
        <f>IFERROR(VLOOKUP($C247,'SINAPI JULHO 2021'!$A:$D,3,0),IFERROR(VLOOKUP($C247,'5-COMP. PROPRIA'!$B$1:$I$7981,5,0),""))</f>
        <v>UN</v>
      </c>
      <c r="G247" s="129">
        <f>QUANT!K678</f>
        <v>8</v>
      </c>
      <c r="H247" s="200">
        <f>IFERROR(VLOOKUP($C247,'SINAPI JULHO 2021'!$A:$D,4,0),IFERROR(VLOOKUP($C247,'5-COMP. PROPRIA'!$B$1:$I$7981,8,0),""))</f>
        <v>12.08</v>
      </c>
      <c r="I247" s="200">
        <f>H247*'4-BDI'!$E$29</f>
        <v>15.491391999999999</v>
      </c>
      <c r="J247" s="201">
        <f t="shared" si="98"/>
        <v>96.64</v>
      </c>
      <c r="K247" s="123">
        <f t="shared" si="99"/>
        <v>123.93</v>
      </c>
    </row>
    <row r="248" spans="2:11" s="76" customFormat="1" ht="30">
      <c r="B248" s="12" t="s">
        <v>13135</v>
      </c>
      <c r="C248" s="114">
        <f>QUANT!C679</f>
        <v>89821</v>
      </c>
      <c r="D248" s="114" t="str">
        <f>QUANT!D679</f>
        <v>SINAPI</v>
      </c>
      <c r="E248" s="80" t="str">
        <f>IFERROR(VLOOKUP($C248,'SINAPI JULHO 2021'!$1:$1048576,2,0),IFERROR(VLOOKUP($C248,'5-COMP. PROPRIA'!$B$1:$I$7981,4,0),""))</f>
        <v>LUVA SIMPLES, PVC, SERIE NORMAL, ESGOTO PREDIAL, DN 100 MM, JUNTA ELÁSTICA, FORNECIDO E INSTALADO EM PRUMADA DE ESGOTO SANITÁRIO OU VENTILAÇÃO. AF_12/2014</v>
      </c>
      <c r="F248" s="81" t="str">
        <f>IFERROR(VLOOKUP($C248,'SINAPI JULHO 2021'!$A:$D,3,0),IFERROR(VLOOKUP($C248,'5-COMP. PROPRIA'!$B$1:$I$7981,5,0),""))</f>
        <v>UN</v>
      </c>
      <c r="G248" s="129">
        <f>QUANT!K679</f>
        <v>145</v>
      </c>
      <c r="H248" s="200">
        <f>IFERROR(VLOOKUP($C248,'SINAPI JULHO 2021'!$A:$D,4,0),IFERROR(VLOOKUP($C248,'5-COMP. PROPRIA'!$B$1:$I$7981,8,0),""))</f>
        <v>15.09</v>
      </c>
      <c r="I248" s="200">
        <f>H248*'4-BDI'!$E$29</f>
        <v>19.351416</v>
      </c>
      <c r="J248" s="201">
        <f t="shared" si="98"/>
        <v>2188.0500000000002</v>
      </c>
      <c r="K248" s="123">
        <f t="shared" si="99"/>
        <v>2805.95</v>
      </c>
    </row>
    <row r="249" spans="2:11" s="76" customFormat="1" ht="30">
      <c r="B249" s="12" t="s">
        <v>13136</v>
      </c>
      <c r="C249" s="114">
        <f>QUANT!C680</f>
        <v>89800</v>
      </c>
      <c r="D249" s="114" t="str">
        <f>QUANT!D680</f>
        <v>SINAPI</v>
      </c>
      <c r="E249" s="80" t="str">
        <f>IFERROR(VLOOKUP($C249,'SINAPI JULHO 2021'!$1:$1048576,2,0),IFERROR(VLOOKUP($C249,'5-COMP. PROPRIA'!$B$1:$I$7981,4,0),""))</f>
        <v>TUBO PVC, SERIE NORMAL, ESGOTO PREDIAL, DN 100 MM, FORNECIDO E INSTALADO EM PRUMADA DE ESGOTO SANITÁRIO OU VENTILAÇÃO. AF_12/2014</v>
      </c>
      <c r="F249" s="81" t="str">
        <f>IFERROR(VLOOKUP($C249,'SINAPI JULHO 2021'!$A:$D,3,0),IFERROR(VLOOKUP($C249,'5-COMP. PROPRIA'!$B$1:$I$7981,5,0),""))</f>
        <v>M</v>
      </c>
      <c r="G249" s="129">
        <f>QUANT!K680</f>
        <v>166.58</v>
      </c>
      <c r="H249" s="200">
        <f>IFERROR(VLOOKUP($C249,'SINAPI JULHO 2021'!$A:$D,4,0),IFERROR(VLOOKUP($C249,'5-COMP. PROPRIA'!$B$1:$I$7981,8,0),""))</f>
        <v>21.4</v>
      </c>
      <c r="I249" s="200">
        <f>H249*'4-BDI'!$E$29</f>
        <v>27.443359999999998</v>
      </c>
      <c r="J249" s="201">
        <f t="shared" si="98"/>
        <v>3564.81</v>
      </c>
      <c r="K249" s="123">
        <f t="shared" si="99"/>
        <v>4571.51</v>
      </c>
    </row>
    <row r="250" spans="2:11" s="76" customFormat="1" ht="30">
      <c r="B250" s="12" t="s">
        <v>13137</v>
      </c>
      <c r="C250" s="114">
        <f>QUANT!C681</f>
        <v>89798</v>
      </c>
      <c r="D250" s="114" t="str">
        <f>QUANT!D681</f>
        <v>SINAPI</v>
      </c>
      <c r="E250" s="80" t="str">
        <f>IFERROR(VLOOKUP($C250,'SINAPI JULHO 2021'!$1:$1048576,2,0),IFERROR(VLOOKUP($C250,'5-COMP. PROPRIA'!$B$1:$I$7981,4,0),""))</f>
        <v>TUBO PVC, SERIE NORMAL, ESGOTO PREDIAL, DN 50 MM, FORNECIDO E INSTALADO EM PRUMADA DE ESGOTO SANITÁRIO OU VENTILAÇÃO. AF_12/2014</v>
      </c>
      <c r="F250" s="81" t="str">
        <f>IFERROR(VLOOKUP($C250,'SINAPI JULHO 2021'!$A:$D,3,0),IFERROR(VLOOKUP($C250,'5-COMP. PROPRIA'!$B$1:$I$7981,5,0),""))</f>
        <v>M</v>
      </c>
      <c r="G250" s="129">
        <f>QUANT!K681</f>
        <v>117.11</v>
      </c>
      <c r="H250" s="200">
        <f>IFERROR(VLOOKUP($C250,'SINAPI JULHO 2021'!$A:$D,4,0),IFERROR(VLOOKUP($C250,'5-COMP. PROPRIA'!$B$1:$I$7981,8,0),""))</f>
        <v>10.79</v>
      </c>
      <c r="I250" s="200">
        <f>H250*'4-BDI'!$E$29</f>
        <v>13.837095999999999</v>
      </c>
      <c r="J250" s="201">
        <f t="shared" si="98"/>
        <v>1263.6099999999999</v>
      </c>
      <c r="K250" s="123">
        <f t="shared" si="99"/>
        <v>1620.46</v>
      </c>
    </row>
    <row r="251" spans="2:11" s="76" customFormat="1" ht="30">
      <c r="B251" s="12" t="s">
        <v>13138</v>
      </c>
      <c r="C251" s="114">
        <f>QUANT!C682</f>
        <v>89711</v>
      </c>
      <c r="D251" s="114" t="str">
        <f>QUANT!D682</f>
        <v>SINAPI</v>
      </c>
      <c r="E251" s="80" t="str">
        <f>IFERROR(VLOOKUP($C251,'SINAPI JULHO 2021'!$1:$1048576,2,0),IFERROR(VLOOKUP($C251,'5-COMP. PROPRIA'!$B$1:$I$7981,4,0),""))</f>
        <v>TUBO PVC, SERIE NORMAL, ESGOTO PREDIAL, DN 40 MM, FORNECIDO E INSTALADO EM RAMAL DE DESCARGA OU RAMAL DE ESGOTO SANITÁRIO. AF_12/2014</v>
      </c>
      <c r="F251" s="81" t="str">
        <f>IFERROR(VLOOKUP($C251,'SINAPI JULHO 2021'!$A:$D,3,0),IFERROR(VLOOKUP($C251,'5-COMP. PROPRIA'!$B$1:$I$7981,5,0),""))</f>
        <v>M</v>
      </c>
      <c r="G251" s="129">
        <f>QUANT!K682</f>
        <v>77.53</v>
      </c>
      <c r="H251" s="200">
        <f>IFERROR(VLOOKUP($C251,'SINAPI JULHO 2021'!$A:$D,4,0),IFERROR(VLOOKUP($C251,'5-COMP. PROPRIA'!$B$1:$I$7981,8,0),""))</f>
        <v>14.59</v>
      </c>
      <c r="I251" s="200">
        <f>H251*'4-BDI'!$E$29</f>
        <v>18.710215999999999</v>
      </c>
      <c r="J251" s="201">
        <f t="shared" si="98"/>
        <v>1131.1600000000001</v>
      </c>
      <c r="K251" s="123">
        <f t="shared" si="99"/>
        <v>1450.6</v>
      </c>
    </row>
    <row r="252" spans="2:11" s="76" customFormat="1" ht="30">
      <c r="B252" s="12" t="s">
        <v>13139</v>
      </c>
      <c r="C252" s="114">
        <f>QUANT!C683</f>
        <v>89799</v>
      </c>
      <c r="D252" s="114" t="str">
        <f>QUANT!D683</f>
        <v>SINAPI</v>
      </c>
      <c r="E252" s="80" t="str">
        <f>IFERROR(VLOOKUP($C252,'SINAPI JULHO 2021'!$1:$1048576,2,0),IFERROR(VLOOKUP($C252,'5-COMP. PROPRIA'!$B$1:$I$7981,4,0),""))</f>
        <v>TUBO PVC, SERIE NORMAL, ESGOTO PREDIAL, DN 75 MM, FORNECIDO E INSTALADO EM PRUMADA DE ESGOTO SANITÁRIO OU VENTILAÇÃO. AF_12/2014</v>
      </c>
      <c r="F252" s="81" t="str">
        <f>IFERROR(VLOOKUP($C252,'SINAPI JULHO 2021'!$A:$D,3,0),IFERROR(VLOOKUP($C252,'5-COMP. PROPRIA'!$B$1:$I$7981,5,0),""))</f>
        <v>M</v>
      </c>
      <c r="G252" s="129">
        <f>QUANT!K683</f>
        <v>44.59</v>
      </c>
      <c r="H252" s="200">
        <f>IFERROR(VLOOKUP($C252,'SINAPI JULHO 2021'!$A:$D,4,0),IFERROR(VLOOKUP($C252,'5-COMP. PROPRIA'!$B$1:$I$7981,8,0),""))</f>
        <v>17.440000000000001</v>
      </c>
      <c r="I252" s="200">
        <f>H252*'4-BDI'!$E$29</f>
        <v>22.365056000000003</v>
      </c>
      <c r="J252" s="201">
        <f t="shared" si="98"/>
        <v>777.64</v>
      </c>
      <c r="K252" s="123">
        <f t="shared" si="99"/>
        <v>997.25</v>
      </c>
    </row>
    <row r="253" spans="2:11" s="76" customFormat="1" ht="30">
      <c r="B253" s="12" t="s">
        <v>13140</v>
      </c>
      <c r="C253" s="114">
        <f>QUANT!C684</f>
        <v>89825</v>
      </c>
      <c r="D253" s="114" t="str">
        <f>QUANT!D684</f>
        <v>SINAPI</v>
      </c>
      <c r="E253" s="80" t="str">
        <f>IFERROR(VLOOKUP($C253,'SINAPI JULHO 2021'!$1:$1048576,2,0),IFERROR(VLOOKUP($C253,'5-COMP. PROPRIA'!$B$1:$I$7981,4,0),""))</f>
        <v>TE, PVC, SERIE NORMAL, ESGOTO PREDIAL, DN 50 X 50 MM, JUNTA ELÁSTICA, FORNECIDO E INSTALADO EM PRUMADA DE ESGOTO SANITÁRIO OU VENTILAÇÃO. AF_12/2014</v>
      </c>
      <c r="F253" s="81" t="str">
        <f>IFERROR(VLOOKUP($C253,'SINAPI JULHO 2021'!$A:$D,3,0),IFERROR(VLOOKUP($C253,'5-COMP. PROPRIA'!$B$1:$I$7981,5,0),""))</f>
        <v>UN</v>
      </c>
      <c r="G253" s="129">
        <f>QUANT!K684</f>
        <v>11</v>
      </c>
      <c r="H253" s="200">
        <f>IFERROR(VLOOKUP($C253,'SINAPI JULHO 2021'!$A:$D,4,0),IFERROR(VLOOKUP($C253,'5-COMP. PROPRIA'!$B$1:$I$7981,8,0),""))</f>
        <v>15.68</v>
      </c>
      <c r="I253" s="200">
        <f>H253*'4-BDI'!$E$29</f>
        <v>20.108031999999998</v>
      </c>
      <c r="J253" s="201">
        <f t="shared" ref="J253:J258" si="100">TRUNC(G253*H253,2)</f>
        <v>172.48</v>
      </c>
      <c r="K253" s="123">
        <f t="shared" ref="K253:K258" si="101">TRUNC(G253*I253,2)</f>
        <v>221.18</v>
      </c>
    </row>
    <row r="254" spans="2:11" s="76" customFormat="1" ht="30">
      <c r="B254" s="12" t="s">
        <v>13141</v>
      </c>
      <c r="C254" s="114">
        <f>QUANT!C685</f>
        <v>89711</v>
      </c>
      <c r="D254" s="114" t="str">
        <f>QUANT!D685</f>
        <v>SINAPI</v>
      </c>
      <c r="E254" s="80" t="str">
        <f>IFERROR(VLOOKUP($C254,'SINAPI JULHO 2021'!$1:$1048576,2,0),IFERROR(VLOOKUP($C254,'5-COMP. PROPRIA'!$B$1:$I$7981,4,0),""))</f>
        <v>TUBO PVC, SERIE NORMAL, ESGOTO PREDIAL, DN 40 MM, FORNECIDO E INSTALADO EM RAMAL DE DESCARGA OU RAMAL DE ESGOTO SANITÁRIO. AF_12/2014</v>
      </c>
      <c r="F254" s="81" t="str">
        <f>IFERROR(VLOOKUP($C254,'SINAPI JULHO 2021'!$A:$D,3,0),IFERROR(VLOOKUP($C254,'5-COMP. PROPRIA'!$B$1:$I$7981,5,0),""))</f>
        <v>M</v>
      </c>
      <c r="G254" s="129">
        <f>QUANT!K685</f>
        <v>22</v>
      </c>
      <c r="H254" s="200">
        <f>IFERROR(VLOOKUP($C254,'SINAPI JULHO 2021'!$A:$D,4,0),IFERROR(VLOOKUP($C254,'5-COMP. PROPRIA'!$B$1:$I$7981,8,0),""))</f>
        <v>14.59</v>
      </c>
      <c r="I254" s="200">
        <f>H254*'4-BDI'!$E$29</f>
        <v>18.710215999999999</v>
      </c>
      <c r="J254" s="201">
        <f t="shared" si="100"/>
        <v>320.98</v>
      </c>
      <c r="K254" s="123">
        <f t="shared" si="101"/>
        <v>411.62</v>
      </c>
    </row>
    <row r="255" spans="2:11" s="76" customFormat="1" ht="30">
      <c r="B255" s="12" t="s">
        <v>13142</v>
      </c>
      <c r="C255" s="114">
        <f>QUANT!C686</f>
        <v>98057</v>
      </c>
      <c r="D255" s="114" t="str">
        <f>QUANT!D686</f>
        <v>SINAPI</v>
      </c>
      <c r="E255" s="80" t="str">
        <f>IFERROR(VLOOKUP($C255,'SINAPI JULHO 2021'!$1:$1048576,2,0),IFERROR(VLOOKUP($C255,'5-COMP. PROPRIA'!$B$1:$I$7981,4,0),""))</f>
        <v>TANQUE SÉPTICO CIRCULAR, EM CONCRETO PRÉ-MOLDADO, DIÂMETRO INTERNO = 2,88 M, ALTURA INTERNA = 2,50 M, VOLUME ÚTIL: 14657,4 L (PARA 105 CONTRIBUINTES). AF_12/2020</v>
      </c>
      <c r="F255" s="81" t="str">
        <f>IFERROR(VLOOKUP($C255,'SINAPI JULHO 2021'!$A:$D,3,0),IFERROR(VLOOKUP($C255,'5-COMP. PROPRIA'!$B$1:$I$7981,5,0),""))</f>
        <v>UN</v>
      </c>
      <c r="G255" s="129">
        <f>QUANT!K686</f>
        <v>1</v>
      </c>
      <c r="H255" s="200">
        <f>IFERROR(VLOOKUP($C255,'SINAPI JULHO 2021'!$A:$D,4,0),IFERROR(VLOOKUP($C255,'5-COMP. PROPRIA'!$B$1:$I$7981,8,0),""))</f>
        <v>7706.18</v>
      </c>
      <c r="I255" s="200">
        <f>H255*'4-BDI'!$E$29</f>
        <v>9882.405232000001</v>
      </c>
      <c r="J255" s="201">
        <f t="shared" si="100"/>
        <v>7706.18</v>
      </c>
      <c r="K255" s="123">
        <f t="shared" si="101"/>
        <v>9882.4</v>
      </c>
    </row>
    <row r="256" spans="2:11" s="76" customFormat="1" ht="30">
      <c r="B256" s="12" t="s">
        <v>13143</v>
      </c>
      <c r="C256" s="114">
        <f>QUANT!C687</f>
        <v>98061</v>
      </c>
      <c r="D256" s="114" t="str">
        <f>QUANT!D687</f>
        <v>SINAPI</v>
      </c>
      <c r="E256" s="80" t="str">
        <f>IFERROR(VLOOKUP($C256,'SINAPI JULHO 2021'!$1:$1048576,2,0),IFERROR(VLOOKUP($C256,'5-COMP. PROPRIA'!$B$1:$I$7981,4,0),""))</f>
        <v>FILTRO ANAERÓBIO CIRCULAR, EM CONCRETO PRÉ-MOLDADO, DIÂMETRO INTERNO = 2,88 M, ALTURA INTERNA = 1,50 M, VOLUME ÚTIL: 7817,3 L (PARA 75 CONTRIBUINTES). AF_12/2020</v>
      </c>
      <c r="F256" s="81" t="str">
        <f>IFERROR(VLOOKUP($C256,'SINAPI JULHO 2021'!$A:$D,3,0),IFERROR(VLOOKUP($C256,'5-COMP. PROPRIA'!$B$1:$I$7981,5,0),""))</f>
        <v>UN</v>
      </c>
      <c r="G256" s="129">
        <f>QUANT!K687</f>
        <v>1</v>
      </c>
      <c r="H256" s="200">
        <f>IFERROR(VLOOKUP($C256,'SINAPI JULHO 2021'!$A:$D,4,0),IFERROR(VLOOKUP($C256,'5-COMP. PROPRIA'!$B$1:$I$7981,8,0),""))</f>
        <v>6462.74</v>
      </c>
      <c r="I256" s="200">
        <f>H256*'4-BDI'!$E$29</f>
        <v>8287.8177759999999</v>
      </c>
      <c r="J256" s="201">
        <f t="shared" si="100"/>
        <v>6462.74</v>
      </c>
      <c r="K256" s="123">
        <f t="shared" si="101"/>
        <v>8287.81</v>
      </c>
    </row>
    <row r="257" spans="2:11" s="76" customFormat="1" ht="30">
      <c r="B257" s="12" t="s">
        <v>13144</v>
      </c>
      <c r="C257" s="114">
        <f>QUANT!C688</f>
        <v>98065</v>
      </c>
      <c r="D257" s="114" t="str">
        <f>QUANT!D688</f>
        <v>SINAPI</v>
      </c>
      <c r="E257" s="80" t="str">
        <f>IFERROR(VLOOKUP($C257,'SINAPI JULHO 2021'!$1:$1048576,2,0),IFERROR(VLOOKUP($C257,'5-COMP. PROPRIA'!$B$1:$I$7981,4,0),""))</f>
        <v>SUMIDOURO CIRCULAR, EM CONCRETO PRÉ-MOLDADO, DIÂMETRO INTERNO = 2,88 M, ALTURA INTERNA = 3,0 M, ÁREA DE INFILTRAÇÃO: 31,4 M² (PARA 12 CONTRIBUINTES). AF_12/2020</v>
      </c>
      <c r="F257" s="81" t="str">
        <f>IFERROR(VLOOKUP($C257,'SINAPI JULHO 2021'!$A:$D,3,0),IFERROR(VLOOKUP($C257,'5-COMP. PROPRIA'!$B$1:$I$7981,5,0),""))</f>
        <v>UN</v>
      </c>
      <c r="G257" s="129">
        <f>QUANT!K688</f>
        <v>3</v>
      </c>
      <c r="H257" s="200">
        <f>IFERROR(VLOOKUP($C257,'SINAPI JULHO 2021'!$A:$D,4,0),IFERROR(VLOOKUP($C257,'5-COMP. PROPRIA'!$B$1:$I$7981,8,0),""))</f>
        <v>6402.16</v>
      </c>
      <c r="I257" s="200">
        <f>H257*'4-BDI'!$E$29</f>
        <v>8210.1299839999992</v>
      </c>
      <c r="J257" s="201">
        <f t="shared" si="100"/>
        <v>19206.48</v>
      </c>
      <c r="K257" s="123">
        <f t="shared" si="101"/>
        <v>24630.38</v>
      </c>
    </row>
    <row r="258" spans="2:11" s="76" customFormat="1" ht="30">
      <c r="B258" s="12" t="s">
        <v>13145</v>
      </c>
      <c r="C258" s="114">
        <f>QUANT!C689</f>
        <v>101808</v>
      </c>
      <c r="D258" s="114" t="str">
        <f>QUANT!D689</f>
        <v>SINAPI</v>
      </c>
      <c r="E258" s="80" t="str">
        <f>IFERROR(VLOOKUP($C258,'SINAPI JULHO 2021'!$1:$1048576,2,0),IFERROR(VLOOKUP($C258,'5-COMP. PROPRIA'!$B$1:$I$7981,4,0),""))</f>
        <v>CAIXA ENTERRADA DISTRIBUIDORA DE VAZÃO (SUMIDOUROS MÚLTIPLOS), RETANGULAR, EM CONCRETO PRÉ-MOLDADO, DIMENSÕES INTERNAS: 0,60 X 0,60 X 0,50 M. AF_12/2020</v>
      </c>
      <c r="F258" s="81" t="str">
        <f>IFERROR(VLOOKUP($C258,'SINAPI JULHO 2021'!$A:$D,3,0),IFERROR(VLOOKUP($C258,'5-COMP. PROPRIA'!$B$1:$I$7981,5,0),""))</f>
        <v>UN</v>
      </c>
      <c r="G258" s="129">
        <f>QUANT!K689</f>
        <v>1</v>
      </c>
      <c r="H258" s="200">
        <f>IFERROR(VLOOKUP($C258,'SINAPI JULHO 2021'!$A:$D,4,0),IFERROR(VLOOKUP($C258,'5-COMP. PROPRIA'!$B$1:$I$7981,8,0),""))</f>
        <v>437.08</v>
      </c>
      <c r="I258" s="200">
        <f>H258*'4-BDI'!$E$29</f>
        <v>560.511392</v>
      </c>
      <c r="J258" s="201">
        <f t="shared" si="100"/>
        <v>437.08</v>
      </c>
      <c r="K258" s="123">
        <f t="shared" si="101"/>
        <v>560.51</v>
      </c>
    </row>
    <row r="259" spans="2:11" s="76" customFormat="1" ht="15">
      <c r="B259" s="222" t="s">
        <v>6284</v>
      </c>
      <c r="C259" s="223"/>
      <c r="D259" s="223"/>
      <c r="E259" s="225" t="str">
        <f>QUANT!E690</f>
        <v>INSTALAÇÕES HIDRAÚLICAS</v>
      </c>
      <c r="F259" s="120"/>
      <c r="G259" s="129"/>
      <c r="H259" s="218"/>
      <c r="I259" s="200"/>
      <c r="J259" s="201"/>
      <c r="K259" s="123"/>
    </row>
    <row r="260" spans="2:11" s="76" customFormat="1" ht="45">
      <c r="B260" s="12" t="s">
        <v>6907</v>
      </c>
      <c r="C260" s="114">
        <f>QUANT!C691</f>
        <v>94497</v>
      </c>
      <c r="D260" s="114" t="str">
        <f>QUANT!D691</f>
        <v>SINAPI</v>
      </c>
      <c r="E260" s="80" t="str">
        <f>IFERROR(VLOOKUP($C260,'SINAPI JULHO 2021'!$1:$1048576,2,0),IFERROR(VLOOKUP($C260,'5-COMP. PROPRIA'!$B$1:$I$7981,4,0),""))</f>
        <v>REGISTRO DE GAVETA BRUTO, LATÃO, ROSCÁVEL, 1 1/2, INSTALADO EM RESERVAÇÃO DE ÁGUA DE EDIFICAÇÃO QUE POSSUA RESERVATÓRIO DE FIBRA/FIBROCIMENTO  FORNECIMENTO E INSTALAÇÃO. AF_06/2016</v>
      </c>
      <c r="F260" s="81" t="str">
        <f>IFERROR(VLOOKUP($C260,'SINAPI JULHO 2021'!$A:$D,3,0),IFERROR(VLOOKUP($C260,'5-COMP. PROPRIA'!$B$1:$I$7981,5,0),""))</f>
        <v>UN</v>
      </c>
      <c r="G260" s="129">
        <f>QUANT!K691</f>
        <v>1</v>
      </c>
      <c r="H260" s="200">
        <f>IFERROR(VLOOKUP($C260,'SINAPI JULHO 2021'!$A:$D,4,0),IFERROR(VLOOKUP($C260,'5-COMP. PROPRIA'!$B$1:$I$7981,8,0),""))</f>
        <v>66.59</v>
      </c>
      <c r="I260" s="200">
        <f>H260*'4-BDI'!$E$29</f>
        <v>85.395015999999998</v>
      </c>
      <c r="J260" s="201">
        <f t="shared" ref="J260" si="102">TRUNC(G260*H260,2)</f>
        <v>66.59</v>
      </c>
      <c r="K260" s="123">
        <f t="shared" ref="K260" si="103">TRUNC(G260*I260,2)</f>
        <v>85.39</v>
      </c>
    </row>
    <row r="261" spans="2:11" s="76" customFormat="1" ht="45">
      <c r="B261" s="12" t="s">
        <v>6908</v>
      </c>
      <c r="C261" s="114">
        <f>QUANT!C692</f>
        <v>94496</v>
      </c>
      <c r="D261" s="114" t="str">
        <f>QUANT!D692</f>
        <v>SINAPI</v>
      </c>
      <c r="E261" s="80" t="str">
        <f>IFERROR(VLOOKUP($C261,'SINAPI JULHO 2021'!$1:$1048576,2,0),IFERROR(VLOOKUP($C261,'5-COMP. PROPRIA'!$B$1:$I$7981,4,0),""))</f>
        <v>REGISTRO DE GAVETA BRUTO, LATÃO, ROSCÁVEL, 1 1/4, INSTALADO EM RESERVAÇÃO DE ÁGUA DE EDIFICAÇÃO QUE POSSUA RESERVATÓRIO DE FIBRA/FIBROCIMENTO  FORNECIMENTO E INSTALAÇÃO. AF_06/2016</v>
      </c>
      <c r="F261" s="81" t="str">
        <f>IFERROR(VLOOKUP($C261,'SINAPI JULHO 2021'!$A:$D,3,0),IFERROR(VLOOKUP($C261,'5-COMP. PROPRIA'!$B$1:$I$7981,5,0),""))</f>
        <v>UN</v>
      </c>
      <c r="G261" s="129">
        <f>QUANT!K692</f>
        <v>1</v>
      </c>
      <c r="H261" s="200">
        <f>IFERROR(VLOOKUP($C261,'SINAPI JULHO 2021'!$A:$D,4,0),IFERROR(VLOOKUP($C261,'5-COMP. PROPRIA'!$B$1:$I$7981,8,0),""))</f>
        <v>57.92</v>
      </c>
      <c r="I261" s="200">
        <f>H261*'4-BDI'!$E$29</f>
        <v>74.276607999999996</v>
      </c>
      <c r="J261" s="201">
        <f t="shared" ref="J261:J307" si="104">TRUNC(G261*H261,2)</f>
        <v>57.92</v>
      </c>
      <c r="K261" s="123">
        <f t="shared" ref="K261:K307" si="105">TRUNC(G261*I261,2)</f>
        <v>74.27</v>
      </c>
    </row>
    <row r="262" spans="2:11" s="76" customFormat="1" ht="45">
      <c r="B262" s="12" t="s">
        <v>6909</v>
      </c>
      <c r="C262" s="114">
        <f>QUANT!C693</f>
        <v>94494</v>
      </c>
      <c r="D262" s="114" t="str">
        <f>QUANT!D693</f>
        <v>SINAPI</v>
      </c>
      <c r="E262" s="80" t="str">
        <f>IFERROR(VLOOKUP($C262,'SINAPI JULHO 2021'!$1:$1048576,2,0),IFERROR(VLOOKUP($C262,'5-COMP. PROPRIA'!$B$1:$I$7981,4,0),""))</f>
        <v>REGISTRO DE GAVETA BRUTO, LATÃO, ROSCÁVEL, 3/4, INSTALADO EM RESERVAÇÃO DE ÁGUA DE EDIFICAÇÃO QUE POSSUA RESERVATÓRIO DE FIBRA/FIBROCIMENTO  FORNECIMENTO E INSTALAÇÃO. AF_06/2016</v>
      </c>
      <c r="F262" s="81" t="str">
        <f>IFERROR(VLOOKUP($C262,'SINAPI JULHO 2021'!$A:$D,3,0),IFERROR(VLOOKUP($C262,'5-COMP. PROPRIA'!$B$1:$I$7981,5,0),""))</f>
        <v>UN</v>
      </c>
      <c r="G262" s="129">
        <f>QUANT!K693</f>
        <v>1</v>
      </c>
      <c r="H262" s="200">
        <f>IFERROR(VLOOKUP($C262,'SINAPI JULHO 2021'!$A:$D,4,0),IFERROR(VLOOKUP($C262,'5-COMP. PROPRIA'!$B$1:$I$7981,8,0),""))</f>
        <v>39.619999999999997</v>
      </c>
      <c r="I262" s="200">
        <f>H262*'4-BDI'!$E$29</f>
        <v>50.808687999999997</v>
      </c>
      <c r="J262" s="201">
        <f t="shared" si="104"/>
        <v>39.619999999999997</v>
      </c>
      <c r="K262" s="123">
        <f t="shared" si="105"/>
        <v>50.8</v>
      </c>
    </row>
    <row r="263" spans="2:11" s="76" customFormat="1" ht="45">
      <c r="B263" s="12" t="s">
        <v>6910</v>
      </c>
      <c r="C263" s="114">
        <f>QUANT!C694</f>
        <v>94794</v>
      </c>
      <c r="D263" s="114" t="str">
        <f>QUANT!D694</f>
        <v>SINAPI</v>
      </c>
      <c r="E263" s="80" t="str">
        <f>IFERROR(VLOOKUP($C263,'SINAPI JULHO 2021'!$1:$1048576,2,0),IFERROR(VLOOKUP($C263,'5-COMP. PROPRIA'!$B$1:$I$7981,4,0),""))</f>
        <v>REGISTRO DE GAVETA BRUTO, LATÃO, ROSCÁVEL, 1 1/2, COM ACABAMENTO E CANOPLA CROMADOS, INSTALADO EM RESERVAÇÃO DE ÁGUA DE EDIFICAÇÃO QUE POSSUA RESERVATÓRIO DE FIBRA/FIBROCIMENTO  FORNECIMENTO E INSTALAÇÃO. AF_06/2016</v>
      </c>
      <c r="F263" s="81" t="str">
        <f>IFERROR(VLOOKUP($C263,'SINAPI JULHO 2021'!$A:$D,3,0),IFERROR(VLOOKUP($C263,'5-COMP. PROPRIA'!$B$1:$I$7981,5,0),""))</f>
        <v>UN</v>
      </c>
      <c r="G263" s="129">
        <f>QUANT!K694</f>
        <v>1</v>
      </c>
      <c r="H263" s="200">
        <f>IFERROR(VLOOKUP($C263,'SINAPI JULHO 2021'!$A:$D,4,0),IFERROR(VLOOKUP($C263,'5-COMP. PROPRIA'!$B$1:$I$7981,8,0),""))</f>
        <v>91.56</v>
      </c>
      <c r="I263" s="200">
        <f>H263*'4-BDI'!$E$29</f>
        <v>117.416544</v>
      </c>
      <c r="J263" s="201">
        <f t="shared" si="104"/>
        <v>91.56</v>
      </c>
      <c r="K263" s="123">
        <f t="shared" si="105"/>
        <v>117.41</v>
      </c>
    </row>
    <row r="264" spans="2:11" s="76" customFormat="1" ht="30">
      <c r="B264" s="12" t="s">
        <v>6911</v>
      </c>
      <c r="C264" s="114">
        <f>QUANT!C695</f>
        <v>89987</v>
      </c>
      <c r="D264" s="114" t="str">
        <f>QUANT!D695</f>
        <v>SINAPI</v>
      </c>
      <c r="E264" s="80" t="str">
        <f>IFERROR(VLOOKUP($C264,'SINAPI JULHO 2021'!$1:$1048576,2,0),IFERROR(VLOOKUP($C264,'5-COMP. PROPRIA'!$B$1:$I$7981,4,0),""))</f>
        <v>REGISTRO DE GAVETA BRUTO, LATÃO, ROSCÁVEL, 3/4", COM ACABAMENTO E CANOPLA CROMADOS. FORNECIDO E INSTALADO EM RAMAL DE ÁGUA. AF_12/2014</v>
      </c>
      <c r="F264" s="81" t="str">
        <f>IFERROR(VLOOKUP($C264,'SINAPI JULHO 2021'!$A:$D,3,0),IFERROR(VLOOKUP($C264,'5-COMP. PROPRIA'!$B$1:$I$7981,5,0),""))</f>
        <v>UN</v>
      </c>
      <c r="G264" s="129">
        <f>QUANT!K695</f>
        <v>1</v>
      </c>
      <c r="H264" s="200">
        <f>IFERROR(VLOOKUP($C264,'SINAPI JULHO 2021'!$A:$D,4,0),IFERROR(VLOOKUP($C264,'5-COMP. PROPRIA'!$B$1:$I$7981,8,0),""))</f>
        <v>46.06</v>
      </c>
      <c r="I264" s="200">
        <f>H264*'4-BDI'!$E$29</f>
        <v>59.067344000000006</v>
      </c>
      <c r="J264" s="201">
        <f t="shared" si="104"/>
        <v>46.06</v>
      </c>
      <c r="K264" s="123">
        <f t="shared" si="105"/>
        <v>59.06</v>
      </c>
    </row>
    <row r="265" spans="2:11" s="76" customFormat="1" ht="30">
      <c r="B265" s="12" t="s">
        <v>6912</v>
      </c>
      <c r="C265" s="114">
        <f>QUANT!C696</f>
        <v>89985</v>
      </c>
      <c r="D265" s="114" t="str">
        <f>QUANT!D696</f>
        <v>SINAPI</v>
      </c>
      <c r="E265" s="80" t="str">
        <f>IFERROR(VLOOKUP($C265,'SINAPI JULHO 2021'!$1:$1048576,2,0),IFERROR(VLOOKUP($C265,'5-COMP. PROPRIA'!$B$1:$I$7981,4,0),""))</f>
        <v>REGISTRO DE PRESSÃO BRUTO, LATÃO, ROSCÁVEL, 3/4", COM ACABAMENTO E CANOPLA CROMADOS. FORNECIDO E INSTALADO EM RAMAL DE ÁGUA. AF_12/2014</v>
      </c>
      <c r="F265" s="81" t="str">
        <f>IFERROR(VLOOKUP($C265,'SINAPI JULHO 2021'!$A:$D,3,0),IFERROR(VLOOKUP($C265,'5-COMP. PROPRIA'!$B$1:$I$7981,5,0),""))</f>
        <v>UN</v>
      </c>
      <c r="G265" s="129">
        <f>QUANT!K696</f>
        <v>54</v>
      </c>
      <c r="H265" s="200">
        <f>IFERROR(VLOOKUP($C265,'SINAPI JULHO 2021'!$A:$D,4,0),IFERROR(VLOOKUP($C265,'5-COMP. PROPRIA'!$B$1:$I$7981,8,0),""))</f>
        <v>43.93</v>
      </c>
      <c r="I265" s="200">
        <f>H265*'4-BDI'!$E$29</f>
        <v>56.335831999999996</v>
      </c>
      <c r="J265" s="201">
        <f t="shared" si="104"/>
        <v>2372.2199999999998</v>
      </c>
      <c r="K265" s="123">
        <f t="shared" si="105"/>
        <v>3042.13</v>
      </c>
    </row>
    <row r="266" spans="2:11" s="76" customFormat="1" ht="30">
      <c r="B266" s="12" t="s">
        <v>6953</v>
      </c>
      <c r="C266" s="114">
        <f>QUANT!C697</f>
        <v>90371</v>
      </c>
      <c r="D266" s="114" t="str">
        <f>QUANT!D697</f>
        <v>SINAPI</v>
      </c>
      <c r="E266" s="80" t="str">
        <f>IFERROR(VLOOKUP($C266,'SINAPI JULHO 2021'!$1:$1048576,2,0),IFERROR(VLOOKUP($C266,'5-COMP. PROPRIA'!$B$1:$I$7981,4,0),""))</f>
        <v>REGISTRO DE ESFERA, PVC, ROSCÁVEL, 3/4", FORNECIDO E INSTALADO EM RAMAL DE ÁGUA. AF_03/2015</v>
      </c>
      <c r="F266" s="81" t="str">
        <f>IFERROR(VLOOKUP($C266,'SINAPI JULHO 2021'!$A:$D,3,0),IFERROR(VLOOKUP($C266,'5-COMP. PROPRIA'!$B$1:$I$7981,5,0),""))</f>
        <v>UN</v>
      </c>
      <c r="G266" s="129">
        <f>QUANT!K697</f>
        <v>4</v>
      </c>
      <c r="H266" s="200">
        <f>IFERROR(VLOOKUP($C266,'SINAPI JULHO 2021'!$A:$D,4,0),IFERROR(VLOOKUP($C266,'5-COMP. PROPRIA'!$B$1:$I$7981,8,0),""))</f>
        <v>19.59</v>
      </c>
      <c r="I266" s="200">
        <f>H266*'4-BDI'!$E$29</f>
        <v>25.122215999999998</v>
      </c>
      <c r="J266" s="201">
        <f t="shared" si="104"/>
        <v>78.36</v>
      </c>
      <c r="K266" s="123">
        <f t="shared" si="105"/>
        <v>100.48</v>
      </c>
    </row>
    <row r="267" spans="2:11" s="76" customFormat="1" ht="30">
      <c r="B267" s="12" t="s">
        <v>6954</v>
      </c>
      <c r="C267" s="114">
        <f>QUANT!C698</f>
        <v>99630</v>
      </c>
      <c r="D267" s="114" t="str">
        <f>QUANT!D698</f>
        <v>SINAPI</v>
      </c>
      <c r="E267" s="80" t="str">
        <f>IFERROR(VLOOKUP($C267,'SINAPI JULHO 2021'!$1:$1048576,2,0),IFERROR(VLOOKUP($C267,'5-COMP. PROPRIA'!$B$1:$I$7981,4,0),""))</f>
        <v>VÁLVULA DE RETENÇÃO VERTICAL, DE BRONZE, ROSCÁVEL, 1 1/4" - FORNECIMENTO E INSTALAÇÃO. AF_01/2019</v>
      </c>
      <c r="F267" s="81" t="str">
        <f>IFERROR(VLOOKUP($C267,'SINAPI JULHO 2021'!$A:$D,3,0),IFERROR(VLOOKUP($C267,'5-COMP. PROPRIA'!$B$1:$I$7981,5,0),""))</f>
        <v>UN</v>
      </c>
      <c r="G267" s="129">
        <f>QUANT!K698</f>
        <v>36</v>
      </c>
      <c r="H267" s="200">
        <f>IFERROR(VLOOKUP($C267,'SINAPI JULHO 2021'!$A:$D,4,0),IFERROR(VLOOKUP($C267,'5-COMP. PROPRIA'!$B$1:$I$7981,8,0),""))</f>
        <v>116.69</v>
      </c>
      <c r="I267" s="200">
        <f>H267*'4-BDI'!$E$29</f>
        <v>149.64325600000001</v>
      </c>
      <c r="J267" s="201">
        <f t="shared" si="104"/>
        <v>4200.84</v>
      </c>
      <c r="K267" s="123">
        <f t="shared" si="105"/>
        <v>5387.15</v>
      </c>
    </row>
    <row r="268" spans="2:11" s="76" customFormat="1" ht="30">
      <c r="B268" s="12" t="s">
        <v>6955</v>
      </c>
      <c r="C268" s="114">
        <f>QUANT!C699</f>
        <v>99635</v>
      </c>
      <c r="D268" s="114" t="str">
        <f>QUANT!D699</f>
        <v>SINAPI</v>
      </c>
      <c r="E268" s="80" t="str">
        <f>IFERROR(VLOOKUP($C268,'SINAPI JULHO 2021'!$1:$1048576,2,0),IFERROR(VLOOKUP($C268,'5-COMP. PROPRIA'!$B$1:$I$7981,4,0),""))</f>
        <v>VÁLVULA DE DESCARGA METÁLICA, BASE 1 1/2 ", ACABAMENTO METALICO CROMADO - FORNECIMENTO E INSTALAÇÃO. AF_01/2019</v>
      </c>
      <c r="F268" s="81" t="str">
        <f>IFERROR(VLOOKUP($C268,'SINAPI JULHO 2021'!$A:$D,3,0),IFERROR(VLOOKUP($C268,'5-COMP. PROPRIA'!$B$1:$I$7981,5,0),""))</f>
        <v>UN</v>
      </c>
      <c r="G268" s="129">
        <f>QUANT!K699</f>
        <v>20</v>
      </c>
      <c r="H268" s="200">
        <f>IFERROR(VLOOKUP($C268,'SINAPI JULHO 2021'!$A:$D,4,0),IFERROR(VLOOKUP($C268,'5-COMP. PROPRIA'!$B$1:$I$7981,8,0),""))</f>
        <v>175.9</v>
      </c>
      <c r="I268" s="200">
        <f>H268*'4-BDI'!$E$29</f>
        <v>225.57416000000001</v>
      </c>
      <c r="J268" s="201">
        <f t="shared" si="104"/>
        <v>3518</v>
      </c>
      <c r="K268" s="123">
        <f t="shared" si="105"/>
        <v>4511.4799999999996</v>
      </c>
    </row>
    <row r="269" spans="2:11" s="76" customFormat="1" ht="30">
      <c r="B269" s="12" t="s">
        <v>6956</v>
      </c>
      <c r="C269" s="114">
        <f>QUANT!C700</f>
        <v>99631</v>
      </c>
      <c r="D269" s="114" t="str">
        <f>QUANT!D700</f>
        <v>SINAPI</v>
      </c>
      <c r="E269" s="80" t="str">
        <f>IFERROR(VLOOKUP($C269,'SINAPI JULHO 2021'!$1:$1048576,2,0),IFERROR(VLOOKUP($C269,'5-COMP. PROPRIA'!$B$1:$I$7981,4,0),""))</f>
        <v>VÁLVULA DE RETENÇÃO VERTICAL, DE BRONZE, ROSCÁVEL, 1 1/2" - FORNECIMENTO E INSTALAÇÃO. AF_01/2019</v>
      </c>
      <c r="F269" s="81" t="str">
        <f>IFERROR(VLOOKUP($C269,'SINAPI JULHO 2021'!$A:$D,3,0),IFERROR(VLOOKUP($C269,'5-COMP. PROPRIA'!$B$1:$I$7981,5,0),""))</f>
        <v>UN</v>
      </c>
      <c r="G269" s="129">
        <f>QUANT!K700</f>
        <v>8</v>
      </c>
      <c r="H269" s="200">
        <f>IFERROR(VLOOKUP($C269,'SINAPI JULHO 2021'!$A:$D,4,0),IFERROR(VLOOKUP($C269,'5-COMP. PROPRIA'!$B$1:$I$7981,8,0),""))</f>
        <v>130.65</v>
      </c>
      <c r="I269" s="200">
        <f>H269*'4-BDI'!$E$29</f>
        <v>167.54555999999999</v>
      </c>
      <c r="J269" s="201">
        <f t="shared" si="104"/>
        <v>1045.2</v>
      </c>
      <c r="K269" s="123">
        <f t="shared" si="105"/>
        <v>1340.36</v>
      </c>
    </row>
    <row r="270" spans="2:11" s="76" customFormat="1" ht="30">
      <c r="B270" s="12" t="s">
        <v>6957</v>
      </c>
      <c r="C270" s="114">
        <f>QUANT!C701</f>
        <v>89424</v>
      </c>
      <c r="D270" s="114" t="str">
        <f>QUANT!D701</f>
        <v>SINAPI</v>
      </c>
      <c r="E270" s="80" t="str">
        <f>IFERROR(VLOOKUP($C270,'SINAPI JULHO 2021'!$1:$1048576,2,0),IFERROR(VLOOKUP($C270,'5-COMP. PROPRIA'!$B$1:$I$7981,4,0),""))</f>
        <v>LUVA, PVC, SOLDÁVEL, DN 25MM, INSTALADO EM RAMAL DE DISTRIBUIÇÃO DE ÁGUA - FORNECIMENTO E INSTALAÇÃO. AF_12/2014</v>
      </c>
      <c r="F270" s="81" t="str">
        <f>IFERROR(VLOOKUP($C270,'SINAPI JULHO 2021'!$A:$D,3,0),IFERROR(VLOOKUP($C270,'5-COMP. PROPRIA'!$B$1:$I$7981,5,0),""))</f>
        <v>UN</v>
      </c>
      <c r="G270" s="129">
        <f>QUANT!K701</f>
        <v>3</v>
      </c>
      <c r="H270" s="200">
        <f>IFERROR(VLOOKUP($C270,'SINAPI JULHO 2021'!$A:$D,4,0),IFERROR(VLOOKUP($C270,'5-COMP. PROPRIA'!$B$1:$I$7981,8,0),""))</f>
        <v>3.83</v>
      </c>
      <c r="I270" s="200">
        <f>H270*'4-BDI'!$E$29</f>
        <v>4.9115919999999997</v>
      </c>
      <c r="J270" s="201">
        <f t="shared" si="104"/>
        <v>11.49</v>
      </c>
      <c r="K270" s="123">
        <f t="shared" si="105"/>
        <v>14.73</v>
      </c>
    </row>
    <row r="271" spans="2:11" s="76" customFormat="1" ht="30">
      <c r="B271" s="12" t="s">
        <v>6958</v>
      </c>
      <c r="C271" s="114">
        <f>QUANT!C702</f>
        <v>89408</v>
      </c>
      <c r="D271" s="114" t="str">
        <f>QUANT!D702</f>
        <v>SINAPI</v>
      </c>
      <c r="E271" s="80" t="str">
        <f>IFERROR(VLOOKUP($C271,'SINAPI JULHO 2021'!$1:$1048576,2,0),IFERROR(VLOOKUP($C271,'5-COMP. PROPRIA'!$B$1:$I$7981,4,0),""))</f>
        <v>JOELHO 90 GRAUS, PVC, SOLDÁVEL, DN 25MM, INSTALADO EM RAMAL DE DISTRIBUIÇÃO DE ÁGUA - FORNECIMENTO E INSTALAÇÃO. AF_12/2014</v>
      </c>
      <c r="F271" s="81" t="str">
        <f>IFERROR(VLOOKUP($C271,'SINAPI JULHO 2021'!$A:$D,3,0),IFERROR(VLOOKUP($C271,'5-COMP. PROPRIA'!$B$1:$I$7981,5,0),""))</f>
        <v>UN</v>
      </c>
      <c r="G271" s="129">
        <f>QUANT!K702</f>
        <v>79</v>
      </c>
      <c r="H271" s="200">
        <f>IFERROR(VLOOKUP($C271,'SINAPI JULHO 2021'!$A:$D,4,0),IFERROR(VLOOKUP($C271,'5-COMP. PROPRIA'!$B$1:$I$7981,8,0),""))</f>
        <v>4.72</v>
      </c>
      <c r="I271" s="200">
        <f>H271*'4-BDI'!$E$29</f>
        <v>6.0529279999999996</v>
      </c>
      <c r="J271" s="201">
        <f t="shared" si="104"/>
        <v>372.88</v>
      </c>
      <c r="K271" s="123">
        <f t="shared" si="105"/>
        <v>478.18</v>
      </c>
    </row>
    <row r="272" spans="2:11" s="76" customFormat="1" ht="45">
      <c r="B272" s="12" t="s">
        <v>6959</v>
      </c>
      <c r="C272" s="114">
        <f>QUANT!C703</f>
        <v>94708</v>
      </c>
      <c r="D272" s="114" t="str">
        <f>QUANT!D703</f>
        <v>SINAPI</v>
      </c>
      <c r="E272" s="80" t="str">
        <f>IFERROR(VLOOKUP($C272,'SINAPI JULHO 2021'!$1:$1048576,2,0),IFERROR(VLOOKUP($C272,'5-COMP. PROPRIA'!$B$1:$I$7981,4,0),""))</f>
        <v>ADAPTADOR COM FLANGES LIVRES, PVC, SOLDÁVEL, DN  25 MM X 3/4 , INSTALADO EM RESERVAÇÃO DE ÁGUA DE EDIFICAÇÃO QUE POSSUA RESERVATÓRIO DE FIBRA/FIBROCIMENTO   FORNECIMENTO E INSTALAÇÃO. AF_06/2016</v>
      </c>
      <c r="F272" s="81" t="str">
        <f>IFERROR(VLOOKUP($C272,'SINAPI JULHO 2021'!$A:$D,3,0),IFERROR(VLOOKUP($C272,'5-COMP. PROPRIA'!$B$1:$I$7981,5,0),""))</f>
        <v>UN</v>
      </c>
      <c r="G272" s="129">
        <f>QUANT!K703</f>
        <v>1</v>
      </c>
      <c r="H272" s="200">
        <f>IFERROR(VLOOKUP($C272,'SINAPI JULHO 2021'!$A:$D,4,0),IFERROR(VLOOKUP($C272,'5-COMP. PROPRIA'!$B$1:$I$7981,8,0),""))</f>
        <v>21.55</v>
      </c>
      <c r="I272" s="200">
        <f>H272*'4-BDI'!$E$29</f>
        <v>27.635719999999999</v>
      </c>
      <c r="J272" s="201">
        <f t="shared" si="104"/>
        <v>21.55</v>
      </c>
      <c r="K272" s="123">
        <f t="shared" si="105"/>
        <v>27.63</v>
      </c>
    </row>
    <row r="273" spans="2:11" s="76" customFormat="1" ht="45">
      <c r="B273" s="12" t="s">
        <v>6960</v>
      </c>
      <c r="C273" s="114">
        <f>QUANT!C704</f>
        <v>94709</v>
      </c>
      <c r="D273" s="114" t="str">
        <f>QUANT!D704</f>
        <v>SINAPI</v>
      </c>
      <c r="E273" s="80" t="str">
        <f>IFERROR(VLOOKUP($C273,'SINAPI JULHO 2021'!$1:$1048576,2,0),IFERROR(VLOOKUP($C273,'5-COMP. PROPRIA'!$B$1:$I$7981,4,0),""))</f>
        <v>ADAPTADOR COM FLANGES LIVRES, PVC, SOLDÁVEL, DN 32 MM X 1 , INSTALADO EM RESERVAÇÃO DE ÁGUA DE EDIFICAÇÃO QUE POSSUA RESERVATÓRIO DE FIBRA/FIBROCIMENTO   FORNECIMENTO E INSTALAÇÃO. AF_06/2016</v>
      </c>
      <c r="F273" s="81" t="str">
        <f>IFERROR(VLOOKUP($C273,'SINAPI JULHO 2021'!$A:$D,3,0),IFERROR(VLOOKUP($C273,'5-COMP. PROPRIA'!$B$1:$I$7981,5,0),""))</f>
        <v>UN</v>
      </c>
      <c r="G273" s="129">
        <f>QUANT!K704</f>
        <v>1</v>
      </c>
      <c r="H273" s="200">
        <f>IFERROR(VLOOKUP($C273,'SINAPI JULHO 2021'!$A:$D,4,0),IFERROR(VLOOKUP($C273,'5-COMP. PROPRIA'!$B$1:$I$7981,8,0),""))</f>
        <v>28.07</v>
      </c>
      <c r="I273" s="200">
        <f>H273*'4-BDI'!$E$29</f>
        <v>35.996968000000003</v>
      </c>
      <c r="J273" s="201">
        <f t="shared" si="104"/>
        <v>28.07</v>
      </c>
      <c r="K273" s="123">
        <f t="shared" si="105"/>
        <v>35.99</v>
      </c>
    </row>
    <row r="274" spans="2:11" s="76" customFormat="1" ht="45">
      <c r="B274" s="12" t="s">
        <v>6961</v>
      </c>
      <c r="C274" s="114">
        <f>QUANT!C705</f>
        <v>94710</v>
      </c>
      <c r="D274" s="114" t="str">
        <f>QUANT!D705</f>
        <v>SINAPI</v>
      </c>
      <c r="E274" s="80" t="str">
        <f>IFERROR(VLOOKUP($C274,'SINAPI JULHO 2021'!$1:$1048576,2,0),IFERROR(VLOOKUP($C274,'5-COMP. PROPRIA'!$B$1:$I$7981,4,0),""))</f>
        <v>ADAPTADOR COM FLANGES LIVRES, PVC, SOLDÁVEL, DN 40 MM X 1 1/4 , INSTALADO EM RESERVAÇÃO DE ÁGUA DE EDIFICAÇÃO QUE POSSUA RESERVATÓRIO DE FIBRA/FIBROCIMENTO   FORNECIMENTO E INSTALAÇÃO. AF_06/2016</v>
      </c>
      <c r="F274" s="81" t="str">
        <f>IFERROR(VLOOKUP($C274,'SINAPI JULHO 2021'!$A:$D,3,0),IFERROR(VLOOKUP($C274,'5-COMP. PROPRIA'!$B$1:$I$7981,5,0),""))</f>
        <v>UN</v>
      </c>
      <c r="G274" s="129">
        <f>QUANT!K705</f>
        <v>1</v>
      </c>
      <c r="H274" s="200">
        <f>IFERROR(VLOOKUP($C274,'SINAPI JULHO 2021'!$A:$D,4,0),IFERROR(VLOOKUP($C274,'5-COMP. PROPRIA'!$B$1:$I$7981,8,0),""))</f>
        <v>44.26</v>
      </c>
      <c r="I274" s="200">
        <f>H274*'4-BDI'!$E$29</f>
        <v>56.759023999999997</v>
      </c>
      <c r="J274" s="201">
        <f t="shared" si="104"/>
        <v>44.26</v>
      </c>
      <c r="K274" s="123">
        <f t="shared" si="105"/>
        <v>56.75</v>
      </c>
    </row>
    <row r="275" spans="2:11" s="76" customFormat="1" ht="45">
      <c r="B275" s="12" t="s">
        <v>6962</v>
      </c>
      <c r="C275" s="114">
        <f>QUANT!C706</f>
        <v>94711</v>
      </c>
      <c r="D275" s="114" t="str">
        <f>QUANT!D706</f>
        <v>SINAPI</v>
      </c>
      <c r="E275" s="80" t="str">
        <f>IFERROR(VLOOKUP($C275,'SINAPI JULHO 2021'!$1:$1048576,2,0),IFERROR(VLOOKUP($C275,'5-COMP. PROPRIA'!$B$1:$I$7981,4,0),""))</f>
        <v>ADAPTADOR COM FLANGES LIVRES, PVC, SOLDÁVEL, DN 50 MM X 1 1/2 , INSTALADO EM RESERVAÇÃO DE ÁGUA DE EDIFICAÇÃO QUE POSSUA RESERVATÓRIO DE FIBRA/FIBROCIMENTO   FORNECIMENTO E INSTALAÇÃO. AF_06/2016</v>
      </c>
      <c r="F275" s="81" t="str">
        <f>IFERROR(VLOOKUP($C275,'SINAPI JULHO 2021'!$A:$D,3,0),IFERROR(VLOOKUP($C275,'5-COMP. PROPRIA'!$B$1:$I$7981,5,0),""))</f>
        <v>UN</v>
      </c>
      <c r="G275" s="129">
        <f>QUANT!K706</f>
        <v>1</v>
      </c>
      <c r="H275" s="200">
        <f>IFERROR(VLOOKUP($C275,'SINAPI JULHO 2021'!$A:$D,4,0),IFERROR(VLOOKUP($C275,'5-COMP. PROPRIA'!$B$1:$I$7981,8,0),""))</f>
        <v>53.65</v>
      </c>
      <c r="I275" s="200">
        <f>H275*'4-BDI'!$E$29</f>
        <v>68.800759999999997</v>
      </c>
      <c r="J275" s="201">
        <f t="shared" si="104"/>
        <v>53.65</v>
      </c>
      <c r="K275" s="123">
        <f t="shared" si="105"/>
        <v>68.8</v>
      </c>
    </row>
    <row r="276" spans="2:11" s="76" customFormat="1" ht="45">
      <c r="B276" s="12" t="s">
        <v>13146</v>
      </c>
      <c r="C276" s="114">
        <f>QUANT!C707</f>
        <v>94714</v>
      </c>
      <c r="D276" s="114" t="str">
        <f>QUANT!D707</f>
        <v>SINAPI</v>
      </c>
      <c r="E276" s="80" t="str">
        <f>IFERROR(VLOOKUP($C276,'SINAPI JULHO 2021'!$1:$1048576,2,0),IFERROR(VLOOKUP($C276,'5-COMP. PROPRIA'!$B$1:$I$7981,4,0),""))</f>
        <v>ADAPTADOR COM FLANGES LIVRES, PVC, SOLDÁVEL, DN 85 MM X 3 , INSTALADO EM RESERVAÇÃO DE ÁGUA DE EDIFICAÇÃO QUE POSSUA RESERVATÓRIO DE FIBRA/FIBROCIMENTO   FORNECIMENTO E INSTALAÇÃO. AF_06/2016</v>
      </c>
      <c r="F276" s="81" t="str">
        <f>IFERROR(VLOOKUP($C276,'SINAPI JULHO 2021'!$A:$D,3,0),IFERROR(VLOOKUP($C276,'5-COMP. PROPRIA'!$B$1:$I$7981,5,0),""))</f>
        <v>UN</v>
      </c>
      <c r="G276" s="129">
        <f>QUANT!K707</f>
        <v>1</v>
      </c>
      <c r="H276" s="200">
        <f>IFERROR(VLOOKUP($C276,'SINAPI JULHO 2021'!$A:$D,4,0),IFERROR(VLOOKUP($C276,'5-COMP. PROPRIA'!$B$1:$I$7981,8,0),""))</f>
        <v>258.08999999999997</v>
      </c>
      <c r="I276" s="200">
        <f>H276*'4-BDI'!$E$29</f>
        <v>330.97461599999997</v>
      </c>
      <c r="J276" s="201">
        <f t="shared" si="104"/>
        <v>258.08999999999997</v>
      </c>
      <c r="K276" s="123">
        <f t="shared" si="105"/>
        <v>330.97</v>
      </c>
    </row>
    <row r="277" spans="2:11" s="76" customFormat="1" ht="30">
      <c r="B277" s="12" t="s">
        <v>13147</v>
      </c>
      <c r="C277" s="114">
        <f>QUANT!C708</f>
        <v>89383</v>
      </c>
      <c r="D277" s="114" t="str">
        <f>QUANT!D708</f>
        <v>SINAPI</v>
      </c>
      <c r="E277" s="80" t="str">
        <f>IFERROR(VLOOKUP($C277,'SINAPI JULHO 2021'!$1:$1048576,2,0),IFERROR(VLOOKUP($C277,'5-COMP. PROPRIA'!$B$1:$I$7981,4,0),""))</f>
        <v>ADAPTADOR CURTO COM BOLSA E ROSCA PARA REGISTRO, PVC, SOLDÁVEL, DN 25MM X 3/4, INSTALADO EM RAMAL OU SUB-RAMAL DE ÁGUA - FORNECIMENTO E INSTALAÇÃO. AF_12/2014</v>
      </c>
      <c r="F277" s="81" t="str">
        <f>IFERROR(VLOOKUP($C277,'SINAPI JULHO 2021'!$A:$D,3,0),IFERROR(VLOOKUP($C277,'5-COMP. PROPRIA'!$B$1:$I$7981,5,0),""))</f>
        <v>UN</v>
      </c>
      <c r="G277" s="129">
        <f>QUANT!K708</f>
        <v>54</v>
      </c>
      <c r="H277" s="200">
        <f>IFERROR(VLOOKUP($C277,'SINAPI JULHO 2021'!$A:$D,4,0),IFERROR(VLOOKUP($C277,'5-COMP. PROPRIA'!$B$1:$I$7981,8,0),""))</f>
        <v>5.22</v>
      </c>
      <c r="I277" s="200">
        <f>H277*'4-BDI'!$E$29</f>
        <v>6.6941279999999992</v>
      </c>
      <c r="J277" s="201">
        <f t="shared" si="104"/>
        <v>281.88</v>
      </c>
      <c r="K277" s="123">
        <f t="shared" si="105"/>
        <v>361.48</v>
      </c>
    </row>
    <row r="278" spans="2:11" s="76" customFormat="1" ht="30">
      <c r="B278" s="12" t="s">
        <v>13148</v>
      </c>
      <c r="C278" s="114">
        <f>QUANT!C709</f>
        <v>89570</v>
      </c>
      <c r="D278" s="114" t="str">
        <f>QUANT!D709</f>
        <v>SINAPI</v>
      </c>
      <c r="E278" s="80" t="str">
        <f>IFERROR(VLOOKUP($C278,'SINAPI JULHO 2021'!$1:$1048576,2,0),IFERROR(VLOOKUP($C278,'5-COMP. PROPRIA'!$B$1:$I$7981,4,0),""))</f>
        <v>ADAPTADOR CURTO COM BOLSA E ROSCA PARA REGISTRO, PVC, SOLDÁVEL, DN 40MM X 1.1/2, INSTALADO EM PRUMADA DE ÁGUA - FORNECIMENTO E INSTALAÇÃO. AF_12/2014</v>
      </c>
      <c r="F278" s="81" t="str">
        <f>IFERROR(VLOOKUP($C278,'SINAPI JULHO 2021'!$A:$D,3,0),IFERROR(VLOOKUP($C278,'5-COMP. PROPRIA'!$B$1:$I$7981,5,0),""))</f>
        <v>UN</v>
      </c>
      <c r="G278" s="129">
        <f>QUANT!K709</f>
        <v>4</v>
      </c>
      <c r="H278" s="200">
        <f>IFERROR(VLOOKUP($C278,'SINAPI JULHO 2021'!$A:$D,4,0),IFERROR(VLOOKUP($C278,'5-COMP. PROPRIA'!$B$1:$I$7981,8,0),""))</f>
        <v>10.79</v>
      </c>
      <c r="I278" s="200">
        <f>H278*'4-BDI'!$E$29</f>
        <v>13.837095999999999</v>
      </c>
      <c r="J278" s="201">
        <f t="shared" si="104"/>
        <v>43.16</v>
      </c>
      <c r="K278" s="123">
        <f t="shared" si="105"/>
        <v>55.34</v>
      </c>
    </row>
    <row r="279" spans="2:11" s="76" customFormat="1" ht="30">
      <c r="B279" s="12" t="s">
        <v>13149</v>
      </c>
      <c r="C279" s="114">
        <f>QUANT!C710</f>
        <v>89595</v>
      </c>
      <c r="D279" s="114" t="str">
        <f>QUANT!D710</f>
        <v>SINAPI</v>
      </c>
      <c r="E279" s="80" t="str">
        <f>IFERROR(VLOOKUP($C279,'SINAPI JULHO 2021'!$1:$1048576,2,0),IFERROR(VLOOKUP($C279,'5-COMP. PROPRIA'!$B$1:$I$7981,4,0),""))</f>
        <v>ADAPTADOR CURTO COM BOLSA E ROSCA PARA REGISTRO, PVC, SOLDÁVEL, DN 50MM X 1.1/4, INSTALADO EM PRUMADA DE ÁGUA - FORNECIMENTO E INSTALAÇÃO. AF_12/2014</v>
      </c>
      <c r="F279" s="81" t="str">
        <f>IFERROR(VLOOKUP($C279,'SINAPI JULHO 2021'!$A:$D,3,0),IFERROR(VLOOKUP($C279,'5-COMP. PROPRIA'!$B$1:$I$7981,5,0),""))</f>
        <v>UN</v>
      </c>
      <c r="G279" s="129">
        <f>QUANT!K710</f>
        <v>36</v>
      </c>
      <c r="H279" s="200">
        <f>IFERROR(VLOOKUP($C279,'SINAPI JULHO 2021'!$A:$D,4,0),IFERROR(VLOOKUP($C279,'5-COMP. PROPRIA'!$B$1:$I$7981,8,0),""))</f>
        <v>13.34</v>
      </c>
      <c r="I279" s="200">
        <f>H279*'4-BDI'!$E$29</f>
        <v>17.107216000000001</v>
      </c>
      <c r="J279" s="201">
        <f t="shared" si="104"/>
        <v>480.24</v>
      </c>
      <c r="K279" s="123">
        <f t="shared" si="105"/>
        <v>615.85</v>
      </c>
    </row>
    <row r="280" spans="2:11" s="76" customFormat="1" ht="30">
      <c r="B280" s="12" t="s">
        <v>13150</v>
      </c>
      <c r="C280" s="114">
        <f>QUANT!C711</f>
        <v>89605</v>
      </c>
      <c r="D280" s="114" t="str">
        <f>QUANT!D711</f>
        <v>SINAPI</v>
      </c>
      <c r="E280" s="80" t="str">
        <f>IFERROR(VLOOKUP($C280,'SINAPI JULHO 2021'!$1:$1048576,2,0),IFERROR(VLOOKUP($C280,'5-COMP. PROPRIA'!$B$1:$I$7981,4,0),""))</f>
        <v>LUVA DE REDUÇÃO, PVC, SOLDÁVEL, DN 60MM X 50MM, INSTALADO EM PRUMADA DE ÁGUA - FORNECIMENTO E INSTALAÇÃO. AF_12/2014</v>
      </c>
      <c r="F280" s="81" t="str">
        <f>IFERROR(VLOOKUP($C280,'SINAPI JULHO 2021'!$A:$D,3,0),IFERROR(VLOOKUP($C280,'5-COMP. PROPRIA'!$B$1:$I$7981,5,0),""))</f>
        <v>UN</v>
      </c>
      <c r="G280" s="129">
        <f>QUANT!K711</f>
        <v>20</v>
      </c>
      <c r="H280" s="200">
        <f>IFERROR(VLOOKUP($C280,'SINAPI JULHO 2021'!$A:$D,4,0),IFERROR(VLOOKUP($C280,'5-COMP. PROPRIA'!$B$1:$I$7981,8,0),""))</f>
        <v>18.170000000000002</v>
      </c>
      <c r="I280" s="200">
        <f>H280*'4-BDI'!$E$29</f>
        <v>23.301208000000003</v>
      </c>
      <c r="J280" s="201">
        <f t="shared" si="104"/>
        <v>363.4</v>
      </c>
      <c r="K280" s="123">
        <f t="shared" si="105"/>
        <v>466.02</v>
      </c>
    </row>
    <row r="281" spans="2:11" s="76" customFormat="1" ht="30">
      <c r="B281" s="12" t="s">
        <v>13151</v>
      </c>
      <c r="C281" s="114">
        <f>QUANT!C712</f>
        <v>89579</v>
      </c>
      <c r="D281" s="114" t="str">
        <f>QUANT!D712</f>
        <v>SINAPI</v>
      </c>
      <c r="E281" s="80" t="str">
        <f>IFERROR(VLOOKUP($C281,'SINAPI JULHO 2021'!$1:$1048576,2,0),IFERROR(VLOOKUP($C281,'5-COMP. PROPRIA'!$B$1:$I$7981,4,0),""))</f>
        <v>LUVA DE REDUÇÃO, PVC, SOLDÁVEL, DN 50MM X 25MM, INSTALADO EM PRUMADA DE ÁGUA   FORNECIMENTO E INSTALAÇÃO. AF_12/2014</v>
      </c>
      <c r="F281" s="81" t="str">
        <f>IFERROR(VLOOKUP($C281,'SINAPI JULHO 2021'!$A:$D,3,0),IFERROR(VLOOKUP($C281,'5-COMP. PROPRIA'!$B$1:$I$7981,5,0),""))</f>
        <v>UN</v>
      </c>
      <c r="G281" s="129">
        <f>QUANT!K712</f>
        <v>8</v>
      </c>
      <c r="H281" s="200">
        <f>IFERROR(VLOOKUP($C281,'SINAPI JULHO 2021'!$A:$D,4,0),IFERROR(VLOOKUP($C281,'5-COMP. PROPRIA'!$B$1:$I$7981,8,0),""))</f>
        <v>10.130000000000001</v>
      </c>
      <c r="I281" s="200">
        <f>H281*'4-BDI'!$E$29</f>
        <v>12.990712</v>
      </c>
      <c r="J281" s="201">
        <f t="shared" si="104"/>
        <v>81.040000000000006</v>
      </c>
      <c r="K281" s="123">
        <f t="shared" si="105"/>
        <v>103.92</v>
      </c>
    </row>
    <row r="282" spans="2:11" s="76" customFormat="1" ht="30">
      <c r="B282" s="12" t="s">
        <v>13152</v>
      </c>
      <c r="C282" s="114">
        <f>QUANT!C713</f>
        <v>89525</v>
      </c>
      <c r="D282" s="114" t="str">
        <f>QUANT!D713</f>
        <v>SINAPI</v>
      </c>
      <c r="E282" s="80" t="str">
        <f>IFERROR(VLOOKUP($C282,'SINAPI JULHO 2021'!$1:$1048576,2,0),IFERROR(VLOOKUP($C282,'5-COMP. PROPRIA'!$B$1:$I$7981,4,0),""))</f>
        <v>CURVA 90 GRAUS, PVC, SOLDÁVEL, DN 85MM, INSTALADO EM PRUMADA DE ÁGUA - FORNECIMENTO E INSTALAÇÃO. AF_12/2014</v>
      </c>
      <c r="F282" s="81" t="str">
        <f>IFERROR(VLOOKUP($C282,'SINAPI JULHO 2021'!$A:$D,3,0),IFERROR(VLOOKUP($C282,'5-COMP. PROPRIA'!$B$1:$I$7981,5,0),""))</f>
        <v>UN</v>
      </c>
      <c r="G282" s="129">
        <f>QUANT!K713</f>
        <v>3</v>
      </c>
      <c r="H282" s="200">
        <f>IFERROR(VLOOKUP($C282,'SINAPI JULHO 2021'!$A:$D,4,0),IFERROR(VLOOKUP($C282,'5-COMP. PROPRIA'!$B$1:$I$7981,8,0),""))</f>
        <v>88.86</v>
      </c>
      <c r="I282" s="200">
        <f>H282*'4-BDI'!$E$29</f>
        <v>113.954064</v>
      </c>
      <c r="J282" s="201">
        <f t="shared" si="104"/>
        <v>266.58</v>
      </c>
      <c r="K282" s="123">
        <f t="shared" si="105"/>
        <v>341.86</v>
      </c>
    </row>
    <row r="283" spans="2:11" s="76" customFormat="1" ht="30">
      <c r="B283" s="12" t="s">
        <v>13153</v>
      </c>
      <c r="C283" s="114">
        <f>QUANT!C714</f>
        <v>90373</v>
      </c>
      <c r="D283" s="114" t="str">
        <f>QUANT!D714</f>
        <v>SINAPI</v>
      </c>
      <c r="E283" s="80" t="str">
        <f>IFERROR(VLOOKUP($C283,'SINAPI JULHO 2021'!$1:$1048576,2,0),IFERROR(VLOOKUP($C283,'5-COMP. PROPRIA'!$B$1:$I$7981,4,0),""))</f>
        <v>JOELHO 90 GRAUS COM BUCHA DE LATÃO, PVC, SOLDÁVEL, DN 25MM, X 1/2 INSTALADO EM RAMAL OU SUB-RAMAL DE ÁGUA - FORNECIMENTO E INSTALAÇÃO. AF_12/2014</v>
      </c>
      <c r="F283" s="81" t="str">
        <f>IFERROR(VLOOKUP($C283,'SINAPI JULHO 2021'!$A:$D,3,0),IFERROR(VLOOKUP($C283,'5-COMP. PROPRIA'!$B$1:$I$7981,5,0),""))</f>
        <v>UN</v>
      </c>
      <c r="G283" s="129">
        <f>QUANT!K714</f>
        <v>61</v>
      </c>
      <c r="H283" s="200">
        <f>IFERROR(VLOOKUP($C283,'SINAPI JULHO 2021'!$A:$D,4,0),IFERROR(VLOOKUP($C283,'5-COMP. PROPRIA'!$B$1:$I$7981,8,0),""))</f>
        <v>11.93</v>
      </c>
      <c r="I283" s="200">
        <f>H283*'4-BDI'!$E$29</f>
        <v>15.299031999999999</v>
      </c>
      <c r="J283" s="201">
        <f t="shared" si="104"/>
        <v>727.73</v>
      </c>
      <c r="K283" s="123">
        <f t="shared" si="105"/>
        <v>933.24</v>
      </c>
    </row>
    <row r="284" spans="2:11" s="76" customFormat="1" ht="30">
      <c r="B284" s="12" t="s">
        <v>13154</v>
      </c>
      <c r="C284" s="114">
        <f>QUANT!C715</f>
        <v>89481</v>
      </c>
      <c r="D284" s="114" t="str">
        <f>QUANT!D715</f>
        <v>SINAPI</v>
      </c>
      <c r="E284" s="80" t="str">
        <f>IFERROR(VLOOKUP($C284,'SINAPI JULHO 2021'!$1:$1048576,2,0),IFERROR(VLOOKUP($C284,'5-COMP. PROPRIA'!$B$1:$I$7981,4,0),""))</f>
        <v>JOELHO 90 GRAUS, PVC, SOLDÁVEL, DN 25MM, INSTALADO EM PRUMADA DE ÁGUA - FORNECIMENTO E INSTALAÇÃO. AF_12/2014</v>
      </c>
      <c r="F284" s="81" t="str">
        <f>IFERROR(VLOOKUP($C284,'SINAPI JULHO 2021'!$A:$D,3,0),IFERROR(VLOOKUP($C284,'5-COMP. PROPRIA'!$B$1:$I$7981,5,0),""))</f>
        <v>UN</v>
      </c>
      <c r="G284" s="129">
        <f>QUANT!K715</f>
        <v>79</v>
      </c>
      <c r="H284" s="200">
        <f>IFERROR(VLOOKUP($C284,'SINAPI JULHO 2021'!$A:$D,4,0),IFERROR(VLOOKUP($C284,'5-COMP. PROPRIA'!$B$1:$I$7981,8,0),""))</f>
        <v>3.74</v>
      </c>
      <c r="I284" s="200">
        <f>H284*'4-BDI'!$E$29</f>
        <v>4.796176</v>
      </c>
      <c r="J284" s="201">
        <f t="shared" si="104"/>
        <v>295.45999999999998</v>
      </c>
      <c r="K284" s="123">
        <f t="shared" si="105"/>
        <v>378.89</v>
      </c>
    </row>
    <row r="285" spans="2:11" s="76" customFormat="1" ht="30">
      <c r="B285" s="12" t="s">
        <v>13155</v>
      </c>
      <c r="C285" s="114">
        <f>QUANT!C716</f>
        <v>89497</v>
      </c>
      <c r="D285" s="114" t="str">
        <f>QUANT!D716</f>
        <v>SINAPI</v>
      </c>
      <c r="E285" s="80" t="str">
        <f>IFERROR(VLOOKUP($C285,'SINAPI JULHO 2021'!$1:$1048576,2,0),IFERROR(VLOOKUP($C285,'5-COMP. PROPRIA'!$B$1:$I$7981,4,0),""))</f>
        <v>JOELHO 90 GRAUS, PVC, SOLDÁVEL, DN 40MM, INSTALADO EM PRUMADA DE ÁGUA - FORNECIMENTO E INSTALAÇÃO. AF_12/2014</v>
      </c>
      <c r="F285" s="81" t="str">
        <f>IFERROR(VLOOKUP($C285,'SINAPI JULHO 2021'!$A:$D,3,0),IFERROR(VLOOKUP($C285,'5-COMP. PROPRIA'!$B$1:$I$7981,5,0),""))</f>
        <v>UN</v>
      </c>
      <c r="G285" s="129">
        <f>QUANT!K716</f>
        <v>6</v>
      </c>
      <c r="H285" s="200">
        <f>IFERROR(VLOOKUP($C285,'SINAPI JULHO 2021'!$A:$D,4,0),IFERROR(VLOOKUP($C285,'5-COMP. PROPRIA'!$B$1:$I$7981,8,0),""))</f>
        <v>9.9</v>
      </c>
      <c r="I285" s="200">
        <f>H285*'4-BDI'!$E$29</f>
        <v>12.69576</v>
      </c>
      <c r="J285" s="201">
        <f t="shared" si="104"/>
        <v>59.4</v>
      </c>
      <c r="K285" s="123">
        <f t="shared" si="105"/>
        <v>76.17</v>
      </c>
    </row>
    <row r="286" spans="2:11" s="76" customFormat="1" ht="30">
      <c r="B286" s="12" t="s">
        <v>13156</v>
      </c>
      <c r="C286" s="114">
        <f>QUANT!C717</f>
        <v>89501</v>
      </c>
      <c r="D286" s="114" t="str">
        <f>QUANT!D717</f>
        <v>SINAPI</v>
      </c>
      <c r="E286" s="80" t="str">
        <f>IFERROR(VLOOKUP($C286,'SINAPI JULHO 2021'!$1:$1048576,2,0),IFERROR(VLOOKUP($C286,'5-COMP. PROPRIA'!$B$1:$I$7981,4,0),""))</f>
        <v>JOELHO 90 GRAUS, PVC, SOLDÁVEL, DN 50MM, INSTALADO EM PRUMADA DE ÁGUA - FORNECIMENTO E INSTALAÇÃO. AF_12/2014</v>
      </c>
      <c r="F286" s="81" t="str">
        <f>IFERROR(VLOOKUP($C286,'SINAPI JULHO 2021'!$A:$D,3,0),IFERROR(VLOOKUP($C286,'5-COMP. PROPRIA'!$B$1:$I$7981,5,0),""))</f>
        <v>UN</v>
      </c>
      <c r="G286" s="129">
        <f>QUANT!K717</f>
        <v>40</v>
      </c>
      <c r="H286" s="200">
        <f>IFERROR(VLOOKUP($C286,'SINAPI JULHO 2021'!$A:$D,4,0),IFERROR(VLOOKUP($C286,'5-COMP. PROPRIA'!$B$1:$I$7981,8,0),""))</f>
        <v>11.98</v>
      </c>
      <c r="I286" s="200">
        <f>H286*'4-BDI'!$E$29</f>
        <v>15.363151999999999</v>
      </c>
      <c r="J286" s="201">
        <f t="shared" si="104"/>
        <v>479.2</v>
      </c>
      <c r="K286" s="123">
        <f t="shared" si="105"/>
        <v>614.52</v>
      </c>
    </row>
    <row r="287" spans="2:11" s="76" customFormat="1" ht="30">
      <c r="B287" s="12" t="s">
        <v>13157</v>
      </c>
      <c r="C287" s="114">
        <f>QUANT!C718</f>
        <v>89513</v>
      </c>
      <c r="D287" s="114" t="str">
        <f>QUANT!D718</f>
        <v>SINAPI</v>
      </c>
      <c r="E287" s="80" t="str">
        <f>IFERROR(VLOOKUP($C287,'SINAPI JULHO 2021'!$1:$1048576,2,0),IFERROR(VLOOKUP($C287,'5-COMP. PROPRIA'!$B$1:$I$7981,4,0),""))</f>
        <v>JOELHO 90 GRAUS, PVC, SOLDÁVEL, DN 75MM, INSTALADO EM PRUMADA DE ÁGUA - FORNECIMENTO E INSTALAÇÃO. AF_12/2014</v>
      </c>
      <c r="F287" s="81" t="str">
        <f>IFERROR(VLOOKUP($C287,'SINAPI JULHO 2021'!$A:$D,3,0),IFERROR(VLOOKUP($C287,'5-COMP. PROPRIA'!$B$1:$I$7981,5,0),""))</f>
        <v>UN</v>
      </c>
      <c r="G287" s="129">
        <f>QUANT!K718</f>
        <v>3</v>
      </c>
      <c r="H287" s="200">
        <f>IFERROR(VLOOKUP($C287,'SINAPI JULHO 2021'!$A:$D,4,0),IFERROR(VLOOKUP($C287,'5-COMP. PROPRIA'!$B$1:$I$7981,8,0),""))</f>
        <v>101.88</v>
      </c>
      <c r="I287" s="200">
        <f>H287*'4-BDI'!$E$29</f>
        <v>130.65091200000001</v>
      </c>
      <c r="J287" s="201">
        <f t="shared" si="104"/>
        <v>305.64</v>
      </c>
      <c r="K287" s="123">
        <f t="shared" si="105"/>
        <v>391.95</v>
      </c>
    </row>
    <row r="288" spans="2:11" s="76" customFormat="1" ht="30">
      <c r="B288" s="12" t="s">
        <v>13158</v>
      </c>
      <c r="C288" s="114">
        <f>QUANT!C719</f>
        <v>89577</v>
      </c>
      <c r="D288" s="114" t="str">
        <f>QUANT!D719</f>
        <v>SINAPI</v>
      </c>
      <c r="E288" s="80" t="str">
        <f>IFERROR(VLOOKUP($C288,'SINAPI JULHO 2021'!$1:$1048576,2,0),IFERROR(VLOOKUP($C288,'5-COMP. PROPRIA'!$B$1:$I$7981,4,0),""))</f>
        <v>LUVA DE CORRER, PVC, SOLDÁVEL, DN 50MM, INSTALADO EM PRUMADA DE ÁGUA - FORNECIMENTO E INSTALAÇÃO. AF_12/2014</v>
      </c>
      <c r="F288" s="81" t="str">
        <f>IFERROR(VLOOKUP($C288,'SINAPI JULHO 2021'!$A:$D,3,0),IFERROR(VLOOKUP($C288,'5-COMP. PROPRIA'!$B$1:$I$7981,5,0),""))</f>
        <v>UN</v>
      </c>
      <c r="G288" s="129">
        <f>QUANT!K719</f>
        <v>15</v>
      </c>
      <c r="H288" s="200">
        <f>IFERROR(VLOOKUP($C288,'SINAPI JULHO 2021'!$A:$D,4,0),IFERROR(VLOOKUP($C288,'5-COMP. PROPRIA'!$B$1:$I$7981,8,0),""))</f>
        <v>32.61</v>
      </c>
      <c r="I288" s="200">
        <f>H288*'4-BDI'!$E$29</f>
        <v>41.819063999999997</v>
      </c>
      <c r="J288" s="201">
        <f t="shared" si="104"/>
        <v>489.15</v>
      </c>
      <c r="K288" s="123">
        <f t="shared" si="105"/>
        <v>627.28</v>
      </c>
    </row>
    <row r="289" spans="2:11" s="76" customFormat="1" ht="30">
      <c r="B289" s="12" t="s">
        <v>13159</v>
      </c>
      <c r="C289" s="114">
        <f>QUANT!C720</f>
        <v>89425</v>
      </c>
      <c r="D289" s="114" t="str">
        <f>QUANT!D720</f>
        <v>SINAPI</v>
      </c>
      <c r="E289" s="80" t="str">
        <f>IFERROR(VLOOKUP($C289,'SINAPI JULHO 2021'!$1:$1048576,2,0),IFERROR(VLOOKUP($C289,'5-COMP. PROPRIA'!$B$1:$I$7981,4,0),""))</f>
        <v>LUVA DE CORRER, PVC, SOLDÁVEL, DN 25MM, INSTALADO EM RAMAL DE DISTRIBUIÇÃO DE ÁGUA - FORNECIMENTO E INSTALAÇÃO. AF_12/2014</v>
      </c>
      <c r="F289" s="81" t="str">
        <f>IFERROR(VLOOKUP($C289,'SINAPI JULHO 2021'!$A:$D,3,0),IFERROR(VLOOKUP($C289,'5-COMP. PROPRIA'!$B$1:$I$7981,5,0),""))</f>
        <v>UN</v>
      </c>
      <c r="G289" s="129">
        <f>QUANT!K720</f>
        <v>25</v>
      </c>
      <c r="H289" s="200">
        <f>IFERROR(VLOOKUP($C289,'SINAPI JULHO 2021'!$A:$D,4,0),IFERROR(VLOOKUP($C289,'5-COMP. PROPRIA'!$B$1:$I$7981,8,0),""))</f>
        <v>13.1</v>
      </c>
      <c r="I289" s="200">
        <f>H289*'4-BDI'!$E$29</f>
        <v>16.799440000000001</v>
      </c>
      <c r="J289" s="201">
        <f t="shared" si="104"/>
        <v>327.5</v>
      </c>
      <c r="K289" s="123">
        <f t="shared" si="105"/>
        <v>419.98</v>
      </c>
    </row>
    <row r="290" spans="2:11" s="76" customFormat="1" ht="30">
      <c r="B290" s="12" t="s">
        <v>13160</v>
      </c>
      <c r="C290" s="114">
        <f>QUANT!C721</f>
        <v>89579</v>
      </c>
      <c r="D290" s="114" t="str">
        <f>QUANT!D721</f>
        <v>SINAPI</v>
      </c>
      <c r="E290" s="80" t="str">
        <f>IFERROR(VLOOKUP($C290,'SINAPI JULHO 2021'!$1:$1048576,2,0),IFERROR(VLOOKUP($C290,'5-COMP. PROPRIA'!$B$1:$I$7981,4,0),""))</f>
        <v>LUVA DE REDUÇÃO, PVC, SOLDÁVEL, DN 50MM X 25MM, INSTALADO EM PRUMADA DE ÁGUA   FORNECIMENTO E INSTALAÇÃO. AF_12/2014</v>
      </c>
      <c r="F290" s="81" t="str">
        <f>IFERROR(VLOOKUP($C290,'SINAPI JULHO 2021'!$A:$D,3,0),IFERROR(VLOOKUP($C290,'5-COMP. PROPRIA'!$B$1:$I$7981,5,0),""))</f>
        <v>UN</v>
      </c>
      <c r="G290" s="129">
        <f>QUANT!K721</f>
        <v>5</v>
      </c>
      <c r="H290" s="200">
        <f>IFERROR(VLOOKUP($C290,'SINAPI JULHO 2021'!$A:$D,4,0),IFERROR(VLOOKUP($C290,'5-COMP. PROPRIA'!$B$1:$I$7981,8,0),""))</f>
        <v>10.130000000000001</v>
      </c>
      <c r="I290" s="200">
        <f>H290*'4-BDI'!$E$29</f>
        <v>12.990712</v>
      </c>
      <c r="J290" s="201">
        <f t="shared" si="104"/>
        <v>50.65</v>
      </c>
      <c r="K290" s="123">
        <f t="shared" si="105"/>
        <v>64.95</v>
      </c>
    </row>
    <row r="291" spans="2:11" s="76" customFormat="1" ht="30">
      <c r="B291" s="12" t="s">
        <v>13161</v>
      </c>
      <c r="C291" s="114">
        <f>QUANT!C722</f>
        <v>89356</v>
      </c>
      <c r="D291" s="114" t="str">
        <f>QUANT!D722</f>
        <v>SINAPI</v>
      </c>
      <c r="E291" s="80" t="str">
        <f>IFERROR(VLOOKUP($C291,'SINAPI JULHO 2021'!$1:$1048576,2,0),IFERROR(VLOOKUP($C291,'5-COMP. PROPRIA'!$B$1:$I$7981,4,0),""))</f>
        <v>TUBO, PVC, SOLDÁVEL, DN 25MM, INSTALADO EM RAMAL OU SUB-RAMAL DE ÁGUA - FORNECIMENTO E INSTALAÇÃO. AF_12/2014</v>
      </c>
      <c r="F291" s="81" t="str">
        <f>IFERROR(VLOOKUP($C291,'SINAPI JULHO 2021'!$A:$D,3,0),IFERROR(VLOOKUP($C291,'5-COMP. PROPRIA'!$B$1:$I$7981,5,0),""))</f>
        <v>M</v>
      </c>
      <c r="G291" s="129">
        <f>QUANT!K722</f>
        <v>247.58</v>
      </c>
      <c r="H291" s="200">
        <f>IFERROR(VLOOKUP($C291,'SINAPI JULHO 2021'!$A:$D,4,0),IFERROR(VLOOKUP($C291,'5-COMP. PROPRIA'!$B$1:$I$7981,8,0),""))</f>
        <v>15.62</v>
      </c>
      <c r="I291" s="200">
        <f>H291*'4-BDI'!$E$29</f>
        <v>20.031088</v>
      </c>
      <c r="J291" s="201">
        <f t="shared" si="104"/>
        <v>3867.19</v>
      </c>
      <c r="K291" s="123">
        <f t="shared" si="105"/>
        <v>4959.29</v>
      </c>
    </row>
    <row r="292" spans="2:11" s="76" customFormat="1" ht="30">
      <c r="B292" s="12" t="s">
        <v>13162</v>
      </c>
      <c r="C292" s="114">
        <f>QUANT!C723</f>
        <v>89448</v>
      </c>
      <c r="D292" s="114" t="str">
        <f>QUANT!D723</f>
        <v>SINAPI</v>
      </c>
      <c r="E292" s="80" t="str">
        <f>IFERROR(VLOOKUP($C292,'SINAPI JULHO 2021'!$1:$1048576,2,0),IFERROR(VLOOKUP($C292,'5-COMP. PROPRIA'!$B$1:$I$7981,4,0),""))</f>
        <v>TUBO, PVC, SOLDÁVEL, DN 40MM, INSTALADO EM PRUMADA DE ÁGUA - FORNECIMENTO E INSTALAÇÃO. AF_12/2014</v>
      </c>
      <c r="F292" s="81" t="str">
        <f>IFERROR(VLOOKUP($C292,'SINAPI JULHO 2021'!$A:$D,3,0),IFERROR(VLOOKUP($C292,'5-COMP. PROPRIA'!$B$1:$I$7981,5,0),""))</f>
        <v>M</v>
      </c>
      <c r="G292" s="129">
        <f>QUANT!K723</f>
        <v>14.99</v>
      </c>
      <c r="H292" s="200">
        <f>IFERROR(VLOOKUP($C292,'SINAPI JULHO 2021'!$A:$D,4,0),IFERROR(VLOOKUP($C292,'5-COMP. PROPRIA'!$B$1:$I$7981,8,0),""))</f>
        <v>13.4</v>
      </c>
      <c r="I292" s="200">
        <f>H292*'4-BDI'!$E$29</f>
        <v>17.184159999999999</v>
      </c>
      <c r="J292" s="201">
        <f t="shared" si="104"/>
        <v>200.86</v>
      </c>
      <c r="K292" s="123">
        <f t="shared" si="105"/>
        <v>257.58999999999997</v>
      </c>
    </row>
    <row r="293" spans="2:11" s="76" customFormat="1" ht="30">
      <c r="B293" s="12" t="s">
        <v>13163</v>
      </c>
      <c r="C293" s="114">
        <f>QUANT!C724</f>
        <v>89449</v>
      </c>
      <c r="D293" s="114" t="str">
        <f>QUANT!D724</f>
        <v>SINAPI</v>
      </c>
      <c r="E293" s="80" t="str">
        <f>IFERROR(VLOOKUP($C293,'SINAPI JULHO 2021'!$1:$1048576,2,0),IFERROR(VLOOKUP($C293,'5-COMP. PROPRIA'!$B$1:$I$7981,4,0),""))</f>
        <v>TUBO, PVC, SOLDÁVEL, DN 50MM, INSTALADO EM PRUMADA DE ÁGUA - FORNECIMENTO E INSTALAÇÃO. AF_12/2014</v>
      </c>
      <c r="F293" s="81" t="str">
        <f>IFERROR(VLOOKUP($C293,'SINAPI JULHO 2021'!$A:$D,3,0),IFERROR(VLOOKUP($C293,'5-COMP. PROPRIA'!$B$1:$I$7981,5,0),""))</f>
        <v>M</v>
      </c>
      <c r="G293" s="129">
        <f>QUANT!K724</f>
        <v>102.89</v>
      </c>
      <c r="H293" s="200">
        <f>IFERROR(VLOOKUP($C293,'SINAPI JULHO 2021'!$A:$D,4,0),IFERROR(VLOOKUP($C293,'5-COMP. PROPRIA'!$B$1:$I$7981,8,0),""))</f>
        <v>15.42</v>
      </c>
      <c r="I293" s="200">
        <f>H293*'4-BDI'!$E$29</f>
        <v>19.774608000000001</v>
      </c>
      <c r="J293" s="201">
        <f t="shared" si="104"/>
        <v>1586.56</v>
      </c>
      <c r="K293" s="123">
        <f t="shared" si="105"/>
        <v>2034.6</v>
      </c>
    </row>
    <row r="294" spans="2:11" s="76" customFormat="1" ht="30">
      <c r="B294" s="12" t="s">
        <v>13164</v>
      </c>
      <c r="C294" s="114">
        <f>QUANT!C725</f>
        <v>89450</v>
      </c>
      <c r="D294" s="114" t="str">
        <f>QUANT!D725</f>
        <v>SINAPI</v>
      </c>
      <c r="E294" s="80" t="str">
        <f>IFERROR(VLOOKUP($C294,'SINAPI JULHO 2021'!$1:$1048576,2,0),IFERROR(VLOOKUP($C294,'5-COMP. PROPRIA'!$B$1:$I$7981,4,0),""))</f>
        <v>TUBO, PVC, SOLDÁVEL, DN 60MM, INSTALADO EM PRUMADA DE ÁGUA - FORNECIMENTO E INSTALAÇÃO. AF_12/2014</v>
      </c>
      <c r="F294" s="81" t="str">
        <f>IFERROR(VLOOKUP($C294,'SINAPI JULHO 2021'!$A:$D,3,0),IFERROR(VLOOKUP($C294,'5-COMP. PROPRIA'!$B$1:$I$7981,5,0),""))</f>
        <v>M</v>
      </c>
      <c r="G294" s="129">
        <f>QUANT!K725</f>
        <v>6.86</v>
      </c>
      <c r="H294" s="200">
        <f>IFERROR(VLOOKUP($C294,'SINAPI JULHO 2021'!$A:$D,4,0),IFERROR(VLOOKUP($C294,'5-COMP. PROPRIA'!$B$1:$I$7981,8,0),""))</f>
        <v>25.53</v>
      </c>
      <c r="I294" s="200">
        <f>H294*'4-BDI'!$E$29</f>
        <v>32.739671999999999</v>
      </c>
      <c r="J294" s="201">
        <f t="shared" si="104"/>
        <v>175.13</v>
      </c>
      <c r="K294" s="123">
        <f t="shared" si="105"/>
        <v>224.59</v>
      </c>
    </row>
    <row r="295" spans="2:11" s="76" customFormat="1" ht="30">
      <c r="B295" s="12" t="s">
        <v>13165</v>
      </c>
      <c r="C295" s="114">
        <f>QUANT!C726</f>
        <v>89451</v>
      </c>
      <c r="D295" s="114" t="str">
        <f>QUANT!D726</f>
        <v>SINAPI</v>
      </c>
      <c r="E295" s="80" t="str">
        <f>IFERROR(VLOOKUP($C295,'SINAPI JULHO 2021'!$1:$1048576,2,0),IFERROR(VLOOKUP($C295,'5-COMP. PROPRIA'!$B$1:$I$7981,4,0),""))</f>
        <v>TUBO, PVC, SOLDÁVEL, DN 75MM, INSTALADO EM PRUMADA DE ÁGUA - FORNECIMENTO E INSTALAÇÃO. AF_12/2014</v>
      </c>
      <c r="F295" s="81" t="str">
        <f>IFERROR(VLOOKUP($C295,'SINAPI JULHO 2021'!$A:$D,3,0),IFERROR(VLOOKUP($C295,'5-COMP. PROPRIA'!$B$1:$I$7981,5,0),""))</f>
        <v>M</v>
      </c>
      <c r="G295" s="129">
        <f>QUANT!K726</f>
        <v>49.99</v>
      </c>
      <c r="H295" s="200">
        <f>IFERROR(VLOOKUP($C295,'SINAPI JULHO 2021'!$A:$D,4,0),IFERROR(VLOOKUP($C295,'5-COMP. PROPRIA'!$B$1:$I$7981,8,0),""))</f>
        <v>42.31</v>
      </c>
      <c r="I295" s="200">
        <f>H295*'4-BDI'!$E$29</f>
        <v>54.258344000000001</v>
      </c>
      <c r="J295" s="201">
        <f t="shared" si="104"/>
        <v>2115.0700000000002</v>
      </c>
      <c r="K295" s="123">
        <f t="shared" si="105"/>
        <v>2712.37</v>
      </c>
    </row>
    <row r="296" spans="2:11" s="76" customFormat="1" ht="30">
      <c r="B296" s="12" t="s">
        <v>13166</v>
      </c>
      <c r="C296" s="114">
        <f>QUANT!C727</f>
        <v>89452</v>
      </c>
      <c r="D296" s="114" t="str">
        <f>QUANT!D727</f>
        <v>SINAPI</v>
      </c>
      <c r="E296" s="80" t="str">
        <f>IFERROR(VLOOKUP($C296,'SINAPI JULHO 2021'!$1:$1048576,2,0),IFERROR(VLOOKUP($C296,'5-COMP. PROPRIA'!$B$1:$I$7981,4,0),""))</f>
        <v>TUBO, PVC, SOLDÁVEL, DN 85MM, INSTALADO EM PRUMADA DE ÁGUA - FORNECIMENTO E INSTALAÇÃO. AF_12/2014</v>
      </c>
      <c r="F296" s="81" t="str">
        <f>IFERROR(VLOOKUP($C296,'SINAPI JULHO 2021'!$A:$D,3,0),IFERROR(VLOOKUP($C296,'5-COMP. PROPRIA'!$B$1:$I$7981,5,0),""))</f>
        <v>M</v>
      </c>
      <c r="G296" s="129">
        <f>QUANT!K727</f>
        <v>29.45</v>
      </c>
      <c r="H296" s="200">
        <f>IFERROR(VLOOKUP($C296,'SINAPI JULHO 2021'!$A:$D,4,0),IFERROR(VLOOKUP($C296,'5-COMP. PROPRIA'!$B$1:$I$7981,8,0),""))</f>
        <v>52.7</v>
      </c>
      <c r="I296" s="200">
        <f>H296*'4-BDI'!$E$29</f>
        <v>67.582480000000004</v>
      </c>
      <c r="J296" s="201">
        <f t="shared" si="104"/>
        <v>1552.01</v>
      </c>
      <c r="K296" s="123">
        <f t="shared" si="105"/>
        <v>1990.3</v>
      </c>
    </row>
    <row r="297" spans="2:11" s="76" customFormat="1" ht="30">
      <c r="B297" s="12" t="s">
        <v>13167</v>
      </c>
      <c r="C297" s="114">
        <f>QUANT!C728</f>
        <v>89440</v>
      </c>
      <c r="D297" s="114" t="str">
        <f>QUANT!D728</f>
        <v>SINAPI</v>
      </c>
      <c r="E297" s="80" t="str">
        <f>IFERROR(VLOOKUP($C297,'SINAPI JULHO 2021'!$1:$1048576,2,0),IFERROR(VLOOKUP($C297,'5-COMP. PROPRIA'!$B$1:$I$7981,4,0),""))</f>
        <v>TE, PVC, SOLDÁVEL, DN 25MM, INSTALADO EM RAMAL DE DISTRIBUIÇÃO DE ÁGUA - FORNECIMENTO E INSTALAÇÃO. AF_12/2014</v>
      </c>
      <c r="F297" s="81" t="str">
        <f>IFERROR(VLOOKUP($C297,'SINAPI JULHO 2021'!$A:$D,3,0),IFERROR(VLOOKUP($C297,'5-COMP. PROPRIA'!$B$1:$I$7981,5,0),""))</f>
        <v>UN</v>
      </c>
      <c r="G297" s="129">
        <f>QUANT!K728</f>
        <v>47</v>
      </c>
      <c r="H297" s="200">
        <f>IFERROR(VLOOKUP($C297,'SINAPI JULHO 2021'!$A:$D,4,0),IFERROR(VLOOKUP($C297,'5-COMP. PROPRIA'!$B$1:$I$7981,8,0),""))</f>
        <v>6.8</v>
      </c>
      <c r="I297" s="200">
        <f>H297*'4-BDI'!$E$29</f>
        <v>8.7203199999999992</v>
      </c>
      <c r="J297" s="201">
        <f t="shared" si="104"/>
        <v>319.60000000000002</v>
      </c>
      <c r="K297" s="123">
        <f t="shared" si="105"/>
        <v>409.85</v>
      </c>
    </row>
    <row r="298" spans="2:11" s="76" customFormat="1" ht="30">
      <c r="B298" s="12" t="s">
        <v>13168</v>
      </c>
      <c r="C298" s="114">
        <f>QUANT!C729</f>
        <v>89628</v>
      </c>
      <c r="D298" s="114" t="str">
        <f>QUANT!D729</f>
        <v>SINAPI</v>
      </c>
      <c r="E298" s="80" t="str">
        <f>IFERROR(VLOOKUP($C298,'SINAPI JULHO 2021'!$1:$1048576,2,0),IFERROR(VLOOKUP($C298,'5-COMP. PROPRIA'!$B$1:$I$7981,4,0),""))</f>
        <v>TE, PVC, SOLDÁVEL, DN 60MM, INSTALADO EM PRUMADA DE ÁGUA - FORNECIMENTO E INSTALAÇÃO. AF_12/2014</v>
      </c>
      <c r="F298" s="81" t="str">
        <f>IFERROR(VLOOKUP($C298,'SINAPI JULHO 2021'!$A:$D,3,0),IFERROR(VLOOKUP($C298,'5-COMP. PROPRIA'!$B$1:$I$7981,5,0),""))</f>
        <v>UN</v>
      </c>
      <c r="G298" s="129">
        <f>QUANT!K729</f>
        <v>19</v>
      </c>
      <c r="H298" s="200">
        <f>IFERROR(VLOOKUP($C298,'SINAPI JULHO 2021'!$A:$D,4,0),IFERROR(VLOOKUP($C298,'5-COMP. PROPRIA'!$B$1:$I$7981,8,0),""))</f>
        <v>41.11</v>
      </c>
      <c r="I298" s="200">
        <f>H298*'4-BDI'!$E$29</f>
        <v>52.719464000000002</v>
      </c>
      <c r="J298" s="201">
        <f t="shared" si="104"/>
        <v>781.09</v>
      </c>
      <c r="K298" s="123">
        <f t="shared" si="105"/>
        <v>1001.66</v>
      </c>
    </row>
    <row r="299" spans="2:11" s="76" customFormat="1" ht="30">
      <c r="B299" s="12" t="s">
        <v>13169</v>
      </c>
      <c r="C299" s="114">
        <f>QUANT!C730</f>
        <v>89628</v>
      </c>
      <c r="D299" s="114" t="str">
        <f>QUANT!D730</f>
        <v>SINAPI</v>
      </c>
      <c r="E299" s="80" t="str">
        <f>IFERROR(VLOOKUP($C299,'SINAPI JULHO 2021'!$1:$1048576,2,0),IFERROR(VLOOKUP($C299,'5-COMP. PROPRIA'!$B$1:$I$7981,4,0),""))</f>
        <v>TE, PVC, SOLDÁVEL, DN 60MM, INSTALADO EM PRUMADA DE ÁGUA - FORNECIMENTO E INSTALAÇÃO. AF_12/2014</v>
      </c>
      <c r="F299" s="81" t="str">
        <f>IFERROR(VLOOKUP($C299,'SINAPI JULHO 2021'!$A:$D,3,0),IFERROR(VLOOKUP($C299,'5-COMP. PROPRIA'!$B$1:$I$7981,5,0),""))</f>
        <v>UN</v>
      </c>
      <c r="G299" s="129">
        <f>QUANT!K730</f>
        <v>8</v>
      </c>
      <c r="H299" s="200">
        <f>IFERROR(VLOOKUP($C299,'SINAPI JULHO 2021'!$A:$D,4,0),IFERROR(VLOOKUP($C299,'5-COMP. PROPRIA'!$B$1:$I$7981,8,0),""))</f>
        <v>41.11</v>
      </c>
      <c r="I299" s="200">
        <f>H299*'4-BDI'!$E$29</f>
        <v>52.719464000000002</v>
      </c>
      <c r="J299" s="201">
        <f t="shared" si="104"/>
        <v>328.88</v>
      </c>
      <c r="K299" s="123">
        <f t="shared" si="105"/>
        <v>421.75</v>
      </c>
    </row>
    <row r="300" spans="2:11" s="76" customFormat="1" ht="30">
      <c r="B300" s="12" t="s">
        <v>13170</v>
      </c>
      <c r="C300" s="114">
        <f>QUANT!C731</f>
        <v>89629</v>
      </c>
      <c r="D300" s="114" t="str">
        <f>QUANT!D731</f>
        <v>SINAPI</v>
      </c>
      <c r="E300" s="80" t="str">
        <f>IFERROR(VLOOKUP($C300,'SINAPI JULHO 2021'!$1:$1048576,2,0),IFERROR(VLOOKUP($C300,'5-COMP. PROPRIA'!$B$1:$I$7981,4,0),""))</f>
        <v>TE, PVC, SOLDÁVEL, DN 75MM, INSTALADO EM PRUMADA DE ÁGUA - FORNECIMENTO E INSTALAÇÃO. AF_12/2014</v>
      </c>
      <c r="F300" s="81" t="str">
        <f>IFERROR(VLOOKUP($C300,'SINAPI JULHO 2021'!$A:$D,3,0),IFERROR(VLOOKUP($C300,'5-COMP. PROPRIA'!$B$1:$I$7981,5,0),""))</f>
        <v>UN</v>
      </c>
      <c r="G300" s="129">
        <f>QUANT!K731</f>
        <v>5</v>
      </c>
      <c r="H300" s="200">
        <f>IFERROR(VLOOKUP($C300,'SINAPI JULHO 2021'!$A:$D,4,0),IFERROR(VLOOKUP($C300,'5-COMP. PROPRIA'!$B$1:$I$7981,8,0),""))</f>
        <v>76.41</v>
      </c>
      <c r="I300" s="200">
        <f>H300*'4-BDI'!$E$29</f>
        <v>97.98818399999999</v>
      </c>
      <c r="J300" s="201">
        <f t="shared" si="104"/>
        <v>382.05</v>
      </c>
      <c r="K300" s="123">
        <f t="shared" si="105"/>
        <v>489.94</v>
      </c>
    </row>
    <row r="301" spans="2:11" s="76" customFormat="1" ht="30">
      <c r="B301" s="12" t="s">
        <v>13171</v>
      </c>
      <c r="C301" s="114">
        <f>QUANT!C732</f>
        <v>94699</v>
      </c>
      <c r="D301" s="114" t="str">
        <f>QUANT!D732</f>
        <v>SINAPI</v>
      </c>
      <c r="E301" s="80" t="str">
        <f>IFERROR(VLOOKUP($C301,'SINAPI JULHO 2021'!$1:$1048576,2,0),IFERROR(VLOOKUP($C301,'5-COMP. PROPRIA'!$B$1:$I$7981,4,0),""))</f>
        <v>TÊ, PVC, SOLDÁVEL, DN 85 MM INSTALADO EM RESERVAÇÃO DE ÁGUA DE EDIFICAÇÃO QUE POSSUA RESERVATÓRIO DE FIBRA/FIBROCIMENTO   FORNECIMENTO E INSTALAÇÃO. AF_06/2016</v>
      </c>
      <c r="F301" s="81" t="str">
        <f>IFERROR(VLOOKUP($C301,'SINAPI JULHO 2021'!$A:$D,3,0),IFERROR(VLOOKUP($C301,'5-COMP. PROPRIA'!$B$1:$I$7981,5,0),""))</f>
        <v>UN</v>
      </c>
      <c r="G301" s="129">
        <f>QUANT!K732</f>
        <v>1</v>
      </c>
      <c r="H301" s="200">
        <f>IFERROR(VLOOKUP($C301,'SINAPI JULHO 2021'!$A:$D,4,0),IFERROR(VLOOKUP($C301,'5-COMP. PROPRIA'!$B$1:$I$7981,8,0),""))</f>
        <v>137.04</v>
      </c>
      <c r="I301" s="200">
        <f>H301*'4-BDI'!$E$29</f>
        <v>175.74009599999999</v>
      </c>
      <c r="J301" s="201">
        <f t="shared" si="104"/>
        <v>137.04</v>
      </c>
      <c r="K301" s="123">
        <f t="shared" si="105"/>
        <v>175.74</v>
      </c>
    </row>
    <row r="302" spans="2:11" s="76" customFormat="1" ht="30">
      <c r="B302" s="12" t="s">
        <v>13172</v>
      </c>
      <c r="C302" s="114">
        <f>QUANT!C733</f>
        <v>89627</v>
      </c>
      <c r="D302" s="114" t="str">
        <f>QUANT!D733</f>
        <v>SINAPI</v>
      </c>
      <c r="E302" s="80" t="str">
        <f>IFERROR(VLOOKUP($C302,'SINAPI JULHO 2021'!$1:$1048576,2,0),IFERROR(VLOOKUP($C302,'5-COMP. PROPRIA'!$B$1:$I$7981,4,0),""))</f>
        <v>TÊ DE REDUÇÃO, PVC, SOLDÁVEL, DN 50MM X 25MM, INSTALADO EM PRUMADA DE ÁGUA - FORNECIMENTO E INSTALAÇÃO. AF_12/2014</v>
      </c>
      <c r="F302" s="81" t="str">
        <f>IFERROR(VLOOKUP($C302,'SINAPI JULHO 2021'!$A:$D,3,0),IFERROR(VLOOKUP($C302,'5-COMP. PROPRIA'!$B$1:$I$7981,5,0),""))</f>
        <v>UN</v>
      </c>
      <c r="G302" s="129">
        <f>QUANT!K733</f>
        <v>1</v>
      </c>
      <c r="H302" s="200">
        <f>IFERROR(VLOOKUP($C302,'SINAPI JULHO 2021'!$A:$D,4,0),IFERROR(VLOOKUP($C302,'5-COMP. PROPRIA'!$B$1:$I$7981,8,0),""))</f>
        <v>17.87</v>
      </c>
      <c r="I302" s="200">
        <f>H302*'4-BDI'!$E$29</f>
        <v>22.916488000000001</v>
      </c>
      <c r="J302" s="201">
        <f t="shared" si="104"/>
        <v>17.87</v>
      </c>
      <c r="K302" s="123">
        <f t="shared" si="105"/>
        <v>22.91</v>
      </c>
    </row>
    <row r="303" spans="2:11" s="76" customFormat="1" ht="30">
      <c r="B303" s="12" t="s">
        <v>13173</v>
      </c>
      <c r="C303" s="114">
        <f>QUANT!C734</f>
        <v>89630</v>
      </c>
      <c r="D303" s="114" t="str">
        <f>QUANT!D734</f>
        <v>SINAPI</v>
      </c>
      <c r="E303" s="80" t="str">
        <f>IFERROR(VLOOKUP($C303,'SINAPI JULHO 2021'!$1:$1048576,2,0),IFERROR(VLOOKUP($C303,'5-COMP. PROPRIA'!$B$1:$I$7981,4,0),""))</f>
        <v>TE DE REDUÇÃO, PVC, SOLDÁVEL, DN 75MM X 50MM, INSTALADO EM PRUMADA DE ÁGUA - FORNECIMENTO E INSTALAÇÃO. AF_12/2014</v>
      </c>
      <c r="F303" s="81" t="str">
        <f>IFERROR(VLOOKUP($C303,'SINAPI JULHO 2021'!$A:$D,3,0),IFERROR(VLOOKUP($C303,'5-COMP. PROPRIA'!$B$1:$I$7981,5,0),""))</f>
        <v>UN</v>
      </c>
      <c r="G303" s="129">
        <f>QUANT!K734</f>
        <v>3</v>
      </c>
      <c r="H303" s="200">
        <f>IFERROR(VLOOKUP($C303,'SINAPI JULHO 2021'!$A:$D,4,0),IFERROR(VLOOKUP($C303,'5-COMP. PROPRIA'!$B$1:$I$7981,8,0),""))</f>
        <v>66</v>
      </c>
      <c r="I303" s="200">
        <f>H303*'4-BDI'!$E$29</f>
        <v>84.638400000000004</v>
      </c>
      <c r="J303" s="201">
        <f t="shared" si="104"/>
        <v>198</v>
      </c>
      <c r="K303" s="123">
        <f t="shared" si="105"/>
        <v>253.91</v>
      </c>
    </row>
    <row r="304" spans="2:11" s="76" customFormat="1" ht="45">
      <c r="B304" s="12" t="s">
        <v>13174</v>
      </c>
      <c r="C304" s="114">
        <f>QUANT!C735</f>
        <v>94698</v>
      </c>
      <c r="D304" s="114" t="str">
        <f>QUANT!D735</f>
        <v>SINAPI</v>
      </c>
      <c r="E304" s="80" t="str">
        <f>IFERROR(VLOOKUP($C304,'SINAPI JULHO 2021'!$1:$1048576,2,0),IFERROR(VLOOKUP($C304,'5-COMP. PROPRIA'!$B$1:$I$7981,4,0),""))</f>
        <v>TÊ DE REDUÇÃO, PVC, SOLDÁVEL, DN 75 MM X 50 MM, INSTALADO EM RESERVAÇÃO DE ÁGUA DE EDIFICAÇÃO QUE POSSUA RESERVATÓRIO DE FIBRA/FIBROCIMENTO   FORNECIMENTO E INSTALAÇÃO. AF_06/2016</v>
      </c>
      <c r="F304" s="81" t="str">
        <f>IFERROR(VLOOKUP($C304,'SINAPI JULHO 2021'!$A:$D,3,0),IFERROR(VLOOKUP($C304,'5-COMP. PROPRIA'!$B$1:$I$7981,5,0),""))</f>
        <v>UN</v>
      </c>
      <c r="G304" s="129">
        <f>QUANT!K735</f>
        <v>2</v>
      </c>
      <c r="H304" s="200">
        <f>IFERROR(VLOOKUP($C304,'SINAPI JULHO 2021'!$A:$D,4,0),IFERROR(VLOOKUP($C304,'5-COMP. PROPRIA'!$B$1:$I$7981,8,0),""))</f>
        <v>70.92</v>
      </c>
      <c r="I304" s="200">
        <f>H304*'4-BDI'!$E$29</f>
        <v>90.947807999999995</v>
      </c>
      <c r="J304" s="201">
        <f t="shared" si="104"/>
        <v>141.84</v>
      </c>
      <c r="K304" s="123">
        <f t="shared" si="105"/>
        <v>181.89</v>
      </c>
    </row>
    <row r="305" spans="2:11" s="76" customFormat="1" ht="45">
      <c r="B305" s="12" t="s">
        <v>13175</v>
      </c>
      <c r="C305" s="114">
        <f>QUANT!C736</f>
        <v>94700</v>
      </c>
      <c r="D305" s="114" t="str">
        <f>QUANT!D736</f>
        <v>SINAPI</v>
      </c>
      <c r="E305" s="80" t="str">
        <f>IFERROR(VLOOKUP($C305,'SINAPI JULHO 2021'!$1:$1048576,2,0),IFERROR(VLOOKUP($C305,'5-COMP. PROPRIA'!$B$1:$I$7981,4,0),""))</f>
        <v>TÊ DE REDUÇÃO, PVC, SOLDÁVEL, DN 85 MM X 60 MM, INSTALADO EM RESERVAÇÃO DE ÁGUA DE EDIFICAÇÃO QUE POSSUA RESERVATÓRIO DE FIBRA/FIBROCIMENTO   FORNECIMENTO E INSTALAÇÃO. AF_06/2016</v>
      </c>
      <c r="F305" s="81" t="str">
        <f>IFERROR(VLOOKUP($C305,'SINAPI JULHO 2021'!$A:$D,3,0),IFERROR(VLOOKUP($C305,'5-COMP. PROPRIA'!$B$1:$I$7981,5,0),""))</f>
        <v>UN</v>
      </c>
      <c r="G305" s="129">
        <f>QUANT!K736</f>
        <v>1</v>
      </c>
      <c r="H305" s="200">
        <f>IFERROR(VLOOKUP($C305,'SINAPI JULHO 2021'!$A:$D,4,0),IFERROR(VLOOKUP($C305,'5-COMP. PROPRIA'!$B$1:$I$7981,8,0),""))</f>
        <v>115.74</v>
      </c>
      <c r="I305" s="200">
        <f>H305*'4-BDI'!$E$29</f>
        <v>148.42497599999999</v>
      </c>
      <c r="J305" s="201">
        <f t="shared" si="104"/>
        <v>115.74</v>
      </c>
      <c r="K305" s="123">
        <f t="shared" si="105"/>
        <v>148.41999999999999</v>
      </c>
    </row>
    <row r="306" spans="2:11" s="76" customFormat="1" ht="30">
      <c r="B306" s="12" t="s">
        <v>13176</v>
      </c>
      <c r="C306" s="114">
        <f>QUANT!C737</f>
        <v>89594</v>
      </c>
      <c r="D306" s="114" t="str">
        <f>QUANT!D737</f>
        <v>SINAPI</v>
      </c>
      <c r="E306" s="80" t="str">
        <f>IFERROR(VLOOKUP($C306,'SINAPI JULHO 2021'!$1:$1048576,2,0),IFERROR(VLOOKUP($C306,'5-COMP. PROPRIA'!$B$1:$I$7981,4,0),""))</f>
        <v>UNIÃO, PVC, SOLDÁVEL, DN 50MM, INSTALADO EM PRUMADA DE ÁGUA - FORNECIMENTO E INSTALAÇÃO. AF_12/2014</v>
      </c>
      <c r="F306" s="81" t="str">
        <f>IFERROR(VLOOKUP($C306,'SINAPI JULHO 2021'!$A:$D,3,0),IFERROR(VLOOKUP($C306,'5-COMP. PROPRIA'!$B$1:$I$7981,5,0),""))</f>
        <v>UN</v>
      </c>
      <c r="G306" s="129">
        <f>QUANT!K737</f>
        <v>5</v>
      </c>
      <c r="H306" s="200">
        <f>IFERROR(VLOOKUP($C306,'SINAPI JULHO 2021'!$A:$D,4,0),IFERROR(VLOOKUP($C306,'5-COMP. PROPRIA'!$B$1:$I$7981,8,0),""))</f>
        <v>35.659999999999997</v>
      </c>
      <c r="I306" s="200">
        <f>H306*'4-BDI'!$E$29</f>
        <v>45.730383999999994</v>
      </c>
      <c r="J306" s="201">
        <f t="shared" si="104"/>
        <v>178.3</v>
      </c>
      <c r="K306" s="123">
        <f t="shared" si="105"/>
        <v>228.65</v>
      </c>
    </row>
    <row r="307" spans="2:11" s="76" customFormat="1" ht="30">
      <c r="B307" s="12" t="s">
        <v>13177</v>
      </c>
      <c r="C307" s="114">
        <f>QUANT!C738</f>
        <v>89536</v>
      </c>
      <c r="D307" s="114" t="str">
        <f>QUANT!D738</f>
        <v>SINAPI</v>
      </c>
      <c r="E307" s="80" t="str">
        <f>IFERROR(VLOOKUP($C307,'SINAPI JULHO 2021'!$1:$1048576,2,0),IFERROR(VLOOKUP($C307,'5-COMP. PROPRIA'!$B$1:$I$7981,4,0),""))</f>
        <v>UNIÃO, PVC, SOLDÁVEL, DN 25MM, INSTALADO EM PRUMADA DE ÁGUA - FORNECIMENTO E INSTALAÇÃO. AF_12/2014</v>
      </c>
      <c r="F307" s="81" t="str">
        <f>IFERROR(VLOOKUP($C307,'SINAPI JULHO 2021'!$A:$D,3,0),IFERROR(VLOOKUP($C307,'5-COMP. PROPRIA'!$B$1:$I$7981,5,0),""))</f>
        <v>UN</v>
      </c>
      <c r="G307" s="129">
        <f>QUANT!K738</f>
        <v>2</v>
      </c>
      <c r="H307" s="200">
        <f>IFERROR(VLOOKUP($C307,'SINAPI JULHO 2021'!$A:$D,4,0),IFERROR(VLOOKUP($C307,'5-COMP. PROPRIA'!$B$1:$I$7981,8,0),""))</f>
        <v>11.15</v>
      </c>
      <c r="I307" s="200">
        <f>H307*'4-BDI'!$E$29</f>
        <v>14.29876</v>
      </c>
      <c r="J307" s="201">
        <f t="shared" si="104"/>
        <v>22.3</v>
      </c>
      <c r="K307" s="123">
        <f t="shared" si="105"/>
        <v>28.59</v>
      </c>
    </row>
    <row r="308" spans="2:11" s="76" customFormat="1" ht="30">
      <c r="B308" s="12" t="s">
        <v>13178</v>
      </c>
      <c r="C308" s="114">
        <f>QUANT!C739</f>
        <v>95676</v>
      </c>
      <c r="D308" s="114" t="str">
        <f>QUANT!D739</f>
        <v>SINAPI</v>
      </c>
      <c r="E308" s="80" t="str">
        <f>IFERROR(VLOOKUP($C308,'SINAPI JULHO 2021'!$1:$1048576,2,0),IFERROR(VLOOKUP($C308,'5-COMP. PROPRIA'!$B$1:$I$7981,4,0),""))</f>
        <v>CAIXA EM CONCRETO PRÉ-MOLDADO PARA ABRIGO DE HIDRÔMETRO COM DN 20 (½)  FORNECIMENTO E INSTALAÇÃO. AF_11/2016</v>
      </c>
      <c r="F308" s="81" t="str">
        <f>IFERROR(VLOOKUP($C308,'SINAPI JULHO 2021'!$A:$D,3,0),IFERROR(VLOOKUP($C308,'5-COMP. PROPRIA'!$B$1:$I$7981,5,0),""))</f>
        <v>UN</v>
      </c>
      <c r="G308" s="129">
        <f>QUANT!K739</f>
        <v>3</v>
      </c>
      <c r="H308" s="200">
        <f>IFERROR(VLOOKUP($C308,'SINAPI JULHO 2021'!$A:$D,4,0),IFERROR(VLOOKUP($C308,'5-COMP. PROPRIA'!$B$1:$I$7981,8,0),""))</f>
        <v>108.75</v>
      </c>
      <c r="I308" s="200">
        <f>H308*'4-BDI'!$E$29</f>
        <v>139.46099999999998</v>
      </c>
      <c r="J308" s="201">
        <f t="shared" ref="J308:J311" si="106">TRUNC(G308*H308,2)</f>
        <v>326.25</v>
      </c>
      <c r="K308" s="123">
        <f t="shared" ref="K308:K311" si="107">TRUNC(G308*I308,2)</f>
        <v>418.38</v>
      </c>
    </row>
    <row r="309" spans="2:11" s="76" customFormat="1" ht="105">
      <c r="B309" s="12" t="s">
        <v>13179</v>
      </c>
      <c r="C309" s="114" t="str">
        <f>QUANT!C740</f>
        <v>CP-RES-01</v>
      </c>
      <c r="D309" s="114" t="str">
        <f>QUANT!D740</f>
        <v>PRÓPRIA</v>
      </c>
      <c r="E309" s="80" t="str">
        <f>IFERROR(VLOOKUP($C309,'SINAPI JULHO 2021'!$1:$1048576,2,0),IFERROR(VLOOKUP($C309,'5-COMP. PROPRIA'!$B$1:$I$7981,4,0),""))</f>
        <v>FORNECIMENTO E MONTAGEM DE RESERVATÓRIO METALICO TIPO TAÇA; CAP. 40.000L, COM AS SEGUINTES DIMENSÕES: -COLUNA SECA: Ø 1,45 X 7,50M; -RESERVA: Ø 2,90M x 6,00M; -CONE: 0,45M DE ALTURA; -ALTURA TOTAL: 13,95M;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 E SPDA.</v>
      </c>
      <c r="F309" s="81" t="str">
        <f>IFERROR(VLOOKUP($C309,'SINAPI JULHO 2021'!$A:$D,3,0),IFERROR(VLOOKUP($C309,'5-COMP. PROPRIA'!$B$1:$I$7981,5,0),""))</f>
        <v xml:space="preserve">UN    </v>
      </c>
      <c r="G309" s="129">
        <f>QUANT!K740</f>
        <v>1</v>
      </c>
      <c r="H309" s="200">
        <f>IFERROR(VLOOKUP($C309,'SINAPI JULHO 2021'!$A:$D,4,0),IFERROR(VLOOKUP($C309,'5-COMP. PROPRIA'!$B$1:$I$7981,8,0),""))</f>
        <v>94307.17</v>
      </c>
      <c r="I309" s="200">
        <f>H309*'4-BDI'!$E$29</f>
        <v>120939.51480799999</v>
      </c>
      <c r="J309" s="201">
        <f t="shared" si="106"/>
        <v>94307.17</v>
      </c>
      <c r="K309" s="123">
        <f t="shared" si="107"/>
        <v>120939.51</v>
      </c>
    </row>
    <row r="310" spans="2:11" s="76" customFormat="1" ht="75">
      <c r="B310" s="12" t="s">
        <v>13180</v>
      </c>
      <c r="C310" s="114" t="str">
        <f>QUANT!C741</f>
        <v>CP-RES-02</v>
      </c>
      <c r="D310" s="114" t="str">
        <f>QUANT!D741</f>
        <v>PRÓPRIA</v>
      </c>
      <c r="E310" s="80" t="str">
        <f>IFERROR(VLOOKUP($C310,'SINAPI JULHO 2021'!$1:$1048576,2,0),IFERROR(VLOOKUP($C310,'5-COMP. PROPRIA'!$B$1:$I$7981,4,0),""))</f>
        <v>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v>
      </c>
      <c r="F310" s="81" t="str">
        <f>IFERROR(VLOOKUP($C310,'SINAPI JULHO 2021'!$A:$D,3,0),IFERROR(VLOOKUP($C310,'5-COMP. PROPRIA'!$B$1:$I$7981,5,0),""))</f>
        <v xml:space="preserve">UN    </v>
      </c>
      <c r="G310" s="129">
        <f>QUANT!K741</f>
        <v>1</v>
      </c>
      <c r="H310" s="200">
        <f>IFERROR(VLOOKUP($C310,'SINAPI JULHO 2021'!$A:$D,4,0),IFERROR(VLOOKUP($C310,'5-COMP. PROPRIA'!$B$1:$I$7981,8,0),""))</f>
        <v>45235.93</v>
      </c>
      <c r="I310" s="200">
        <f>H310*'4-BDI'!$E$29</f>
        <v>58010.556632</v>
      </c>
      <c r="J310" s="201">
        <f t="shared" si="106"/>
        <v>45235.93</v>
      </c>
      <c r="K310" s="123">
        <f t="shared" si="107"/>
        <v>58010.55</v>
      </c>
    </row>
    <row r="311" spans="2:11" s="76" customFormat="1" ht="30">
      <c r="B311" s="12" t="s">
        <v>13181</v>
      </c>
      <c r="C311" s="114" t="str">
        <f>QUANT!C742</f>
        <v>CP-RES-03</v>
      </c>
      <c r="D311" s="114" t="str">
        <f>QUANT!D742</f>
        <v>PRÓPRIA</v>
      </c>
      <c r="E311" s="80" t="str">
        <f>IFERROR(VLOOKUP($C311,'SINAPI JULHO 2021'!$1:$1048576,2,0),IFERROR(VLOOKUP($C311,'5-COMP. PROPRIA'!$B$1:$I$7981,4,0),""))</f>
        <v>FORNECIMENTO E INSTALAÇÃO DE CASA DE BOMBA (HIDRANTES/RESERVATÓRIO) DE 2,00X1,50 INCLUSIVE BOMBAS COM PAINEL DE CONTROLE - FORNECIMENTO E INSTALAÇÃO</v>
      </c>
      <c r="F311" s="81" t="str">
        <f>IFERROR(VLOOKUP($C311,'SINAPI JULHO 2021'!$A:$D,3,0),IFERROR(VLOOKUP($C311,'5-COMP. PROPRIA'!$B$1:$I$7981,5,0),""))</f>
        <v>UN</v>
      </c>
      <c r="G311" s="129">
        <f>QUANT!K742</f>
        <v>1</v>
      </c>
      <c r="H311" s="200">
        <f>IFERROR(VLOOKUP($C311,'SINAPI JULHO 2021'!$A:$D,4,0),IFERROR(VLOOKUP($C311,'5-COMP. PROPRIA'!$B$1:$I$7981,8,0),""))</f>
        <v>15331.51</v>
      </c>
      <c r="I311" s="200">
        <f>H311*'4-BDI'!$E$29</f>
        <v>19661.128423999999</v>
      </c>
      <c r="J311" s="201">
        <f t="shared" si="106"/>
        <v>15331.51</v>
      </c>
      <c r="K311" s="123">
        <f t="shared" si="107"/>
        <v>19661.12</v>
      </c>
    </row>
    <row r="312" spans="2:11" s="76" customFormat="1" ht="15">
      <c r="B312" s="222" t="s">
        <v>6285</v>
      </c>
      <c r="C312" s="223"/>
      <c r="D312" s="223"/>
      <c r="E312" s="225" t="str">
        <f>QUANT!E743</f>
        <v xml:space="preserve"> LOUÇAS E METÁIS </v>
      </c>
      <c r="F312" s="120"/>
      <c r="G312" s="129"/>
      <c r="H312" s="218"/>
      <c r="I312" s="200"/>
      <c r="J312" s="201"/>
      <c r="K312" s="123"/>
    </row>
    <row r="313" spans="2:11" s="76" customFormat="1" ht="30">
      <c r="B313" s="12" t="s">
        <v>6913</v>
      </c>
      <c r="C313" s="114">
        <f>QUANT!C744</f>
        <v>100860</v>
      </c>
      <c r="D313" s="114" t="str">
        <f>QUANT!D744</f>
        <v>SINAPI</v>
      </c>
      <c r="E313" s="80" t="str">
        <f>IFERROR(VLOOKUP($C313,'SINAPI JULHO 2021'!$1:$1048576,2,0),IFERROR(VLOOKUP($C313,'5-COMP. PROPRIA'!$B$1:$I$7981,4,0),""))</f>
        <v>CHUVEIRO ELÉTRICO COMUM CORPO PLÁSTICO, TIPO DUCHA  FORNECIMENTO E INSTALAÇÃO. AF_01/2020</v>
      </c>
      <c r="F313" s="81" t="str">
        <f>IFERROR(VLOOKUP($C313,'SINAPI JULHO 2021'!$A:$D,3,0),IFERROR(VLOOKUP($C313,'5-COMP. PROPRIA'!$B$1:$I$7981,5,0),""))</f>
        <v>UN</v>
      </c>
      <c r="G313" s="129">
        <f>QUANT!K744</f>
        <v>8</v>
      </c>
      <c r="H313" s="200">
        <f>IFERROR(VLOOKUP($C313,'SINAPI JULHO 2021'!$A:$D,4,0),IFERROR(VLOOKUP($C313,'5-COMP. PROPRIA'!$B$1:$I$7981,8,0),""))</f>
        <v>78.95</v>
      </c>
      <c r="I313" s="200">
        <f>H313*'4-BDI'!$E$29</f>
        <v>101.24548</v>
      </c>
      <c r="J313" s="201">
        <f>TRUNC(G313*H313,2)</f>
        <v>631.6</v>
      </c>
      <c r="K313" s="123">
        <f>TRUNC(G313*I313,2)</f>
        <v>809.96</v>
      </c>
    </row>
    <row r="314" spans="2:11" s="76" customFormat="1" ht="45">
      <c r="B314" s="12" t="s">
        <v>6914</v>
      </c>
      <c r="C314" s="114">
        <f>QUANT!C745</f>
        <v>86920</v>
      </c>
      <c r="D314" s="114" t="str">
        <f>QUANT!D745</f>
        <v>SINAPI</v>
      </c>
      <c r="E314" s="80" t="str">
        <f>IFERROR(VLOOKUP($C314,'SINAPI JULHO 2021'!$1:$1048576,2,0),IFERROR(VLOOKUP($C314,'5-COMP. PROPRIA'!$B$1:$I$7981,4,0),""))</f>
        <v>TANQUE DE LOUÇA BRANCA COM COLUNA, 30L OU EQUIVALENTE, INCLUSO SIFÃO FLEXÍVEL EM PVC, VÁLVULA PLÁSTICA E TORNEIRA DE METAL CROMADO PADRÃO POPULAR - FORNECIMENTO E INSTALAÇÃO. AF_01/2020</v>
      </c>
      <c r="F314" s="81" t="str">
        <f>IFERROR(VLOOKUP($C314,'SINAPI JULHO 2021'!$A:$D,3,0),IFERROR(VLOOKUP($C314,'5-COMP. PROPRIA'!$B$1:$I$7981,5,0),""))</f>
        <v>UN</v>
      </c>
      <c r="G314" s="129">
        <f>QUANT!K745</f>
        <v>4</v>
      </c>
      <c r="H314" s="200">
        <f>IFERROR(VLOOKUP($C314,'SINAPI JULHO 2021'!$A:$D,4,0),IFERROR(VLOOKUP($C314,'5-COMP. PROPRIA'!$B$1:$I$7981,8,0),""))</f>
        <v>582.52</v>
      </c>
      <c r="I314" s="200">
        <f>H314*'4-BDI'!$E$29</f>
        <v>747.02364799999998</v>
      </c>
      <c r="J314" s="201">
        <f t="shared" ref="J314:J325" si="108">TRUNC(G314*H314,2)</f>
        <v>2330.08</v>
      </c>
      <c r="K314" s="123">
        <f t="shared" ref="K314:K325" si="109">TRUNC(G314*I314,2)</f>
        <v>2988.09</v>
      </c>
    </row>
    <row r="315" spans="2:11" s="76" customFormat="1" ht="30">
      <c r="B315" s="12" t="s">
        <v>6915</v>
      </c>
      <c r="C315" s="114">
        <f>QUANT!C746</f>
        <v>86938</v>
      </c>
      <c r="D315" s="114" t="str">
        <f>QUANT!D746</f>
        <v>SINAPI</v>
      </c>
      <c r="E315" s="80" t="str">
        <f>IFERROR(VLOOKUP($C315,'SINAPI JULHO 2021'!$1:$1048576,2,0),IFERROR(VLOOKUP($C315,'5-COMP. PROPRIA'!$B$1:$I$7981,4,0),""))</f>
        <v>CUBA DE EMBUTIR OVAL EM LOUÇA BRANCA, 35 X 50CM OU EQUIVALENTE, INCLUSO VÁLVULA E SIFÃO TIPO GARRAFA EM METAL CROMADO - FORNECIMENTO E INSTALAÇÃO. AF_01/2020</v>
      </c>
      <c r="F315" s="81" t="str">
        <f>IFERROR(VLOOKUP($C315,'SINAPI JULHO 2021'!$A:$D,3,0),IFERROR(VLOOKUP($C315,'5-COMP. PROPRIA'!$B$1:$I$7981,5,0),""))</f>
        <v>UN</v>
      </c>
      <c r="G315" s="129">
        <f>QUANT!K746</f>
        <v>27</v>
      </c>
      <c r="H315" s="200">
        <f>IFERROR(VLOOKUP($C315,'SINAPI JULHO 2021'!$A:$D,4,0),IFERROR(VLOOKUP($C315,'5-COMP. PROPRIA'!$B$1:$I$7981,8,0),""))</f>
        <v>300.61</v>
      </c>
      <c r="I315" s="200">
        <f>H315*'4-BDI'!$E$29</f>
        <v>385.50226400000003</v>
      </c>
      <c r="J315" s="201">
        <f t="shared" si="108"/>
        <v>8116.47</v>
      </c>
      <c r="K315" s="123">
        <f t="shared" si="109"/>
        <v>10408.56</v>
      </c>
    </row>
    <row r="316" spans="2:11" s="76" customFormat="1" ht="30">
      <c r="B316" s="12" t="s">
        <v>6916</v>
      </c>
      <c r="C316" s="114">
        <f>QUANT!C747</f>
        <v>86936</v>
      </c>
      <c r="D316" s="114" t="str">
        <f>QUANT!D747</f>
        <v>SINAPI</v>
      </c>
      <c r="E316" s="80" t="str">
        <f>IFERROR(VLOOKUP($C316,'SINAPI JULHO 2021'!$1:$1048576,2,0),IFERROR(VLOOKUP($C316,'5-COMP. PROPRIA'!$B$1:$I$7981,4,0),""))</f>
        <v>CUBA DE EMBUTIR DE AÇO INOXIDÁVEL MÉDIA, INCLUSO VÁLVULA TIPO AMERICANA E SIFÃO TIPO GARRAFA EM METAL CROMADO - FORNECIMENTO E INSTALAÇÃO. AF_01/2020</v>
      </c>
      <c r="F316" s="81" t="str">
        <f>IFERROR(VLOOKUP($C316,'SINAPI JULHO 2021'!$A:$D,3,0),IFERROR(VLOOKUP($C316,'5-COMP. PROPRIA'!$B$1:$I$7981,5,0),""))</f>
        <v>UN</v>
      </c>
      <c r="G316" s="129">
        <f>QUANT!K747</f>
        <v>6</v>
      </c>
      <c r="H316" s="200">
        <f>IFERROR(VLOOKUP($C316,'SINAPI JULHO 2021'!$A:$D,4,0),IFERROR(VLOOKUP($C316,'5-COMP. PROPRIA'!$B$1:$I$7981,8,0),""))</f>
        <v>405.66</v>
      </c>
      <c r="I316" s="200">
        <f>H316*'4-BDI'!$E$29</f>
        <v>520.21838400000001</v>
      </c>
      <c r="J316" s="201">
        <f t="shared" si="108"/>
        <v>2433.96</v>
      </c>
      <c r="K316" s="123">
        <f t="shared" si="109"/>
        <v>3121.31</v>
      </c>
    </row>
    <row r="317" spans="2:11" s="76" customFormat="1" ht="30">
      <c r="B317" s="12" t="s">
        <v>6917</v>
      </c>
      <c r="C317" s="114" t="str">
        <f>QUANT!C748</f>
        <v>CP-HID-01</v>
      </c>
      <c r="D317" s="114" t="str">
        <f>QUANT!D748</f>
        <v>PRÓPRIA</v>
      </c>
      <c r="E317" s="80" t="str">
        <f>IFERROR(VLOOKUP($C317,'SINAPI JULHO 2021'!$1:$1048576,2,0),IFERROR(VLOOKUP($C317,'5-COMP. PROPRIA'!$B$1:$I$7981,4,0),""))</f>
        <v>MICTÓRIO COLETIVO ACO INOX (AISI 304), E = 0,8 MM, DE *100 X 50 X 35* CM (C X A X P), ENGATE FLEXIVEL EM INOX E SIFÃO CROMADO TIPO GARRAFA - FORNECIMENTO E INSTALAÇÃO</v>
      </c>
      <c r="F317" s="81" t="str">
        <f>IFERROR(VLOOKUP($C317,'SINAPI JULHO 2021'!$A:$D,3,0),IFERROR(VLOOKUP($C317,'5-COMP. PROPRIA'!$B$1:$I$7981,5,0),""))</f>
        <v xml:space="preserve">UN    </v>
      </c>
      <c r="G317" s="129">
        <f>QUANT!K748</f>
        <v>4</v>
      </c>
      <c r="H317" s="200">
        <f>IFERROR(VLOOKUP($C317,'SINAPI JULHO 2021'!$A:$D,4,0),IFERROR(VLOOKUP($C317,'5-COMP. PROPRIA'!$B$1:$I$7981,8,0),""))</f>
        <v>991.67</v>
      </c>
      <c r="I317" s="200">
        <f>H317*'4-BDI'!$E$29</f>
        <v>1271.7176079999999</v>
      </c>
      <c r="J317" s="201">
        <f t="shared" si="108"/>
        <v>3966.68</v>
      </c>
      <c r="K317" s="123">
        <f t="shared" si="109"/>
        <v>5086.87</v>
      </c>
    </row>
    <row r="318" spans="2:11" s="76" customFormat="1" ht="45">
      <c r="B318" s="12" t="s">
        <v>6918</v>
      </c>
      <c r="C318" s="114">
        <f>QUANT!C749</f>
        <v>95472</v>
      </c>
      <c r="D318" s="114" t="str">
        <f>QUANT!D749</f>
        <v>SINAPI</v>
      </c>
      <c r="E318" s="80" t="str">
        <f>IFERROR(VLOOKUP($C318,'SINAPI JULHO 2021'!$1:$1048576,2,0),IFERROR(VLOOKUP($C318,'5-COMP. PROPRIA'!$B$1:$I$7981,4,0),""))</f>
        <v>VASO SANITARIO SIFONADO CONVENCIONAL PARA PCD SEM FURO FRONTAL COM LOUÇA BRANCA SEM ASSENTO, INCLUSO CONJUNTO DE LIGAÇÃO PARA BACIA SANITÁRIA AJUSTÁVEL - FORNECIMENTO E INSTALAÇÃO. AF_01/2020</v>
      </c>
      <c r="F318" s="81" t="str">
        <f>IFERROR(VLOOKUP($C318,'SINAPI JULHO 2021'!$A:$D,3,0),IFERROR(VLOOKUP($C318,'5-COMP. PROPRIA'!$B$1:$I$7981,5,0),""))</f>
        <v>UN</v>
      </c>
      <c r="G318" s="129">
        <f>QUANT!K749</f>
        <v>4</v>
      </c>
      <c r="H318" s="200">
        <f>IFERROR(VLOOKUP($C318,'SINAPI JULHO 2021'!$A:$D,4,0),IFERROR(VLOOKUP($C318,'5-COMP. PROPRIA'!$B$1:$I$7981,8,0),""))</f>
        <v>596.79999999999995</v>
      </c>
      <c r="I318" s="200">
        <f>H318*'4-BDI'!$E$29</f>
        <v>765.33631999999989</v>
      </c>
      <c r="J318" s="201">
        <f t="shared" si="108"/>
        <v>2387.1999999999998</v>
      </c>
      <c r="K318" s="123">
        <f t="shared" si="109"/>
        <v>3061.34</v>
      </c>
    </row>
    <row r="319" spans="2:11" s="76" customFormat="1" ht="15">
      <c r="B319" s="12" t="s">
        <v>6919</v>
      </c>
      <c r="C319" s="114" t="str">
        <f>QUANT!C750</f>
        <v>CP-HID-02</v>
      </c>
      <c r="D319" s="114" t="str">
        <f>QUANT!D750</f>
        <v>PRÓPRIA</v>
      </c>
      <c r="E319" s="80" t="str">
        <f>IFERROR(VLOOKUP($C319,'SINAPI JULHO 2021'!$1:$1048576,2,0),IFERROR(VLOOKUP($C319,'5-COMP. PROPRIA'!$B$1:$I$7981,4,0),""))</f>
        <v>ASSENTO SANITÁRIO ELEVADO PARA PNE- FORNECIMENTO E INSTALAÇÃO</v>
      </c>
      <c r="F319" s="81" t="str">
        <f>IFERROR(VLOOKUP($C319,'SINAPI JULHO 2021'!$A:$D,3,0),IFERROR(VLOOKUP($C319,'5-COMP. PROPRIA'!$B$1:$I$7981,5,0),""))</f>
        <v xml:space="preserve">UN    </v>
      </c>
      <c r="G319" s="129">
        <f>QUANT!K750</f>
        <v>4</v>
      </c>
      <c r="H319" s="200">
        <f>IFERROR(VLOOKUP($C319,'SINAPI JULHO 2021'!$A:$D,4,0),IFERROR(VLOOKUP($C319,'5-COMP. PROPRIA'!$B$1:$I$7981,8,0),""))</f>
        <v>153.1</v>
      </c>
      <c r="I319" s="200">
        <f>H319*'4-BDI'!$E$29</f>
        <v>196.33543999999998</v>
      </c>
      <c r="J319" s="201">
        <f t="shared" si="108"/>
        <v>612.4</v>
      </c>
      <c r="K319" s="123">
        <f t="shared" si="109"/>
        <v>785.34</v>
      </c>
    </row>
    <row r="320" spans="2:11" s="76" customFormat="1" ht="30">
      <c r="B320" s="12" t="s">
        <v>6920</v>
      </c>
      <c r="C320" s="114">
        <f>QUANT!C751</f>
        <v>95470</v>
      </c>
      <c r="D320" s="114" t="str">
        <f>QUANT!D751</f>
        <v>SINAPI</v>
      </c>
      <c r="E320" s="80" t="str">
        <f>IFERROR(VLOOKUP($C320,'SINAPI JULHO 2021'!$1:$1048576,2,0),IFERROR(VLOOKUP($C320,'5-COMP. PROPRIA'!$B$1:$I$7981,4,0),""))</f>
        <v>VASO SANITARIO SIFONADO CONVENCIONAL COM LOUÇA BRANCA, INCLUSO CONJUNTO DE LIGAÇÃO PARA BACIA SANITÁRIA AJUSTÁVEL - FORNECIMENTO E INSTALAÇÃO. AF_10/2016</v>
      </c>
      <c r="F320" s="81" t="str">
        <f>IFERROR(VLOOKUP($C320,'SINAPI JULHO 2021'!$A:$D,3,0),IFERROR(VLOOKUP($C320,'5-COMP. PROPRIA'!$B$1:$I$7981,5,0),""))</f>
        <v>UN</v>
      </c>
      <c r="G320" s="129">
        <f>QUANT!K751</f>
        <v>19</v>
      </c>
      <c r="H320" s="200">
        <f>IFERROR(VLOOKUP($C320,'SINAPI JULHO 2021'!$A:$D,4,0),IFERROR(VLOOKUP($C320,'5-COMP. PROPRIA'!$B$1:$I$7981,8,0),""))</f>
        <v>227.23</v>
      </c>
      <c r="I320" s="200">
        <f>H320*'4-BDI'!$E$29</f>
        <v>291.39975199999998</v>
      </c>
      <c r="J320" s="201">
        <f t="shared" si="108"/>
        <v>4317.37</v>
      </c>
      <c r="K320" s="123">
        <f t="shared" si="109"/>
        <v>5536.59</v>
      </c>
    </row>
    <row r="321" spans="2:11" s="76" customFormat="1" ht="15">
      <c r="B321" s="12" t="s">
        <v>6921</v>
      </c>
      <c r="C321" s="114">
        <f>QUANT!C752</f>
        <v>100849</v>
      </c>
      <c r="D321" s="114" t="str">
        <f>QUANT!D752</f>
        <v>SINAPI</v>
      </c>
      <c r="E321" s="80" t="str">
        <f>IFERROR(VLOOKUP($C321,'SINAPI JULHO 2021'!$1:$1048576,2,0),IFERROR(VLOOKUP($C321,'5-COMP. PROPRIA'!$B$1:$I$7981,4,0),""))</f>
        <v>ASSENTO SANITÁRIO CONVENCIONAL - FORNECIMENTO E INSTALACAO. AF_01/2020</v>
      </c>
      <c r="F321" s="81" t="str">
        <f>IFERROR(VLOOKUP($C321,'SINAPI JULHO 2021'!$A:$D,3,0),IFERROR(VLOOKUP($C321,'5-COMP. PROPRIA'!$B$1:$I$7981,5,0),""))</f>
        <v>UN</v>
      </c>
      <c r="G321" s="129">
        <f>QUANT!K752</f>
        <v>19</v>
      </c>
      <c r="H321" s="200">
        <f>IFERROR(VLOOKUP($C321,'SINAPI JULHO 2021'!$A:$D,4,0),IFERROR(VLOOKUP($C321,'5-COMP. PROPRIA'!$B$1:$I$7981,8,0),""))</f>
        <v>41.88</v>
      </c>
      <c r="I321" s="200">
        <f>H321*'4-BDI'!$E$29</f>
        <v>53.706912000000003</v>
      </c>
      <c r="J321" s="201">
        <f t="shared" si="108"/>
        <v>795.72</v>
      </c>
      <c r="K321" s="123">
        <f t="shared" si="109"/>
        <v>1020.43</v>
      </c>
    </row>
    <row r="322" spans="2:11" s="76" customFormat="1" ht="15">
      <c r="B322" s="12" t="s">
        <v>6922</v>
      </c>
      <c r="C322" s="114">
        <f>QUANT!C753</f>
        <v>100848</v>
      </c>
      <c r="D322" s="114" t="str">
        <f>QUANT!D753</f>
        <v>SINAPI</v>
      </c>
      <c r="E322" s="80" t="str">
        <f>IFERROR(VLOOKUP($C322,'SINAPI JULHO 2021'!$1:$1048576,2,0),IFERROR(VLOOKUP($C322,'5-COMP. PROPRIA'!$B$1:$I$7981,4,0),""))</f>
        <v>VASO SANITÁRIO INFANTIL LOUÇA BRANCA - FORNECIMENTO E INSTALACAO. AF_01/2020</v>
      </c>
      <c r="F322" s="81" t="str">
        <f>IFERROR(VLOOKUP($C322,'SINAPI JULHO 2021'!$A:$D,3,0),IFERROR(VLOOKUP($C322,'5-COMP. PROPRIA'!$B$1:$I$7981,5,0),""))</f>
        <v>UN</v>
      </c>
      <c r="G322" s="129">
        <f>QUANT!K753</f>
        <v>4</v>
      </c>
      <c r="H322" s="200">
        <f>IFERROR(VLOOKUP($C322,'SINAPI JULHO 2021'!$A:$D,4,0),IFERROR(VLOOKUP($C322,'5-COMP. PROPRIA'!$B$1:$I$7981,8,0),""))</f>
        <v>420.81</v>
      </c>
      <c r="I322" s="200">
        <f>H322*'4-BDI'!$E$29</f>
        <v>539.64674400000001</v>
      </c>
      <c r="J322" s="201">
        <f t="shared" si="108"/>
        <v>1683.24</v>
      </c>
      <c r="K322" s="123">
        <f t="shared" si="109"/>
        <v>2158.58</v>
      </c>
    </row>
    <row r="323" spans="2:11" s="76" customFormat="1" ht="15">
      <c r="B323" s="12" t="s">
        <v>6923</v>
      </c>
      <c r="C323" s="114">
        <f>QUANT!C754</f>
        <v>100851</v>
      </c>
      <c r="D323" s="114" t="str">
        <f>QUANT!D754</f>
        <v>SINAPI</v>
      </c>
      <c r="E323" s="80" t="str">
        <f>IFERROR(VLOOKUP($C323,'SINAPI JULHO 2021'!$1:$1048576,2,0),IFERROR(VLOOKUP($C323,'5-COMP. PROPRIA'!$B$1:$I$7981,4,0),""))</f>
        <v>ASSENTO SANITÁRIO INFANTIL - FORNECIMENTO E INSTALACAO. AF_01/2020</v>
      </c>
      <c r="F323" s="81" t="str">
        <f>IFERROR(VLOOKUP($C323,'SINAPI JULHO 2021'!$A:$D,3,0),IFERROR(VLOOKUP($C323,'5-COMP. PROPRIA'!$B$1:$I$7981,5,0),""))</f>
        <v>UN</v>
      </c>
      <c r="G323" s="129">
        <f>QUANT!K754</f>
        <v>4</v>
      </c>
      <c r="H323" s="200">
        <f>IFERROR(VLOOKUP($C323,'SINAPI JULHO 2021'!$A:$D,4,0),IFERROR(VLOOKUP($C323,'5-COMP. PROPRIA'!$B$1:$I$7981,8,0),""))</f>
        <v>85.31</v>
      </c>
      <c r="I323" s="200">
        <f>H323*'4-BDI'!$E$29</f>
        <v>109.401544</v>
      </c>
      <c r="J323" s="201">
        <f t="shared" si="108"/>
        <v>341.24</v>
      </c>
      <c r="K323" s="123">
        <f t="shared" si="109"/>
        <v>437.6</v>
      </c>
    </row>
    <row r="324" spans="2:11" s="76" customFormat="1" ht="45">
      <c r="B324" s="12" t="s">
        <v>6924</v>
      </c>
      <c r="C324" s="114">
        <f>QUANT!C755</f>
        <v>86939</v>
      </c>
      <c r="D324" s="114" t="str">
        <f>QUANT!D755</f>
        <v>SINAPI</v>
      </c>
      <c r="E324" s="80" t="str">
        <f>IFERROR(VLOOKUP($C324,'SINAPI JULHO 2021'!$1:$1048576,2,0),IFERROR(VLOOKUP($C324,'5-COMP. PROPRIA'!$B$1:$I$7981,4,0),""))</f>
        <v>LAVATÓRIO LOUÇA BRANCA COM COLUNA, *44 X 35,5* CM, PADRÃO POPULAR, INCLUSO SIFÃO FLEXÍVEL EM PVC, VÁLVULA E ENGATE FLEXÍVEL 30CM EM PLÁSTICO E COM TORNEIRA CROMADA PADRÃO POPULAR - FORNECIMENTO E INSTALAÇÃO. AF_01/2020</v>
      </c>
      <c r="F324" s="81" t="str">
        <f>IFERROR(VLOOKUP($C324,'SINAPI JULHO 2021'!$A:$D,3,0),IFERROR(VLOOKUP($C324,'5-COMP. PROPRIA'!$B$1:$I$7981,5,0),""))</f>
        <v>UN</v>
      </c>
      <c r="G324" s="129">
        <f>QUANT!K755</f>
        <v>5</v>
      </c>
      <c r="H324" s="200">
        <f>IFERROR(VLOOKUP($C324,'SINAPI JULHO 2021'!$A:$D,4,0),IFERROR(VLOOKUP($C324,'5-COMP. PROPRIA'!$B$1:$I$7981,8,0),""))</f>
        <v>305.68</v>
      </c>
      <c r="I324" s="200">
        <f>H324*'4-BDI'!$E$29</f>
        <v>392.004032</v>
      </c>
      <c r="J324" s="201">
        <f t="shared" si="108"/>
        <v>1528.4</v>
      </c>
      <c r="K324" s="123">
        <f t="shared" si="109"/>
        <v>1960.02</v>
      </c>
    </row>
    <row r="325" spans="2:11" s="76" customFormat="1" ht="30">
      <c r="B325" s="12" t="s">
        <v>6963</v>
      </c>
      <c r="C325" s="114">
        <f>QUANT!C756</f>
        <v>86913</v>
      </c>
      <c r="D325" s="114" t="str">
        <f>QUANT!D756</f>
        <v>SINAPI</v>
      </c>
      <c r="E325" s="80" t="str">
        <f>IFERROR(VLOOKUP($C325,'SINAPI JULHO 2021'!$1:$1048576,2,0),IFERROR(VLOOKUP($C325,'5-COMP. PROPRIA'!$B$1:$I$7981,4,0),""))</f>
        <v>TORNEIRA CROMADA 1/2 OU 3/4 PARA TANQUE, PADRÃO POPULAR - FORNECIMENTO E INSTALAÇÃO. AF_01/2020</v>
      </c>
      <c r="F325" s="81" t="str">
        <f>IFERROR(VLOOKUP($C325,'SINAPI JULHO 2021'!$A:$D,3,0),IFERROR(VLOOKUP($C325,'5-COMP. PROPRIA'!$B$1:$I$7981,5,0),""))</f>
        <v>UN</v>
      </c>
      <c r="G325" s="129">
        <f>QUANT!K756</f>
        <v>4</v>
      </c>
      <c r="H325" s="200">
        <f>IFERROR(VLOOKUP($C325,'SINAPI JULHO 2021'!$A:$D,4,0),IFERROR(VLOOKUP($C325,'5-COMP. PROPRIA'!$B$1:$I$7981,8,0),""))</f>
        <v>19.91</v>
      </c>
      <c r="I325" s="200">
        <f>H325*'4-BDI'!$E$29</f>
        <v>25.532584</v>
      </c>
      <c r="J325" s="201">
        <f t="shared" si="108"/>
        <v>79.64</v>
      </c>
      <c r="K325" s="123">
        <f t="shared" si="109"/>
        <v>102.13</v>
      </c>
    </row>
    <row r="326" spans="2:11" s="76" customFormat="1" ht="30">
      <c r="B326" s="12" t="s">
        <v>13182</v>
      </c>
      <c r="C326" s="114">
        <f>QUANT!C757</f>
        <v>86906</v>
      </c>
      <c r="D326" s="114" t="str">
        <f>QUANT!D757</f>
        <v>SINAPI</v>
      </c>
      <c r="E326" s="80" t="str">
        <f>IFERROR(VLOOKUP($C326,'SINAPI JULHO 2021'!$1:$1048576,2,0),IFERROR(VLOOKUP($C326,'5-COMP. PROPRIA'!$B$1:$I$7981,4,0),""))</f>
        <v>TORNEIRA CROMADA DE MESA, 1/2 OU 3/4, PARA LAVATÓRIO, PADRÃO POPULAR - FORNECIMENTO E INSTALAÇÃO. AF_01/2020</v>
      </c>
      <c r="F326" s="81" t="str">
        <f>IFERROR(VLOOKUP($C326,'SINAPI JULHO 2021'!$A:$D,3,0),IFERROR(VLOOKUP($C326,'5-COMP. PROPRIA'!$B$1:$I$7981,5,0),""))</f>
        <v>UN</v>
      </c>
      <c r="G326" s="129">
        <f>QUANT!K757</f>
        <v>32</v>
      </c>
      <c r="H326" s="200">
        <f>IFERROR(VLOOKUP($C326,'SINAPI JULHO 2021'!$A:$D,4,0),IFERROR(VLOOKUP($C326,'5-COMP. PROPRIA'!$B$1:$I$7981,8,0),""))</f>
        <v>54.21</v>
      </c>
      <c r="I326" s="200">
        <f>H326*'4-BDI'!$E$29</f>
        <v>69.518904000000006</v>
      </c>
      <c r="J326" s="201">
        <f t="shared" ref="J326:J337" si="110">TRUNC(G326*H326,2)</f>
        <v>1734.72</v>
      </c>
      <c r="K326" s="123">
        <f t="shared" ref="K326:K337" si="111">TRUNC(G326*I326,2)</f>
        <v>2224.6</v>
      </c>
    </row>
    <row r="327" spans="2:11" s="76" customFormat="1" ht="30">
      <c r="B327" s="12" t="s">
        <v>13183</v>
      </c>
      <c r="C327" s="114">
        <f>QUANT!C758</f>
        <v>86911</v>
      </c>
      <c r="D327" s="114" t="str">
        <f>QUANT!D758</f>
        <v>SINAPI</v>
      </c>
      <c r="E327" s="80" t="str">
        <f>IFERROR(VLOOKUP($C327,'SINAPI JULHO 2021'!$1:$1048576,2,0),IFERROR(VLOOKUP($C327,'5-COMP. PROPRIA'!$B$1:$I$7981,4,0),""))</f>
        <v>TORNEIRA CROMADA LONGA, DE PAREDE, 1/2 OU 3/4, PARA PIA DE COZINHA, PADRÃO POPULAR - FORNECIMENTO E INSTALAÇÃO. AF_01/2020</v>
      </c>
      <c r="F327" s="81" t="str">
        <f>IFERROR(VLOOKUP($C327,'SINAPI JULHO 2021'!$A:$D,3,0),IFERROR(VLOOKUP($C327,'5-COMP. PROPRIA'!$B$1:$I$7981,5,0),""))</f>
        <v>UN</v>
      </c>
      <c r="G327" s="129">
        <f>QUANT!K758</f>
        <v>6</v>
      </c>
      <c r="H327" s="200">
        <f>IFERROR(VLOOKUP($C327,'SINAPI JULHO 2021'!$A:$D,4,0),IFERROR(VLOOKUP($C327,'5-COMP. PROPRIA'!$B$1:$I$7981,8,0),""))</f>
        <v>45.72</v>
      </c>
      <c r="I327" s="200">
        <f>H327*'4-BDI'!$E$29</f>
        <v>58.631327999999996</v>
      </c>
      <c r="J327" s="201">
        <f t="shared" si="110"/>
        <v>274.32</v>
      </c>
      <c r="K327" s="123">
        <f t="shared" si="111"/>
        <v>351.78</v>
      </c>
    </row>
    <row r="328" spans="2:11" s="76" customFormat="1" ht="15">
      <c r="B328" s="12" t="s">
        <v>13184</v>
      </c>
      <c r="C328" s="114">
        <f>QUANT!C759</f>
        <v>95544</v>
      </c>
      <c r="D328" s="114" t="str">
        <f>QUANT!D759</f>
        <v>SINAPI</v>
      </c>
      <c r="E328" s="80" t="str">
        <f>IFERROR(VLOOKUP($C328,'SINAPI JULHO 2021'!$1:$1048576,2,0),IFERROR(VLOOKUP($C328,'5-COMP. PROPRIA'!$B$1:$I$7981,4,0),""))</f>
        <v>PAPELEIRA DE PAREDE EM METAL CROMADO SEM TAMPA, INCLUSO FIXAÇÃO. AF_01/2020</v>
      </c>
      <c r="F328" s="81" t="str">
        <f>IFERROR(VLOOKUP($C328,'SINAPI JULHO 2021'!$A:$D,3,0),IFERROR(VLOOKUP($C328,'5-COMP. PROPRIA'!$B$1:$I$7981,5,0),""))</f>
        <v>UN</v>
      </c>
      <c r="G328" s="129">
        <f>QUANT!K759</f>
        <v>27</v>
      </c>
      <c r="H328" s="200">
        <f>IFERROR(VLOOKUP($C328,'SINAPI JULHO 2021'!$A:$D,4,0),IFERROR(VLOOKUP($C328,'5-COMP. PROPRIA'!$B$1:$I$7981,8,0),""))</f>
        <v>37.18</v>
      </c>
      <c r="I328" s="200">
        <f>H328*'4-BDI'!$E$29</f>
        <v>47.679631999999998</v>
      </c>
      <c r="J328" s="201">
        <f t="shared" si="110"/>
        <v>1003.86</v>
      </c>
      <c r="K328" s="123">
        <f t="shared" si="111"/>
        <v>1287.3499999999999</v>
      </c>
    </row>
    <row r="329" spans="2:11" s="76" customFormat="1" ht="30">
      <c r="B329" s="12" t="s">
        <v>13185</v>
      </c>
      <c r="C329" s="114" t="str">
        <f>QUANT!C760</f>
        <v>CP-HID-03</v>
      </c>
      <c r="D329" s="114" t="str">
        <f>QUANT!D760</f>
        <v>PRÓPRIA</v>
      </c>
      <c r="E329" s="80" t="str">
        <f>IFERROR(VLOOKUP($C329,'SINAPI JULHO 2021'!$1:$1048576,2,0),IFERROR(VLOOKUP($C329,'5-COMP. PROPRIA'!$B$1:$I$7981,4,0),""))</f>
        <v>BEBEDOURO INDUSTRIAL SUSPENSO EM INOX E CUBA DE INOX COM 4 TORNEIRAS - FORNECIMENTO E INSTALAÇÃO</v>
      </c>
      <c r="F329" s="81" t="str">
        <f>IFERROR(VLOOKUP($C329,'SINAPI JULHO 2021'!$A:$D,3,0),IFERROR(VLOOKUP($C329,'5-COMP. PROPRIA'!$B$1:$I$7981,5,0),""))</f>
        <v xml:space="preserve">UN    </v>
      </c>
      <c r="G329" s="129">
        <f>QUANT!K760</f>
        <v>2</v>
      </c>
      <c r="H329" s="200">
        <f>IFERROR(VLOOKUP($C329,'SINAPI JULHO 2021'!$A:$D,4,0),IFERROR(VLOOKUP($C329,'5-COMP. PROPRIA'!$B$1:$I$7981,8,0),""))</f>
        <v>4750.16</v>
      </c>
      <c r="I329" s="200">
        <f>H329*'4-BDI'!$E$29</f>
        <v>6091.605184</v>
      </c>
      <c r="J329" s="201">
        <f t="shared" si="110"/>
        <v>9500.32</v>
      </c>
      <c r="K329" s="123">
        <f t="shared" si="111"/>
        <v>12183.21</v>
      </c>
    </row>
    <row r="330" spans="2:11" s="76" customFormat="1" ht="30">
      <c r="B330" s="12" t="s">
        <v>13186</v>
      </c>
      <c r="C330" s="114">
        <f>QUANT!C761</f>
        <v>100869</v>
      </c>
      <c r="D330" s="114" t="str">
        <f>QUANT!D761</f>
        <v>SINAPI</v>
      </c>
      <c r="E330" s="80" t="str">
        <f>IFERROR(VLOOKUP($C330,'SINAPI JULHO 2021'!$1:$1048576,2,0),IFERROR(VLOOKUP($C330,'5-COMP. PROPRIA'!$B$1:$I$7981,4,0),""))</f>
        <v>BARRA DE APOIO RETA, EM ACO INOX POLIDO, COMPRIMENTO 90 CM,  FIXADA NA PAREDE - FORNECIMENTO E INSTALAÇÃO. AF_01/2020</v>
      </c>
      <c r="F330" s="81" t="str">
        <f>IFERROR(VLOOKUP($C330,'SINAPI JULHO 2021'!$A:$D,3,0),IFERROR(VLOOKUP($C330,'5-COMP. PROPRIA'!$B$1:$I$7981,5,0),""))</f>
        <v>UN</v>
      </c>
      <c r="G330" s="129">
        <f>QUANT!K761</f>
        <v>8</v>
      </c>
      <c r="H330" s="200">
        <f>IFERROR(VLOOKUP($C330,'SINAPI JULHO 2021'!$A:$D,4,0),IFERROR(VLOOKUP($C330,'5-COMP. PROPRIA'!$B$1:$I$7981,8,0),""))</f>
        <v>338.43</v>
      </c>
      <c r="I330" s="200">
        <f>H330*'4-BDI'!$E$29</f>
        <v>434.00263200000001</v>
      </c>
      <c r="J330" s="201">
        <f t="shared" si="110"/>
        <v>2707.44</v>
      </c>
      <c r="K330" s="123">
        <f t="shared" si="111"/>
        <v>3472.02</v>
      </c>
    </row>
    <row r="331" spans="2:11" s="76" customFormat="1" ht="15">
      <c r="B331" s="12" t="s">
        <v>13187</v>
      </c>
      <c r="C331" s="114">
        <f>QUANT!C762</f>
        <v>100874</v>
      </c>
      <c r="D331" s="114" t="str">
        <f>QUANT!D762</f>
        <v>SINAPI</v>
      </c>
      <c r="E331" s="80" t="str">
        <f>IFERROR(VLOOKUP($C331,'SINAPI JULHO 2021'!$1:$1048576,2,0),IFERROR(VLOOKUP($C331,'5-COMP. PROPRIA'!$B$1:$I$7981,4,0),""))</f>
        <v>PUXADOR PARA PCD, FIXADO NA PORTA - FORNECIMENTO E INSTALAÇÃO. AF_01/2020</v>
      </c>
      <c r="F331" s="81" t="str">
        <f>IFERROR(VLOOKUP($C331,'SINAPI JULHO 2021'!$A:$D,3,0),IFERROR(VLOOKUP($C331,'5-COMP. PROPRIA'!$B$1:$I$7981,5,0),""))</f>
        <v>UN</v>
      </c>
      <c r="G331" s="129">
        <f>QUANT!K762</f>
        <v>4</v>
      </c>
      <c r="H331" s="200">
        <f>IFERROR(VLOOKUP($C331,'SINAPI JULHO 2021'!$A:$D,4,0),IFERROR(VLOOKUP($C331,'5-COMP. PROPRIA'!$B$1:$I$7981,8,0),""))</f>
        <v>289.66000000000003</v>
      </c>
      <c r="I331" s="200">
        <f>H331*'4-BDI'!$E$29</f>
        <v>371.45998400000002</v>
      </c>
      <c r="J331" s="201">
        <f t="shared" si="110"/>
        <v>1158.6400000000001</v>
      </c>
      <c r="K331" s="123">
        <f t="shared" si="111"/>
        <v>1485.83</v>
      </c>
    </row>
    <row r="332" spans="2:11" s="76" customFormat="1" ht="15">
      <c r="B332" s="12" t="s">
        <v>13188</v>
      </c>
      <c r="C332" s="114">
        <f>QUANT!C763</f>
        <v>86884</v>
      </c>
      <c r="D332" s="114" t="str">
        <f>QUANT!D763</f>
        <v>SINAPI</v>
      </c>
      <c r="E332" s="80" t="str">
        <f>IFERROR(VLOOKUP($C332,'SINAPI JULHO 2021'!$1:$1048576,2,0),IFERROR(VLOOKUP($C332,'5-COMP. PROPRIA'!$B$1:$I$7981,4,0),""))</f>
        <v>ENGATE FLEXÍVEL EM PLÁSTICO BRANCO, 1/2 X 30CM - FORNECIMENTO E INSTALAÇÃO. AF_01/2020</v>
      </c>
      <c r="F332" s="81" t="str">
        <f>IFERROR(VLOOKUP($C332,'SINAPI JULHO 2021'!$A:$D,3,0),IFERROR(VLOOKUP($C332,'5-COMP. PROPRIA'!$B$1:$I$7981,5,0),""))</f>
        <v>UN</v>
      </c>
      <c r="G332" s="129">
        <f>QUANT!K763</f>
        <v>49</v>
      </c>
      <c r="H332" s="200">
        <f>IFERROR(VLOOKUP($C332,'SINAPI JULHO 2021'!$A:$D,4,0),IFERROR(VLOOKUP($C332,'5-COMP. PROPRIA'!$B$1:$I$7981,8,0),""))</f>
        <v>7.46</v>
      </c>
      <c r="I332" s="200">
        <f>H332*'4-BDI'!$E$29</f>
        <v>9.5667039999999997</v>
      </c>
      <c r="J332" s="201">
        <f t="shared" si="110"/>
        <v>365.54</v>
      </c>
      <c r="K332" s="123">
        <f t="shared" si="111"/>
        <v>468.76</v>
      </c>
    </row>
    <row r="333" spans="2:11" s="76" customFormat="1" ht="30">
      <c r="B333" s="12" t="s">
        <v>13189</v>
      </c>
      <c r="C333" s="114">
        <f>QUANT!C764</f>
        <v>89709</v>
      </c>
      <c r="D333" s="114" t="str">
        <f>QUANT!D764</f>
        <v>SINAPI</v>
      </c>
      <c r="E333" s="80" t="str">
        <f>IFERROR(VLOOKUP($C333,'SINAPI JULHO 2021'!$1:$1048576,2,0),IFERROR(VLOOKUP($C333,'5-COMP. PROPRIA'!$B$1:$I$7981,4,0),""))</f>
        <v>RALO SIFONADO, PVC, DN 100 X 40 MM, JUNTA SOLDÁVEL, FORNECIDO E INSTALADO EM RAMAL DE DESCARGA OU EM RAMAL DE ESGOTO SANITÁRIO. AF_12/2014</v>
      </c>
      <c r="F333" s="81" t="str">
        <f>IFERROR(VLOOKUP($C333,'SINAPI JULHO 2021'!$A:$D,3,0),IFERROR(VLOOKUP($C333,'5-COMP. PROPRIA'!$B$1:$I$7981,5,0),""))</f>
        <v>UN</v>
      </c>
      <c r="G333" s="129">
        <f>QUANT!K764</f>
        <v>8</v>
      </c>
      <c r="H333" s="200">
        <f>IFERROR(VLOOKUP($C333,'SINAPI JULHO 2021'!$A:$D,4,0),IFERROR(VLOOKUP($C333,'5-COMP. PROPRIA'!$B$1:$I$7981,8,0),""))</f>
        <v>10.88</v>
      </c>
      <c r="I333" s="200">
        <f>H333*'4-BDI'!$E$29</f>
        <v>13.952512</v>
      </c>
      <c r="J333" s="201">
        <f t="shared" si="110"/>
        <v>87.04</v>
      </c>
      <c r="K333" s="123">
        <f t="shared" si="111"/>
        <v>111.62</v>
      </c>
    </row>
    <row r="334" spans="2:11" s="76" customFormat="1" ht="30">
      <c r="B334" s="12" t="s">
        <v>13190</v>
      </c>
      <c r="C334" s="114">
        <f>QUANT!C765</f>
        <v>86882</v>
      </c>
      <c r="D334" s="114" t="str">
        <f>QUANT!D765</f>
        <v>SINAPI</v>
      </c>
      <c r="E334" s="80" t="str">
        <f>IFERROR(VLOOKUP($C334,'SINAPI JULHO 2021'!$1:$1048576,2,0),IFERROR(VLOOKUP($C334,'5-COMP. PROPRIA'!$B$1:$I$7981,4,0),""))</f>
        <v>SIFÃO DO TIPO GARRAFA/COPO EM PVC 1.1/4  X 1.1/2 - FORNECIMENTO E INSTALAÇÃO. AF_01/2020</v>
      </c>
      <c r="F334" s="81" t="str">
        <f>IFERROR(VLOOKUP($C334,'SINAPI JULHO 2021'!$A:$D,3,0),IFERROR(VLOOKUP($C334,'5-COMP. PROPRIA'!$B$1:$I$7981,5,0),""))</f>
        <v>UN</v>
      </c>
      <c r="G334" s="129">
        <f>QUANT!K765</f>
        <v>47</v>
      </c>
      <c r="H334" s="200">
        <f>IFERROR(VLOOKUP($C334,'SINAPI JULHO 2021'!$A:$D,4,0),IFERROR(VLOOKUP($C334,'5-COMP. PROPRIA'!$B$1:$I$7981,8,0),""))</f>
        <v>19.16</v>
      </c>
      <c r="I334" s="200">
        <f>H334*'4-BDI'!$E$29</f>
        <v>24.570784</v>
      </c>
      <c r="J334" s="201">
        <f t="shared" si="110"/>
        <v>900.52</v>
      </c>
      <c r="K334" s="123">
        <f t="shared" si="111"/>
        <v>1154.82</v>
      </c>
    </row>
    <row r="335" spans="2:11" s="76" customFormat="1" ht="15">
      <c r="B335" s="12" t="s">
        <v>13191</v>
      </c>
      <c r="C335" s="114">
        <f>QUANT!C766</f>
        <v>86883</v>
      </c>
      <c r="D335" s="114" t="str">
        <f>QUANT!D766</f>
        <v>SINAPI</v>
      </c>
      <c r="E335" s="80" t="str">
        <f>IFERROR(VLOOKUP($C335,'SINAPI JULHO 2021'!$1:$1048576,2,0),IFERROR(VLOOKUP($C335,'5-COMP. PROPRIA'!$B$1:$I$7981,4,0),""))</f>
        <v>SIFÃO DO TIPO FLEXÍVEL EM PVC 1  X 1.1/2  - FORNECIMENTO E INSTALAÇÃO. AF_01/2020</v>
      </c>
      <c r="F335" s="81" t="str">
        <f>IFERROR(VLOOKUP($C335,'SINAPI JULHO 2021'!$A:$D,3,0),IFERROR(VLOOKUP($C335,'5-COMP. PROPRIA'!$B$1:$I$7981,5,0),""))</f>
        <v>UN</v>
      </c>
      <c r="G335" s="129">
        <f>QUANT!K766</f>
        <v>4</v>
      </c>
      <c r="H335" s="200">
        <f>IFERROR(VLOOKUP($C335,'SINAPI JULHO 2021'!$A:$D,4,0),IFERROR(VLOOKUP($C335,'5-COMP. PROPRIA'!$B$1:$I$7981,8,0),""))</f>
        <v>10.92</v>
      </c>
      <c r="I335" s="200">
        <f>H335*'4-BDI'!$E$29</f>
        <v>14.003807999999999</v>
      </c>
      <c r="J335" s="201">
        <f t="shared" si="110"/>
        <v>43.68</v>
      </c>
      <c r="K335" s="123">
        <f t="shared" si="111"/>
        <v>56.01</v>
      </c>
    </row>
    <row r="336" spans="2:11" s="76" customFormat="1" ht="30">
      <c r="B336" s="12" t="s">
        <v>13192</v>
      </c>
      <c r="C336" s="114">
        <f>QUANT!C767</f>
        <v>86879</v>
      </c>
      <c r="D336" s="114" t="str">
        <f>QUANT!D767</f>
        <v>SINAPI</v>
      </c>
      <c r="E336" s="80" t="str">
        <f>IFERROR(VLOOKUP($C336,'SINAPI JULHO 2021'!$1:$1048576,2,0),IFERROR(VLOOKUP($C336,'5-COMP. PROPRIA'!$B$1:$I$7981,4,0),""))</f>
        <v>VÁLVULA EM PLÁSTICO 1 PARA PIA, TANQUE OU LAVATÓRIO, COM OU SEM LADRÃO - FORNECIMENTO E INSTALAÇÃO. AF_01/2020</v>
      </c>
      <c r="F336" s="81" t="str">
        <f>IFERROR(VLOOKUP($C336,'SINAPI JULHO 2021'!$A:$D,3,0),IFERROR(VLOOKUP($C336,'5-COMP. PROPRIA'!$B$1:$I$7981,5,0),""))</f>
        <v>UN</v>
      </c>
      <c r="G336" s="129">
        <f>QUANT!K767</f>
        <v>45</v>
      </c>
      <c r="H336" s="200">
        <f>IFERROR(VLOOKUP($C336,'SINAPI JULHO 2021'!$A:$D,4,0),IFERROR(VLOOKUP($C336,'5-COMP. PROPRIA'!$B$1:$I$7981,8,0),""))</f>
        <v>6.08</v>
      </c>
      <c r="I336" s="200">
        <f>H336*'4-BDI'!$E$29</f>
        <v>7.7969920000000004</v>
      </c>
      <c r="J336" s="201">
        <f t="shared" si="110"/>
        <v>273.60000000000002</v>
      </c>
      <c r="K336" s="123">
        <f t="shared" si="111"/>
        <v>350.86</v>
      </c>
    </row>
    <row r="337" spans="2:11" s="76" customFormat="1" ht="30">
      <c r="B337" s="12" t="s">
        <v>13193</v>
      </c>
      <c r="C337" s="114">
        <f>QUANT!C768</f>
        <v>86880</v>
      </c>
      <c r="D337" s="114" t="str">
        <f>QUANT!D768</f>
        <v>SINAPI</v>
      </c>
      <c r="E337" s="80" t="str">
        <f>IFERROR(VLOOKUP($C337,'SINAPI JULHO 2021'!$1:$1048576,2,0),IFERROR(VLOOKUP($C337,'5-COMP. PROPRIA'!$B$1:$I$7981,4,0),""))</f>
        <v>VÁLVULA EM PLÁSTICO CROMADO TIPO AMERICANA 3.1/2 X 1.1/2 SEM ADAPTADOR PARA PIA - FORNECIMENTO E INSTALAÇÃO. AF_01/2020</v>
      </c>
      <c r="F337" s="81" t="str">
        <f>IFERROR(VLOOKUP($C337,'SINAPI JULHO 2021'!$A:$D,3,0),IFERROR(VLOOKUP($C337,'5-COMP. PROPRIA'!$B$1:$I$7981,5,0),""))</f>
        <v>UN</v>
      </c>
      <c r="G337" s="129">
        <f>QUANT!K768</f>
        <v>4</v>
      </c>
      <c r="H337" s="200">
        <f>IFERROR(VLOOKUP($C337,'SINAPI JULHO 2021'!$A:$D,4,0),IFERROR(VLOOKUP($C337,'5-COMP. PROPRIA'!$B$1:$I$7981,8,0),""))</f>
        <v>18.760000000000002</v>
      </c>
      <c r="I337" s="200">
        <f>H337*'4-BDI'!$E$29</f>
        <v>24.057824</v>
      </c>
      <c r="J337" s="201">
        <f t="shared" si="110"/>
        <v>75.040000000000006</v>
      </c>
      <c r="K337" s="123">
        <f t="shared" si="111"/>
        <v>96.23</v>
      </c>
    </row>
    <row r="338" spans="2:11" s="76" customFormat="1" ht="15">
      <c r="B338" s="834" t="s">
        <v>3507</v>
      </c>
      <c r="C338" s="835"/>
      <c r="D338" s="835"/>
      <c r="E338" s="835"/>
      <c r="F338" s="835"/>
      <c r="G338" s="835"/>
      <c r="H338" s="835"/>
      <c r="I338" s="124"/>
      <c r="J338" s="126">
        <f>TRUNC(SUM(J223:J337),2)</f>
        <v>286778.64</v>
      </c>
      <c r="K338" s="125">
        <f>TRUNC(SUM(K223:K337),2)</f>
        <v>367764.47999999998</v>
      </c>
    </row>
    <row r="339" spans="2:11" s="76" customFormat="1" ht="15">
      <c r="B339" s="5" t="s">
        <v>6280</v>
      </c>
      <c r="C339" s="6"/>
      <c r="D339" s="7"/>
      <c r="E339" s="8" t="str">
        <f>QUANT!E769</f>
        <v>INSTALAÇÕES ELÉTRICAS BAIXA TENSÃO</v>
      </c>
      <c r="F339" s="9"/>
      <c r="G339" s="128"/>
      <c r="H339" s="221"/>
      <c r="I339" s="121"/>
      <c r="J339" s="121"/>
      <c r="K339" s="122"/>
    </row>
    <row r="340" spans="2:11" s="76" customFormat="1" ht="15">
      <c r="B340" s="222" t="s">
        <v>6281</v>
      </c>
      <c r="C340" s="223"/>
      <c r="D340" s="224"/>
      <c r="E340" s="225" t="str">
        <f>QUANT!E770</f>
        <v>CABOS</v>
      </c>
      <c r="F340" s="120"/>
      <c r="G340" s="129"/>
      <c r="H340" s="218"/>
      <c r="I340" s="200"/>
      <c r="J340" s="201"/>
      <c r="K340" s="123"/>
    </row>
    <row r="341" spans="2:11" s="76" customFormat="1" ht="30">
      <c r="B341" s="473" t="s">
        <v>13194</v>
      </c>
      <c r="C341" s="109">
        <f>QUANT!C771</f>
        <v>91926</v>
      </c>
      <c r="D341" s="109" t="str">
        <f>QUANT!D771</f>
        <v>SINAPI</v>
      </c>
      <c r="E341" s="80" t="str">
        <f>IFERROR(VLOOKUP($C341,'SINAPI JULHO 2021'!$1:$1048576,2,0),IFERROR(VLOOKUP($C341,'5-COMP. PROPRIA'!$B$1:$I$7981,4,0),""))</f>
        <v>CABO DE COBRE FLEXÍVEL ISOLADO, 2,5 MM², ANTI-CHAMA 450/750 V, PARA CIRCUITOS TERMINAIS - FORNECIMENTO E INSTALAÇÃO. AF_12/2015</v>
      </c>
      <c r="F341" s="81" t="str">
        <f>IFERROR(VLOOKUP($C341,'SINAPI JULHO 2021'!$A:$D,3,0),IFERROR(VLOOKUP($C341,'5-COMP. PROPRIA'!$B$1:$I$7981,5,0),""))</f>
        <v>M</v>
      </c>
      <c r="G341" s="129">
        <f>QUANT!K771</f>
        <v>10252.9</v>
      </c>
      <c r="H341" s="218">
        <f>IFERROR(VLOOKUP($C341,'SINAPI JULHO 2021'!$A:$D,4,0),IFERROR(VLOOKUP($C341,'5-COMP. PROPRIA'!$B$1:$I$1240,8,0),""))</f>
        <v>3.89</v>
      </c>
      <c r="I341" s="200">
        <f>H341*'4-BDI'!$E$29</f>
        <v>4.9885359999999999</v>
      </c>
      <c r="J341" s="201">
        <f>TRUNC(G341*H341,2)</f>
        <v>39883.78</v>
      </c>
      <c r="K341" s="123">
        <f>TRUNC(G341*I341,2)</f>
        <v>51146.96</v>
      </c>
    </row>
    <row r="342" spans="2:11" s="76" customFormat="1" ht="30">
      <c r="B342" s="473" t="s">
        <v>13195</v>
      </c>
      <c r="C342" s="109">
        <f>QUANT!C772</f>
        <v>91928</v>
      </c>
      <c r="D342" s="109" t="str">
        <f>QUANT!D772</f>
        <v>SINAPI</v>
      </c>
      <c r="E342" s="80" t="str">
        <f>IFERROR(VLOOKUP($C342,'SINAPI JULHO 2021'!$1:$1048576,2,0),IFERROR(VLOOKUP($C342,'5-COMP. PROPRIA'!$B$1:$I$7981,4,0),""))</f>
        <v>CABO DE COBRE FLEXÍVEL ISOLADO, 4 MM², ANTI-CHAMA 450/750 V, PARA CIRCUITOS TERMINAIS - FORNECIMENTO E INSTALAÇÃO. AF_12/2015</v>
      </c>
      <c r="F342" s="81" t="str">
        <f>IFERROR(VLOOKUP($C342,'SINAPI JULHO 2021'!$A:$D,3,0),IFERROR(VLOOKUP($C342,'5-COMP. PROPRIA'!$B$1:$I$7981,5,0),""))</f>
        <v>M</v>
      </c>
      <c r="G342" s="129">
        <f>QUANT!K772</f>
        <v>3175.8</v>
      </c>
      <c r="H342" s="218">
        <f>IFERROR(VLOOKUP($C342,'SINAPI JULHO 2021'!$A:$D,4,0),IFERROR(VLOOKUP($C342,'5-COMP. PROPRIA'!$B$1:$I$1240,8,0),""))</f>
        <v>6.52</v>
      </c>
      <c r="I342" s="200">
        <f>H342*'4-BDI'!$E$29</f>
        <v>8.3612479999999998</v>
      </c>
      <c r="J342" s="201">
        <f t="shared" ref="J342:J348" si="112">TRUNC(G342*H342,2)</f>
        <v>20706.21</v>
      </c>
      <c r="K342" s="123">
        <f t="shared" ref="K342:K348" si="113">TRUNC(G342*I342,2)</f>
        <v>26553.65</v>
      </c>
    </row>
    <row r="343" spans="2:11" s="76" customFormat="1" ht="30">
      <c r="B343" s="473" t="s">
        <v>13196</v>
      </c>
      <c r="C343" s="109">
        <f>QUANT!C773</f>
        <v>91930</v>
      </c>
      <c r="D343" s="109" t="str">
        <f>QUANT!D773</f>
        <v>SINAPI</v>
      </c>
      <c r="E343" s="80" t="str">
        <f>IFERROR(VLOOKUP($C343,'SINAPI JULHO 2021'!$1:$1048576,2,0),IFERROR(VLOOKUP($C343,'5-COMP. PROPRIA'!$B$1:$I$7981,4,0),""))</f>
        <v>CABO DE COBRE FLEXÍVEL ISOLADO, 6 MM², ANTI-CHAMA 450/750 V, PARA CIRCUITOS TERMINAIS - FORNECIMENTO E INSTALAÇÃO. AF_12/2015</v>
      </c>
      <c r="F343" s="81" t="str">
        <f>IFERROR(VLOOKUP($C343,'SINAPI JULHO 2021'!$A:$D,3,0),IFERROR(VLOOKUP($C343,'5-COMP. PROPRIA'!$B$1:$I$7981,5,0),""))</f>
        <v>M</v>
      </c>
      <c r="G343" s="129">
        <f>QUANT!K773</f>
        <v>20</v>
      </c>
      <c r="H343" s="218">
        <f>IFERROR(VLOOKUP($C343,'SINAPI JULHO 2021'!$A:$D,4,0),IFERROR(VLOOKUP($C343,'5-COMP. PROPRIA'!$B$1:$I$1240,8,0),""))</f>
        <v>8.9700000000000006</v>
      </c>
      <c r="I343" s="200">
        <f>H343*'4-BDI'!$E$29</f>
        <v>11.503128</v>
      </c>
      <c r="J343" s="201">
        <f t="shared" si="112"/>
        <v>179.4</v>
      </c>
      <c r="K343" s="123">
        <f t="shared" si="113"/>
        <v>230.06</v>
      </c>
    </row>
    <row r="344" spans="2:11" s="76" customFormat="1" ht="30">
      <c r="B344" s="473" t="s">
        <v>13197</v>
      </c>
      <c r="C344" s="109">
        <f>QUANT!C774</f>
        <v>91932</v>
      </c>
      <c r="D344" s="109" t="str">
        <f>QUANT!D774</f>
        <v>SINAPI</v>
      </c>
      <c r="E344" s="80" t="str">
        <f>IFERROR(VLOOKUP($C344,'SINAPI JULHO 2021'!$1:$1048576,2,0),IFERROR(VLOOKUP($C344,'5-COMP. PROPRIA'!$B$1:$I$7981,4,0),""))</f>
        <v>CABO DE COBRE FLEXÍVEL ISOLADO, 10 MM², ANTI-CHAMA 450/750 V, PARA CIRCUITOS TERMINAIS - FORNECIMENTO E INSTALAÇÃO. AF_12/2015</v>
      </c>
      <c r="F344" s="81" t="str">
        <f>IFERROR(VLOOKUP($C344,'SINAPI JULHO 2021'!$A:$D,3,0),IFERROR(VLOOKUP($C344,'5-COMP. PROPRIA'!$B$1:$I$7981,5,0),""))</f>
        <v>M</v>
      </c>
      <c r="G344" s="129">
        <f>QUANT!K774</f>
        <v>1199</v>
      </c>
      <c r="H344" s="218">
        <f>IFERROR(VLOOKUP($C344,'SINAPI JULHO 2021'!$A:$D,4,0),IFERROR(VLOOKUP($C344,'5-COMP. PROPRIA'!$B$1:$I$1240,8,0),""))</f>
        <v>14.93</v>
      </c>
      <c r="I344" s="200">
        <f>H344*'4-BDI'!$E$29</f>
        <v>19.146231999999998</v>
      </c>
      <c r="J344" s="201">
        <f t="shared" si="112"/>
        <v>17901.07</v>
      </c>
      <c r="K344" s="123">
        <f t="shared" si="113"/>
        <v>22956.33</v>
      </c>
    </row>
    <row r="345" spans="2:11" s="76" customFormat="1" ht="30">
      <c r="B345" s="473" t="s">
        <v>13198</v>
      </c>
      <c r="C345" s="109">
        <f>QUANT!C775</f>
        <v>92980</v>
      </c>
      <c r="D345" s="109" t="str">
        <f>QUANT!D775</f>
        <v>SINAPI</v>
      </c>
      <c r="E345" s="80" t="str">
        <f>IFERROR(VLOOKUP($C345,'SINAPI JULHO 2021'!$1:$1048576,2,0),IFERROR(VLOOKUP($C345,'5-COMP. PROPRIA'!$B$1:$I$7981,4,0),""))</f>
        <v>CABO DE COBRE FLEXÍVEL ISOLADO, 10 MM², ANTI-CHAMA 0,6/1,0 KV, PARA DISTRIBUIÇÃO - FORNECIMENTO E INSTALAÇÃO. AF_12/2015</v>
      </c>
      <c r="F345" s="81" t="str">
        <f>IFERROR(VLOOKUP($C345,'SINAPI JULHO 2021'!$A:$D,3,0),IFERROR(VLOOKUP($C345,'5-COMP. PROPRIA'!$B$1:$I$7981,5,0),""))</f>
        <v>M</v>
      </c>
      <c r="G345" s="129">
        <f>QUANT!K775</f>
        <v>607</v>
      </c>
      <c r="H345" s="218">
        <f>IFERROR(VLOOKUP($C345,'SINAPI JULHO 2021'!$A:$D,4,0),IFERROR(VLOOKUP($C345,'5-COMP. PROPRIA'!$B$1:$I$1240,8,0),""))</f>
        <v>12</v>
      </c>
      <c r="I345" s="200">
        <f>H345*'4-BDI'!$E$29</f>
        <v>15.3888</v>
      </c>
      <c r="J345" s="201">
        <f t="shared" si="112"/>
        <v>7284</v>
      </c>
      <c r="K345" s="123">
        <f t="shared" si="113"/>
        <v>9341</v>
      </c>
    </row>
    <row r="346" spans="2:11" s="76" customFormat="1" ht="30">
      <c r="B346" s="473" t="s">
        <v>13199</v>
      </c>
      <c r="C346" s="109">
        <f>QUANT!C776</f>
        <v>92982</v>
      </c>
      <c r="D346" s="109" t="str">
        <f>QUANT!D776</f>
        <v>SINAPI</v>
      </c>
      <c r="E346" s="80" t="str">
        <f>IFERROR(VLOOKUP($C346,'SINAPI JULHO 2021'!$1:$1048576,2,0),IFERROR(VLOOKUP($C346,'5-COMP. PROPRIA'!$B$1:$I$7981,4,0),""))</f>
        <v>CABO DE COBRE FLEXÍVEL ISOLADO, 16 MM², ANTI-CHAMA 0,6/1,0 KV, PARA DISTRIBUIÇÃO - FORNECIMENTO E INSTALAÇÃO. AF_12/2015</v>
      </c>
      <c r="F346" s="81" t="str">
        <f>IFERROR(VLOOKUP($C346,'SINAPI JULHO 2021'!$A:$D,3,0),IFERROR(VLOOKUP($C346,'5-COMP. PROPRIA'!$B$1:$I$7981,5,0),""))</f>
        <v>M</v>
      </c>
      <c r="G346" s="129">
        <f>QUANT!K776</f>
        <v>272</v>
      </c>
      <c r="H346" s="218">
        <f>IFERROR(VLOOKUP($C346,'SINAPI JULHO 2021'!$A:$D,4,0),IFERROR(VLOOKUP($C346,'5-COMP. PROPRIA'!$B$1:$I$1240,8,0),""))</f>
        <v>18.38</v>
      </c>
      <c r="I346" s="200">
        <f>H346*'4-BDI'!$E$29</f>
        <v>23.570511999999997</v>
      </c>
      <c r="J346" s="201">
        <f t="shared" si="112"/>
        <v>4999.3599999999997</v>
      </c>
      <c r="K346" s="123">
        <f t="shared" si="113"/>
        <v>6411.17</v>
      </c>
    </row>
    <row r="347" spans="2:11" s="76" customFormat="1" ht="30">
      <c r="B347" s="473" t="s">
        <v>13200</v>
      </c>
      <c r="C347" s="109">
        <f>QUANT!C777</f>
        <v>92984</v>
      </c>
      <c r="D347" s="109" t="str">
        <f>QUANT!D777</f>
        <v>SINAPI</v>
      </c>
      <c r="E347" s="80" t="str">
        <f>IFERROR(VLOOKUP($C347,'SINAPI JULHO 2021'!$1:$1048576,2,0),IFERROR(VLOOKUP($C347,'5-COMP. PROPRIA'!$B$1:$I$7981,4,0),""))</f>
        <v>CABO DE COBRE FLEXÍVEL ISOLADO, 25 MM², ANTI-CHAMA 0,6/1,0 KV, PARA DISTRIBUIÇÃO - FORNECIMENTO E INSTALAÇÃO. AF_12/2015</v>
      </c>
      <c r="F347" s="81" t="str">
        <f>IFERROR(VLOOKUP($C347,'SINAPI JULHO 2021'!$A:$D,3,0),IFERROR(VLOOKUP($C347,'5-COMP. PROPRIA'!$B$1:$I$7981,5,0),""))</f>
        <v>M</v>
      </c>
      <c r="G347" s="129">
        <f>QUANT!K777</f>
        <v>31.3</v>
      </c>
      <c r="H347" s="218">
        <f>IFERROR(VLOOKUP($C347,'SINAPI JULHO 2021'!$A:$D,4,0),IFERROR(VLOOKUP($C347,'5-COMP. PROPRIA'!$B$1:$I$1240,8,0),""))</f>
        <v>29.08</v>
      </c>
      <c r="I347" s="200">
        <f>H347*'4-BDI'!$E$29</f>
        <v>37.292192</v>
      </c>
      <c r="J347" s="201">
        <f t="shared" si="112"/>
        <v>910.2</v>
      </c>
      <c r="K347" s="123">
        <f t="shared" si="113"/>
        <v>1167.24</v>
      </c>
    </row>
    <row r="348" spans="2:11" s="76" customFormat="1" ht="30">
      <c r="B348" s="473" t="s">
        <v>13201</v>
      </c>
      <c r="C348" s="109">
        <f>QUANT!C778</f>
        <v>92986</v>
      </c>
      <c r="D348" s="109" t="str">
        <f>QUANT!D778</f>
        <v>SINAPI</v>
      </c>
      <c r="E348" s="80" t="str">
        <f>IFERROR(VLOOKUP($C348,'SINAPI JULHO 2021'!$1:$1048576,2,0),IFERROR(VLOOKUP($C348,'5-COMP. PROPRIA'!$B$1:$I$7981,4,0),""))</f>
        <v>CABO DE COBRE FLEXÍVEL ISOLADO, 35 MM², ANTI-CHAMA 0,6/1,0 KV, PARA DISTRIBUIÇÃO - FORNECIMENTO E INSTALAÇÃO. AF_12/2015</v>
      </c>
      <c r="F348" s="81" t="str">
        <f>IFERROR(VLOOKUP($C348,'SINAPI JULHO 2021'!$A:$D,3,0),IFERROR(VLOOKUP($C348,'5-COMP. PROPRIA'!$B$1:$I$7981,5,0),""))</f>
        <v>M</v>
      </c>
      <c r="G348" s="129">
        <f>QUANT!K778</f>
        <v>162.6</v>
      </c>
      <c r="H348" s="218">
        <f>IFERROR(VLOOKUP($C348,'SINAPI JULHO 2021'!$A:$D,4,0),IFERROR(VLOOKUP($C348,'5-COMP. PROPRIA'!$B$1:$I$1240,8,0),""))</f>
        <v>39.6</v>
      </c>
      <c r="I348" s="200">
        <f>H348*'4-BDI'!$E$29</f>
        <v>50.78304</v>
      </c>
      <c r="J348" s="201">
        <f t="shared" si="112"/>
        <v>6438.96</v>
      </c>
      <c r="K348" s="123">
        <f t="shared" si="113"/>
        <v>8257.32</v>
      </c>
    </row>
    <row r="349" spans="2:11" s="76" customFormat="1" ht="30">
      <c r="B349" s="473" t="s">
        <v>13202</v>
      </c>
      <c r="C349" s="109">
        <f>QUANT!C779</f>
        <v>92988</v>
      </c>
      <c r="D349" s="109" t="str">
        <f>QUANT!D779</f>
        <v>SINAPI</v>
      </c>
      <c r="E349" s="80" t="str">
        <f>IFERROR(VLOOKUP($C349,'SINAPI JULHO 2021'!$1:$1048576,2,0),IFERROR(VLOOKUP($C349,'5-COMP. PROPRIA'!$B$1:$I$7981,4,0),""))</f>
        <v>CABO DE COBRE FLEXÍVEL ISOLADO, 50 MM², ANTI-CHAMA 0,6/1,0 KV, PARA DISTRIBUIÇÃO - FORNECIMENTO E INSTALAÇÃO. AF_12/2015</v>
      </c>
      <c r="F349" s="81" t="str">
        <f>IFERROR(VLOOKUP($C349,'SINAPI JULHO 2021'!$A:$D,3,0),IFERROR(VLOOKUP($C349,'5-COMP. PROPRIA'!$B$1:$I$7981,5,0),""))</f>
        <v>M</v>
      </c>
      <c r="G349" s="129">
        <f>QUANT!K779</f>
        <v>93.8</v>
      </c>
      <c r="H349" s="218">
        <f>IFERROR(VLOOKUP($C349,'SINAPI JULHO 2021'!$A:$D,4,0),IFERROR(VLOOKUP($C349,'5-COMP. PROPRIA'!$B$1:$I$1240,8,0),""))</f>
        <v>55.87</v>
      </c>
      <c r="I349" s="200">
        <f>H349*'4-BDI'!$E$29</f>
        <v>71.647688000000002</v>
      </c>
      <c r="J349" s="201">
        <f t="shared" ref="J349" si="114">TRUNC(G349*H349,2)</f>
        <v>5240.6000000000004</v>
      </c>
      <c r="K349" s="123">
        <f t="shared" ref="K349" si="115">TRUNC(G349*I349,2)</f>
        <v>6720.55</v>
      </c>
    </row>
    <row r="350" spans="2:11" s="76" customFormat="1" ht="15">
      <c r="B350" s="222" t="s">
        <v>6282</v>
      </c>
      <c r="C350" s="223"/>
      <c r="D350" s="224"/>
      <c r="E350" s="225" t="str">
        <f>QUANT!E780</f>
        <v>INTERRUPTOR E TOMADA</v>
      </c>
      <c r="F350" s="120"/>
      <c r="G350" s="129"/>
      <c r="H350" s="218"/>
      <c r="I350" s="200"/>
      <c r="J350" s="201"/>
      <c r="K350" s="123"/>
    </row>
    <row r="351" spans="2:11" s="76" customFormat="1" ht="30">
      <c r="B351" s="473" t="s">
        <v>13203</v>
      </c>
      <c r="C351" s="109">
        <f>QUANT!C781</f>
        <v>91955</v>
      </c>
      <c r="D351" s="109" t="str">
        <f>QUANT!D781</f>
        <v>SINAPI</v>
      </c>
      <c r="E351" s="80" t="str">
        <f>IFERROR(VLOOKUP($C351,'SINAPI JULHO 2021'!$1:$1048576,2,0),IFERROR(VLOOKUP($C351,'5-COMP. PROPRIA'!$B$1:$I$7981,4,0),""))</f>
        <v>INTERRUPTOR PARALELO (1 MÓDULO), 10A/250V, INCLUINDO SUPORTE E PLACA - FORNECIMENTO E INSTALAÇÃO. AF_12/2015</v>
      </c>
      <c r="F351" s="81" t="str">
        <f>IFERROR(VLOOKUP($C351,'SINAPI JULHO 2021'!$A:$D,3,0),IFERROR(VLOOKUP($C351,'5-COMP. PROPRIA'!$B$1:$I$7981,5,0),""))</f>
        <v>UN</v>
      </c>
      <c r="G351" s="129">
        <f>QUANT!K781</f>
        <v>7</v>
      </c>
      <c r="H351" s="218">
        <f>IFERROR(VLOOKUP($C351,'SINAPI JULHO 2021'!$A:$D,4,0),IFERROR(VLOOKUP($C351,'5-COMP. PROPRIA'!$B$1:$I$1240,8,0),""))</f>
        <v>23.04</v>
      </c>
      <c r="I351" s="200">
        <f>H351*'4-BDI'!$E$29</f>
        <v>29.546495999999998</v>
      </c>
      <c r="J351" s="201">
        <f t="shared" ref="J351" si="116">TRUNC(G351*H351,2)</f>
        <v>161.28</v>
      </c>
      <c r="K351" s="123">
        <f t="shared" ref="K351" si="117">TRUNC(G351*I351,2)</f>
        <v>206.82</v>
      </c>
    </row>
    <row r="352" spans="2:11" s="76" customFormat="1" ht="30">
      <c r="B352" s="473" t="s">
        <v>13204</v>
      </c>
      <c r="C352" s="109">
        <f>QUANT!C782</f>
        <v>91953</v>
      </c>
      <c r="D352" s="109" t="str">
        <f>QUANT!D782</f>
        <v>SINAPI</v>
      </c>
      <c r="E352" s="80" t="str">
        <f>IFERROR(VLOOKUP($C352,'SINAPI JULHO 2021'!$1:$1048576,2,0),IFERROR(VLOOKUP($C352,'5-COMP. PROPRIA'!$B$1:$I$7981,4,0),""))</f>
        <v>INTERRUPTOR SIMPLES (1 MÓDULO), 10A/250V, INCLUINDO SUPORTE E PLACA - FORNECIMENTO E INSTALAÇÃO. AF_12/2015</v>
      </c>
      <c r="F352" s="81" t="str">
        <f>IFERROR(VLOOKUP($C352,'SINAPI JULHO 2021'!$A:$D,3,0),IFERROR(VLOOKUP($C352,'5-COMP. PROPRIA'!$B$1:$I$7981,5,0),""))</f>
        <v>UN</v>
      </c>
      <c r="G352" s="129">
        <f>QUANT!K782</f>
        <v>10</v>
      </c>
      <c r="H352" s="218">
        <f>IFERROR(VLOOKUP($C352,'SINAPI JULHO 2021'!$A:$D,4,0),IFERROR(VLOOKUP($C352,'5-COMP. PROPRIA'!$B$1:$I$1240,8,0),""))</f>
        <v>18.68</v>
      </c>
      <c r="I352" s="200">
        <f>H352*'4-BDI'!$E$29</f>
        <v>23.955231999999999</v>
      </c>
      <c r="J352" s="201">
        <f t="shared" ref="J352:J409" si="118">TRUNC(G352*H352,2)</f>
        <v>186.8</v>
      </c>
      <c r="K352" s="123">
        <f t="shared" ref="K352:K409" si="119">TRUNC(G352*I352,2)</f>
        <v>239.55</v>
      </c>
    </row>
    <row r="353" spans="2:11" s="76" customFormat="1" ht="30">
      <c r="B353" s="473" t="s">
        <v>13205</v>
      </c>
      <c r="C353" s="109">
        <f>QUANT!C783</f>
        <v>91959</v>
      </c>
      <c r="D353" s="109" t="str">
        <f>QUANT!D783</f>
        <v>SINAPI</v>
      </c>
      <c r="E353" s="80" t="str">
        <f>IFERROR(VLOOKUP($C353,'SINAPI JULHO 2021'!$1:$1048576,2,0),IFERROR(VLOOKUP($C353,'5-COMP. PROPRIA'!$B$1:$I$7981,4,0),""))</f>
        <v>INTERRUPTOR SIMPLES (2 MÓDULOS), 10A/250V, INCLUINDO SUPORTE E PLACA - FORNECIMENTO E INSTALAÇÃO. AF_12/2015</v>
      </c>
      <c r="F353" s="81" t="str">
        <f>IFERROR(VLOOKUP($C353,'SINAPI JULHO 2021'!$A:$D,3,0),IFERROR(VLOOKUP($C353,'5-COMP. PROPRIA'!$B$1:$I$7981,5,0),""))</f>
        <v>UN</v>
      </c>
      <c r="G353" s="129">
        <f>QUANT!K783</f>
        <v>4</v>
      </c>
      <c r="H353" s="218">
        <f>IFERROR(VLOOKUP($C353,'SINAPI JULHO 2021'!$A:$D,4,0),IFERROR(VLOOKUP($C353,'5-COMP. PROPRIA'!$B$1:$I$1240,8,0),""))</f>
        <v>29.59</v>
      </c>
      <c r="I353" s="200">
        <f>H353*'4-BDI'!$E$29</f>
        <v>37.946216</v>
      </c>
      <c r="J353" s="201">
        <f t="shared" si="118"/>
        <v>118.36</v>
      </c>
      <c r="K353" s="123">
        <f t="shared" si="119"/>
        <v>151.78</v>
      </c>
    </row>
    <row r="354" spans="2:11" s="76" customFormat="1" ht="30">
      <c r="B354" s="473" t="s">
        <v>13206</v>
      </c>
      <c r="C354" s="109">
        <f>QUANT!C784</f>
        <v>91967</v>
      </c>
      <c r="D354" s="109" t="str">
        <f>QUANT!D784</f>
        <v>SINAPI</v>
      </c>
      <c r="E354" s="80" t="str">
        <f>IFERROR(VLOOKUP($C354,'SINAPI JULHO 2021'!$1:$1048576,2,0),IFERROR(VLOOKUP($C354,'5-COMP. PROPRIA'!$B$1:$I$7981,4,0),""))</f>
        <v>INTERRUPTOR SIMPLES (3 MÓDULOS), 10A/250V, INCLUINDO SUPORTE E PLACA - FORNECIMENTO E INSTALAÇÃO. AF_12/2015</v>
      </c>
      <c r="F354" s="81" t="str">
        <f>IFERROR(VLOOKUP($C354,'SINAPI JULHO 2021'!$A:$D,3,0),IFERROR(VLOOKUP($C354,'5-COMP. PROPRIA'!$B$1:$I$7981,5,0),""))</f>
        <v>UN</v>
      </c>
      <c r="G354" s="129">
        <f>QUANT!K784</f>
        <v>18</v>
      </c>
      <c r="H354" s="218">
        <f>IFERROR(VLOOKUP($C354,'SINAPI JULHO 2021'!$A:$D,4,0),IFERROR(VLOOKUP($C354,'5-COMP. PROPRIA'!$B$1:$I$1240,8,0),""))</f>
        <v>40.5</v>
      </c>
      <c r="I354" s="200">
        <f>H354*'4-BDI'!$E$29</f>
        <v>51.937199999999997</v>
      </c>
      <c r="J354" s="201">
        <f t="shared" si="118"/>
        <v>729</v>
      </c>
      <c r="K354" s="123">
        <f t="shared" si="119"/>
        <v>934.86</v>
      </c>
    </row>
    <row r="355" spans="2:11" s="76" customFormat="1" ht="30">
      <c r="B355" s="473" t="s">
        <v>13207</v>
      </c>
      <c r="C355" s="109">
        <f>QUANT!C785</f>
        <v>92023</v>
      </c>
      <c r="D355" s="109" t="str">
        <f>QUANT!D785</f>
        <v>SINAPI</v>
      </c>
      <c r="E355" s="80" t="str">
        <f>IFERROR(VLOOKUP($C355,'SINAPI JULHO 2021'!$1:$1048576,2,0),IFERROR(VLOOKUP($C355,'5-COMP. PROPRIA'!$B$1:$I$7981,4,0),""))</f>
        <v>INTERRUPTOR SIMPLES (1 MÓDULO) COM 1 TOMADA DE EMBUTIR 2P+T 10 A,  INCLUINDO SUPORTE E PLACA - FORNECIMENTO E INSTALAÇÃO. AF_12/2015</v>
      </c>
      <c r="F355" s="81" t="str">
        <f>IFERROR(VLOOKUP($C355,'SINAPI JULHO 2021'!$A:$D,3,0),IFERROR(VLOOKUP($C355,'5-COMP. PROPRIA'!$B$1:$I$7981,5,0),""))</f>
        <v>UN</v>
      </c>
      <c r="G355" s="129">
        <f>QUANT!K785</f>
        <v>2</v>
      </c>
      <c r="H355" s="218">
        <f>IFERROR(VLOOKUP($C355,'SINAPI JULHO 2021'!$A:$D,4,0),IFERROR(VLOOKUP($C355,'5-COMP. PROPRIA'!$B$1:$I$1240,8,0),""))</f>
        <v>33</v>
      </c>
      <c r="I355" s="200">
        <f>H355*'4-BDI'!$E$29</f>
        <v>42.319200000000002</v>
      </c>
      <c r="J355" s="201">
        <f t="shared" si="118"/>
        <v>66</v>
      </c>
      <c r="K355" s="123">
        <f t="shared" si="119"/>
        <v>84.63</v>
      </c>
    </row>
    <row r="356" spans="2:11" s="76" customFormat="1" ht="30">
      <c r="B356" s="473" t="s">
        <v>13208</v>
      </c>
      <c r="C356" s="109">
        <f>QUANT!C786</f>
        <v>92027</v>
      </c>
      <c r="D356" s="109" t="str">
        <f>QUANT!D786</f>
        <v>SINAPI</v>
      </c>
      <c r="E356" s="80" t="str">
        <f>IFERROR(VLOOKUP($C356,'SINAPI JULHO 2021'!$1:$1048576,2,0),IFERROR(VLOOKUP($C356,'5-COMP. PROPRIA'!$B$1:$I$7981,4,0),""))</f>
        <v>INTERRUPTOR SIMPLES (2 MÓDULOS) COM 1 TOMADA DE EMBUTIR 2P+T 10 A,  INCLUINDO SUPORTE E PLACA - FORNECIMENTO E INSTALAÇÃO. AF_12/2015</v>
      </c>
      <c r="F356" s="81" t="str">
        <f>IFERROR(VLOOKUP($C356,'SINAPI JULHO 2021'!$A:$D,3,0),IFERROR(VLOOKUP($C356,'5-COMP. PROPRIA'!$B$1:$I$7981,5,0),""))</f>
        <v>UN</v>
      </c>
      <c r="G356" s="129">
        <f>QUANT!K786</f>
        <v>21</v>
      </c>
      <c r="H356" s="218">
        <f>IFERROR(VLOOKUP($C356,'SINAPI JULHO 2021'!$A:$D,4,0),IFERROR(VLOOKUP($C356,'5-COMP. PROPRIA'!$B$1:$I$1240,8,0),""))</f>
        <v>43.91</v>
      </c>
      <c r="I356" s="200">
        <f>H356*'4-BDI'!$E$29</f>
        <v>56.310183999999992</v>
      </c>
      <c r="J356" s="201">
        <f t="shared" si="118"/>
        <v>922.11</v>
      </c>
      <c r="K356" s="123">
        <f t="shared" si="119"/>
        <v>1182.51</v>
      </c>
    </row>
    <row r="357" spans="2:11" s="76" customFormat="1" ht="30">
      <c r="B357" s="473" t="s">
        <v>13209</v>
      </c>
      <c r="C357" s="109">
        <f>QUANT!C787</f>
        <v>91992</v>
      </c>
      <c r="D357" s="109" t="str">
        <f>QUANT!D787</f>
        <v>SINAPI</v>
      </c>
      <c r="E357" s="80" t="str">
        <f>IFERROR(VLOOKUP($C357,'SINAPI JULHO 2021'!$1:$1048576,2,0),IFERROR(VLOOKUP($C357,'5-COMP. PROPRIA'!$B$1:$I$7981,4,0),""))</f>
        <v>TOMADA ALTA DE EMBUTIR (1 MÓDULO), 2P+T 10 A, INCLUINDO SUPORTE E PLACA - FORNECIMENTO E INSTALAÇÃO. AF_12/2015</v>
      </c>
      <c r="F357" s="81" t="str">
        <f>IFERROR(VLOOKUP($C357,'SINAPI JULHO 2021'!$A:$D,3,0),IFERROR(VLOOKUP($C357,'5-COMP. PROPRIA'!$B$1:$I$7981,5,0),""))</f>
        <v>UN</v>
      </c>
      <c r="G357" s="129">
        <f>QUANT!K787</f>
        <v>35</v>
      </c>
      <c r="H357" s="218">
        <f>IFERROR(VLOOKUP($C357,'SINAPI JULHO 2021'!$A:$D,4,0),IFERROR(VLOOKUP($C357,'5-COMP. PROPRIA'!$B$1:$I$1240,8,0),""))</f>
        <v>28.2</v>
      </c>
      <c r="I357" s="200">
        <f>H357*'4-BDI'!$E$29</f>
        <v>36.163679999999999</v>
      </c>
      <c r="J357" s="201">
        <f t="shared" si="118"/>
        <v>987</v>
      </c>
      <c r="K357" s="123">
        <f t="shared" si="119"/>
        <v>1265.72</v>
      </c>
    </row>
    <row r="358" spans="2:11" s="76" customFormat="1" ht="30">
      <c r="B358" s="473" t="s">
        <v>13210</v>
      </c>
      <c r="C358" s="109">
        <f>QUANT!C788</f>
        <v>91996</v>
      </c>
      <c r="D358" s="109" t="str">
        <f>QUANT!D788</f>
        <v>SINAPI</v>
      </c>
      <c r="E358" s="80" t="str">
        <f>IFERROR(VLOOKUP($C358,'SINAPI JULHO 2021'!$1:$1048576,2,0),IFERROR(VLOOKUP($C358,'5-COMP. PROPRIA'!$B$1:$I$7981,4,0),""))</f>
        <v>TOMADA MÉDIA DE EMBUTIR (1 MÓDULO), 2P+T 10 A, INCLUINDO SUPORTE E PLACA - FORNECIMENTO E INSTALAÇÃO. AF_12/2015</v>
      </c>
      <c r="F358" s="81" t="str">
        <f>IFERROR(VLOOKUP($C358,'SINAPI JULHO 2021'!$A:$D,3,0),IFERROR(VLOOKUP($C358,'5-COMP. PROPRIA'!$B$1:$I$7981,5,0),""))</f>
        <v>UN</v>
      </c>
      <c r="G358" s="129">
        <f>QUANT!K788</f>
        <v>10</v>
      </c>
      <c r="H358" s="218">
        <f>IFERROR(VLOOKUP($C358,'SINAPI JULHO 2021'!$A:$D,4,0),IFERROR(VLOOKUP($C358,'5-COMP. PROPRIA'!$B$1:$I$1240,8,0),""))</f>
        <v>22.13</v>
      </c>
      <c r="I358" s="200">
        <f>H358*'4-BDI'!$E$29</f>
        <v>28.379511999999998</v>
      </c>
      <c r="J358" s="201">
        <f t="shared" si="118"/>
        <v>221.3</v>
      </c>
      <c r="K358" s="123">
        <f t="shared" si="119"/>
        <v>283.79000000000002</v>
      </c>
    </row>
    <row r="359" spans="2:11" s="76" customFormat="1" ht="30">
      <c r="B359" s="473" t="s">
        <v>13211</v>
      </c>
      <c r="C359" s="109">
        <f>QUANT!C789</f>
        <v>92000</v>
      </c>
      <c r="D359" s="109" t="str">
        <f>QUANT!D789</f>
        <v>SINAPI</v>
      </c>
      <c r="E359" s="80" t="str">
        <f>IFERROR(VLOOKUP($C359,'SINAPI JULHO 2021'!$1:$1048576,2,0),IFERROR(VLOOKUP($C359,'5-COMP. PROPRIA'!$B$1:$I$7981,4,0),""))</f>
        <v>TOMADA BAIXA DE EMBUTIR (1 MÓDULO), 2P+T 10 A, INCLUINDO SUPORTE E PLACA - FORNECIMENTO E INSTALAÇÃO. AF_12/2015</v>
      </c>
      <c r="F359" s="81" t="str">
        <f>IFERROR(VLOOKUP($C359,'SINAPI JULHO 2021'!$A:$D,3,0),IFERROR(VLOOKUP($C359,'5-COMP. PROPRIA'!$B$1:$I$7981,5,0),""))</f>
        <v>UN</v>
      </c>
      <c r="G359" s="129">
        <f>QUANT!K789</f>
        <v>1</v>
      </c>
      <c r="H359" s="218">
        <f>IFERROR(VLOOKUP($C359,'SINAPI JULHO 2021'!$A:$D,4,0),IFERROR(VLOOKUP($C359,'5-COMP. PROPRIA'!$B$1:$I$1240,8,0),""))</f>
        <v>19.78</v>
      </c>
      <c r="I359" s="200">
        <f>H359*'4-BDI'!$E$29</f>
        <v>25.365872</v>
      </c>
      <c r="J359" s="201">
        <f t="shared" si="118"/>
        <v>19.78</v>
      </c>
      <c r="K359" s="123">
        <f t="shared" si="119"/>
        <v>25.36</v>
      </c>
    </row>
    <row r="360" spans="2:11" s="76" customFormat="1" ht="30">
      <c r="B360" s="473" t="s">
        <v>13212</v>
      </c>
      <c r="C360" s="109">
        <f>QUANT!C790</f>
        <v>92008</v>
      </c>
      <c r="D360" s="109" t="str">
        <f>QUANT!D790</f>
        <v>SINAPI</v>
      </c>
      <c r="E360" s="80" t="str">
        <f>IFERROR(VLOOKUP($C360,'SINAPI JULHO 2021'!$1:$1048576,2,0),IFERROR(VLOOKUP($C360,'5-COMP. PROPRIA'!$B$1:$I$7981,4,0),""))</f>
        <v>TOMADA BAIXA DE EMBUTIR (2 MÓDULOS), 2P+T 10 A, INCLUINDO SUPORTE E PLACA - FORNECIMENTO E INSTALAÇÃO. AF_12/2015</v>
      </c>
      <c r="F360" s="81" t="str">
        <f>IFERROR(VLOOKUP($C360,'SINAPI JULHO 2021'!$A:$D,3,0),IFERROR(VLOOKUP($C360,'5-COMP. PROPRIA'!$B$1:$I$7981,5,0),""))</f>
        <v>UN</v>
      </c>
      <c r="G360" s="129">
        <f>QUANT!K790</f>
        <v>59</v>
      </c>
      <c r="H360" s="218">
        <f>IFERROR(VLOOKUP($C360,'SINAPI JULHO 2021'!$A:$D,4,0),IFERROR(VLOOKUP($C360,'5-COMP. PROPRIA'!$B$1:$I$1240,8,0),""))</f>
        <v>31.74</v>
      </c>
      <c r="I360" s="200">
        <f>H360*'4-BDI'!$E$29</f>
        <v>40.703375999999999</v>
      </c>
      <c r="J360" s="201">
        <f t="shared" si="118"/>
        <v>1872.66</v>
      </c>
      <c r="K360" s="123">
        <f t="shared" si="119"/>
        <v>2401.4899999999998</v>
      </c>
    </row>
    <row r="361" spans="2:11" s="76" customFormat="1" ht="15">
      <c r="B361" s="473" t="s">
        <v>13213</v>
      </c>
      <c r="C361" s="109" t="str">
        <f>QUANT!C791</f>
        <v>CP-ELE-07</v>
      </c>
      <c r="D361" s="109" t="str">
        <f>QUANT!D791</f>
        <v>PRÓPRIA</v>
      </c>
      <c r="E361" s="80" t="str">
        <f>IFERROR(VLOOKUP($C361,'SINAPI JULHO 2021'!$1:$1048576,2,0),IFERROR(VLOOKUP($C361,'5-COMP. PROPRIA'!$B$1:$I$7981,4,0),""))</f>
        <v>PLACA CEGA COM FURO CENTRAL 9,5MM - FORNECIMENTO E INSTALAÇÃO</v>
      </c>
      <c r="F361" s="81" t="str">
        <f>IFERROR(VLOOKUP($C361,'SINAPI JULHO 2021'!$A:$D,3,0),IFERROR(VLOOKUP($C361,'5-COMP. PROPRIA'!$B$1:$I$7981,5,0),""))</f>
        <v>UNI</v>
      </c>
      <c r="G361" s="129">
        <f>QUANT!K791</f>
        <v>30</v>
      </c>
      <c r="H361" s="218">
        <f>IFERROR(VLOOKUP($C361,'SINAPI JULHO 2021'!$A:$D,4,0),IFERROR(VLOOKUP($C361,'5-COMP. PROPRIA'!$B$1:$I$1240,8,0),""))</f>
        <v>24.35</v>
      </c>
      <c r="I361" s="200">
        <f>H361*'4-BDI'!$E$29</f>
        <v>31.22644</v>
      </c>
      <c r="J361" s="201">
        <f t="shared" si="118"/>
        <v>730.5</v>
      </c>
      <c r="K361" s="123">
        <f t="shared" si="119"/>
        <v>936.79</v>
      </c>
    </row>
    <row r="362" spans="2:11" s="76" customFormat="1" ht="15">
      <c r="B362" s="473" t="s">
        <v>13214</v>
      </c>
      <c r="C362" s="109" t="str">
        <f>QUANT!C792</f>
        <v>CP-ELE-11</v>
      </c>
      <c r="D362" s="109" t="str">
        <f>QUANT!D792</f>
        <v>PRÓPRIA</v>
      </c>
      <c r="E362" s="80" t="str">
        <f>IFERROR(VLOOKUP($C362,'SINAPI JULHO 2021'!$1:$1048576,2,0),IFERROR(VLOOKUP($C362,'5-COMP. PROPRIA'!$B$1:$I$7981,4,0),""))</f>
        <v>VENTILADOR DE TETO - FORNECIMENTO E INSTALAÇÃO</v>
      </c>
      <c r="F362" s="81" t="str">
        <f>IFERROR(VLOOKUP($C362,'SINAPI JULHO 2021'!$A:$D,3,0),IFERROR(VLOOKUP($C362,'5-COMP. PROPRIA'!$B$1:$I$7981,5,0),""))</f>
        <v>UNI</v>
      </c>
      <c r="G362" s="129">
        <f>QUANT!K792</f>
        <v>56</v>
      </c>
      <c r="H362" s="218">
        <f>IFERROR(VLOOKUP($C362,'SINAPI JULHO 2021'!$A:$D,4,0),IFERROR(VLOOKUP($C362,'5-COMP. PROPRIA'!$B$1:$I$1240,8,0),""))</f>
        <v>237.45</v>
      </c>
      <c r="I362" s="200">
        <f>H362*'4-BDI'!$E$29</f>
        <v>304.50587999999999</v>
      </c>
      <c r="J362" s="201">
        <f t="shared" si="118"/>
        <v>13297.2</v>
      </c>
      <c r="K362" s="123">
        <f t="shared" si="119"/>
        <v>17052.32</v>
      </c>
    </row>
    <row r="363" spans="2:11" s="76" customFormat="1" ht="15">
      <c r="B363" s="222" t="s">
        <v>6283</v>
      </c>
      <c r="C363" s="223"/>
      <c r="D363" s="224"/>
      <c r="E363" s="225" t="str">
        <f>QUANT!E793</f>
        <v>DISPOSITIVO DE PROTEÇÃO</v>
      </c>
      <c r="F363" s="120"/>
      <c r="G363" s="129"/>
      <c r="H363" s="218"/>
      <c r="I363" s="200"/>
      <c r="J363" s="201"/>
      <c r="K363" s="123"/>
    </row>
    <row r="364" spans="2:11" s="76" customFormat="1" ht="30">
      <c r="B364" s="473" t="s">
        <v>13215</v>
      </c>
      <c r="C364" s="109">
        <f>QUANT!C794</f>
        <v>93654</v>
      </c>
      <c r="D364" s="109" t="str">
        <f>QUANT!D794</f>
        <v>SINAPI</v>
      </c>
      <c r="E364" s="80" t="str">
        <f>IFERROR(VLOOKUP($C364,'SINAPI JULHO 2021'!$1:$1048576,2,0),IFERROR(VLOOKUP($C364,'5-COMP. PROPRIA'!$B$1:$I$7981,4,0),""))</f>
        <v>DISJUNTOR MONOPOLAR TIPO DIN, CORRENTE NOMINAL DE 16A - FORNECIMENTO E INSTALAÇÃO. AF_10/2020</v>
      </c>
      <c r="F364" s="81" t="str">
        <f>IFERROR(VLOOKUP($C364,'SINAPI JULHO 2021'!$A:$D,3,0),IFERROR(VLOOKUP($C364,'5-COMP. PROPRIA'!$B$1:$I$7981,5,0),""))</f>
        <v>UN</v>
      </c>
      <c r="G364" s="129">
        <f>QUANT!K794</f>
        <v>62</v>
      </c>
      <c r="H364" s="218">
        <f>IFERROR(VLOOKUP($C364,'SINAPI JULHO 2021'!$A:$D,4,0),IFERROR(VLOOKUP($C364,'5-COMP. PROPRIA'!$B$1:$I$1240,8,0),""))</f>
        <v>11.72</v>
      </c>
      <c r="I364" s="200">
        <f>H364*'4-BDI'!$E$29</f>
        <v>15.029728</v>
      </c>
      <c r="J364" s="201">
        <f t="shared" si="118"/>
        <v>726.64</v>
      </c>
      <c r="K364" s="123">
        <f t="shared" si="119"/>
        <v>931.84</v>
      </c>
    </row>
    <row r="365" spans="2:11" s="76" customFormat="1" ht="30">
      <c r="B365" s="473" t="s">
        <v>13216</v>
      </c>
      <c r="C365" s="109">
        <f>QUANT!C795</f>
        <v>93655</v>
      </c>
      <c r="D365" s="109" t="str">
        <f>QUANT!D795</f>
        <v>SINAPI</v>
      </c>
      <c r="E365" s="80" t="str">
        <f>IFERROR(VLOOKUP($C365,'SINAPI JULHO 2021'!$1:$1048576,2,0),IFERROR(VLOOKUP($C365,'5-COMP. PROPRIA'!$B$1:$I$7981,4,0),""))</f>
        <v>DISJUNTOR MONOPOLAR TIPO DIN, CORRENTE NOMINAL DE 20A - FORNECIMENTO E INSTALAÇÃO. AF_10/2020</v>
      </c>
      <c r="F365" s="81" t="str">
        <f>IFERROR(VLOOKUP($C365,'SINAPI JULHO 2021'!$A:$D,3,0),IFERROR(VLOOKUP($C365,'5-COMP. PROPRIA'!$B$1:$I$7981,5,0),""))</f>
        <v>UN</v>
      </c>
      <c r="G365" s="129">
        <f>QUANT!K795</f>
        <v>1</v>
      </c>
      <c r="H365" s="218">
        <f>IFERROR(VLOOKUP($C365,'SINAPI JULHO 2021'!$A:$D,4,0),IFERROR(VLOOKUP($C365,'5-COMP. PROPRIA'!$B$1:$I$1240,8,0),""))</f>
        <v>12.56</v>
      </c>
      <c r="I365" s="200">
        <f>H365*'4-BDI'!$E$29</f>
        <v>16.106944000000002</v>
      </c>
      <c r="J365" s="201">
        <f t="shared" si="118"/>
        <v>12.56</v>
      </c>
      <c r="K365" s="123">
        <f t="shared" si="119"/>
        <v>16.100000000000001</v>
      </c>
    </row>
    <row r="366" spans="2:11" s="76" customFormat="1" ht="30">
      <c r="B366" s="473" t="s">
        <v>13217</v>
      </c>
      <c r="C366" s="109">
        <f>QUANT!C796</f>
        <v>93661</v>
      </c>
      <c r="D366" s="109" t="str">
        <f>QUANT!D796</f>
        <v>SINAPI</v>
      </c>
      <c r="E366" s="80" t="str">
        <f>IFERROR(VLOOKUP($C366,'SINAPI JULHO 2021'!$1:$1048576,2,0),IFERROR(VLOOKUP($C366,'5-COMP. PROPRIA'!$B$1:$I$7981,4,0),""))</f>
        <v>DISJUNTOR BIPOLAR TIPO DIN, CORRENTE NOMINAL DE 16A - FORNECIMENTO E INSTALAÇÃO. AF_10/2020</v>
      </c>
      <c r="F366" s="81" t="str">
        <f>IFERROR(VLOOKUP($C366,'SINAPI JULHO 2021'!$A:$D,3,0),IFERROR(VLOOKUP($C366,'5-COMP. PROPRIA'!$B$1:$I$7981,5,0),""))</f>
        <v>UN</v>
      </c>
      <c r="G366" s="129">
        <f>QUANT!K796</f>
        <v>1</v>
      </c>
      <c r="H366" s="218">
        <f>IFERROR(VLOOKUP($C366,'SINAPI JULHO 2021'!$A:$D,4,0),IFERROR(VLOOKUP($C366,'5-COMP. PROPRIA'!$B$1:$I$1240,8,0),""))</f>
        <v>58.6</v>
      </c>
      <c r="I366" s="200">
        <f>H366*'4-BDI'!$E$29</f>
        <v>75.14864</v>
      </c>
      <c r="J366" s="201">
        <f t="shared" si="118"/>
        <v>58.6</v>
      </c>
      <c r="K366" s="123">
        <f t="shared" si="119"/>
        <v>75.14</v>
      </c>
    </row>
    <row r="367" spans="2:11" s="76" customFormat="1" ht="30">
      <c r="B367" s="473" t="s">
        <v>13218</v>
      </c>
      <c r="C367" s="109">
        <f>QUANT!C797</f>
        <v>93663</v>
      </c>
      <c r="D367" s="109" t="str">
        <f>QUANT!D797</f>
        <v>SINAPI</v>
      </c>
      <c r="E367" s="80" t="str">
        <f>IFERROR(VLOOKUP($C367,'SINAPI JULHO 2021'!$1:$1048576,2,0),IFERROR(VLOOKUP($C367,'5-COMP. PROPRIA'!$B$1:$I$7981,4,0),""))</f>
        <v>DISJUNTOR BIPOLAR TIPO DIN, CORRENTE NOMINAL DE 25A - FORNECIMENTO E INSTALAÇÃO. AF_10/2020</v>
      </c>
      <c r="F367" s="81" t="str">
        <f>IFERROR(VLOOKUP($C367,'SINAPI JULHO 2021'!$A:$D,3,0),IFERROR(VLOOKUP($C367,'5-COMP. PROPRIA'!$B$1:$I$7981,5,0),""))</f>
        <v>UN</v>
      </c>
      <c r="G367" s="129">
        <f>QUANT!K797</f>
        <v>43</v>
      </c>
      <c r="H367" s="218">
        <f>IFERROR(VLOOKUP($C367,'SINAPI JULHO 2021'!$A:$D,4,0),IFERROR(VLOOKUP($C367,'5-COMP. PROPRIA'!$B$1:$I$1240,8,0),""))</f>
        <v>60.28</v>
      </c>
      <c r="I367" s="200">
        <f>H367*'4-BDI'!$E$29</f>
        <v>77.303072</v>
      </c>
      <c r="J367" s="201">
        <f t="shared" si="118"/>
        <v>2592.04</v>
      </c>
      <c r="K367" s="123">
        <f t="shared" si="119"/>
        <v>3324.03</v>
      </c>
    </row>
    <row r="368" spans="2:11" s="76" customFormat="1" ht="30">
      <c r="B368" s="473" t="s">
        <v>13219</v>
      </c>
      <c r="C368" s="109">
        <f>QUANT!C798</f>
        <v>93664</v>
      </c>
      <c r="D368" s="109" t="str">
        <f>QUANT!D798</f>
        <v>SINAPI</v>
      </c>
      <c r="E368" s="80" t="str">
        <f>IFERROR(VLOOKUP($C368,'SINAPI JULHO 2021'!$1:$1048576,2,0),IFERROR(VLOOKUP($C368,'5-COMP. PROPRIA'!$B$1:$I$7981,4,0),""))</f>
        <v>DISJUNTOR BIPOLAR TIPO DIN, CORRENTE NOMINAL DE 32A - FORNECIMENTO E INSTALAÇÃO. AF_10/2020</v>
      </c>
      <c r="F368" s="81" t="str">
        <f>IFERROR(VLOOKUP($C368,'SINAPI JULHO 2021'!$A:$D,3,0),IFERROR(VLOOKUP($C368,'5-COMP. PROPRIA'!$B$1:$I$7981,5,0),""))</f>
        <v>UN</v>
      </c>
      <c r="G368" s="129">
        <f>QUANT!K798</f>
        <v>5</v>
      </c>
      <c r="H368" s="218">
        <f>IFERROR(VLOOKUP($C368,'SINAPI JULHO 2021'!$A:$D,4,0),IFERROR(VLOOKUP($C368,'5-COMP. PROPRIA'!$B$1:$I$1240,8,0),""))</f>
        <v>62.27</v>
      </c>
      <c r="I368" s="200">
        <f>H368*'4-BDI'!$E$29</f>
        <v>79.855047999999996</v>
      </c>
      <c r="J368" s="201">
        <f t="shared" si="118"/>
        <v>311.35000000000002</v>
      </c>
      <c r="K368" s="123">
        <f t="shared" si="119"/>
        <v>399.27</v>
      </c>
    </row>
    <row r="369" spans="2:11" s="76" customFormat="1" ht="30">
      <c r="B369" s="473" t="s">
        <v>13220</v>
      </c>
      <c r="C369" s="109">
        <f>QUANT!C799</f>
        <v>93670</v>
      </c>
      <c r="D369" s="109" t="str">
        <f>QUANT!D799</f>
        <v>SINAPI</v>
      </c>
      <c r="E369" s="80" t="str">
        <f>IFERROR(VLOOKUP($C369,'SINAPI JULHO 2021'!$1:$1048576,2,0),IFERROR(VLOOKUP($C369,'5-COMP. PROPRIA'!$B$1:$I$7981,4,0),""))</f>
        <v>DISJUNTOR TRIPOLAR TIPO DIN, CORRENTE NOMINAL DE 25A - FORNECIMENTO E INSTALAÇÃO. AF_10/2020</v>
      </c>
      <c r="F369" s="81" t="str">
        <f>IFERROR(VLOOKUP($C369,'SINAPI JULHO 2021'!$A:$D,3,0),IFERROR(VLOOKUP($C369,'5-COMP. PROPRIA'!$B$1:$I$7981,5,0),""))</f>
        <v>UN</v>
      </c>
      <c r="G369" s="129">
        <f>QUANT!K799</f>
        <v>1</v>
      </c>
      <c r="H369" s="218">
        <f>IFERROR(VLOOKUP($C369,'SINAPI JULHO 2021'!$A:$D,4,0),IFERROR(VLOOKUP($C369,'5-COMP. PROPRIA'!$B$1:$I$1240,8,0),""))</f>
        <v>75.59</v>
      </c>
      <c r="I369" s="200">
        <f>H369*'4-BDI'!$E$29</f>
        <v>96.936616000000001</v>
      </c>
      <c r="J369" s="201">
        <f t="shared" si="118"/>
        <v>75.59</v>
      </c>
      <c r="K369" s="123">
        <f t="shared" si="119"/>
        <v>96.93</v>
      </c>
    </row>
    <row r="370" spans="2:11" s="76" customFormat="1" ht="30">
      <c r="B370" s="473" t="s">
        <v>13221</v>
      </c>
      <c r="C370" s="109">
        <f>QUANT!C800</f>
        <v>93671</v>
      </c>
      <c r="D370" s="109" t="str">
        <f>QUANT!D800</f>
        <v>SINAPI</v>
      </c>
      <c r="E370" s="80" t="str">
        <f>IFERROR(VLOOKUP($C370,'SINAPI JULHO 2021'!$1:$1048576,2,0),IFERROR(VLOOKUP($C370,'5-COMP. PROPRIA'!$B$1:$I$7981,4,0),""))</f>
        <v>DISJUNTOR TRIPOLAR TIPO DIN, CORRENTE NOMINAL DE 32A - FORNECIMENTO E INSTALAÇÃO. AF_10/2020</v>
      </c>
      <c r="F370" s="81" t="str">
        <f>IFERROR(VLOOKUP($C370,'SINAPI JULHO 2021'!$A:$D,3,0),IFERROR(VLOOKUP($C370,'5-COMP. PROPRIA'!$B$1:$I$7981,5,0),""))</f>
        <v>UN</v>
      </c>
      <c r="G370" s="129">
        <f>QUANT!K800</f>
        <v>1</v>
      </c>
      <c r="H370" s="218">
        <f>IFERROR(VLOOKUP($C370,'SINAPI JULHO 2021'!$A:$D,4,0),IFERROR(VLOOKUP($C370,'5-COMP. PROPRIA'!$B$1:$I$1240,8,0),""))</f>
        <v>78.569999999999993</v>
      </c>
      <c r="I370" s="200">
        <f>H370*'4-BDI'!$E$29</f>
        <v>100.75816799999998</v>
      </c>
      <c r="J370" s="201">
        <f t="shared" si="118"/>
        <v>78.569999999999993</v>
      </c>
      <c r="K370" s="123">
        <f t="shared" si="119"/>
        <v>100.75</v>
      </c>
    </row>
    <row r="371" spans="2:11" s="76" customFormat="1" ht="30">
      <c r="B371" s="473" t="s">
        <v>13222</v>
      </c>
      <c r="C371" s="109">
        <f>QUANT!C801</f>
        <v>93672</v>
      </c>
      <c r="D371" s="109" t="str">
        <f>QUANT!D801</f>
        <v>SINAPI</v>
      </c>
      <c r="E371" s="80" t="str">
        <f>IFERROR(VLOOKUP($C371,'SINAPI JULHO 2021'!$1:$1048576,2,0),IFERROR(VLOOKUP($C371,'5-COMP. PROPRIA'!$B$1:$I$7981,4,0),""))</f>
        <v>DISJUNTOR TRIPOLAR TIPO DIN, CORRENTE NOMINAL DE 40A - FORNECIMENTO E INSTALAÇÃO. AF_10/2020</v>
      </c>
      <c r="F371" s="81" t="str">
        <f>IFERROR(VLOOKUP($C371,'SINAPI JULHO 2021'!$A:$D,3,0),IFERROR(VLOOKUP($C371,'5-COMP. PROPRIA'!$B$1:$I$7981,5,0),""))</f>
        <v>UN</v>
      </c>
      <c r="G371" s="129">
        <f>QUANT!K801</f>
        <v>3</v>
      </c>
      <c r="H371" s="218">
        <f>IFERROR(VLOOKUP($C371,'SINAPI JULHO 2021'!$A:$D,4,0),IFERROR(VLOOKUP($C371,'5-COMP. PROPRIA'!$B$1:$I$1240,8,0),""))</f>
        <v>83.14</v>
      </c>
      <c r="I371" s="200">
        <f>H371*'4-BDI'!$E$29</f>
        <v>106.618736</v>
      </c>
      <c r="J371" s="201">
        <f t="shared" si="118"/>
        <v>249.42</v>
      </c>
      <c r="K371" s="123">
        <f t="shared" si="119"/>
        <v>319.85000000000002</v>
      </c>
    </row>
    <row r="372" spans="2:11" s="76" customFormat="1" ht="15">
      <c r="B372" s="473" t="s">
        <v>13223</v>
      </c>
      <c r="C372" s="109" t="str">
        <f>QUANT!C802</f>
        <v>CP-PTR-60</v>
      </c>
      <c r="D372" s="109" t="str">
        <f>QUANT!D802</f>
        <v>PRÓPRIA</v>
      </c>
      <c r="E372" s="80" t="str">
        <f>IFERROR(VLOOKUP($C372,'SINAPI JULHO 2021'!$1:$1048576,2,0),IFERROR(VLOOKUP($C372,'5-COMP. PROPRIA'!$B$1:$I$7981,4,0),""))</f>
        <v>DISJUNTOR TERMOMAGNÉTICO DIN TRIPOLAR 63A - FORNECIMENTO E INSTALAÇÃO</v>
      </c>
      <c r="F372" s="81" t="str">
        <f>IFERROR(VLOOKUP($C372,'SINAPI JULHO 2021'!$A:$D,3,0),IFERROR(VLOOKUP($C372,'5-COMP. PROPRIA'!$B$1:$I$7981,5,0),""))</f>
        <v>UNI</v>
      </c>
      <c r="G372" s="129">
        <f>QUANT!K802</f>
        <v>2</v>
      </c>
      <c r="H372" s="218">
        <f>IFERROR(VLOOKUP($C372,'SINAPI JULHO 2021'!$A:$D,4,0),IFERROR(VLOOKUP($C372,'5-COMP. PROPRIA'!$B$1:$I$1240,8,0),""))</f>
        <v>96.55</v>
      </c>
      <c r="I372" s="200">
        <f>H372*'4-BDI'!$E$29</f>
        <v>123.81572</v>
      </c>
      <c r="J372" s="201">
        <f t="shared" si="118"/>
        <v>193.1</v>
      </c>
      <c r="K372" s="123">
        <f t="shared" si="119"/>
        <v>247.63</v>
      </c>
    </row>
    <row r="373" spans="2:11" s="76" customFormat="1" ht="15">
      <c r="B373" s="473" t="s">
        <v>13224</v>
      </c>
      <c r="C373" s="109" t="str">
        <f>QUANT!C803</f>
        <v>CP-PTR-59</v>
      </c>
      <c r="D373" s="109" t="str">
        <f>QUANT!D803</f>
        <v>PRÓPRIA</v>
      </c>
      <c r="E373" s="80" t="str">
        <f>IFERROR(VLOOKUP($C373,'SINAPI JULHO 2021'!$1:$1048576,2,0),IFERROR(VLOOKUP($C373,'5-COMP. PROPRIA'!$B$1:$I$7981,4,0),""))</f>
        <v>DISJUNTOR TERMOMAGNÉTICO DIN TRIPOLAR 100A - FORNECIMENTO E INSTALAÇÃO</v>
      </c>
      <c r="F373" s="81" t="str">
        <f>IFERROR(VLOOKUP($C373,'SINAPI JULHO 2021'!$A:$D,3,0),IFERROR(VLOOKUP($C373,'5-COMP. PROPRIA'!$B$1:$I$7981,5,0),""))</f>
        <v>UNI</v>
      </c>
      <c r="G373" s="129">
        <f>QUANT!K803</f>
        <v>2</v>
      </c>
      <c r="H373" s="218">
        <f>IFERROR(VLOOKUP($C373,'SINAPI JULHO 2021'!$A:$D,4,0),IFERROR(VLOOKUP($C373,'5-COMP. PROPRIA'!$B$1:$I$1240,8,0),""))</f>
        <v>381</v>
      </c>
      <c r="I373" s="200">
        <f>H373*'4-BDI'!$E$29</f>
        <v>488.59440000000001</v>
      </c>
      <c r="J373" s="201">
        <f t="shared" si="118"/>
        <v>762</v>
      </c>
      <c r="K373" s="123">
        <f t="shared" si="119"/>
        <v>977.18</v>
      </c>
    </row>
    <row r="374" spans="2:11" s="76" customFormat="1" ht="15">
      <c r="B374" s="473" t="s">
        <v>13225</v>
      </c>
      <c r="C374" s="109" t="str">
        <f>QUANT!C804</f>
        <v>CP-PTR-58</v>
      </c>
      <c r="D374" s="109" t="str">
        <f>QUANT!D804</f>
        <v>PRÓPRIA</v>
      </c>
      <c r="E374" s="80" t="str">
        <f>IFERROR(VLOOKUP($C374,'SINAPI JULHO 2021'!$1:$1048576,2,0),IFERROR(VLOOKUP($C374,'5-COMP. PROPRIA'!$B$1:$I$7981,4,0),""))</f>
        <v>DISJUNTOR TERMOMAGNETICO CAIXA MOLDADA TRIPOLAR 150A - FORNECIMENTO E INSTALAÇÃO</v>
      </c>
      <c r="F374" s="81" t="str">
        <f>IFERROR(VLOOKUP($C374,'SINAPI JULHO 2021'!$A:$D,3,0),IFERROR(VLOOKUP($C374,'5-COMP. PROPRIA'!$B$1:$I$7981,5,0),""))</f>
        <v>UNI</v>
      </c>
      <c r="G374" s="129">
        <f>QUANT!K804</f>
        <v>2</v>
      </c>
      <c r="H374" s="218">
        <f>IFERROR(VLOOKUP($C374,'SINAPI JULHO 2021'!$A:$D,4,0),IFERROR(VLOOKUP($C374,'5-COMP. PROPRIA'!$B$1:$I$1240,8,0),""))</f>
        <v>434.83</v>
      </c>
      <c r="I374" s="200">
        <f>H374*'4-BDI'!$E$29</f>
        <v>557.625992</v>
      </c>
      <c r="J374" s="201">
        <f t="shared" si="118"/>
        <v>869.66</v>
      </c>
      <c r="K374" s="123">
        <f t="shared" si="119"/>
        <v>1115.25</v>
      </c>
    </row>
    <row r="375" spans="2:11" s="76" customFormat="1" ht="30">
      <c r="B375" s="473" t="s">
        <v>13226</v>
      </c>
      <c r="C375" s="109" t="str">
        <f>QUANT!C805</f>
        <v>CP-ELE-03</v>
      </c>
      <c r="D375" s="109" t="str">
        <f>QUANT!D805</f>
        <v>PRÓPRIA</v>
      </c>
      <c r="E375" s="80" t="str">
        <f>IFERROR(VLOOKUP($C375,'SINAPI JULHO 2021'!$1:$1048576,2,0),IFERROR(VLOOKUP($C375,'5-COMP. PROPRIA'!$B$1:$I$7981,4,0),""))</f>
        <v>DISPOSITIVO DPS CLASSE II, 1 POLO, TENSAO MAXIMA DE 175 V, CORRENTE MAXIMA DE *45* KA (TIPO AC) - FORNECIMENTO E INSTALAÇÃO</v>
      </c>
      <c r="F375" s="81" t="str">
        <f>IFERROR(VLOOKUP($C375,'SINAPI JULHO 2021'!$A:$D,3,0),IFERROR(VLOOKUP($C375,'5-COMP. PROPRIA'!$B$1:$I$7981,5,0),""))</f>
        <v>UNI</v>
      </c>
      <c r="G375" s="129">
        <f>QUANT!K805</f>
        <v>32</v>
      </c>
      <c r="H375" s="218">
        <f>IFERROR(VLOOKUP($C375,'SINAPI JULHO 2021'!$A:$D,4,0),IFERROR(VLOOKUP($C375,'5-COMP. PROPRIA'!$B$1:$I$1240,8,0),""))</f>
        <v>107.52</v>
      </c>
      <c r="I375" s="200">
        <f>H375*'4-BDI'!$E$29</f>
        <v>137.88364799999999</v>
      </c>
      <c r="J375" s="201">
        <f t="shared" si="118"/>
        <v>3440.64</v>
      </c>
      <c r="K375" s="123">
        <f t="shared" si="119"/>
        <v>4412.2700000000004</v>
      </c>
    </row>
    <row r="376" spans="2:11" s="76" customFormat="1" ht="30">
      <c r="B376" s="473" t="s">
        <v>13227</v>
      </c>
      <c r="C376" s="109" t="str">
        <f>QUANT!C806</f>
        <v>CP-ELE-04</v>
      </c>
      <c r="D376" s="109" t="str">
        <f>QUANT!D806</f>
        <v>PRÓPRIA</v>
      </c>
      <c r="E376" s="80" t="str">
        <f>IFERROR(VLOOKUP($C376,'SINAPI JULHO 2021'!$1:$1048576,2,0),IFERROR(VLOOKUP($C376,'5-COMP. PROPRIA'!$B$1:$I$7981,4,0),""))</f>
        <v>DISPOSITIVO DR, 4 POLOS, SENSIBILIDADE DE 30 MA, CORRENTE DE 100 A, TIPO AC - FORNECIMENTO E INSTALAÇÃO</v>
      </c>
      <c r="F376" s="81" t="str">
        <f>IFERROR(VLOOKUP($C376,'SINAPI JULHO 2021'!$A:$D,3,0),IFERROR(VLOOKUP($C376,'5-COMP. PROPRIA'!$B$1:$I$7981,5,0),""))</f>
        <v>UNI</v>
      </c>
      <c r="G376" s="129">
        <f>QUANT!K806</f>
        <v>2</v>
      </c>
      <c r="H376" s="218">
        <f>IFERROR(VLOOKUP($C376,'SINAPI JULHO 2021'!$A:$D,4,0),IFERROR(VLOOKUP($C376,'5-COMP. PROPRIA'!$B$1:$I$1240,8,0),""))</f>
        <v>346.88</v>
      </c>
      <c r="I376" s="200">
        <f>H376*'4-BDI'!$E$29</f>
        <v>444.83891199999999</v>
      </c>
      <c r="J376" s="201">
        <f t="shared" si="118"/>
        <v>693.76</v>
      </c>
      <c r="K376" s="123">
        <f t="shared" si="119"/>
        <v>889.67</v>
      </c>
    </row>
    <row r="377" spans="2:11" s="76" customFormat="1" ht="30">
      <c r="B377" s="473" t="s">
        <v>13228</v>
      </c>
      <c r="C377" s="109" t="str">
        <f>QUANT!C807</f>
        <v>CP-ELE-05</v>
      </c>
      <c r="D377" s="109" t="str">
        <f>QUANT!D807</f>
        <v>PRÓPRIA</v>
      </c>
      <c r="E377" s="80" t="str">
        <f>IFERROR(VLOOKUP($C377,'SINAPI JULHO 2021'!$1:$1048576,2,0),IFERROR(VLOOKUP($C377,'5-COMP. PROPRIA'!$B$1:$I$7981,4,0),""))</f>
        <v>DISPOSITIVO DR, 4 POLOS, SENSIBILIDADE DE 30 MA, CORRENTE DE 63 A, TIPO AC - FORNECIMENTO E INSTALAÇÃO</v>
      </c>
      <c r="F377" s="81" t="str">
        <f>IFERROR(VLOOKUP($C377,'SINAPI JULHO 2021'!$A:$D,3,0),IFERROR(VLOOKUP($C377,'5-COMP. PROPRIA'!$B$1:$I$7981,5,0),""))</f>
        <v>UNI</v>
      </c>
      <c r="G377" s="129">
        <f>QUANT!K807</f>
        <v>2</v>
      </c>
      <c r="H377" s="218">
        <f>IFERROR(VLOOKUP($C377,'SINAPI JULHO 2021'!$A:$D,4,0),IFERROR(VLOOKUP($C377,'5-COMP. PROPRIA'!$B$1:$I$1240,8,0),""))</f>
        <v>193.2</v>
      </c>
      <c r="I377" s="200">
        <f>H377*'4-BDI'!$E$29</f>
        <v>247.75967999999997</v>
      </c>
      <c r="J377" s="201">
        <f t="shared" si="118"/>
        <v>386.4</v>
      </c>
      <c r="K377" s="123">
        <f t="shared" si="119"/>
        <v>495.51</v>
      </c>
    </row>
    <row r="378" spans="2:11" s="76" customFormat="1" ht="30">
      <c r="B378" s="473" t="s">
        <v>13229</v>
      </c>
      <c r="C378" s="109" t="str">
        <f>QUANT!C808</f>
        <v>CP-ELE-06</v>
      </c>
      <c r="D378" s="109" t="str">
        <f>QUANT!D808</f>
        <v>PRÓPRIA</v>
      </c>
      <c r="E378" s="80" t="str">
        <f>IFERROR(VLOOKUP($C378,'SINAPI JULHO 2021'!$1:$1048576,2,0),IFERROR(VLOOKUP($C378,'5-COMP. PROPRIA'!$B$1:$I$7981,4,0),""))</f>
        <v>DISPOSITIVO DR, 4 POLOS, SENSIBILIDADE DE 30 MA, CORRENTE DE 40 A, TIPO AC - FORNECIMENTO E INSTALAÇÃO</v>
      </c>
      <c r="F378" s="81" t="str">
        <f>IFERROR(VLOOKUP($C378,'SINAPI JULHO 2021'!$A:$D,3,0),IFERROR(VLOOKUP($C378,'5-COMP. PROPRIA'!$B$1:$I$7981,5,0),""))</f>
        <v>UNI</v>
      </c>
      <c r="G378" s="129">
        <f>QUANT!K808</f>
        <v>1</v>
      </c>
      <c r="H378" s="218">
        <f>IFERROR(VLOOKUP($C378,'SINAPI JULHO 2021'!$A:$D,4,0),IFERROR(VLOOKUP($C378,'5-COMP. PROPRIA'!$B$1:$I$1240,8,0),""))</f>
        <v>178.29</v>
      </c>
      <c r="I378" s="200">
        <f>H378*'4-BDI'!$E$29</f>
        <v>228.639096</v>
      </c>
      <c r="J378" s="201">
        <f t="shared" si="118"/>
        <v>178.29</v>
      </c>
      <c r="K378" s="123">
        <f t="shared" si="119"/>
        <v>228.63</v>
      </c>
    </row>
    <row r="379" spans="2:11" s="76" customFormat="1" ht="15">
      <c r="B379" s="222" t="s">
        <v>6287</v>
      </c>
      <c r="C379" s="223"/>
      <c r="D379" s="224"/>
      <c r="E379" s="225" t="str">
        <f>QUANT!E809</f>
        <v>ELETRODUTOS E ELETROCALHAS</v>
      </c>
      <c r="F379" s="120"/>
      <c r="G379" s="129"/>
      <c r="H379" s="218"/>
      <c r="I379" s="200"/>
      <c r="J379" s="201"/>
      <c r="K379" s="123"/>
    </row>
    <row r="380" spans="2:11" s="76" customFormat="1" ht="30">
      <c r="B380" s="473" t="s">
        <v>13230</v>
      </c>
      <c r="C380" s="109">
        <f>QUANT!C810</f>
        <v>91868</v>
      </c>
      <c r="D380" s="109" t="str">
        <f>QUANT!D810</f>
        <v>SINAPI</v>
      </c>
      <c r="E380" s="80" t="str">
        <f>IFERROR(VLOOKUP($C380,'SINAPI JULHO 2021'!$1:$1048576,2,0),IFERROR(VLOOKUP($C380,'5-COMP. PROPRIA'!$B$1:$I$7981,4,0),""))</f>
        <v>ELETRODUTO RÍGIDO ROSCÁVEL, PVC, DN 32 MM (1"), PARA CIRCUITOS TERMINAIS, INSTALADO EM LAJE - FORNECIMENTO E INSTALAÇÃO. AF_12/2015</v>
      </c>
      <c r="F380" s="81" t="str">
        <f>IFERROR(VLOOKUP($C380,'SINAPI JULHO 2021'!$A:$D,3,0),IFERROR(VLOOKUP($C380,'5-COMP. PROPRIA'!$B$1:$I$7981,5,0),""))</f>
        <v>M</v>
      </c>
      <c r="G380" s="129">
        <f>QUANT!K810</f>
        <v>284.8</v>
      </c>
      <c r="H380" s="218">
        <f>IFERROR(VLOOKUP($C380,'SINAPI JULHO 2021'!$A:$D,4,0),IFERROR(VLOOKUP($C380,'5-COMP. PROPRIA'!$B$1:$I$1240,8,0),""))</f>
        <v>9.5500000000000007</v>
      </c>
      <c r="I380" s="200">
        <f>H380*'4-BDI'!$E$29</f>
        <v>12.246920000000001</v>
      </c>
      <c r="J380" s="201">
        <f t="shared" si="118"/>
        <v>2719.84</v>
      </c>
      <c r="K380" s="123">
        <f t="shared" si="119"/>
        <v>3487.92</v>
      </c>
    </row>
    <row r="381" spans="2:11" s="76" customFormat="1" ht="30">
      <c r="B381" s="473" t="s">
        <v>13231</v>
      </c>
      <c r="C381" s="109">
        <f>QUANT!C811</f>
        <v>91845</v>
      </c>
      <c r="D381" s="109" t="str">
        <f>QUANT!D811</f>
        <v>SINAPI</v>
      </c>
      <c r="E381" s="80" t="str">
        <f>IFERROR(VLOOKUP($C381,'SINAPI JULHO 2021'!$1:$1048576,2,0),IFERROR(VLOOKUP($C381,'5-COMP. PROPRIA'!$B$1:$I$7981,4,0),""))</f>
        <v>ELETRODUTO FLEXÍVEL CORRUGADO REFORÇADO, PVC, DN 25 MM (3/4"), PARA CIRCUITOS TERMINAIS, INSTALADO EM LAJE - FORNECIMENTO E INSTALAÇÃO. AF_12/2015</v>
      </c>
      <c r="F381" s="81" t="str">
        <f>IFERROR(VLOOKUP($C381,'SINAPI JULHO 2021'!$A:$D,3,0),IFERROR(VLOOKUP($C381,'5-COMP. PROPRIA'!$B$1:$I$7981,5,0),""))</f>
        <v>M</v>
      </c>
      <c r="G381" s="129">
        <f>QUANT!K811</f>
        <v>1620</v>
      </c>
      <c r="H381" s="218">
        <f>IFERROR(VLOOKUP($C381,'SINAPI JULHO 2021'!$A:$D,4,0),IFERROR(VLOOKUP($C381,'5-COMP. PROPRIA'!$B$1:$I$1240,8,0),""))</f>
        <v>5.85</v>
      </c>
      <c r="I381" s="200">
        <f>H381*'4-BDI'!$E$29</f>
        <v>7.5020399999999992</v>
      </c>
      <c r="J381" s="201">
        <f t="shared" si="118"/>
        <v>9477</v>
      </c>
      <c r="K381" s="123">
        <f t="shared" si="119"/>
        <v>12153.3</v>
      </c>
    </row>
    <row r="382" spans="2:11" s="76" customFormat="1" ht="30">
      <c r="B382" s="473" t="s">
        <v>13232</v>
      </c>
      <c r="C382" s="109">
        <f>QUANT!C812</f>
        <v>91847</v>
      </c>
      <c r="D382" s="109" t="str">
        <f>QUANT!D812</f>
        <v>SINAPI</v>
      </c>
      <c r="E382" s="80" t="str">
        <f>IFERROR(VLOOKUP($C382,'SINAPI JULHO 2021'!$1:$1048576,2,0),IFERROR(VLOOKUP($C382,'5-COMP. PROPRIA'!$B$1:$I$7981,4,0),""))</f>
        <v>ELETRODUTO FLEXÍVEL CORRUGADO REFORÇADO, PVC, DN 32 MM (1"), PARA CIRCUITOS TERMINAIS, INSTALADO EM LAJE - FORNECIMENTO E INSTALAÇÃO. AF_12/2015</v>
      </c>
      <c r="F382" s="81" t="str">
        <f>IFERROR(VLOOKUP($C382,'SINAPI JULHO 2021'!$A:$D,3,0),IFERROR(VLOOKUP($C382,'5-COMP. PROPRIA'!$B$1:$I$7981,5,0),""))</f>
        <v>M</v>
      </c>
      <c r="G382" s="129">
        <f>QUANT!K812</f>
        <v>188</v>
      </c>
      <c r="H382" s="218">
        <f>IFERROR(VLOOKUP($C382,'SINAPI JULHO 2021'!$A:$D,4,0),IFERROR(VLOOKUP($C382,'5-COMP. PROPRIA'!$B$1:$I$1240,8,0),""))</f>
        <v>9.3000000000000007</v>
      </c>
      <c r="I382" s="200">
        <f>H382*'4-BDI'!$E$29</f>
        <v>11.92632</v>
      </c>
      <c r="J382" s="201">
        <f t="shared" si="118"/>
        <v>1748.4</v>
      </c>
      <c r="K382" s="123">
        <f t="shared" si="119"/>
        <v>2242.14</v>
      </c>
    </row>
    <row r="383" spans="2:11" s="76" customFormat="1" ht="30">
      <c r="B383" s="473" t="s">
        <v>13233</v>
      </c>
      <c r="C383" s="109">
        <f>QUANT!C813</f>
        <v>97667</v>
      </c>
      <c r="D383" s="109" t="str">
        <f>QUANT!D813</f>
        <v>SINAPI</v>
      </c>
      <c r="E383" s="80" t="str">
        <f>IFERROR(VLOOKUP($C383,'SINAPI JULHO 2021'!$1:$1048576,2,0),IFERROR(VLOOKUP($C383,'5-COMP. PROPRIA'!$B$1:$I$7981,4,0),""))</f>
        <v>ELETRODUTO FLEXÍVEL CORRUGADO, PEAD, DN 50 (1 ½)  - FORNECIMENTO E INSTALAÇÃO. AF_04/2016</v>
      </c>
      <c r="F383" s="81" t="str">
        <f>IFERROR(VLOOKUP($C383,'SINAPI JULHO 2021'!$A:$D,3,0),IFERROR(VLOOKUP($C383,'5-COMP. PROPRIA'!$B$1:$I$7981,5,0),""))</f>
        <v>M</v>
      </c>
      <c r="G383" s="129">
        <f>QUANT!K813</f>
        <v>280.39999999999998</v>
      </c>
      <c r="H383" s="218">
        <f>IFERROR(VLOOKUP($C383,'SINAPI JULHO 2021'!$A:$D,4,0),IFERROR(VLOOKUP($C383,'5-COMP. PROPRIA'!$B$1:$I$1240,8,0),""))</f>
        <v>6.2</v>
      </c>
      <c r="I383" s="200">
        <f>H383*'4-BDI'!$E$29</f>
        <v>7.9508799999999997</v>
      </c>
      <c r="J383" s="201">
        <f t="shared" si="118"/>
        <v>1738.48</v>
      </c>
      <c r="K383" s="123">
        <f t="shared" si="119"/>
        <v>2229.42</v>
      </c>
    </row>
    <row r="384" spans="2:11" s="76" customFormat="1" ht="30">
      <c r="B384" s="473" t="s">
        <v>13234</v>
      </c>
      <c r="C384" s="109">
        <f>QUANT!C814</f>
        <v>97668</v>
      </c>
      <c r="D384" s="109" t="str">
        <f>QUANT!D814</f>
        <v>SINAPI</v>
      </c>
      <c r="E384" s="80" t="str">
        <f>IFERROR(VLOOKUP($C384,'SINAPI JULHO 2021'!$1:$1048576,2,0),IFERROR(VLOOKUP($C384,'5-COMP. PROPRIA'!$B$1:$I$7981,4,0),""))</f>
        <v>ELETRODUTO FLEXÍVEL CORRUGADO, PEAD, DN 63 (2")  - FORNECIMENTO E INSTALAÇÃO. AF_04/2016</v>
      </c>
      <c r="F384" s="81" t="str">
        <f>IFERROR(VLOOKUP($C384,'SINAPI JULHO 2021'!$A:$D,3,0),IFERROR(VLOOKUP($C384,'5-COMP. PROPRIA'!$B$1:$I$7981,5,0),""))</f>
        <v>M</v>
      </c>
      <c r="G384" s="129">
        <f>QUANT!K814</f>
        <v>7.9</v>
      </c>
      <c r="H384" s="218">
        <f>IFERROR(VLOOKUP($C384,'SINAPI JULHO 2021'!$A:$D,4,0),IFERROR(VLOOKUP($C384,'5-COMP. PROPRIA'!$B$1:$I$1240,8,0),""))</f>
        <v>9.44</v>
      </c>
      <c r="I384" s="200">
        <f>H384*'4-BDI'!$E$29</f>
        <v>12.105855999999999</v>
      </c>
      <c r="J384" s="201">
        <f t="shared" si="118"/>
        <v>74.569999999999993</v>
      </c>
      <c r="K384" s="123">
        <f t="shared" si="119"/>
        <v>95.63</v>
      </c>
    </row>
    <row r="385" spans="2:11" s="76" customFormat="1" ht="30">
      <c r="B385" s="473" t="s">
        <v>13235</v>
      </c>
      <c r="C385" s="109">
        <f>QUANT!C815</f>
        <v>97670</v>
      </c>
      <c r="D385" s="109" t="str">
        <f>QUANT!D815</f>
        <v>SINAPI</v>
      </c>
      <c r="E385" s="80" t="str">
        <f>IFERROR(VLOOKUP($C385,'SINAPI JULHO 2021'!$1:$1048576,2,0),IFERROR(VLOOKUP($C385,'5-COMP. PROPRIA'!$B$1:$I$7981,4,0),""))</f>
        <v>ELETRODUTO FLEXÍVEL CORRUGADO, PEAD, DN 100 (4) - FORNECIMENTO E INSTALAÇÃO. AF_04/2016</v>
      </c>
      <c r="F385" s="81" t="str">
        <f>IFERROR(VLOOKUP($C385,'SINAPI JULHO 2021'!$A:$D,3,0),IFERROR(VLOOKUP($C385,'5-COMP. PROPRIA'!$B$1:$I$7981,5,0),""))</f>
        <v>M</v>
      </c>
      <c r="G385" s="129">
        <f>QUANT!K815</f>
        <v>26</v>
      </c>
      <c r="H385" s="218">
        <f>IFERROR(VLOOKUP($C385,'SINAPI JULHO 2021'!$A:$D,4,0),IFERROR(VLOOKUP($C385,'5-COMP. PROPRIA'!$B$1:$I$1240,8,0),""))</f>
        <v>19.23</v>
      </c>
      <c r="I385" s="200">
        <f>H385*'4-BDI'!$E$29</f>
        <v>24.660551999999999</v>
      </c>
      <c r="J385" s="201">
        <f t="shared" si="118"/>
        <v>499.98</v>
      </c>
      <c r="K385" s="123">
        <f t="shared" si="119"/>
        <v>641.16999999999996</v>
      </c>
    </row>
    <row r="386" spans="2:11" s="76" customFormat="1" ht="15">
      <c r="B386" s="473" t="s">
        <v>13236</v>
      </c>
      <c r="C386" s="109">
        <f>QUANT!C816</f>
        <v>93358</v>
      </c>
      <c r="D386" s="109" t="str">
        <f>QUANT!D816</f>
        <v>SINAPI</v>
      </c>
      <c r="E386" s="80" t="str">
        <f>IFERROR(VLOOKUP($C386,'SINAPI JULHO 2021'!$1:$1048576,2,0),IFERROR(VLOOKUP($C386,'5-COMP. PROPRIA'!$B$1:$I$7981,4,0),""))</f>
        <v>ESCAVAÇÃO MANUAL DE VALA COM PROFUNDIDADE MENOR OU IGUAL A 1,30 M. AF_02/2021</v>
      </c>
      <c r="F386" s="81" t="str">
        <f>IFERROR(VLOOKUP($C386,'SINAPI JULHO 2021'!$A:$D,3,0),IFERROR(VLOOKUP($C386,'5-COMP. PROPRIA'!$B$1:$I$7981,5,0),""))</f>
        <v>M3</v>
      </c>
      <c r="G386" s="129">
        <f>QUANT!K816</f>
        <v>20.9</v>
      </c>
      <c r="H386" s="218">
        <f>IFERROR(VLOOKUP($C386,'SINAPI JULHO 2021'!$A:$D,4,0),IFERROR(VLOOKUP($C386,'5-COMP. PROPRIA'!$B$1:$I$1240,8,0),""))</f>
        <v>55.46</v>
      </c>
      <c r="I386" s="200">
        <f>H386*'4-BDI'!$E$29</f>
        <v>71.121904000000001</v>
      </c>
      <c r="J386" s="201">
        <f t="shared" si="118"/>
        <v>1159.1099999999999</v>
      </c>
      <c r="K386" s="123">
        <f t="shared" si="119"/>
        <v>1486.44</v>
      </c>
    </row>
    <row r="387" spans="2:11" s="76" customFormat="1" ht="15">
      <c r="B387" s="473" t="s">
        <v>13237</v>
      </c>
      <c r="C387" s="109">
        <f>QUANT!C817</f>
        <v>96995</v>
      </c>
      <c r="D387" s="109" t="str">
        <f>QUANT!D817</f>
        <v>SINAPI</v>
      </c>
      <c r="E387" s="80" t="str">
        <f>IFERROR(VLOOKUP($C387,'SINAPI JULHO 2021'!$1:$1048576,2,0),IFERROR(VLOOKUP($C387,'5-COMP. PROPRIA'!$B$1:$I$7981,4,0),""))</f>
        <v>REATERRO MANUAL APILOADO COM SOQUETE. AF_10/2017</v>
      </c>
      <c r="F387" s="81" t="str">
        <f>IFERROR(VLOOKUP($C387,'SINAPI JULHO 2021'!$A:$D,3,0),IFERROR(VLOOKUP($C387,'5-COMP. PROPRIA'!$B$1:$I$7981,5,0),""))</f>
        <v>M3</v>
      </c>
      <c r="G387" s="129">
        <f>QUANT!K817</f>
        <v>20.9</v>
      </c>
      <c r="H387" s="218">
        <f>IFERROR(VLOOKUP($C387,'SINAPI JULHO 2021'!$A:$D,4,0),IFERROR(VLOOKUP($C387,'5-COMP. PROPRIA'!$B$1:$I$1240,8,0),""))</f>
        <v>33.619999999999997</v>
      </c>
      <c r="I387" s="200">
        <f>H387*'4-BDI'!$E$29</f>
        <v>43.114287999999995</v>
      </c>
      <c r="J387" s="201">
        <f t="shared" si="118"/>
        <v>702.65</v>
      </c>
      <c r="K387" s="123">
        <f t="shared" si="119"/>
        <v>901.08</v>
      </c>
    </row>
    <row r="388" spans="2:11" s="76" customFormat="1" ht="15">
      <c r="B388" s="222" t="s">
        <v>6288</v>
      </c>
      <c r="C388" s="223"/>
      <c r="D388" s="224"/>
      <c r="E388" s="225" t="str">
        <f>QUANT!E818</f>
        <v>LUMINÁRIAS</v>
      </c>
      <c r="F388" s="120"/>
      <c r="G388" s="129"/>
      <c r="H388" s="218"/>
      <c r="I388" s="200"/>
      <c r="J388" s="201"/>
      <c r="K388" s="123"/>
    </row>
    <row r="389" spans="2:11" s="76" customFormat="1" ht="15">
      <c r="B389" s="473" t="s">
        <v>13238</v>
      </c>
      <c r="C389" s="109" t="str">
        <f>QUANT!C819</f>
        <v>CP-ELE-08</v>
      </c>
      <c r="D389" s="109" t="str">
        <f>QUANT!D819</f>
        <v>PRÓPRIA</v>
      </c>
      <c r="E389" s="80" t="str">
        <f>IFERROR(VLOOKUP($C389,'SINAPI JULHO 2021'!$1:$1048576,2,0),IFERROR(VLOOKUP($C389,'5-COMP. PROPRIA'!$B$1:$I$7981,4,0),""))</f>
        <v>REFLETOR DE LED, COM SUPORTE E ALÇA - 200 W - FORNECIMENTO E INSTALAÇÃO</v>
      </c>
      <c r="F389" s="81" t="str">
        <f>IFERROR(VLOOKUP($C389,'SINAPI JULHO 2021'!$A:$D,3,0),IFERROR(VLOOKUP($C389,'5-COMP. PROPRIA'!$B$1:$I$7981,5,0),""))</f>
        <v>UNI</v>
      </c>
      <c r="G389" s="129">
        <f>QUANT!K819</f>
        <v>20</v>
      </c>
      <c r="H389" s="218">
        <f>IFERROR(VLOOKUP($C389,'SINAPI JULHO 2021'!$A:$D,4,0),IFERROR(VLOOKUP($C389,'5-COMP. PROPRIA'!$B$1:$I$1240,8,0),""))</f>
        <v>360.04</v>
      </c>
      <c r="I389" s="200">
        <f>H389*'4-BDI'!$E$29</f>
        <v>461.71529600000002</v>
      </c>
      <c r="J389" s="201">
        <f t="shared" si="118"/>
        <v>7200.8</v>
      </c>
      <c r="K389" s="123">
        <f t="shared" si="119"/>
        <v>9234.2999999999993</v>
      </c>
    </row>
    <row r="390" spans="2:11" s="76" customFormat="1" ht="30">
      <c r="B390" s="473" t="s">
        <v>13239</v>
      </c>
      <c r="C390" s="109" t="str">
        <f>QUANT!C820</f>
        <v>CP-ELE-09</v>
      </c>
      <c r="D390" s="109" t="str">
        <f>QUANT!D820</f>
        <v>PRÓPRIA</v>
      </c>
      <c r="E390" s="80" t="str">
        <f>IFERROR(VLOOKUP($C390,'SINAPI JULHO 2021'!$1:$1048576,2,0),IFERROR(VLOOKUP($C390,'5-COMP. PROPRIA'!$B$1:$I$7981,4,0),""))</f>
        <v>LUMINÁRIA TIPO PLAFON EM PLÁSTICO, DE SOBREPOR, COM 1 LÂMPADA LED DE 40 W - FORNECIMENTO E INSTALAÇÃO</v>
      </c>
      <c r="F390" s="81" t="str">
        <f>IFERROR(VLOOKUP($C390,'SINAPI JULHO 2021'!$A:$D,3,0),IFERROR(VLOOKUP($C390,'5-COMP. PROPRIA'!$B$1:$I$7981,5,0),""))</f>
        <v>UNI</v>
      </c>
      <c r="G390" s="129">
        <f>QUANT!K820</f>
        <v>278</v>
      </c>
      <c r="H390" s="218">
        <f>IFERROR(VLOOKUP($C390,'SINAPI JULHO 2021'!$A:$D,4,0),IFERROR(VLOOKUP($C390,'5-COMP. PROPRIA'!$B$1:$I$1240,8,0),""))</f>
        <v>69.16</v>
      </c>
      <c r="I390" s="200">
        <f>H390*'4-BDI'!$E$29</f>
        <v>88.690783999999994</v>
      </c>
      <c r="J390" s="201">
        <f t="shared" si="118"/>
        <v>19226.48</v>
      </c>
      <c r="K390" s="123">
        <f t="shared" si="119"/>
        <v>24656.03</v>
      </c>
    </row>
    <row r="391" spans="2:11" s="76" customFormat="1" ht="30">
      <c r="B391" s="473" t="s">
        <v>13240</v>
      </c>
      <c r="C391" s="109">
        <f>QUANT!C821</f>
        <v>97599</v>
      </c>
      <c r="D391" s="109" t="str">
        <f>QUANT!D821</f>
        <v>SINAPI</v>
      </c>
      <c r="E391" s="80" t="str">
        <f>IFERROR(VLOOKUP($C391,'SINAPI JULHO 2021'!$1:$1048576,2,0),IFERROR(VLOOKUP($C391,'5-COMP. PROPRIA'!$B$1:$I$7981,4,0),""))</f>
        <v>LUMINÁRIA DE EMERGÊNCIA, COM 30 LÂMPADAS LED DE 2 W, SEM REATOR - FORNECIMENTO E INSTALAÇÃO. AF_02/2020</v>
      </c>
      <c r="F391" s="81" t="str">
        <f>IFERROR(VLOOKUP($C391,'SINAPI JULHO 2021'!$A:$D,3,0),IFERROR(VLOOKUP($C391,'5-COMP. PROPRIA'!$B$1:$I$7981,5,0),""))</f>
        <v>UN</v>
      </c>
      <c r="G391" s="129">
        <f>QUANT!K821</f>
        <v>65</v>
      </c>
      <c r="H391" s="218">
        <f>IFERROR(VLOOKUP($C391,'SINAPI JULHO 2021'!$A:$D,4,0),IFERROR(VLOOKUP($C391,'5-COMP. PROPRIA'!$B$1:$I$1240,8,0),""))</f>
        <v>21.88</v>
      </c>
      <c r="I391" s="200">
        <f>H391*'4-BDI'!$E$29</f>
        <v>28.058911999999999</v>
      </c>
      <c r="J391" s="201">
        <f t="shared" si="118"/>
        <v>1422.2</v>
      </c>
      <c r="K391" s="123">
        <f t="shared" si="119"/>
        <v>1823.82</v>
      </c>
    </row>
    <row r="392" spans="2:11" s="76" customFormat="1" ht="15">
      <c r="B392" s="473" t="s">
        <v>13241</v>
      </c>
      <c r="C392" s="109" t="str">
        <f>QUANT!C822</f>
        <v>CP-ELE-12</v>
      </c>
      <c r="D392" s="109" t="str">
        <f>QUANT!D822</f>
        <v>PRÓPRIA</v>
      </c>
      <c r="E392" s="80" t="str">
        <f>IFERROR(VLOOKUP($C392,'SINAPI JULHO 2021'!$1:$1048576,2,0),IFERROR(VLOOKUP($C392,'5-COMP. PROPRIA'!$B$1:$I$7981,4,0),""))</f>
        <v>LUMINÁRIA Á PROVA DE EXPLOSÃO - FORNECIMENTO E INSTALAÇÃO</v>
      </c>
      <c r="F392" s="81" t="str">
        <f>IFERROR(VLOOKUP($C392,'SINAPI JULHO 2021'!$A:$D,3,0),IFERROR(VLOOKUP($C392,'5-COMP. PROPRIA'!$B$1:$I$7981,5,0),""))</f>
        <v>UNI</v>
      </c>
      <c r="G392" s="129">
        <f>QUANT!K822</f>
        <v>6</v>
      </c>
      <c r="H392" s="218">
        <f>IFERROR(VLOOKUP($C392,'SINAPI JULHO 2021'!$A:$D,4,0),IFERROR(VLOOKUP($C392,'5-COMP. PROPRIA'!$B$1:$I$1240,8,0),""))</f>
        <v>295.25</v>
      </c>
      <c r="I392" s="200">
        <f>H392*'4-BDI'!$E$29</f>
        <v>378.62860000000001</v>
      </c>
      <c r="J392" s="201">
        <f t="shared" si="118"/>
        <v>1771.5</v>
      </c>
      <c r="K392" s="123">
        <f t="shared" si="119"/>
        <v>2271.77</v>
      </c>
    </row>
    <row r="393" spans="2:11" s="76" customFormat="1" ht="15">
      <c r="B393" s="222" t="s">
        <v>6964</v>
      </c>
      <c r="C393" s="223"/>
      <c r="D393" s="224"/>
      <c r="E393" s="225" t="str">
        <f>QUANT!E823</f>
        <v>ENTRADA DE SERVIÇOS</v>
      </c>
      <c r="F393" s="120"/>
      <c r="G393" s="129"/>
      <c r="H393" s="218"/>
      <c r="I393" s="200"/>
      <c r="J393" s="201"/>
      <c r="K393" s="123"/>
    </row>
    <row r="394" spans="2:11" s="76" customFormat="1" ht="30">
      <c r="B394" s="473" t="s">
        <v>13242</v>
      </c>
      <c r="C394" s="109">
        <f>QUANT!C824</f>
        <v>97892</v>
      </c>
      <c r="D394" s="109" t="str">
        <f>QUANT!D824</f>
        <v>SINAPI</v>
      </c>
      <c r="E394" s="80" t="str">
        <f>IFERROR(VLOOKUP($C394,'SINAPI JULHO 2021'!$1:$1048576,2,0),IFERROR(VLOOKUP($C394,'5-COMP. PROPRIA'!$B$1:$I$7981,4,0),""))</f>
        <v>CAIXA ENTERRADA ELÉTRICA RETANGULAR, EM ALVENARIA COM BLOCOS DE CONCRETO, FUNDO COM BRITA, DIMENSÕES INTERNAS: 0,6X0,6X0,6 M. AF_12/2020</v>
      </c>
      <c r="F394" s="81" t="str">
        <f>IFERROR(VLOOKUP($C394,'SINAPI JULHO 2021'!$A:$D,3,0),IFERROR(VLOOKUP($C394,'5-COMP. PROPRIA'!$B$1:$I$7981,5,0),""))</f>
        <v>UN</v>
      </c>
      <c r="G394" s="129">
        <f>QUANT!K824</f>
        <v>6</v>
      </c>
      <c r="H394" s="218">
        <f>IFERROR(VLOOKUP($C394,'SINAPI JULHO 2021'!$A:$D,4,0),IFERROR(VLOOKUP($C394,'5-COMP. PROPRIA'!$B$1:$I$1240,8,0),""))</f>
        <v>292.26</v>
      </c>
      <c r="I394" s="200">
        <f>H394*'4-BDI'!$E$29</f>
        <v>374.79422399999999</v>
      </c>
      <c r="J394" s="201">
        <f t="shared" si="118"/>
        <v>1753.56</v>
      </c>
      <c r="K394" s="123">
        <f t="shared" si="119"/>
        <v>2248.7600000000002</v>
      </c>
    </row>
    <row r="395" spans="2:11" s="76" customFormat="1" ht="30">
      <c r="B395" s="473" t="s">
        <v>13243</v>
      </c>
      <c r="C395" s="109">
        <f>QUANT!C825</f>
        <v>97881</v>
      </c>
      <c r="D395" s="109" t="str">
        <f>QUANT!D825</f>
        <v>SINAPI</v>
      </c>
      <c r="E395" s="80" t="str">
        <f>IFERROR(VLOOKUP($C395,'SINAPI JULHO 2021'!$1:$1048576,2,0),IFERROR(VLOOKUP($C395,'5-COMP. PROPRIA'!$B$1:$I$7981,4,0),""))</f>
        <v>CAIXA ENTERRADA ELÉTRICA RETANGULAR, EM CONCRETO PRÉ-MOLDADO, FUNDO COM BRITA, DIMENSÕES INTERNAS: 0,3X0,3X0,3 M. AF_12/2020</v>
      </c>
      <c r="F395" s="81" t="str">
        <f>IFERROR(VLOOKUP($C395,'SINAPI JULHO 2021'!$A:$D,3,0),IFERROR(VLOOKUP($C395,'5-COMP. PROPRIA'!$B$1:$I$7981,5,0),""))</f>
        <v>UN</v>
      </c>
      <c r="G395" s="129">
        <f>QUANT!K825</f>
        <v>6</v>
      </c>
      <c r="H395" s="218">
        <f>IFERROR(VLOOKUP($C395,'SINAPI JULHO 2021'!$A:$D,4,0),IFERROR(VLOOKUP($C395,'5-COMP. PROPRIA'!$B$1:$I$1240,8,0),""))</f>
        <v>113.94</v>
      </c>
      <c r="I395" s="200">
        <f>H395*'4-BDI'!$E$29</f>
        <v>146.11665600000001</v>
      </c>
      <c r="J395" s="201">
        <f t="shared" si="118"/>
        <v>683.64</v>
      </c>
      <c r="K395" s="123">
        <f t="shared" si="119"/>
        <v>876.69</v>
      </c>
    </row>
    <row r="396" spans="2:11" s="76" customFormat="1" ht="15">
      <c r="B396" s="473" t="s">
        <v>13244</v>
      </c>
      <c r="C396" s="109" t="str">
        <f>QUANT!C826</f>
        <v>CP-ELE-02</v>
      </c>
      <c r="D396" s="109" t="str">
        <f>QUANT!D826</f>
        <v>PRÓPRIA</v>
      </c>
      <c r="E396" s="80" t="str">
        <f>IFERROR(VLOOKUP($C396,'SINAPI JULHO 2021'!$1:$1048576,2,0),IFERROR(VLOOKUP($C396,'5-COMP. PROPRIA'!$B$1:$I$7981,4,0),""))</f>
        <v>CAIXA DE PASSAGEM PARA ELÉTRICA 20X20X10CM (SOBREPOR), FORNECIMENTO E INSTALAÇÃO</v>
      </c>
      <c r="F396" s="81" t="str">
        <f>IFERROR(VLOOKUP($C396,'SINAPI JULHO 2021'!$A:$D,3,0),IFERROR(VLOOKUP($C396,'5-COMP. PROPRIA'!$B$1:$I$7981,5,0),""))</f>
        <v>UNI</v>
      </c>
      <c r="G396" s="129">
        <f>QUANT!K826</f>
        <v>5</v>
      </c>
      <c r="H396" s="218">
        <f>IFERROR(VLOOKUP($C396,'SINAPI JULHO 2021'!$A:$D,4,0),IFERROR(VLOOKUP($C396,'5-COMP. PROPRIA'!$B$1:$I$1240,8,0),""))</f>
        <v>46.09</v>
      </c>
      <c r="I396" s="200">
        <f>H396*'4-BDI'!$E$29</f>
        <v>59.105816000000004</v>
      </c>
      <c r="J396" s="201">
        <f t="shared" si="118"/>
        <v>230.45</v>
      </c>
      <c r="K396" s="123">
        <f t="shared" si="119"/>
        <v>295.52</v>
      </c>
    </row>
    <row r="397" spans="2:11" s="76" customFormat="1" ht="15">
      <c r="B397" s="222" t="s">
        <v>6965</v>
      </c>
      <c r="C397" s="223"/>
      <c r="D397" s="224"/>
      <c r="E397" s="225" t="str">
        <f>QUANT!E827</f>
        <v>QUADROS</v>
      </c>
      <c r="F397" s="120"/>
      <c r="G397" s="129"/>
      <c r="H397" s="218"/>
      <c r="I397" s="200"/>
      <c r="J397" s="201"/>
      <c r="K397" s="123"/>
    </row>
    <row r="398" spans="2:11" s="76" customFormat="1" ht="45">
      <c r="B398" s="473" t="s">
        <v>13245</v>
      </c>
      <c r="C398" s="109">
        <f>QUANT!C828</f>
        <v>101875</v>
      </c>
      <c r="D398" s="109" t="str">
        <f>QUANT!D828</f>
        <v>SINAPI</v>
      </c>
      <c r="E398" s="80" t="str">
        <f>IFERROR(VLOOKUP($C398,'SINAPI JULHO 2021'!$1:$1048576,2,0),IFERROR(VLOOKUP($C398,'5-COMP. PROPRIA'!$B$1:$I$7981,4,0),""))</f>
        <v>QUADRO DE DISTRIBUIÇÃO DE ENERGIA EM CHAPA DE AÇO GALVANIZADO, DE EMBUTIR, COM BARRAMENTO TRIFÁSICO, PARA 12 DISJUNTORES DIN 100A - FORNECIMENTO E INSTALAÇÃO. AF_10/2020</v>
      </c>
      <c r="F398" s="81" t="str">
        <f>IFERROR(VLOOKUP($C398,'SINAPI JULHO 2021'!$A:$D,3,0),IFERROR(VLOOKUP($C398,'5-COMP. PROPRIA'!$B$1:$I$7981,5,0),""))</f>
        <v>UN</v>
      </c>
      <c r="G398" s="129">
        <f>QUANT!K828</f>
        <v>2</v>
      </c>
      <c r="H398" s="218">
        <f>IFERROR(VLOOKUP($C398,'SINAPI JULHO 2021'!$A:$D,4,0),IFERROR(VLOOKUP($C398,'5-COMP. PROPRIA'!$B$1:$I$1240,8,0),""))</f>
        <v>404.34</v>
      </c>
      <c r="I398" s="200">
        <f>H398*'4-BDI'!$E$29</f>
        <v>518.52561600000001</v>
      </c>
      <c r="J398" s="201">
        <f t="shared" si="118"/>
        <v>808.68</v>
      </c>
      <c r="K398" s="123">
        <f t="shared" si="119"/>
        <v>1037.05</v>
      </c>
    </row>
    <row r="399" spans="2:11" s="76" customFormat="1" ht="45">
      <c r="B399" s="473" t="s">
        <v>13246</v>
      </c>
      <c r="C399" s="109">
        <f>QUANT!C829</f>
        <v>101879</v>
      </c>
      <c r="D399" s="109" t="str">
        <f>QUANT!D829</f>
        <v>SINAPI</v>
      </c>
      <c r="E399" s="80" t="str">
        <f>IFERROR(VLOOKUP($C399,'SINAPI JULHO 2021'!$1:$1048576,2,0),IFERROR(VLOOKUP($C399,'5-COMP. PROPRIA'!$B$1:$I$7981,4,0),""))</f>
        <v>QUADRO DE DISTRIBUIÇÃO DE ENERGIA EM CHAPA DE AÇO GALVANIZADO, DE EMBUTIR, COM BARRAMENTO TRIFÁSICO, PARA 24 DISJUNTORES DIN 100A - FORNECIMENTO E INSTALAÇÃO. AF_10/2020</v>
      </c>
      <c r="F399" s="81" t="str">
        <f>IFERROR(VLOOKUP($C399,'SINAPI JULHO 2021'!$A:$D,3,0),IFERROR(VLOOKUP($C399,'5-COMP. PROPRIA'!$B$1:$I$7981,5,0),""))</f>
        <v>UN</v>
      </c>
      <c r="G399" s="129">
        <f>QUANT!K829</f>
        <v>2</v>
      </c>
      <c r="H399" s="218">
        <f>IFERROR(VLOOKUP($C399,'SINAPI JULHO 2021'!$A:$D,4,0),IFERROR(VLOOKUP($C399,'5-COMP. PROPRIA'!$B$1:$I$1240,8,0),""))</f>
        <v>588.44000000000005</v>
      </c>
      <c r="I399" s="200">
        <f>H399*'4-BDI'!$E$29</f>
        <v>754.61545600000011</v>
      </c>
      <c r="J399" s="201">
        <f t="shared" si="118"/>
        <v>1176.8800000000001</v>
      </c>
      <c r="K399" s="123">
        <f t="shared" si="119"/>
        <v>1509.23</v>
      </c>
    </row>
    <row r="400" spans="2:11" s="76" customFormat="1" ht="45">
      <c r="B400" s="473" t="s">
        <v>13247</v>
      </c>
      <c r="C400" s="109">
        <f>QUANT!C830</f>
        <v>101880</v>
      </c>
      <c r="D400" s="109" t="str">
        <f>QUANT!D830</f>
        <v>SINAPI</v>
      </c>
      <c r="E400" s="80" t="str">
        <f>IFERROR(VLOOKUP($C400,'SINAPI JULHO 2021'!$1:$1048576,2,0),IFERROR(VLOOKUP($C400,'5-COMP. PROPRIA'!$B$1:$I$7981,4,0),""))</f>
        <v>QUADRO DE DISTRIBUIÇÃO DE ENERGIA EM CHAPA DE AÇO GALVANIZADO, DE EMBUTIR, COM BARRAMENTO TRIFÁSICO, PARA 30 DISJUNTORES DIN 150A - FORNECIMENTO E INSTALAÇÃO. AF_10/2020</v>
      </c>
      <c r="F400" s="81" t="str">
        <f>IFERROR(VLOOKUP($C400,'SINAPI JULHO 2021'!$A:$D,3,0),IFERROR(VLOOKUP($C400,'5-COMP. PROPRIA'!$B$1:$I$7981,5,0),""))</f>
        <v>UN</v>
      </c>
      <c r="G400" s="129">
        <f>QUANT!K830</f>
        <v>2</v>
      </c>
      <c r="H400" s="218">
        <f>IFERROR(VLOOKUP($C400,'SINAPI JULHO 2021'!$A:$D,4,0),IFERROR(VLOOKUP($C400,'5-COMP. PROPRIA'!$B$1:$I$1240,8,0),""))</f>
        <v>676.85</v>
      </c>
      <c r="I400" s="200">
        <f>H400*'4-BDI'!$E$29</f>
        <v>867.99243999999999</v>
      </c>
      <c r="J400" s="201">
        <f t="shared" si="118"/>
        <v>1353.7</v>
      </c>
      <c r="K400" s="123">
        <f t="shared" si="119"/>
        <v>1735.98</v>
      </c>
    </row>
    <row r="401" spans="2:11" s="76" customFormat="1" ht="45">
      <c r="B401" s="473" t="s">
        <v>13248</v>
      </c>
      <c r="C401" s="109">
        <f>QUANT!C831</f>
        <v>101881</v>
      </c>
      <c r="D401" s="109" t="str">
        <f>QUANT!D831</f>
        <v>SINAPI</v>
      </c>
      <c r="E401" s="80" t="str">
        <f>IFERROR(VLOOKUP($C401,'SINAPI JULHO 2021'!$1:$1048576,2,0),IFERROR(VLOOKUP($C401,'5-COMP. PROPRIA'!$B$1:$I$7981,4,0),""))</f>
        <v>QUADRO DE DISTRIBUIÇÃO DE ENERGIA EM CHAPA DE AÇO GALVANIZADO, DE EMBUTIR, COM BARRAMENTO TRIFÁSICO, PARA 40 DISJUNTORES DIN 100A - FORNECIMENTO E INSTALAÇÃO. AF_10/2020</v>
      </c>
      <c r="F401" s="81" t="str">
        <f>IFERROR(VLOOKUP($C401,'SINAPI JULHO 2021'!$A:$D,3,0),IFERROR(VLOOKUP($C401,'5-COMP. PROPRIA'!$B$1:$I$7981,5,0),""))</f>
        <v>UN</v>
      </c>
      <c r="G401" s="129">
        <f>QUANT!K831</f>
        <v>2</v>
      </c>
      <c r="H401" s="218">
        <f>IFERROR(VLOOKUP($C401,'SINAPI JULHO 2021'!$A:$D,4,0),IFERROR(VLOOKUP($C401,'5-COMP. PROPRIA'!$B$1:$I$1240,8,0),""))</f>
        <v>979.09</v>
      </c>
      <c r="I401" s="200">
        <f>H401*'4-BDI'!$E$29</f>
        <v>1255.585016</v>
      </c>
      <c r="J401" s="201">
        <f t="shared" si="118"/>
        <v>1958.18</v>
      </c>
      <c r="K401" s="123">
        <f t="shared" si="119"/>
        <v>2511.17</v>
      </c>
    </row>
    <row r="402" spans="2:11" s="76" customFormat="1" ht="15">
      <c r="B402" s="222" t="s">
        <v>6966</v>
      </c>
      <c r="C402" s="223"/>
      <c r="D402" s="224"/>
      <c r="E402" s="225" t="str">
        <f>QUANT!E832</f>
        <v>ACESSÓRIOS PARA ELETRODUTOS</v>
      </c>
      <c r="F402" s="120"/>
      <c r="G402" s="129"/>
      <c r="H402" s="218"/>
      <c r="I402" s="200"/>
      <c r="J402" s="201"/>
      <c r="K402" s="123"/>
    </row>
    <row r="403" spans="2:11" s="76" customFormat="1" ht="15">
      <c r="B403" s="473" t="s">
        <v>13249</v>
      </c>
      <c r="C403" s="109">
        <f>QUANT!C833</f>
        <v>91937</v>
      </c>
      <c r="D403" s="109" t="str">
        <f>QUANT!D833</f>
        <v>SINAPI</v>
      </c>
      <c r="E403" s="80" t="str">
        <f>IFERROR(VLOOKUP($C403,'SINAPI JULHO 2021'!$1:$1048576,2,0),IFERROR(VLOOKUP($C403,'5-COMP. PROPRIA'!$B$1:$I$7981,4,0),""))</f>
        <v>CAIXA OCTOGONAL 3" X 3", PVC, INSTALADA EM LAJE - FORNECIMENTO E INSTALAÇÃO. AF_12/2015</v>
      </c>
      <c r="F403" s="81" t="str">
        <f>IFERROR(VLOOKUP($C403,'SINAPI JULHO 2021'!$A:$D,3,0),IFERROR(VLOOKUP($C403,'5-COMP. PROPRIA'!$B$1:$I$7981,5,0),""))</f>
        <v>UN</v>
      </c>
      <c r="G403" s="129">
        <f>QUANT!K833</f>
        <v>290</v>
      </c>
      <c r="H403" s="218">
        <f>IFERROR(VLOOKUP($C403,'SINAPI JULHO 2021'!$A:$D,4,0),IFERROR(VLOOKUP($C403,'5-COMP. PROPRIA'!$B$1:$I$1240,8,0),""))</f>
        <v>7.72</v>
      </c>
      <c r="I403" s="200">
        <f>H403*'4-BDI'!$E$29</f>
        <v>9.9001279999999987</v>
      </c>
      <c r="J403" s="201">
        <f t="shared" si="118"/>
        <v>2238.8000000000002</v>
      </c>
      <c r="K403" s="123">
        <f t="shared" si="119"/>
        <v>2871.03</v>
      </c>
    </row>
    <row r="404" spans="2:11" s="76" customFormat="1" ht="30">
      <c r="B404" s="473" t="s">
        <v>13250</v>
      </c>
      <c r="C404" s="109">
        <f>QUANT!C834</f>
        <v>91939</v>
      </c>
      <c r="D404" s="109" t="str">
        <f>QUANT!D834</f>
        <v>SINAPI</v>
      </c>
      <c r="E404" s="80" t="str">
        <f>IFERROR(VLOOKUP($C404,'SINAPI JULHO 2021'!$1:$1048576,2,0),IFERROR(VLOOKUP($C404,'5-COMP. PROPRIA'!$B$1:$I$7981,4,0),""))</f>
        <v>CAIXA RETANGULAR 4" X 2" ALTA (2,00 M DO PISO), PVC, INSTALADA EM PAREDE - FORNECIMENTO E INSTALAÇÃO. AF_12/2015</v>
      </c>
      <c r="F404" s="81" t="str">
        <f>IFERROR(VLOOKUP($C404,'SINAPI JULHO 2021'!$A:$D,3,0),IFERROR(VLOOKUP($C404,'5-COMP. PROPRIA'!$B$1:$I$7981,5,0),""))</f>
        <v>UN</v>
      </c>
      <c r="G404" s="129">
        <f>QUANT!K834</f>
        <v>68</v>
      </c>
      <c r="H404" s="218">
        <f>IFERROR(VLOOKUP($C404,'SINAPI JULHO 2021'!$A:$D,4,0),IFERROR(VLOOKUP($C404,'5-COMP. PROPRIA'!$B$1:$I$1240,8,0),""))</f>
        <v>18.940000000000001</v>
      </c>
      <c r="I404" s="200">
        <f>H404*'4-BDI'!$E$29</f>
        <v>24.288656</v>
      </c>
      <c r="J404" s="201">
        <f t="shared" si="118"/>
        <v>1287.92</v>
      </c>
      <c r="K404" s="123">
        <f t="shared" si="119"/>
        <v>1651.62</v>
      </c>
    </row>
    <row r="405" spans="2:11" s="76" customFormat="1" ht="30">
      <c r="B405" s="473" t="s">
        <v>13251</v>
      </c>
      <c r="C405" s="109">
        <f>QUANT!C835</f>
        <v>91940</v>
      </c>
      <c r="D405" s="109" t="str">
        <f>QUANT!D835</f>
        <v>SINAPI</v>
      </c>
      <c r="E405" s="80" t="str">
        <f>IFERROR(VLOOKUP($C405,'SINAPI JULHO 2021'!$1:$1048576,2,0),IFERROR(VLOOKUP($C405,'5-COMP. PROPRIA'!$B$1:$I$7981,4,0),""))</f>
        <v>CAIXA RETANGULAR 4" X 2" MÉDIA (1,30 M DO PISO), PVC, INSTALADA EM PAREDE - FORNECIMENTO E INSTALAÇÃO. AF_12/2015</v>
      </c>
      <c r="F405" s="81" t="str">
        <f>IFERROR(VLOOKUP($C405,'SINAPI JULHO 2021'!$A:$D,3,0),IFERROR(VLOOKUP($C405,'5-COMP. PROPRIA'!$B$1:$I$7981,5,0),""))</f>
        <v>UN</v>
      </c>
      <c r="G405" s="129">
        <f>QUANT!K835</f>
        <v>85</v>
      </c>
      <c r="H405" s="218">
        <f>IFERROR(VLOOKUP($C405,'SINAPI JULHO 2021'!$A:$D,4,0),IFERROR(VLOOKUP($C405,'5-COMP. PROPRIA'!$B$1:$I$1240,8,0),""))</f>
        <v>10.16</v>
      </c>
      <c r="I405" s="200">
        <f>H405*'4-BDI'!$E$29</f>
        <v>13.029184000000001</v>
      </c>
      <c r="J405" s="201">
        <f t="shared" si="118"/>
        <v>863.6</v>
      </c>
      <c r="K405" s="123">
        <f t="shared" si="119"/>
        <v>1107.48</v>
      </c>
    </row>
    <row r="406" spans="2:11" s="76" customFormat="1" ht="30">
      <c r="B406" s="473" t="s">
        <v>13252</v>
      </c>
      <c r="C406" s="109">
        <f>QUANT!C836</f>
        <v>91941</v>
      </c>
      <c r="D406" s="109" t="str">
        <f>QUANT!D836</f>
        <v>SINAPI</v>
      </c>
      <c r="E406" s="80" t="str">
        <f>IFERROR(VLOOKUP($C406,'SINAPI JULHO 2021'!$1:$1048576,2,0),IFERROR(VLOOKUP($C406,'5-COMP. PROPRIA'!$B$1:$I$7981,4,0),""))</f>
        <v>CAIXA RETANGULAR 4" X 2" BAIXA (0,30 M DO PISO), PVC, INSTALADA EM PAREDE - FORNECIMENTO E INSTALAÇÃO. AF_12/2015</v>
      </c>
      <c r="F406" s="81" t="str">
        <f>IFERROR(VLOOKUP($C406,'SINAPI JULHO 2021'!$A:$D,3,0),IFERROR(VLOOKUP($C406,'5-COMP. PROPRIA'!$B$1:$I$7981,5,0),""))</f>
        <v>UN</v>
      </c>
      <c r="G406" s="129">
        <f>QUANT!K836</f>
        <v>134</v>
      </c>
      <c r="H406" s="218">
        <f>IFERROR(VLOOKUP($C406,'SINAPI JULHO 2021'!$A:$D,4,0),IFERROR(VLOOKUP($C406,'5-COMP. PROPRIA'!$B$1:$I$1240,8,0),""))</f>
        <v>6.87</v>
      </c>
      <c r="I406" s="200">
        <f>H406*'4-BDI'!$E$29</f>
        <v>8.8100880000000004</v>
      </c>
      <c r="J406" s="201">
        <f t="shared" si="118"/>
        <v>920.58</v>
      </c>
      <c r="K406" s="123">
        <f t="shared" si="119"/>
        <v>1180.55</v>
      </c>
    </row>
    <row r="407" spans="2:11" s="76" customFormat="1" ht="15">
      <c r="B407" s="473" t="s">
        <v>13253</v>
      </c>
      <c r="C407" s="109">
        <f>QUANT!C837</f>
        <v>90456</v>
      </c>
      <c r="D407" s="109" t="str">
        <f>QUANT!D837</f>
        <v>SINAPI</v>
      </c>
      <c r="E407" s="80" t="str">
        <f>IFERROR(VLOOKUP($C407,'SINAPI JULHO 2021'!$1:$1048576,2,0),IFERROR(VLOOKUP($C407,'5-COMP. PROPRIA'!$B$1:$I$7981,4,0),""))</f>
        <v>QUEBRA EM ALVENARIA PARA INSTALAÇÃO DE CAIXA DE TOMADA (4X4 OU 4X2). AF_05/2015</v>
      </c>
      <c r="F407" s="81" t="str">
        <f>IFERROR(VLOOKUP($C407,'SINAPI JULHO 2021'!$A:$D,3,0),IFERROR(VLOOKUP($C407,'5-COMP. PROPRIA'!$B$1:$I$7981,5,0),""))</f>
        <v>UN</v>
      </c>
      <c r="G407" s="129">
        <f>QUANT!K837</f>
        <v>287</v>
      </c>
      <c r="H407" s="218">
        <f>IFERROR(VLOOKUP($C407,'SINAPI JULHO 2021'!$A:$D,4,0),IFERROR(VLOOKUP($C407,'5-COMP. PROPRIA'!$B$1:$I$1240,8,0),""))</f>
        <v>2.85</v>
      </c>
      <c r="I407" s="200">
        <f>H407*'4-BDI'!$E$29</f>
        <v>3.6548400000000001</v>
      </c>
      <c r="J407" s="201">
        <f t="shared" si="118"/>
        <v>817.95</v>
      </c>
      <c r="K407" s="123">
        <f t="shared" si="119"/>
        <v>1048.93</v>
      </c>
    </row>
    <row r="408" spans="2:11" s="76" customFormat="1" ht="30">
      <c r="B408" s="473" t="s">
        <v>13254</v>
      </c>
      <c r="C408" s="109">
        <f>QUANT!C838</f>
        <v>91885</v>
      </c>
      <c r="D408" s="109" t="str">
        <f>QUANT!D838</f>
        <v>SINAPI</v>
      </c>
      <c r="E408" s="80" t="str">
        <f>IFERROR(VLOOKUP($C408,'SINAPI JULHO 2021'!$1:$1048576,2,0),IFERROR(VLOOKUP($C408,'5-COMP. PROPRIA'!$B$1:$I$7981,4,0),""))</f>
        <v>LUVA PARA ELETRODUTO, PVC, ROSCÁVEL, DN 32 MM (1"), PARA CIRCUITOS TERMINAIS, INSTALADA EM PAREDE - FORNECIMENTO E INSTALAÇÃO. AF_12/2015</v>
      </c>
      <c r="F408" s="81" t="str">
        <f>IFERROR(VLOOKUP($C408,'SINAPI JULHO 2021'!$A:$D,3,0),IFERROR(VLOOKUP($C408,'5-COMP. PROPRIA'!$B$1:$I$7981,5,0),""))</f>
        <v>UN</v>
      </c>
      <c r="G408" s="129">
        <f>QUANT!K838</f>
        <v>65</v>
      </c>
      <c r="H408" s="218">
        <f>IFERROR(VLOOKUP($C408,'SINAPI JULHO 2021'!$A:$D,4,0),IFERROR(VLOOKUP($C408,'5-COMP. PROPRIA'!$B$1:$I$1240,8,0),""))</f>
        <v>7.09</v>
      </c>
      <c r="I408" s="200">
        <f>H408*'4-BDI'!$E$29</f>
        <v>9.0922160000000005</v>
      </c>
      <c r="J408" s="201">
        <f t="shared" si="118"/>
        <v>460.85</v>
      </c>
      <c r="K408" s="123">
        <f t="shared" si="119"/>
        <v>590.99</v>
      </c>
    </row>
    <row r="409" spans="2:11" s="76" customFormat="1" ht="30">
      <c r="B409" s="473" t="s">
        <v>13255</v>
      </c>
      <c r="C409" s="109" t="str">
        <f>QUANT!C839</f>
        <v>CP-ELE-01</v>
      </c>
      <c r="D409" s="109" t="str">
        <f>QUANT!D839</f>
        <v>PRÓPRIA</v>
      </c>
      <c r="E409" s="80" t="str">
        <f>IFERROR(VLOOKUP($C409,'SINAPI JULHO 2021'!$1:$1048576,2,0),IFERROR(VLOOKUP($C409,'5-COMP. PROPRIA'!$B$1:$I$7981,4,0),""))</f>
        <v>ABRACADEIRA EM ACO PARA AMARRACAO DE ELETRODUTOS, TIPO D, COM 1" E PARAFUSO DE FIXACAO</v>
      </c>
      <c r="F409" s="81" t="str">
        <f>IFERROR(VLOOKUP($C409,'SINAPI JULHO 2021'!$A:$D,3,0),IFERROR(VLOOKUP($C409,'5-COMP. PROPRIA'!$B$1:$I$7981,5,0),""))</f>
        <v>UNI</v>
      </c>
      <c r="G409" s="129">
        <f>QUANT!K839</f>
        <v>260</v>
      </c>
      <c r="H409" s="218">
        <f>IFERROR(VLOOKUP($C409,'SINAPI JULHO 2021'!$A:$D,4,0),IFERROR(VLOOKUP($C409,'5-COMP. PROPRIA'!$B$1:$I$1240,8,0),""))</f>
        <v>5.19</v>
      </c>
      <c r="I409" s="200">
        <f>H409*'4-BDI'!$E$29</f>
        <v>6.6556560000000005</v>
      </c>
      <c r="J409" s="201">
        <f t="shared" si="118"/>
        <v>1349.4</v>
      </c>
      <c r="K409" s="123">
        <f t="shared" si="119"/>
        <v>1730.47</v>
      </c>
    </row>
    <row r="410" spans="2:11" s="76" customFormat="1" ht="30">
      <c r="B410" s="473" t="s">
        <v>13256</v>
      </c>
      <c r="C410" s="109">
        <f>QUANT!C840</f>
        <v>95815</v>
      </c>
      <c r="D410" s="109" t="str">
        <f>QUANT!D840</f>
        <v>SINAPI</v>
      </c>
      <c r="E410" s="80" t="str">
        <f>IFERROR(VLOOKUP($C410,'SINAPI JULHO 2021'!$1:$1048576,2,0),IFERROR(VLOOKUP($C410,'5-COMP. PROPRIA'!$B$1:$I$7981,4,0),""))</f>
        <v>CONDULETE DE PVC, TIPO TB, PARA ELETRODUTO DE PVC SOLDÁVEL DN 32 MM (1''), APARENTE - FORNECIMENTO E INSTALAÇÃO. AF_11/2016</v>
      </c>
      <c r="F410" s="81" t="str">
        <f>IFERROR(VLOOKUP($C410,'SINAPI JULHO 2021'!$A:$D,3,0),IFERROR(VLOOKUP($C410,'5-COMP. PROPRIA'!$B$1:$I$7981,5,0),""))</f>
        <v>UN</v>
      </c>
      <c r="G410" s="129">
        <f>QUANT!K840</f>
        <v>29</v>
      </c>
      <c r="H410" s="218">
        <f>IFERROR(VLOOKUP($C410,'SINAPI JULHO 2021'!$A:$D,4,0),IFERROR(VLOOKUP($C410,'5-COMP. PROPRIA'!$B$1:$I$1240,8,0),""))</f>
        <v>17.28</v>
      </c>
      <c r="I410" s="200">
        <f>H410*'4-BDI'!$E$29</f>
        <v>22.159872</v>
      </c>
      <c r="J410" s="201">
        <f t="shared" ref="J410:J420" si="120">TRUNC(G410*H410,2)</f>
        <v>501.12</v>
      </c>
      <c r="K410" s="123">
        <f t="shared" ref="K410:K420" si="121">TRUNC(G410*I410,2)</f>
        <v>642.63</v>
      </c>
    </row>
    <row r="411" spans="2:11" s="76" customFormat="1" ht="30">
      <c r="B411" s="473" t="s">
        <v>13257</v>
      </c>
      <c r="C411" s="109">
        <f>QUANT!C841</f>
        <v>95812</v>
      </c>
      <c r="D411" s="109" t="str">
        <f>QUANT!D841</f>
        <v>SINAPI</v>
      </c>
      <c r="E411" s="80" t="str">
        <f>IFERROR(VLOOKUP($C411,'SINAPI JULHO 2021'!$1:$1048576,2,0),IFERROR(VLOOKUP($C411,'5-COMP. PROPRIA'!$B$1:$I$7981,4,0),""))</f>
        <v>CONDULETE DE PVC, TIPO LB, PARA ELETRODUTO DE PVC SOLDÁVEL DN 32 MM (1''), APARENTE - FORNECIMENTO E INSTALAÇÃO. AF_11/2016</v>
      </c>
      <c r="F411" s="81" t="str">
        <f>IFERROR(VLOOKUP($C411,'SINAPI JULHO 2021'!$A:$D,3,0),IFERROR(VLOOKUP($C411,'5-COMP. PROPRIA'!$B$1:$I$7981,5,0),""))</f>
        <v>UN</v>
      </c>
      <c r="G411" s="129">
        <f>QUANT!K841</f>
        <v>12</v>
      </c>
      <c r="H411" s="218">
        <f>IFERROR(VLOOKUP($C411,'SINAPI JULHO 2021'!$A:$D,4,0),IFERROR(VLOOKUP($C411,'5-COMP. PROPRIA'!$B$1:$I$1240,8,0),""))</f>
        <v>13.08</v>
      </c>
      <c r="I411" s="200">
        <f>H411*'4-BDI'!$E$29</f>
        <v>16.773792</v>
      </c>
      <c r="J411" s="201">
        <f t="shared" si="120"/>
        <v>156.96</v>
      </c>
      <c r="K411" s="123">
        <f t="shared" si="121"/>
        <v>201.28</v>
      </c>
    </row>
    <row r="412" spans="2:11" s="76" customFormat="1" ht="15">
      <c r="B412" s="222" t="s">
        <v>6967</v>
      </c>
      <c r="C412" s="223"/>
      <c r="D412" s="224"/>
      <c r="E412" s="225" t="str">
        <f>QUANT!E842</f>
        <v>AR CONDICIONADO</v>
      </c>
      <c r="F412" s="120"/>
      <c r="G412" s="129"/>
      <c r="H412" s="218"/>
      <c r="I412" s="200"/>
      <c r="J412" s="201"/>
      <c r="K412" s="123"/>
    </row>
    <row r="413" spans="2:11" s="76" customFormat="1" ht="30">
      <c r="B413" s="473" t="s">
        <v>13258</v>
      </c>
      <c r="C413" s="109">
        <f>QUANT!C843</f>
        <v>89576</v>
      </c>
      <c r="D413" s="109" t="str">
        <f>QUANT!D843</f>
        <v>SINAPI</v>
      </c>
      <c r="E413" s="80" t="str">
        <f>IFERROR(VLOOKUP($C413,'SINAPI JULHO 2021'!$1:$1048576,2,0),IFERROR(VLOOKUP($C413,'5-COMP. PROPRIA'!$B$1:$I$7981,4,0),""))</f>
        <v>TUBO PVC, SÉRIE R, ÁGUA PLUVIAL, DN 75 MM, FORNECIDO E INSTALADO EM CONDUTORES VERTICAIS DE ÁGUAS PLUVIAIS. AF_12/2014</v>
      </c>
      <c r="F413" s="81" t="str">
        <f>IFERROR(VLOOKUP($C413,'SINAPI JULHO 2021'!$A:$D,3,0),IFERROR(VLOOKUP($C413,'5-COMP. PROPRIA'!$B$1:$I$7981,5,0),""))</f>
        <v>M</v>
      </c>
      <c r="G413" s="129">
        <f>QUANT!K843</f>
        <v>53</v>
      </c>
      <c r="H413" s="218">
        <f>IFERROR(VLOOKUP($C413,'SINAPI JULHO 2021'!$A:$D,4,0),IFERROR(VLOOKUP($C413,'5-COMP. PROPRIA'!$B$1:$I$1240,8,0),""))</f>
        <v>22.36</v>
      </c>
      <c r="I413" s="200">
        <f>H413*'4-BDI'!$E$29</f>
        <v>28.674464</v>
      </c>
      <c r="J413" s="201">
        <f t="shared" si="120"/>
        <v>1185.08</v>
      </c>
      <c r="K413" s="123">
        <f t="shared" si="121"/>
        <v>1519.74</v>
      </c>
    </row>
    <row r="414" spans="2:11" s="76" customFormat="1" ht="30">
      <c r="B414" s="473" t="s">
        <v>13259</v>
      </c>
      <c r="C414" s="109">
        <f>QUANT!C844</f>
        <v>89599</v>
      </c>
      <c r="D414" s="109" t="str">
        <f>QUANT!D844</f>
        <v>SINAPI</v>
      </c>
      <c r="E414" s="80" t="str">
        <f>IFERROR(VLOOKUP($C414,'SINAPI JULHO 2021'!$1:$1048576,2,0),IFERROR(VLOOKUP($C414,'5-COMP. PROPRIA'!$B$1:$I$7981,4,0),""))</f>
        <v>LUVA SIMPLES, PVC, SERIE R, ÁGUA PLUVIAL, DN 75 MM, JUNTA ELÁSTICA, FORNECIDO E INSTALADO EM CONDUTORES VERTICAIS DE ÁGUAS PLUVIAIS. AF_12/2014</v>
      </c>
      <c r="F414" s="81" t="str">
        <f>IFERROR(VLOOKUP($C414,'SINAPI JULHO 2021'!$A:$D,3,0),IFERROR(VLOOKUP($C414,'5-COMP. PROPRIA'!$B$1:$I$7981,5,0),""))</f>
        <v>UN</v>
      </c>
      <c r="G414" s="129">
        <f>QUANT!K844</f>
        <v>33</v>
      </c>
      <c r="H414" s="218">
        <f>IFERROR(VLOOKUP($C414,'SINAPI JULHO 2021'!$A:$D,4,0),IFERROR(VLOOKUP($C414,'5-COMP. PROPRIA'!$B$1:$I$1240,8,0),""))</f>
        <v>18.02</v>
      </c>
      <c r="I414" s="200">
        <f>H414*'4-BDI'!$E$29</f>
        <v>23.108847999999998</v>
      </c>
      <c r="J414" s="201">
        <f t="shared" si="120"/>
        <v>594.66</v>
      </c>
      <c r="K414" s="123">
        <f t="shared" si="121"/>
        <v>762.59</v>
      </c>
    </row>
    <row r="415" spans="2:11" s="76" customFormat="1" ht="30">
      <c r="B415" s="473" t="s">
        <v>13260</v>
      </c>
      <c r="C415" s="109">
        <f>QUANT!C845</f>
        <v>89582</v>
      </c>
      <c r="D415" s="109" t="str">
        <f>QUANT!D845</f>
        <v>SINAPI</v>
      </c>
      <c r="E415" s="80" t="str">
        <f>IFERROR(VLOOKUP($C415,'SINAPI JULHO 2021'!$1:$1048576,2,0),IFERROR(VLOOKUP($C415,'5-COMP. PROPRIA'!$B$1:$I$7981,4,0),""))</f>
        <v>JOELHO 45 GRAUS, PVC, SERIE R, ÁGUA PLUVIAL, DN 75 MM, JUNTA ELÁSTICA, FORNECIDO E INSTALADO EM CONDUTORES VERTICAIS DE ÁGUAS PLUVIAIS. AF_12/2014</v>
      </c>
      <c r="F415" s="81" t="str">
        <f>IFERROR(VLOOKUP($C415,'SINAPI JULHO 2021'!$A:$D,3,0),IFERROR(VLOOKUP($C415,'5-COMP. PROPRIA'!$B$1:$I$7981,5,0),""))</f>
        <v>UN</v>
      </c>
      <c r="G415" s="129">
        <f>QUANT!K845</f>
        <v>46</v>
      </c>
      <c r="H415" s="218">
        <f>IFERROR(VLOOKUP($C415,'SINAPI JULHO 2021'!$A:$D,4,0),IFERROR(VLOOKUP($C415,'5-COMP. PROPRIA'!$B$1:$I$1240,8,0),""))</f>
        <v>22.82</v>
      </c>
      <c r="I415" s="200">
        <f>H415*'4-BDI'!$E$29</f>
        <v>29.264368000000001</v>
      </c>
      <c r="J415" s="201">
        <f t="shared" si="120"/>
        <v>1049.72</v>
      </c>
      <c r="K415" s="123">
        <f t="shared" si="121"/>
        <v>1346.16</v>
      </c>
    </row>
    <row r="416" spans="2:11" s="76" customFormat="1" ht="30">
      <c r="B416" s="473" t="s">
        <v>13261</v>
      </c>
      <c r="C416" s="109">
        <f>QUANT!C846</f>
        <v>89865</v>
      </c>
      <c r="D416" s="109" t="str">
        <f>QUANT!D846</f>
        <v>SINAPI</v>
      </c>
      <c r="E416" s="80" t="str">
        <f>IFERROR(VLOOKUP($C416,'SINAPI JULHO 2021'!$1:$1048576,2,0),IFERROR(VLOOKUP($C416,'5-COMP. PROPRIA'!$B$1:$I$7981,4,0),""))</f>
        <v>TUBO, PVC, SOLDÁVEL, DN 25MM, INSTALADO EM DRENO DE AR-CONDICIONADO - FORNECIMENTO E INSTALAÇÃO. AF_12/2014</v>
      </c>
      <c r="F416" s="81" t="str">
        <f>IFERROR(VLOOKUP($C416,'SINAPI JULHO 2021'!$A:$D,3,0),IFERROR(VLOOKUP($C416,'5-COMP. PROPRIA'!$B$1:$I$7981,5,0),""))</f>
        <v>M</v>
      </c>
      <c r="G416" s="129">
        <f>QUANT!K846</f>
        <v>112.25</v>
      </c>
      <c r="H416" s="218">
        <f>IFERROR(VLOOKUP($C416,'SINAPI JULHO 2021'!$A:$D,4,0),IFERROR(VLOOKUP($C416,'5-COMP. PROPRIA'!$B$1:$I$1240,8,0),""))</f>
        <v>9.8699999999999992</v>
      </c>
      <c r="I416" s="200">
        <f>H416*'4-BDI'!$E$29</f>
        <v>12.657287999999999</v>
      </c>
      <c r="J416" s="201">
        <f t="shared" si="120"/>
        <v>1107.9000000000001</v>
      </c>
      <c r="K416" s="123">
        <f t="shared" si="121"/>
        <v>1420.78</v>
      </c>
    </row>
    <row r="417" spans="2:11" s="76" customFormat="1" ht="30">
      <c r="B417" s="473" t="s">
        <v>13262</v>
      </c>
      <c r="C417" s="109">
        <f>QUANT!C847</f>
        <v>89866</v>
      </c>
      <c r="D417" s="109" t="str">
        <f>QUANT!D847</f>
        <v>SINAPI</v>
      </c>
      <c r="E417" s="80" t="str">
        <f>IFERROR(VLOOKUP($C417,'SINAPI JULHO 2021'!$1:$1048576,2,0),IFERROR(VLOOKUP($C417,'5-COMP. PROPRIA'!$B$1:$I$7981,4,0),""))</f>
        <v>JOELHO 90 GRAUS, PVC, SOLDÁVEL, DN 25MM, INSTALADO EM DRENO DE AR-CONDICIONADO - FORNECIMENTO E INSTALAÇÃO. AF_12/2014</v>
      </c>
      <c r="F417" s="81" t="str">
        <f>IFERROR(VLOOKUP($C417,'SINAPI JULHO 2021'!$A:$D,3,0),IFERROR(VLOOKUP($C417,'5-COMP. PROPRIA'!$B$1:$I$7981,5,0),""))</f>
        <v>UN</v>
      </c>
      <c r="G417" s="129">
        <f>QUANT!K847</f>
        <v>31</v>
      </c>
      <c r="H417" s="218">
        <f>IFERROR(VLOOKUP($C417,'SINAPI JULHO 2021'!$A:$D,4,0),IFERROR(VLOOKUP($C417,'5-COMP. PROPRIA'!$B$1:$I$1240,8,0),""))</f>
        <v>4.09</v>
      </c>
      <c r="I417" s="200">
        <f>H417*'4-BDI'!$E$29</f>
        <v>5.2450159999999997</v>
      </c>
      <c r="J417" s="201">
        <f t="shared" si="120"/>
        <v>126.79</v>
      </c>
      <c r="K417" s="123">
        <f t="shared" si="121"/>
        <v>162.59</v>
      </c>
    </row>
    <row r="418" spans="2:11" s="76" customFormat="1" ht="30">
      <c r="B418" s="473" t="s">
        <v>13263</v>
      </c>
      <c r="C418" s="109">
        <f>QUANT!C848</f>
        <v>89869</v>
      </c>
      <c r="D418" s="109" t="str">
        <f>QUANT!D848</f>
        <v>SINAPI</v>
      </c>
      <c r="E418" s="80" t="str">
        <f>IFERROR(VLOOKUP($C418,'SINAPI JULHO 2021'!$1:$1048576,2,0),IFERROR(VLOOKUP($C418,'5-COMP. PROPRIA'!$B$1:$I$7981,4,0),""))</f>
        <v>TE, PVC, SOLDÁVEL, DN 25MM, INSTALADO EM DRENO DE AR-CONDICIONADO - FORNECIMENTO E INSTALAÇÃO. AF_12/2014</v>
      </c>
      <c r="F418" s="81" t="str">
        <f>IFERROR(VLOOKUP($C418,'SINAPI JULHO 2021'!$A:$D,3,0),IFERROR(VLOOKUP($C418,'5-COMP. PROPRIA'!$B$1:$I$7981,5,0),""))</f>
        <v>UN</v>
      </c>
      <c r="G418" s="129">
        <f>QUANT!K848</f>
        <v>15</v>
      </c>
      <c r="H418" s="218">
        <f>IFERROR(VLOOKUP($C418,'SINAPI JULHO 2021'!$A:$D,4,0),IFERROR(VLOOKUP($C418,'5-COMP. PROPRIA'!$B$1:$I$1240,8,0),""))</f>
        <v>6.93</v>
      </c>
      <c r="I418" s="200">
        <f>H418*'4-BDI'!$E$29</f>
        <v>8.8870319999999996</v>
      </c>
      <c r="J418" s="201">
        <f t="shared" si="120"/>
        <v>103.95</v>
      </c>
      <c r="K418" s="123">
        <f t="shared" si="121"/>
        <v>133.30000000000001</v>
      </c>
    </row>
    <row r="419" spans="2:11" s="76" customFormat="1" ht="30">
      <c r="B419" s="473" t="s">
        <v>13264</v>
      </c>
      <c r="C419" s="109">
        <f>QUANT!C849</f>
        <v>89868</v>
      </c>
      <c r="D419" s="109" t="str">
        <f>QUANT!D849</f>
        <v>SINAPI</v>
      </c>
      <c r="E419" s="80" t="str">
        <f>IFERROR(VLOOKUP($C419,'SINAPI JULHO 2021'!$1:$1048576,2,0),IFERROR(VLOOKUP($C419,'5-COMP. PROPRIA'!$B$1:$I$7981,4,0),""))</f>
        <v>LUVA, PVC, SOLDÁVEL, DN 25MM, INSTALADO EM DRENO DE AR-CONDICIONADO - FORNECIMENTO E INSTALAÇÃO. AF_12/2014</v>
      </c>
      <c r="F419" s="81" t="str">
        <f>IFERROR(VLOOKUP($C419,'SINAPI JULHO 2021'!$A:$D,3,0),IFERROR(VLOOKUP($C419,'5-COMP. PROPRIA'!$B$1:$I$7981,5,0),""))</f>
        <v>UN</v>
      </c>
      <c r="G419" s="129">
        <f>QUANT!K849</f>
        <v>19</v>
      </c>
      <c r="H419" s="218">
        <f>IFERROR(VLOOKUP($C419,'SINAPI JULHO 2021'!$A:$D,4,0),IFERROR(VLOOKUP($C419,'5-COMP. PROPRIA'!$B$1:$I$1240,8,0),""))</f>
        <v>3.2</v>
      </c>
      <c r="I419" s="200">
        <f>H419*'4-BDI'!$E$29</f>
        <v>4.1036799999999998</v>
      </c>
      <c r="J419" s="201">
        <f t="shared" si="120"/>
        <v>60.8</v>
      </c>
      <c r="K419" s="123">
        <f t="shared" si="121"/>
        <v>77.959999999999994</v>
      </c>
    </row>
    <row r="420" spans="2:11" s="76" customFormat="1" ht="30">
      <c r="B420" s="473" t="s">
        <v>13265</v>
      </c>
      <c r="C420" s="109">
        <f>QUANT!C850</f>
        <v>97886</v>
      </c>
      <c r="D420" s="109" t="str">
        <f>QUANT!D850</f>
        <v>SINAPI</v>
      </c>
      <c r="E420" s="80" t="str">
        <f>IFERROR(VLOOKUP($C420,'SINAPI JULHO 2021'!$1:$1048576,2,0),IFERROR(VLOOKUP($C420,'5-COMP. PROPRIA'!$B$1:$I$7981,4,0),""))</f>
        <v>CAIXA ENTERRADA ELÉTRICA RETANGULAR, EM ALVENARIA COM TIJOLOS CERÂMICOS MACIÇOS, FUNDO COM BRITA, DIMENSÕES INTERNAS: 0,3X0,3X0,3 M. AF_12/2020</v>
      </c>
      <c r="F420" s="81" t="str">
        <f>IFERROR(VLOOKUP($C420,'SINAPI JULHO 2021'!$A:$D,3,0),IFERROR(VLOOKUP($C420,'5-COMP. PROPRIA'!$B$1:$I$7981,5,0),""))</f>
        <v>UN</v>
      </c>
      <c r="G420" s="129">
        <f>QUANT!K850</f>
        <v>6</v>
      </c>
      <c r="H420" s="218">
        <f>IFERROR(VLOOKUP($C420,'SINAPI JULHO 2021'!$A:$D,4,0),IFERROR(VLOOKUP($C420,'5-COMP. PROPRIA'!$B$1:$I$1240,8,0),""))</f>
        <v>146.86000000000001</v>
      </c>
      <c r="I420" s="200">
        <f>H420*'4-BDI'!$E$29</f>
        <v>188.33326400000001</v>
      </c>
      <c r="J420" s="201">
        <f t="shared" si="120"/>
        <v>881.16</v>
      </c>
      <c r="K420" s="123">
        <f t="shared" si="121"/>
        <v>1129.99</v>
      </c>
    </row>
    <row r="421" spans="2:11" s="76" customFormat="1" ht="15">
      <c r="B421" s="834" t="s">
        <v>3506</v>
      </c>
      <c r="C421" s="836"/>
      <c r="D421" s="836"/>
      <c r="E421" s="836"/>
      <c r="F421" s="836"/>
      <c r="G421" s="836"/>
      <c r="H421" s="837"/>
      <c r="I421" s="124"/>
      <c r="J421" s="126">
        <f>TRUNC(SUM(J341:J420),2)</f>
        <v>202897.53</v>
      </c>
      <c r="K421" s="125">
        <f>TRUNC(SUM(K341:K420),2)</f>
        <v>260195.46</v>
      </c>
    </row>
    <row r="422" spans="2:11" s="76" customFormat="1" ht="15">
      <c r="B422" s="5" t="s">
        <v>6289</v>
      </c>
      <c r="C422" s="6"/>
      <c r="D422" s="7"/>
      <c r="E422" s="8" t="str">
        <f>QUANT!E852</f>
        <v>POSTO DE TRANSFORMAÇÃO 112,5kVA - 13,8kV E EXTENSÃO DE REDE EM MÉDIA TENSÃO 13,8 Kv</v>
      </c>
      <c r="F422" s="9"/>
      <c r="G422" s="128"/>
      <c r="H422" s="221"/>
      <c r="I422" s="121"/>
      <c r="J422" s="121"/>
      <c r="K422" s="122"/>
    </row>
    <row r="423" spans="2:11" s="76" customFormat="1" ht="15">
      <c r="B423" s="222" t="s">
        <v>6290</v>
      </c>
      <c r="C423" s="223"/>
      <c r="D423" s="224"/>
      <c r="E423" s="225" t="str">
        <f>QUANT!E853</f>
        <v>POSTO DE TRANSFORMAÇÃO 112,5kVA - 13,8kV</v>
      </c>
      <c r="F423" s="120"/>
      <c r="G423" s="129"/>
      <c r="H423" s="218"/>
      <c r="I423" s="200"/>
      <c r="J423" s="201"/>
      <c r="K423" s="123"/>
    </row>
    <row r="424" spans="2:11" s="76" customFormat="1" ht="15">
      <c r="B424" s="473" t="s">
        <v>13266</v>
      </c>
      <c r="C424" s="109" t="str">
        <f>QUANT!C854</f>
        <v>CP-PTR-01</v>
      </c>
      <c r="D424" s="109" t="str">
        <f>QUANT!D854</f>
        <v>PRÓPRIA</v>
      </c>
      <c r="E424" s="80" t="str">
        <f>IFERROR(VLOOKUP($C424,'SINAPI JULHO 2021'!$1:$1048576,2,0),IFERROR(VLOOKUP($C424,'5-COMP. PROPRIA'!$B$1:$I$7981,4,0),""))</f>
        <v>POSTE DE CONCRETO DT 11/600 DAN COM BASE CONCRETADA - FORNECIMENTO E INSTALAÇÃO</v>
      </c>
      <c r="F424" s="81" t="str">
        <f>IFERROR(VLOOKUP($C424,'SINAPI JULHO 2021'!$A:$D,3,0),IFERROR(VLOOKUP($C424,'5-COMP. PROPRIA'!$B$1:$I$7981,5,0),""))</f>
        <v>UNI</v>
      </c>
      <c r="G424" s="129">
        <f>QUANT!K854</f>
        <v>1</v>
      </c>
      <c r="H424" s="218">
        <f>IFERROR(VLOOKUP($C424,'SINAPI JULHO 2021'!$A:$D,4,0),IFERROR(VLOOKUP($C424,'5-COMP. PROPRIA'!$B$1:$I$1240,8,0),""))</f>
        <v>3596.58</v>
      </c>
      <c r="I424" s="200">
        <f>H424*'4-BDI'!$E$29</f>
        <v>4612.2541919999994</v>
      </c>
      <c r="J424" s="201">
        <f t="shared" ref="J424" si="122">TRUNC(G424*H424,2)</f>
        <v>3596.58</v>
      </c>
      <c r="K424" s="123">
        <f t="shared" ref="K424" si="123">TRUNC(G424*I424,2)</f>
        <v>4612.25</v>
      </c>
    </row>
    <row r="425" spans="2:11" s="76" customFormat="1" ht="30">
      <c r="B425" s="473" t="s">
        <v>13267</v>
      </c>
      <c r="C425" s="109">
        <f>QUANT!C855</f>
        <v>101553</v>
      </c>
      <c r="D425" s="109" t="str">
        <f>QUANT!D855</f>
        <v>SINAPI</v>
      </c>
      <c r="E425" s="80" t="str">
        <f>IFERROR(VLOOKUP($C425,'SINAPI JULHO 2021'!$1:$1048576,2,0),IFERROR(VLOOKUP($C425,'5-COMP. PROPRIA'!$B$1:$I$7981,4,0),""))</f>
        <v>ALÇA PREFORMADA DE DISTRIBUIÇÃO, EM  AÇO GALVANIZADO, AWG 1 - FORNECIMENTO E INSTALAÇÃO. AF_07/2020</v>
      </c>
      <c r="F425" s="81" t="str">
        <f>IFERROR(VLOOKUP($C425,'SINAPI JULHO 2021'!$A:$D,3,0),IFERROR(VLOOKUP($C425,'5-COMP. PROPRIA'!$B$1:$I$7981,5,0),""))</f>
        <v>UN</v>
      </c>
      <c r="G425" s="129">
        <f>QUANT!K855</f>
        <v>1</v>
      </c>
      <c r="H425" s="218">
        <f>IFERROR(VLOOKUP($C425,'SINAPI JULHO 2021'!$A:$D,4,0),IFERROR(VLOOKUP($C425,'5-COMP. PROPRIA'!$B$1:$I$1240,8,0),""))</f>
        <v>14.17</v>
      </c>
      <c r="I425" s="200">
        <f>H425*'4-BDI'!$E$29</f>
        <v>18.171607999999999</v>
      </c>
      <c r="J425" s="201">
        <f t="shared" ref="J425:J442" si="124">TRUNC(G425*H425,2)</f>
        <v>14.17</v>
      </c>
      <c r="K425" s="123">
        <f t="shared" ref="K425:K442" si="125">TRUNC(G425*I425,2)</f>
        <v>18.170000000000002</v>
      </c>
    </row>
    <row r="426" spans="2:11" s="76" customFormat="1" ht="15">
      <c r="B426" s="473" t="s">
        <v>13268</v>
      </c>
      <c r="C426" s="109" t="str">
        <f>QUANT!C856</f>
        <v>CP-PTR-03</v>
      </c>
      <c r="D426" s="109" t="str">
        <f>QUANT!D856</f>
        <v>PRÓPRIA</v>
      </c>
      <c r="E426" s="80" t="str">
        <f>IFERROR(VLOOKUP($C426,'SINAPI JULHO 2021'!$1:$1048576,2,0),IFERROR(VLOOKUP($C426,'5-COMP. PROPRIA'!$B$1:$I$7981,4,0),""))</f>
        <v>SAPATILHA EM AÇO GALVANIZADO - FORNECIMENTO E INSTALAÇÃO</v>
      </c>
      <c r="F426" s="81" t="str">
        <f>IFERROR(VLOOKUP($C426,'SINAPI JULHO 2021'!$A:$D,3,0),IFERROR(VLOOKUP($C426,'5-COMP. PROPRIA'!$B$1:$I$7981,5,0),""))</f>
        <v>UNI</v>
      </c>
      <c r="G426" s="129">
        <f>QUANT!K856</f>
        <v>1</v>
      </c>
      <c r="H426" s="218">
        <f>IFERROR(VLOOKUP($C426,'SINAPI JULHO 2021'!$A:$D,4,0),IFERROR(VLOOKUP($C426,'5-COMP. PROPRIA'!$B$1:$I$1240,8,0),""))</f>
        <v>8.81</v>
      </c>
      <c r="I426" s="200">
        <f>H426*'4-BDI'!$E$29</f>
        <v>11.297944000000001</v>
      </c>
      <c r="J426" s="201">
        <f t="shared" si="124"/>
        <v>8.81</v>
      </c>
      <c r="K426" s="123">
        <f t="shared" si="125"/>
        <v>11.29</v>
      </c>
    </row>
    <row r="427" spans="2:11" s="76" customFormat="1" ht="15">
      <c r="B427" s="473" t="s">
        <v>13269</v>
      </c>
      <c r="C427" s="109" t="str">
        <f>QUANT!C857</f>
        <v>CP-PTR-04</v>
      </c>
      <c r="D427" s="109" t="str">
        <f>QUANT!D857</f>
        <v>PRÓPRIA</v>
      </c>
      <c r="E427" s="80" t="str">
        <f>IFERROR(VLOOKUP($C427,'SINAPI JULHO 2021'!$1:$1048576,2,0),IFERROR(VLOOKUP($C427,'5-COMP. PROPRIA'!$B$1:$I$7981,4,0),""))</f>
        <v>OLHAL PARA PARAFUSO - FORNECIMENTO E INSTALAÇÃO</v>
      </c>
      <c r="F427" s="81" t="str">
        <f>IFERROR(VLOOKUP($C427,'SINAPI JULHO 2021'!$A:$D,3,0),IFERROR(VLOOKUP($C427,'5-COMP. PROPRIA'!$B$1:$I$7981,5,0),""))</f>
        <v>UNI</v>
      </c>
      <c r="G427" s="129">
        <f>QUANT!K857</f>
        <v>4</v>
      </c>
      <c r="H427" s="218">
        <f>IFERROR(VLOOKUP($C427,'SINAPI JULHO 2021'!$A:$D,4,0),IFERROR(VLOOKUP($C427,'5-COMP. PROPRIA'!$B$1:$I$1240,8,0),""))</f>
        <v>18.170000000000002</v>
      </c>
      <c r="I427" s="200">
        <f>H427*'4-BDI'!$E$29</f>
        <v>23.301208000000003</v>
      </c>
      <c r="J427" s="201">
        <f t="shared" si="124"/>
        <v>72.680000000000007</v>
      </c>
      <c r="K427" s="123">
        <f t="shared" si="125"/>
        <v>93.2</v>
      </c>
    </row>
    <row r="428" spans="2:11" s="76" customFormat="1" ht="15">
      <c r="B428" s="473" t="s">
        <v>13270</v>
      </c>
      <c r="C428" s="109" t="str">
        <f>QUANT!C858</f>
        <v>CP-PTR-05</v>
      </c>
      <c r="D428" s="109" t="str">
        <f>QUANT!D858</f>
        <v>PRÓPRIA</v>
      </c>
      <c r="E428" s="80" t="str">
        <f>IFERROR(VLOOKUP($C428,'SINAPI JULHO 2021'!$1:$1048576,2,0),IFERROR(VLOOKUP($C428,'5-COMP. PROPRIA'!$B$1:$I$7981,4,0),""))</f>
        <v>ISOLADOR DE ANCORAGEM TIPO BASTÃO POLIMÉRICO 15KV - FORNECIMENTO E INSTALAÇÃO</v>
      </c>
      <c r="F428" s="81" t="str">
        <f>IFERROR(VLOOKUP($C428,'SINAPI JULHO 2021'!$A:$D,3,0),IFERROR(VLOOKUP($C428,'5-COMP. PROPRIA'!$B$1:$I$7981,5,0),""))</f>
        <v>UNI</v>
      </c>
      <c r="G428" s="129">
        <f>QUANT!K858</f>
        <v>3</v>
      </c>
      <c r="H428" s="218">
        <f>IFERROR(VLOOKUP($C428,'SINAPI JULHO 2021'!$A:$D,4,0),IFERROR(VLOOKUP($C428,'5-COMP. PROPRIA'!$B$1:$I$1240,8,0),""))</f>
        <v>59.34</v>
      </c>
      <c r="I428" s="200">
        <f>H428*'4-BDI'!$E$29</f>
        <v>76.097616000000002</v>
      </c>
      <c r="J428" s="201">
        <f t="shared" si="124"/>
        <v>178.02</v>
      </c>
      <c r="K428" s="123">
        <f t="shared" si="125"/>
        <v>228.29</v>
      </c>
    </row>
    <row r="429" spans="2:11" s="76" customFormat="1" ht="15">
      <c r="B429" s="473" t="s">
        <v>13271</v>
      </c>
      <c r="C429" s="109" t="str">
        <f>QUANT!C859</f>
        <v>CP-PTR-06</v>
      </c>
      <c r="D429" s="109" t="str">
        <f>QUANT!D859</f>
        <v>PRÓPRIA</v>
      </c>
      <c r="E429" s="80" t="str">
        <f>IFERROR(VLOOKUP($C429,'SINAPI JULHO 2021'!$1:$1048576,2,0),IFERROR(VLOOKUP($C429,'5-COMP. PROPRIA'!$B$1:$I$7981,4,0),""))</f>
        <v>MANILHA SAPATILHA - FORNECIMENTO E INSTALAÇÃO</v>
      </c>
      <c r="F429" s="81" t="str">
        <f>IFERROR(VLOOKUP($C429,'SINAPI JULHO 2021'!$A:$D,3,0),IFERROR(VLOOKUP($C429,'5-COMP. PROPRIA'!$B$1:$I$7981,5,0),""))</f>
        <v>UNI</v>
      </c>
      <c r="G429" s="129">
        <f>QUANT!K859</f>
        <v>3</v>
      </c>
      <c r="H429" s="218">
        <f>IFERROR(VLOOKUP($C429,'SINAPI JULHO 2021'!$A:$D,4,0),IFERROR(VLOOKUP($C429,'5-COMP. PROPRIA'!$B$1:$I$1240,8,0),""))</f>
        <v>28.24</v>
      </c>
      <c r="I429" s="200">
        <f>H429*'4-BDI'!$E$29</f>
        <v>36.214976</v>
      </c>
      <c r="J429" s="201">
        <f t="shared" si="124"/>
        <v>84.72</v>
      </c>
      <c r="K429" s="123">
        <f t="shared" si="125"/>
        <v>108.64</v>
      </c>
    </row>
    <row r="430" spans="2:11" s="76" customFormat="1" ht="15">
      <c r="B430" s="473" t="s">
        <v>13272</v>
      </c>
      <c r="C430" s="109" t="str">
        <f>QUANT!C860</f>
        <v>CP-PTR-07</v>
      </c>
      <c r="D430" s="109" t="str">
        <f>QUANT!D860</f>
        <v>PRÓPRIA</v>
      </c>
      <c r="E430" s="80" t="str">
        <f>IFERROR(VLOOKUP($C430,'SINAPI JULHO 2021'!$1:$1048576,2,0),IFERROR(VLOOKUP($C430,'5-COMP. PROPRIA'!$B$1:$I$7981,4,0),""))</f>
        <v>GANCHO OLHAL - FORNECIMENTO E INSTALAÇÃO</v>
      </c>
      <c r="F430" s="81" t="str">
        <f>IFERROR(VLOOKUP($C430,'SINAPI JULHO 2021'!$A:$D,3,0),IFERROR(VLOOKUP($C430,'5-COMP. PROPRIA'!$B$1:$I$7981,5,0),""))</f>
        <v>UNI</v>
      </c>
      <c r="G430" s="129">
        <f>QUANT!K860</f>
        <v>3</v>
      </c>
      <c r="H430" s="218">
        <f>IFERROR(VLOOKUP($C430,'SINAPI JULHO 2021'!$A:$D,4,0),IFERROR(VLOOKUP($C430,'5-COMP. PROPRIA'!$B$1:$I$1240,8,0),""))</f>
        <v>18.829999999999998</v>
      </c>
      <c r="I430" s="200">
        <f>H430*'4-BDI'!$E$29</f>
        <v>24.147591999999996</v>
      </c>
      <c r="J430" s="201">
        <f t="shared" si="124"/>
        <v>56.49</v>
      </c>
      <c r="K430" s="123">
        <f t="shared" si="125"/>
        <v>72.44</v>
      </c>
    </row>
    <row r="431" spans="2:11" s="76" customFormat="1" ht="15">
      <c r="B431" s="473" t="s">
        <v>13273</v>
      </c>
      <c r="C431" s="109" t="str">
        <f>QUANT!C861</f>
        <v>CP-PTR-08</v>
      </c>
      <c r="D431" s="109" t="str">
        <f>QUANT!D861</f>
        <v>PRÓPRIA</v>
      </c>
      <c r="E431" s="80" t="str">
        <f>IFERROR(VLOOKUP($C431,'SINAPI JULHO 2021'!$1:$1048576,2,0),IFERROR(VLOOKUP($C431,'5-COMP. PROPRIA'!$B$1:$I$7981,4,0),""))</f>
        <v>PERFIL U - FORNECIMENTO E INSTALAÇÃO</v>
      </c>
      <c r="F431" s="81" t="str">
        <f>IFERROR(VLOOKUP($C431,'SINAPI JULHO 2021'!$A:$D,3,0),IFERROR(VLOOKUP($C431,'5-COMP. PROPRIA'!$B$1:$I$7981,5,0),""))</f>
        <v>UNI</v>
      </c>
      <c r="G431" s="129">
        <f>QUANT!K861</f>
        <v>1</v>
      </c>
      <c r="H431" s="218">
        <f>IFERROR(VLOOKUP($C431,'SINAPI JULHO 2021'!$A:$D,4,0),IFERROR(VLOOKUP($C431,'5-COMP. PROPRIA'!$B$1:$I$1240,8,0),""))</f>
        <v>232.84</v>
      </c>
      <c r="I431" s="200">
        <f>H431*'4-BDI'!$E$29</f>
        <v>298.59401600000001</v>
      </c>
      <c r="J431" s="201">
        <f t="shared" si="124"/>
        <v>232.84</v>
      </c>
      <c r="K431" s="123">
        <f t="shared" si="125"/>
        <v>298.58999999999997</v>
      </c>
    </row>
    <row r="432" spans="2:11" s="76" customFormat="1" ht="15">
      <c r="B432" s="473" t="s">
        <v>13274</v>
      </c>
      <c r="C432" s="109" t="str">
        <f>QUANT!C862</f>
        <v>CP-PTR-09</v>
      </c>
      <c r="D432" s="109" t="str">
        <f>QUANT!D862</f>
        <v>PRÓPRIA</v>
      </c>
      <c r="E432" s="80" t="str">
        <f>IFERROR(VLOOKUP($C432,'SINAPI JULHO 2021'!$1:$1048576,2,0),IFERROR(VLOOKUP($C432,'5-COMP. PROPRIA'!$B$1:$I$7981,4,0),""))</f>
        <v>FIXADOR DE PERFIL U - FORNECIMENTO E INSTALAÇÃO</v>
      </c>
      <c r="F432" s="81" t="str">
        <f>IFERROR(VLOOKUP($C432,'SINAPI JULHO 2021'!$A:$D,3,0),IFERROR(VLOOKUP($C432,'5-COMP. PROPRIA'!$B$1:$I$7981,5,0),""))</f>
        <v>UNI</v>
      </c>
      <c r="G432" s="129">
        <f>QUANT!K862</f>
        <v>1</v>
      </c>
      <c r="H432" s="218">
        <f>IFERROR(VLOOKUP($C432,'SINAPI JULHO 2021'!$A:$D,4,0),IFERROR(VLOOKUP($C432,'5-COMP. PROPRIA'!$B$1:$I$1240,8,0),""))</f>
        <v>50.84</v>
      </c>
      <c r="I432" s="200">
        <f>H432*'4-BDI'!$E$29</f>
        <v>65.197215999999997</v>
      </c>
      <c r="J432" s="201">
        <f t="shared" si="124"/>
        <v>50.84</v>
      </c>
      <c r="K432" s="123">
        <f t="shared" si="125"/>
        <v>65.19</v>
      </c>
    </row>
    <row r="433" spans="2:11" s="76" customFormat="1" ht="15">
      <c r="B433" s="473" t="s">
        <v>13275</v>
      </c>
      <c r="C433" s="109" t="str">
        <f>QUANT!C863</f>
        <v>CP-PTR-10</v>
      </c>
      <c r="D433" s="109" t="str">
        <f>QUANT!D863</f>
        <v>PRÓPRIA</v>
      </c>
      <c r="E433" s="80" t="str">
        <f>IFERROR(VLOOKUP($C433,'SINAPI JULHO 2021'!$1:$1048576,2,0),IFERROR(VLOOKUP($C433,'5-COMP. PROPRIA'!$B$1:$I$7981,4,0),""))</f>
        <v>PARA RAIO POLIMÉRICO DE DISTRIBUIÇÃO 15KV 10KA - FORNECIMENTO E INSTALAÇÃO</v>
      </c>
      <c r="F433" s="81" t="str">
        <f>IFERROR(VLOOKUP($C433,'SINAPI JULHO 2021'!$A:$D,3,0),IFERROR(VLOOKUP($C433,'5-COMP. PROPRIA'!$B$1:$I$7981,5,0),""))</f>
        <v>UNI</v>
      </c>
      <c r="G433" s="129">
        <f>QUANT!K863</f>
        <v>3</v>
      </c>
      <c r="H433" s="218">
        <f>IFERROR(VLOOKUP($C433,'SINAPI JULHO 2021'!$A:$D,4,0),IFERROR(VLOOKUP($C433,'5-COMP. PROPRIA'!$B$1:$I$1240,8,0),""))</f>
        <v>316.33999999999997</v>
      </c>
      <c r="I433" s="200">
        <f>H433*'4-BDI'!$E$29</f>
        <v>405.67441599999995</v>
      </c>
      <c r="J433" s="201">
        <f t="shared" si="124"/>
        <v>949.02</v>
      </c>
      <c r="K433" s="123">
        <f t="shared" si="125"/>
        <v>1217.02</v>
      </c>
    </row>
    <row r="434" spans="2:11" s="76" customFormat="1" ht="15">
      <c r="B434" s="473" t="s">
        <v>13276</v>
      </c>
      <c r="C434" s="109" t="str">
        <f>QUANT!C864</f>
        <v>CP-PTR-11</v>
      </c>
      <c r="D434" s="109" t="str">
        <f>QUANT!D864</f>
        <v>PRÓPRIA</v>
      </c>
      <c r="E434" s="80" t="str">
        <f>IFERROR(VLOOKUP($C434,'SINAPI JULHO 2021'!$1:$1048576,2,0),IFERROR(VLOOKUP($C434,'5-COMP. PROPRIA'!$B$1:$I$7981,4,0),""))</f>
        <v>CRUZETA DE CONCRETO 250 DAN RETANGULAR - FORNECIMENTO E INSTALAÇÃO</v>
      </c>
      <c r="F434" s="81" t="str">
        <f>IFERROR(VLOOKUP($C434,'SINAPI JULHO 2021'!$A:$D,3,0),IFERROR(VLOOKUP($C434,'5-COMP. PROPRIA'!$B$1:$I$7981,5,0),""))</f>
        <v>UNI</v>
      </c>
      <c r="G434" s="129">
        <f>QUANT!K864</f>
        <v>1</v>
      </c>
      <c r="H434" s="218">
        <f>IFERROR(VLOOKUP($C434,'SINAPI JULHO 2021'!$A:$D,4,0),IFERROR(VLOOKUP($C434,'5-COMP. PROPRIA'!$B$1:$I$1240,8,0),""))</f>
        <v>109.36</v>
      </c>
      <c r="I434" s="200">
        <f>H434*'4-BDI'!$E$29</f>
        <v>140.24326400000001</v>
      </c>
      <c r="J434" s="201">
        <f t="shared" si="124"/>
        <v>109.36</v>
      </c>
      <c r="K434" s="123">
        <f t="shared" si="125"/>
        <v>140.24</v>
      </c>
    </row>
    <row r="435" spans="2:11" s="76" customFormat="1" ht="15">
      <c r="B435" s="473" t="s">
        <v>13277</v>
      </c>
      <c r="C435" s="109" t="str">
        <f>QUANT!C865</f>
        <v>CP-PTR-12</v>
      </c>
      <c r="D435" s="109" t="str">
        <f>QUANT!D865</f>
        <v>PRÓPRIA</v>
      </c>
      <c r="E435" s="80" t="str">
        <f>IFERROR(VLOOKUP($C435,'SINAPI JULHO 2021'!$1:$1048576,2,0),IFERROR(VLOOKUP($C435,'5-COMP. PROPRIA'!$B$1:$I$7981,4,0),""))</f>
        <v>GRAMPO DE ANCORAGEM 15KV - 50MM² - FORNECIMENTO E INSTALAÇÃO</v>
      </c>
      <c r="F435" s="81" t="str">
        <f>IFERROR(VLOOKUP($C435,'SINAPI JULHO 2021'!$A:$D,3,0),IFERROR(VLOOKUP($C435,'5-COMP. PROPRIA'!$B$1:$I$7981,5,0),""))</f>
        <v>UNI</v>
      </c>
      <c r="G435" s="129">
        <f>QUANT!K865</f>
        <v>3</v>
      </c>
      <c r="H435" s="218">
        <f>IFERROR(VLOOKUP($C435,'SINAPI JULHO 2021'!$A:$D,4,0),IFERROR(VLOOKUP($C435,'5-COMP. PROPRIA'!$B$1:$I$1240,8,0),""))</f>
        <v>48.88</v>
      </c>
      <c r="I435" s="200">
        <f>H435*'4-BDI'!$E$29</f>
        <v>62.683712</v>
      </c>
      <c r="J435" s="201">
        <f t="shared" si="124"/>
        <v>146.63999999999999</v>
      </c>
      <c r="K435" s="123">
        <f t="shared" si="125"/>
        <v>188.05</v>
      </c>
    </row>
    <row r="436" spans="2:11" s="76" customFormat="1" ht="15">
      <c r="B436" s="473" t="s">
        <v>13278</v>
      </c>
      <c r="C436" s="109" t="str">
        <f>QUANT!C866</f>
        <v>CP-PTR-13</v>
      </c>
      <c r="D436" s="109" t="str">
        <f>QUANT!D866</f>
        <v>PRÓPRIA</v>
      </c>
      <c r="E436" s="80" t="str">
        <f>IFERROR(VLOOKUP($C436,'SINAPI JULHO 2021'!$1:$1048576,2,0),IFERROR(VLOOKUP($C436,'5-COMP. PROPRIA'!$B$1:$I$7981,4,0),""))</f>
        <v>MÃO FRANCESA 619MM - FORNECIMENTO E INSTALAÇÃO</v>
      </c>
      <c r="F436" s="81" t="str">
        <f>IFERROR(VLOOKUP($C436,'SINAPI JULHO 2021'!$A:$D,3,0),IFERROR(VLOOKUP($C436,'5-COMP. PROPRIA'!$B$1:$I$7981,5,0),""))</f>
        <v>UNI</v>
      </c>
      <c r="G436" s="129">
        <f>QUANT!K866</f>
        <v>2</v>
      </c>
      <c r="H436" s="218">
        <f>IFERROR(VLOOKUP($C436,'SINAPI JULHO 2021'!$A:$D,4,0),IFERROR(VLOOKUP($C436,'5-COMP. PROPRIA'!$B$1:$I$1240,8,0),""))</f>
        <v>29.58</v>
      </c>
      <c r="I436" s="200">
        <f>H436*'4-BDI'!$E$29</f>
        <v>37.933391999999998</v>
      </c>
      <c r="J436" s="201">
        <f t="shared" si="124"/>
        <v>59.16</v>
      </c>
      <c r="K436" s="123">
        <f t="shared" si="125"/>
        <v>75.86</v>
      </c>
    </row>
    <row r="437" spans="2:11" s="76" customFormat="1" ht="30">
      <c r="B437" s="473" t="s">
        <v>13279</v>
      </c>
      <c r="C437" s="109">
        <f>QUANT!C867</f>
        <v>102110</v>
      </c>
      <c r="D437" s="109" t="str">
        <f>QUANT!D867</f>
        <v>SINAPI</v>
      </c>
      <c r="E437" s="80" t="str">
        <f>IFERROR(VLOOKUP($C437,'SINAPI JULHO 2021'!$1:$1048576,2,0),IFERROR(VLOOKUP($C437,'5-COMP. PROPRIA'!$B$1:$I$7981,4,0),""))</f>
        <v>SUPORTE PARA TRANSFORMADOR EM POSTE DE CONCRETO DUPLO T - FORNECIMENTO E INSTALAÇÃO. AF_12/2020</v>
      </c>
      <c r="F437" s="81" t="str">
        <f>IFERROR(VLOOKUP($C437,'SINAPI JULHO 2021'!$A:$D,3,0),IFERROR(VLOOKUP($C437,'5-COMP. PROPRIA'!$B$1:$I$7981,5,0),""))</f>
        <v>UN</v>
      </c>
      <c r="G437" s="129">
        <f>QUANT!K867</f>
        <v>2</v>
      </c>
      <c r="H437" s="218">
        <f>IFERROR(VLOOKUP($C437,'SINAPI JULHO 2021'!$A:$D,4,0),IFERROR(VLOOKUP($C437,'5-COMP. PROPRIA'!$B$1:$I$1240,8,0),""))</f>
        <v>177.52</v>
      </c>
      <c r="I437" s="200">
        <f>H437*'4-BDI'!$E$29</f>
        <v>227.65164800000002</v>
      </c>
      <c r="J437" s="201">
        <f t="shared" si="124"/>
        <v>355.04</v>
      </c>
      <c r="K437" s="123">
        <f t="shared" si="125"/>
        <v>455.3</v>
      </c>
    </row>
    <row r="438" spans="2:11" s="76" customFormat="1" ht="15">
      <c r="B438" s="473" t="s">
        <v>13280</v>
      </c>
      <c r="C438" s="109" t="str">
        <f>QUANT!C868</f>
        <v>CP-PTR-15</v>
      </c>
      <c r="D438" s="109" t="str">
        <f>QUANT!D868</f>
        <v>PRÓPRIA</v>
      </c>
      <c r="E438" s="80" t="str">
        <f>IFERROR(VLOOKUP($C438,'SINAPI JULHO 2021'!$1:$1048576,2,0),IFERROR(VLOOKUP($C438,'5-COMP. PROPRIA'!$B$1:$I$7981,4,0),""))</f>
        <v>ARRUELA QUADRADA EM ACO GALVANIZADO - FORNECIMENTO E INSTALAÇÃO</v>
      </c>
      <c r="F438" s="81" t="str">
        <f>IFERROR(VLOOKUP($C438,'SINAPI JULHO 2021'!$A:$D,3,0),IFERROR(VLOOKUP($C438,'5-COMP. PROPRIA'!$B$1:$I$7981,5,0),""))</f>
        <v>UNI</v>
      </c>
      <c r="G438" s="129">
        <f>QUANT!K868</f>
        <v>5</v>
      </c>
      <c r="H438" s="218">
        <f>IFERROR(VLOOKUP($C438,'SINAPI JULHO 2021'!$A:$D,4,0),IFERROR(VLOOKUP($C438,'5-COMP. PROPRIA'!$B$1:$I$1240,8,0),""))</f>
        <v>4.13</v>
      </c>
      <c r="I438" s="200">
        <f>H438*'4-BDI'!$E$29</f>
        <v>5.2963119999999995</v>
      </c>
      <c r="J438" s="201">
        <f t="shared" si="124"/>
        <v>20.65</v>
      </c>
      <c r="K438" s="123">
        <f t="shared" si="125"/>
        <v>26.48</v>
      </c>
    </row>
    <row r="439" spans="2:11" s="76" customFormat="1" ht="15">
      <c r="B439" s="473" t="s">
        <v>13281</v>
      </c>
      <c r="C439" s="109" t="str">
        <f>QUANT!C869</f>
        <v>CP-PTR-16</v>
      </c>
      <c r="D439" s="109" t="str">
        <f>QUANT!D869</f>
        <v>PRÓPRIA</v>
      </c>
      <c r="E439" s="80" t="str">
        <f>IFERROR(VLOOKUP($C439,'SINAPI JULHO 2021'!$1:$1048576,2,0),IFERROR(VLOOKUP($C439,'5-COMP. PROPRIA'!$B$1:$I$7981,4,0),""))</f>
        <v>PARAFUSO CABECA QUADRADA DE 100MM - FORNECIMENTO E INSTALAÇÃO</v>
      </c>
      <c r="F439" s="81" t="str">
        <f>IFERROR(VLOOKUP($C439,'SINAPI JULHO 2021'!$A:$D,3,0),IFERROR(VLOOKUP($C439,'5-COMP. PROPRIA'!$B$1:$I$7981,5,0),""))</f>
        <v>UNI</v>
      </c>
      <c r="G439" s="129">
        <f>QUANT!K869</f>
        <v>2</v>
      </c>
      <c r="H439" s="218">
        <f>IFERROR(VLOOKUP($C439,'SINAPI JULHO 2021'!$A:$D,4,0),IFERROR(VLOOKUP($C439,'5-COMP. PROPRIA'!$B$1:$I$1240,8,0),""))</f>
        <v>11.07</v>
      </c>
      <c r="I439" s="200">
        <f>H439*'4-BDI'!$E$29</f>
        <v>14.196168</v>
      </c>
      <c r="J439" s="201">
        <f t="shared" si="124"/>
        <v>22.14</v>
      </c>
      <c r="K439" s="123">
        <f t="shared" si="125"/>
        <v>28.39</v>
      </c>
    </row>
    <row r="440" spans="2:11" s="76" customFormat="1" ht="15">
      <c r="B440" s="473" t="s">
        <v>13282</v>
      </c>
      <c r="C440" s="109" t="str">
        <f>QUANT!C870</f>
        <v>CP-PTR-17</v>
      </c>
      <c r="D440" s="109" t="str">
        <f>QUANT!D870</f>
        <v>PRÓPRIA</v>
      </c>
      <c r="E440" s="80" t="str">
        <f>IFERROR(VLOOKUP($C440,'SINAPI JULHO 2021'!$1:$1048576,2,0),IFERROR(VLOOKUP($C440,'5-COMP. PROPRIA'!$B$1:$I$7981,4,0),""))</f>
        <v>PARAFUSO CABECA QUADRADA DE 125MM - FORNECIMENTO E INSTALAÇÃO</v>
      </c>
      <c r="F440" s="81" t="str">
        <f>IFERROR(VLOOKUP($C440,'SINAPI JULHO 2021'!$A:$D,3,0),IFERROR(VLOOKUP($C440,'5-COMP. PROPRIA'!$B$1:$I$7981,5,0),""))</f>
        <v>UNI</v>
      </c>
      <c r="G440" s="129">
        <f>QUANT!K870</f>
        <v>1</v>
      </c>
      <c r="H440" s="218">
        <f>IFERROR(VLOOKUP($C440,'SINAPI JULHO 2021'!$A:$D,4,0),IFERROR(VLOOKUP($C440,'5-COMP. PROPRIA'!$B$1:$I$1240,8,0),""))</f>
        <v>11.77</v>
      </c>
      <c r="I440" s="200">
        <f>H440*'4-BDI'!$E$29</f>
        <v>15.093847999999999</v>
      </c>
      <c r="J440" s="201">
        <f t="shared" si="124"/>
        <v>11.77</v>
      </c>
      <c r="K440" s="123">
        <f t="shared" si="125"/>
        <v>15.09</v>
      </c>
    </row>
    <row r="441" spans="2:11" s="76" customFormat="1" ht="15">
      <c r="B441" s="473" t="s">
        <v>13283</v>
      </c>
      <c r="C441" s="109" t="str">
        <f>QUANT!C871</f>
        <v>CP-PTR-18</v>
      </c>
      <c r="D441" s="109" t="str">
        <f>QUANT!D871</f>
        <v>PRÓPRIA</v>
      </c>
      <c r="E441" s="80" t="str">
        <f>IFERROR(VLOOKUP($C441,'SINAPI JULHO 2021'!$1:$1048576,2,0),IFERROR(VLOOKUP($C441,'5-COMP. PROPRIA'!$B$1:$I$7981,4,0),""))</f>
        <v>PARAFUSO CABECA QUADRADA DE 200MM - FORNECIMENTO E INSTALAÇÃO</v>
      </c>
      <c r="F441" s="81" t="str">
        <f>IFERROR(VLOOKUP($C441,'SINAPI JULHO 2021'!$A:$D,3,0),IFERROR(VLOOKUP($C441,'5-COMP. PROPRIA'!$B$1:$I$7981,5,0),""))</f>
        <v>UNI</v>
      </c>
      <c r="G441" s="129">
        <f>QUANT!K871</f>
        <v>4</v>
      </c>
      <c r="H441" s="218">
        <f>IFERROR(VLOOKUP($C441,'SINAPI JULHO 2021'!$A:$D,4,0),IFERROR(VLOOKUP($C441,'5-COMP. PROPRIA'!$B$1:$I$1240,8,0),""))</f>
        <v>14.02</v>
      </c>
      <c r="I441" s="200">
        <f>H441*'4-BDI'!$E$29</f>
        <v>17.979247999999998</v>
      </c>
      <c r="J441" s="201">
        <f t="shared" si="124"/>
        <v>56.08</v>
      </c>
      <c r="K441" s="123">
        <f t="shared" si="125"/>
        <v>71.91</v>
      </c>
    </row>
    <row r="442" spans="2:11" s="76" customFormat="1" ht="15">
      <c r="B442" s="473" t="s">
        <v>13284</v>
      </c>
      <c r="C442" s="109" t="str">
        <f>QUANT!C872</f>
        <v>CP-PTR-19</v>
      </c>
      <c r="D442" s="109" t="str">
        <f>QUANT!D872</f>
        <v>PRÓPRIA</v>
      </c>
      <c r="E442" s="80" t="str">
        <f>IFERROR(VLOOKUP($C442,'SINAPI JULHO 2021'!$1:$1048576,2,0),IFERROR(VLOOKUP($C442,'5-COMP. PROPRIA'!$B$1:$I$7981,4,0),""))</f>
        <v>PARAFUSO CABECA QUADRADA DE 250MM - FORNECIMENTO E INSTALAÇÃO</v>
      </c>
      <c r="F442" s="81" t="str">
        <f>IFERROR(VLOOKUP($C442,'SINAPI JULHO 2021'!$A:$D,3,0),IFERROR(VLOOKUP($C442,'5-COMP. PROPRIA'!$B$1:$I$7981,5,0),""))</f>
        <v>UNI</v>
      </c>
      <c r="G442" s="129">
        <f>QUANT!K872</f>
        <v>3</v>
      </c>
      <c r="H442" s="218">
        <f>IFERROR(VLOOKUP($C442,'SINAPI JULHO 2021'!$A:$D,4,0),IFERROR(VLOOKUP($C442,'5-COMP. PROPRIA'!$B$1:$I$1240,8,0),""))</f>
        <v>14.96</v>
      </c>
      <c r="I442" s="200">
        <f>H442*'4-BDI'!$E$29</f>
        <v>19.184704</v>
      </c>
      <c r="J442" s="201">
        <f t="shared" si="124"/>
        <v>44.88</v>
      </c>
      <c r="K442" s="123">
        <f t="shared" si="125"/>
        <v>57.55</v>
      </c>
    </row>
    <row r="443" spans="2:11" s="76" customFormat="1" ht="15">
      <c r="B443" s="473" t="s">
        <v>13285</v>
      </c>
      <c r="C443" s="109" t="str">
        <f>QUANT!C873</f>
        <v>CP-PTR-20</v>
      </c>
      <c r="D443" s="109" t="str">
        <f>QUANT!D873</f>
        <v>PRÓPRIA</v>
      </c>
      <c r="E443" s="80" t="str">
        <f>IFERROR(VLOOKUP($C443,'SINAPI JULHO 2021'!$1:$1048576,2,0),IFERROR(VLOOKUP($C443,'5-COMP. PROPRIA'!$B$1:$I$7981,4,0),""))</f>
        <v>PARAFUSO CABECA QUADRADA DE 300MM - FORNECIMENTO E INSTALAÇÃO</v>
      </c>
      <c r="F443" s="81" t="str">
        <f>IFERROR(VLOOKUP($C443,'SINAPI JULHO 2021'!$A:$D,3,0),IFERROR(VLOOKUP($C443,'5-COMP. PROPRIA'!$B$1:$I$7981,5,0),""))</f>
        <v>UNI</v>
      </c>
      <c r="G443" s="129">
        <f>QUANT!K873</f>
        <v>1</v>
      </c>
      <c r="H443" s="218">
        <f>IFERROR(VLOOKUP($C443,'SINAPI JULHO 2021'!$A:$D,4,0),IFERROR(VLOOKUP($C443,'5-COMP. PROPRIA'!$B$1:$I$1240,8,0),""))</f>
        <v>18.46</v>
      </c>
      <c r="I443" s="200">
        <f>H443*'4-BDI'!$E$29</f>
        <v>23.673104000000002</v>
      </c>
      <c r="J443" s="201">
        <f t="shared" ref="J443:J456" si="126">TRUNC(G443*H443,2)</f>
        <v>18.46</v>
      </c>
      <c r="K443" s="123">
        <f t="shared" ref="K443:K456" si="127">TRUNC(G443*I443,2)</f>
        <v>23.67</v>
      </c>
    </row>
    <row r="444" spans="2:11" s="76" customFormat="1" ht="15">
      <c r="B444" s="473" t="s">
        <v>13286</v>
      </c>
      <c r="C444" s="109" t="str">
        <f>QUANT!C874</f>
        <v>CP-PTR-21</v>
      </c>
      <c r="D444" s="109" t="str">
        <f>QUANT!D874</f>
        <v>PRÓPRIA</v>
      </c>
      <c r="E444" s="80" t="str">
        <f>IFERROR(VLOOKUP($C444,'SINAPI JULHO 2021'!$1:$1048576,2,0),IFERROR(VLOOKUP($C444,'5-COMP. PROPRIA'!$B$1:$I$7981,4,0),""))</f>
        <v>PROTETOR DE BUCHA DE AT DE TRANSFORMADOR 15KV - FORNECIMENTO E INSTALAÇÃO</v>
      </c>
      <c r="F444" s="81" t="str">
        <f>IFERROR(VLOOKUP($C444,'SINAPI JULHO 2021'!$A:$D,3,0),IFERROR(VLOOKUP($C444,'5-COMP. PROPRIA'!$B$1:$I$7981,5,0),""))</f>
        <v>UNI</v>
      </c>
      <c r="G444" s="129">
        <f>QUANT!K874</f>
        <v>6</v>
      </c>
      <c r="H444" s="218">
        <f>IFERROR(VLOOKUP($C444,'SINAPI JULHO 2021'!$A:$D,4,0),IFERROR(VLOOKUP($C444,'5-COMP. PROPRIA'!$B$1:$I$1240,8,0),""))</f>
        <v>11.23</v>
      </c>
      <c r="I444" s="200">
        <f>H444*'4-BDI'!$E$29</f>
        <v>14.401352000000001</v>
      </c>
      <c r="J444" s="201">
        <f t="shared" si="126"/>
        <v>67.38</v>
      </c>
      <c r="K444" s="123">
        <f t="shared" si="127"/>
        <v>86.4</v>
      </c>
    </row>
    <row r="445" spans="2:11" s="76" customFormat="1" ht="45">
      <c r="B445" s="473" t="s">
        <v>13287</v>
      </c>
      <c r="C445" s="109">
        <f>QUANT!C875</f>
        <v>102105</v>
      </c>
      <c r="D445" s="109" t="str">
        <f>QUANT!D875</f>
        <v>SINAPI</v>
      </c>
      <c r="E445" s="80" t="str">
        <f>IFERROR(VLOOKUP($C445,'SINAPI JULHO 2021'!$1:$1048576,2,0),IFERROR(VLOOKUP($C445,'5-COMP. PROPRIA'!$B$1:$I$7981,4,0),""))</f>
        <v>TRANSFORMADOR DE DISTRIBUIÇÃO, 112,5 KVA, TRIFÁSICO, 60 HZ, CLASSE 15 KV, IMERSO EM ÓLEO MINERAL, INSTALAÇÃO EM POSTE (NÃO INCLUSO SUPORTE) - FORNECIMENTO E INSTALAÇÃO. AF_12/2020</v>
      </c>
      <c r="F445" s="81" t="str">
        <f>IFERROR(VLOOKUP($C445,'SINAPI JULHO 2021'!$A:$D,3,0),IFERROR(VLOOKUP($C445,'5-COMP. PROPRIA'!$B$1:$I$7981,5,0),""))</f>
        <v>UN</v>
      </c>
      <c r="G445" s="129">
        <f>QUANT!K875</f>
        <v>1</v>
      </c>
      <c r="H445" s="218">
        <f>IFERROR(VLOOKUP($C445,'SINAPI JULHO 2021'!$A:$D,4,0),IFERROR(VLOOKUP($C445,'5-COMP. PROPRIA'!$B$1:$I$1240,8,0),""))</f>
        <v>13570.7</v>
      </c>
      <c r="I445" s="200">
        <f>H445*'4-BDI'!$E$29</f>
        <v>17403.06568</v>
      </c>
      <c r="J445" s="201">
        <f t="shared" si="126"/>
        <v>13570.7</v>
      </c>
      <c r="K445" s="123">
        <f t="shared" si="127"/>
        <v>17403.060000000001</v>
      </c>
    </row>
    <row r="446" spans="2:11" s="76" customFormat="1" ht="15">
      <c r="B446" s="473" t="s">
        <v>13288</v>
      </c>
      <c r="C446" s="109" t="str">
        <f>QUANT!C876</f>
        <v>CP-PTR-24</v>
      </c>
      <c r="D446" s="109" t="str">
        <f>QUANT!D876</f>
        <v>PRÓPRIA</v>
      </c>
      <c r="E446" s="80" t="str">
        <f>IFERROR(VLOOKUP($C446,'SINAPI JULHO 2021'!$1:$1048576,2,0),IFERROR(VLOOKUP($C446,'5-COMP. PROPRIA'!$B$1:$I$7981,4,0),""))</f>
        <v>CABO DE COBRE SINGELO XLPE - 15KV - 16MM² - FORNECIMENTO E INSTALAÇÃO</v>
      </c>
      <c r="F446" s="81" t="str">
        <f>IFERROR(VLOOKUP($C446,'SINAPI JULHO 2021'!$A:$D,3,0),IFERROR(VLOOKUP($C446,'5-COMP. PROPRIA'!$B$1:$I$7981,5,0),""))</f>
        <v>M</v>
      </c>
      <c r="G446" s="129">
        <f>QUANT!K876</f>
        <v>9</v>
      </c>
      <c r="H446" s="218">
        <f>IFERROR(VLOOKUP($C446,'SINAPI JULHO 2021'!$A:$D,4,0),IFERROR(VLOOKUP($C446,'5-COMP. PROPRIA'!$B$1:$I$1240,8,0),""))</f>
        <v>32.799999999999997</v>
      </c>
      <c r="I446" s="200">
        <f>H446*'4-BDI'!$E$29</f>
        <v>42.062719999999999</v>
      </c>
      <c r="J446" s="201">
        <f t="shared" si="126"/>
        <v>295.2</v>
      </c>
      <c r="K446" s="123">
        <f t="shared" si="127"/>
        <v>378.56</v>
      </c>
    </row>
    <row r="447" spans="2:11" s="76" customFormat="1" ht="30">
      <c r="B447" s="473" t="s">
        <v>13289</v>
      </c>
      <c r="C447" s="109" t="str">
        <f>QUANT!C877</f>
        <v>CP-PTR-25</v>
      </c>
      <c r="D447" s="109" t="str">
        <f>QUANT!D877</f>
        <v>PRÓPRIA</v>
      </c>
      <c r="E447" s="80" t="str">
        <f>IFERROR(VLOOKUP($C447,'SINAPI JULHO 2021'!$1:$1048576,2,0),IFERROR(VLOOKUP($C447,'5-COMP. PROPRIA'!$B$1:$I$7981,4,0),""))</f>
        <v>CABEÇOTE PARA ENTRADA DE LINHA DE ALIMENTAÇÃO PARA ELETRODUTO DE Ø4'' COM ACABAMENTO ANTI CORRESIVO - FORNECIMENTO E INSTALAÇÃO</v>
      </c>
      <c r="F447" s="81" t="str">
        <f>IFERROR(VLOOKUP($C447,'SINAPI JULHO 2021'!$A:$D,3,0),IFERROR(VLOOKUP($C447,'5-COMP. PROPRIA'!$B$1:$I$7981,5,0),""))</f>
        <v>UNI</v>
      </c>
      <c r="G447" s="129">
        <f>QUANT!K877</f>
        <v>1</v>
      </c>
      <c r="H447" s="218">
        <f>IFERROR(VLOOKUP($C447,'SINAPI JULHO 2021'!$A:$D,4,0),IFERROR(VLOOKUP($C447,'5-COMP. PROPRIA'!$B$1:$I$1240,8,0),""))</f>
        <v>59.83</v>
      </c>
      <c r="I447" s="200">
        <f>H447*'4-BDI'!$E$29</f>
        <v>76.725991999999991</v>
      </c>
      <c r="J447" s="201">
        <f t="shared" si="126"/>
        <v>59.83</v>
      </c>
      <c r="K447" s="123">
        <f t="shared" si="127"/>
        <v>76.72</v>
      </c>
    </row>
    <row r="448" spans="2:11" s="76" customFormat="1" ht="30">
      <c r="B448" s="473" t="s">
        <v>13290</v>
      </c>
      <c r="C448" s="109">
        <f>QUANT!C878</f>
        <v>91862</v>
      </c>
      <c r="D448" s="109" t="str">
        <f>QUANT!D878</f>
        <v>SINAPI</v>
      </c>
      <c r="E448" s="80" t="str">
        <f>IFERROR(VLOOKUP($C448,'SINAPI JULHO 2021'!$1:$1048576,2,0),IFERROR(VLOOKUP($C448,'5-COMP. PROPRIA'!$B$1:$I$7981,4,0),""))</f>
        <v>ELETRODUTO RÍGIDO ROSCÁVEL, PVC, DN 20 MM (1/2"), PARA CIRCUITOS TERMINAIS, INSTALADO EM FORRO - FORNECIMENTO E INSTALAÇÃO. AF_12/2015</v>
      </c>
      <c r="F448" s="81" t="str">
        <f>IFERROR(VLOOKUP($C448,'SINAPI JULHO 2021'!$A:$D,3,0),IFERROR(VLOOKUP($C448,'5-COMP. PROPRIA'!$B$1:$I$7981,5,0),""))</f>
        <v>M</v>
      </c>
      <c r="G448" s="129">
        <f>QUANT!K878</f>
        <v>3</v>
      </c>
      <c r="H448" s="218">
        <f>IFERROR(VLOOKUP($C448,'SINAPI JULHO 2021'!$A:$D,4,0),IFERROR(VLOOKUP($C448,'5-COMP. PROPRIA'!$B$1:$I$1240,8,0),""))</f>
        <v>7.41</v>
      </c>
      <c r="I448" s="200">
        <f>H448*'4-BDI'!$E$29</f>
        <v>9.5025840000000006</v>
      </c>
      <c r="J448" s="201">
        <f t="shared" si="126"/>
        <v>22.23</v>
      </c>
      <c r="K448" s="123">
        <f t="shared" si="127"/>
        <v>28.5</v>
      </c>
    </row>
    <row r="449" spans="2:11" s="76" customFormat="1" ht="15">
      <c r="B449" s="473" t="s">
        <v>13291</v>
      </c>
      <c r="C449" s="109" t="str">
        <f>QUANT!C879</f>
        <v>CP-PTR-26</v>
      </c>
      <c r="D449" s="109" t="str">
        <f>QUANT!D879</f>
        <v>PRÓPRIA</v>
      </c>
      <c r="E449" s="80" t="str">
        <f>IFERROR(VLOOKUP($C449,'SINAPI JULHO 2021'!$1:$1048576,2,0),IFERROR(VLOOKUP($C449,'5-COMP. PROPRIA'!$B$1:$I$7981,4,0),""))</f>
        <v>MURETA EM ALVENARIA 2 VEZ DIM 2,20X2,20 METROS COM COBERTURA DE 5% DE INCLINAÇÃO</v>
      </c>
      <c r="F449" s="81" t="str">
        <f>IFERROR(VLOOKUP($C449,'SINAPI JULHO 2021'!$A:$D,3,0),IFERROR(VLOOKUP($C449,'5-COMP. PROPRIA'!$B$1:$I$7981,5,0),""))</f>
        <v>UNI</v>
      </c>
      <c r="G449" s="129">
        <f>QUANT!K879</f>
        <v>1</v>
      </c>
      <c r="H449" s="218">
        <f>IFERROR(VLOOKUP($C449,'SINAPI JULHO 2021'!$A:$D,4,0),IFERROR(VLOOKUP($C449,'5-COMP. PROPRIA'!$B$1:$I$1240,8,0),""))</f>
        <v>2051.6999999999998</v>
      </c>
      <c r="I449" s="200">
        <f>H449*'4-BDI'!$E$29</f>
        <v>2631.1000799999997</v>
      </c>
      <c r="J449" s="201">
        <f t="shared" si="126"/>
        <v>2051.6999999999998</v>
      </c>
      <c r="K449" s="123">
        <f t="shared" si="127"/>
        <v>2631.1</v>
      </c>
    </row>
    <row r="450" spans="2:11" s="76" customFormat="1" ht="30">
      <c r="B450" s="473" t="s">
        <v>13292</v>
      </c>
      <c r="C450" s="109" t="str">
        <f>QUANT!C880</f>
        <v>CP-PTR-27</v>
      </c>
      <c r="D450" s="109" t="str">
        <f>QUANT!D880</f>
        <v>PRÓPRIA</v>
      </c>
      <c r="E450" s="80" t="str">
        <f>IFERROR(VLOOKUP($C450,'SINAPI JULHO 2021'!$1:$1048576,2,0),IFERROR(VLOOKUP($C450,'5-COMP. PROPRIA'!$B$1:$I$7981,4,0),""))</f>
        <v>ARMARIO DE MEDIÇÃO DIRETA 800A E PROTEÇÃO ENERGISA-MT - NDU 002 - FORNECIMENTO E INSTALAÇÃO</v>
      </c>
      <c r="F450" s="81" t="str">
        <f>IFERROR(VLOOKUP($C450,'SINAPI JULHO 2021'!$A:$D,3,0),IFERROR(VLOOKUP($C450,'5-COMP. PROPRIA'!$B$1:$I$7981,5,0),""))</f>
        <v>UNI</v>
      </c>
      <c r="G450" s="129">
        <f>QUANT!K880</f>
        <v>1</v>
      </c>
      <c r="H450" s="218">
        <f>IFERROR(VLOOKUP($C450,'SINAPI JULHO 2021'!$A:$D,4,0),IFERROR(VLOOKUP($C450,'5-COMP. PROPRIA'!$B$1:$I$1240,8,0),""))</f>
        <v>2243.23</v>
      </c>
      <c r="I450" s="200">
        <f>H450*'4-BDI'!$E$29</f>
        <v>2876.7181519999999</v>
      </c>
      <c r="J450" s="201">
        <f t="shared" si="126"/>
        <v>2243.23</v>
      </c>
      <c r="K450" s="123">
        <f t="shared" si="127"/>
        <v>2876.71</v>
      </c>
    </row>
    <row r="451" spans="2:11" s="76" customFormat="1" ht="15">
      <c r="B451" s="473" t="s">
        <v>13293</v>
      </c>
      <c r="C451" s="109" t="str">
        <f>QUANT!C881</f>
        <v>CP-PTR-28</v>
      </c>
      <c r="D451" s="109" t="str">
        <f>QUANT!D881</f>
        <v>PRÓPRIA</v>
      </c>
      <c r="E451" s="80" t="str">
        <f>IFERROR(VLOOKUP($C451,'SINAPI JULHO 2021'!$1:$1048576,2,0),IFERROR(VLOOKUP($C451,'5-COMP. PROPRIA'!$B$1:$I$7981,4,0),""))</f>
        <v>DISJUNTOR TERMOMAGNETICO TRIPOLAR 300 A - 600 V - FORNECIMENTO E INSTALAÇÃO</v>
      </c>
      <c r="F451" s="81" t="str">
        <f>IFERROR(VLOOKUP($C451,'SINAPI JULHO 2021'!$A:$D,3,0),IFERROR(VLOOKUP($C451,'5-COMP. PROPRIA'!$B$1:$I$7981,5,0),""))</f>
        <v>UNI</v>
      </c>
      <c r="G451" s="129">
        <f>QUANT!K881</f>
        <v>1</v>
      </c>
      <c r="H451" s="218">
        <f>IFERROR(VLOOKUP($C451,'SINAPI JULHO 2021'!$A:$D,4,0),IFERROR(VLOOKUP($C451,'5-COMP. PROPRIA'!$B$1:$I$1240,8,0),""))</f>
        <v>1334.48</v>
      </c>
      <c r="I451" s="200">
        <f>H451*'4-BDI'!$E$29</f>
        <v>1711.3371520000001</v>
      </c>
      <c r="J451" s="201">
        <f t="shared" si="126"/>
        <v>1334.48</v>
      </c>
      <c r="K451" s="123">
        <f t="shared" si="127"/>
        <v>1711.33</v>
      </c>
    </row>
    <row r="452" spans="2:11" s="76" customFormat="1" ht="30">
      <c r="B452" s="473" t="s">
        <v>13294</v>
      </c>
      <c r="C452" s="109">
        <f>QUANT!C882</f>
        <v>92998</v>
      </c>
      <c r="D452" s="109" t="str">
        <f>QUANT!D882</f>
        <v>SINAPI</v>
      </c>
      <c r="E452" s="80" t="str">
        <f>IFERROR(VLOOKUP($C452,'SINAPI JULHO 2021'!$1:$1048576,2,0),IFERROR(VLOOKUP($C452,'5-COMP. PROPRIA'!$B$1:$I$7981,4,0),""))</f>
        <v>CABO DE COBRE FLEXÍVEL ISOLADO, 185 MM², ANTI-CHAMA 0,6/1,0 KV, PARA DISTRIBUIÇÃO - FORNECIMENTO E INSTALAÇÃO. AF_12/2015</v>
      </c>
      <c r="F452" s="81" t="str">
        <f>IFERROR(VLOOKUP($C452,'SINAPI JULHO 2021'!$A:$D,3,0),IFERROR(VLOOKUP($C452,'5-COMP. PROPRIA'!$B$1:$I$7981,5,0),""))</f>
        <v>M</v>
      </c>
      <c r="G452" s="129">
        <f>QUANT!K882</f>
        <v>27</v>
      </c>
      <c r="H452" s="218">
        <f>IFERROR(VLOOKUP($C452,'SINAPI JULHO 2021'!$A:$D,4,0),IFERROR(VLOOKUP($C452,'5-COMP. PROPRIA'!$B$1:$I$1240,8,0),""))</f>
        <v>199.85</v>
      </c>
      <c r="I452" s="200">
        <f>H452*'4-BDI'!$E$29</f>
        <v>256.28764000000001</v>
      </c>
      <c r="J452" s="201">
        <f t="shared" si="126"/>
        <v>5395.95</v>
      </c>
      <c r="K452" s="123">
        <f t="shared" si="127"/>
        <v>6919.76</v>
      </c>
    </row>
    <row r="453" spans="2:11" s="76" customFormat="1" ht="30">
      <c r="B453" s="473" t="s">
        <v>13295</v>
      </c>
      <c r="C453" s="109">
        <f>QUANT!C883</f>
        <v>92992</v>
      </c>
      <c r="D453" s="109" t="str">
        <f>QUANT!D883</f>
        <v>SINAPI</v>
      </c>
      <c r="E453" s="80" t="str">
        <f>IFERROR(VLOOKUP($C453,'SINAPI JULHO 2021'!$1:$1048576,2,0),IFERROR(VLOOKUP($C453,'5-COMP. PROPRIA'!$B$1:$I$7981,4,0),""))</f>
        <v>CABO DE COBRE FLEXÍVEL ISOLADO, 95 MM², ANTI-CHAMA 0,6/1,0 KV, PARA DISTRIBUIÇÃO - FORNECIMENTO E INSTALAÇÃO. AF_12/2015</v>
      </c>
      <c r="F453" s="81" t="str">
        <f>IFERROR(VLOOKUP($C453,'SINAPI JULHO 2021'!$A:$D,3,0),IFERROR(VLOOKUP($C453,'5-COMP. PROPRIA'!$B$1:$I$7981,5,0),""))</f>
        <v>M</v>
      </c>
      <c r="G453" s="129">
        <f>QUANT!K883</f>
        <v>9</v>
      </c>
      <c r="H453" s="218">
        <f>IFERROR(VLOOKUP($C453,'SINAPI JULHO 2021'!$A:$D,4,0),IFERROR(VLOOKUP($C453,'5-COMP. PROPRIA'!$B$1:$I$1240,8,0),""))</f>
        <v>101.77</v>
      </c>
      <c r="I453" s="200">
        <f>H453*'4-BDI'!$E$29</f>
        <v>130.50984800000001</v>
      </c>
      <c r="J453" s="201">
        <f t="shared" si="126"/>
        <v>915.93</v>
      </c>
      <c r="K453" s="123">
        <f t="shared" si="127"/>
        <v>1174.58</v>
      </c>
    </row>
    <row r="454" spans="2:11" s="76" customFormat="1" ht="30">
      <c r="B454" s="473" t="s">
        <v>13296</v>
      </c>
      <c r="C454" s="109" t="str">
        <f>QUANT!C884</f>
        <v>CP-PTR-29</v>
      </c>
      <c r="D454" s="109" t="str">
        <f>QUANT!D884</f>
        <v>PRÓPRIA</v>
      </c>
      <c r="E454" s="80" t="str">
        <f>IFERROR(VLOOKUP($C454,'SINAPI JULHO 2021'!$1:$1048576,2,0),IFERROR(VLOOKUP($C454,'5-COMP. PROPRIA'!$B$1:$I$7981,4,0),""))</f>
        <v>ELETRODUTO AÇO CARBONO COM COSTURA GALVANIZADO A FOGO Ø100MM - FORNECIMENTO E INSTALAÇÃO</v>
      </c>
      <c r="F454" s="81" t="str">
        <f>IFERROR(VLOOKUP($C454,'SINAPI JULHO 2021'!$A:$D,3,0),IFERROR(VLOOKUP($C454,'5-COMP. PROPRIA'!$B$1:$I$7981,5,0),""))</f>
        <v>M</v>
      </c>
      <c r="G454" s="129">
        <f>QUANT!K884</f>
        <v>6</v>
      </c>
      <c r="H454" s="218">
        <f>IFERROR(VLOOKUP($C454,'SINAPI JULHO 2021'!$A:$D,4,0),IFERROR(VLOOKUP($C454,'5-COMP. PROPRIA'!$B$1:$I$1240,8,0),""))</f>
        <v>138.22999999999999</v>
      </c>
      <c r="I454" s="200">
        <f>H454*'4-BDI'!$E$29</f>
        <v>177.26615199999998</v>
      </c>
      <c r="J454" s="201">
        <f t="shared" si="126"/>
        <v>829.38</v>
      </c>
      <c r="K454" s="123">
        <f t="shared" si="127"/>
        <v>1063.5899999999999</v>
      </c>
    </row>
    <row r="455" spans="2:11" s="76" customFormat="1" ht="30">
      <c r="B455" s="473" t="s">
        <v>13297</v>
      </c>
      <c r="C455" s="109" t="str">
        <f>QUANT!C885</f>
        <v>CP-PTR-30</v>
      </c>
      <c r="D455" s="109" t="str">
        <f>QUANT!D885</f>
        <v>PRÓPRIA</v>
      </c>
      <c r="E455" s="80" t="str">
        <f>IFERROR(VLOOKUP($C455,'SINAPI JULHO 2021'!$1:$1048576,2,0),IFERROR(VLOOKUP($C455,'5-COMP. PROPRIA'!$B$1:$I$7981,4,0),""))</f>
        <v>TERMINAL METALICO A PRESSAO PARA 1 CABO DE 185 MM2, COM 1 FURO DE FIXACAO - FORNECIMENTO E INSTALAÇÃO</v>
      </c>
      <c r="F455" s="81" t="str">
        <f>IFERROR(VLOOKUP($C455,'SINAPI JULHO 2021'!$A:$D,3,0),IFERROR(VLOOKUP($C455,'5-COMP. PROPRIA'!$B$1:$I$7981,5,0),""))</f>
        <v>UNI</v>
      </c>
      <c r="G455" s="129">
        <f>QUANT!K885</f>
        <v>6</v>
      </c>
      <c r="H455" s="218">
        <f>IFERROR(VLOOKUP($C455,'SINAPI JULHO 2021'!$A:$D,4,0),IFERROR(VLOOKUP($C455,'5-COMP. PROPRIA'!$B$1:$I$1240,8,0),""))</f>
        <v>22.53</v>
      </c>
      <c r="I455" s="200">
        <f>H455*'4-BDI'!$E$29</f>
        <v>28.892472000000001</v>
      </c>
      <c r="J455" s="201">
        <f t="shared" si="126"/>
        <v>135.18</v>
      </c>
      <c r="K455" s="123">
        <f t="shared" si="127"/>
        <v>173.35</v>
      </c>
    </row>
    <row r="456" spans="2:11" s="76" customFormat="1" ht="30">
      <c r="B456" s="473" t="s">
        <v>13298</v>
      </c>
      <c r="C456" s="109" t="str">
        <f>QUANT!C886</f>
        <v>CP-PTR-31</v>
      </c>
      <c r="D456" s="109" t="str">
        <f>QUANT!D886</f>
        <v>PRÓPRIA</v>
      </c>
      <c r="E456" s="80" t="str">
        <f>IFERROR(VLOOKUP($C456,'SINAPI JULHO 2021'!$1:$1048576,2,0),IFERROR(VLOOKUP($C456,'5-COMP. PROPRIA'!$B$1:$I$7981,4,0),""))</f>
        <v>TERMINAL METALICO A PRESSAO PARA 1 CABO DE 95 MM2, COM 1 FURO DE FIXACAO - FORNECIMENTO E INSTALAÇÃO</v>
      </c>
      <c r="F456" s="81" t="str">
        <f>IFERROR(VLOOKUP($C456,'SINAPI JULHO 2021'!$A:$D,3,0),IFERROR(VLOOKUP($C456,'5-COMP. PROPRIA'!$B$1:$I$7981,5,0),""))</f>
        <v>UNI</v>
      </c>
      <c r="G456" s="129">
        <f>QUANT!K886</f>
        <v>2</v>
      </c>
      <c r="H456" s="218">
        <f>IFERROR(VLOOKUP($C456,'SINAPI JULHO 2021'!$A:$D,4,0),IFERROR(VLOOKUP($C456,'5-COMP. PROPRIA'!$B$1:$I$1240,8,0),""))</f>
        <v>13.75</v>
      </c>
      <c r="I456" s="200">
        <f>H456*'4-BDI'!$E$29</f>
        <v>17.632999999999999</v>
      </c>
      <c r="J456" s="201">
        <f t="shared" si="126"/>
        <v>27.5</v>
      </c>
      <c r="K456" s="123">
        <f t="shared" si="127"/>
        <v>35.26</v>
      </c>
    </row>
    <row r="457" spans="2:11" s="76" customFormat="1" ht="15">
      <c r="B457" s="473" t="s">
        <v>13299</v>
      </c>
      <c r="C457" s="109" t="str">
        <f>QUANT!C887</f>
        <v>CP-PTR-02</v>
      </c>
      <c r="D457" s="109" t="str">
        <f>QUANT!D887</f>
        <v>PRÓPRIA</v>
      </c>
      <c r="E457" s="80" t="str">
        <f>IFERROR(VLOOKUP($C457,'SINAPI JULHO 2021'!$1:$1048576,2,0),IFERROR(VLOOKUP($C457,'5-COMP. PROPRIA'!$B$1:$I$7981,4,0),""))</f>
        <v>PARA RAIO BAIXA TENSÃO PRBT, REDE ISOLADA</v>
      </c>
      <c r="F457" s="81" t="str">
        <f>IFERROR(VLOOKUP($C457,'SINAPI JULHO 2021'!$A:$D,3,0),IFERROR(VLOOKUP($C457,'5-COMP. PROPRIA'!$B$1:$I$7981,5,0),""))</f>
        <v>UNI</v>
      </c>
      <c r="G457" s="129">
        <f>QUANT!K887</f>
        <v>3</v>
      </c>
      <c r="H457" s="218">
        <f>IFERROR(VLOOKUP($C457,'SINAPI JULHO 2021'!$A:$D,4,0),IFERROR(VLOOKUP($C457,'5-COMP. PROPRIA'!$B$1:$I$1240,8,0),""))</f>
        <v>151.54</v>
      </c>
      <c r="I457" s="200">
        <f>H457*'4-BDI'!$E$29</f>
        <v>194.33489599999999</v>
      </c>
      <c r="J457" s="201">
        <f t="shared" ref="J457:J459" si="128">TRUNC(G457*H457,2)</f>
        <v>454.62</v>
      </c>
      <c r="K457" s="123">
        <f t="shared" ref="K457:K459" si="129">TRUNC(G457*I457,2)</f>
        <v>583</v>
      </c>
    </row>
    <row r="458" spans="2:11" s="76" customFormat="1" ht="15">
      <c r="B458" s="222" t="s">
        <v>6291</v>
      </c>
      <c r="C458" s="223"/>
      <c r="D458" s="224"/>
      <c r="E458" s="225" t="str">
        <f>QUANT!E888</f>
        <v>REDE DE DISTRIBUIÇÃO DE MÉDIA TENSÃO - 13,8 Kv</v>
      </c>
      <c r="F458" s="120"/>
      <c r="G458" s="129"/>
      <c r="H458" s="218"/>
      <c r="I458" s="200"/>
      <c r="J458" s="201"/>
      <c r="K458" s="123"/>
    </row>
    <row r="459" spans="2:11" s="76" customFormat="1" ht="15">
      <c r="B459" s="473" t="s">
        <v>13300</v>
      </c>
      <c r="C459" s="109" t="str">
        <f>QUANT!C889</f>
        <v>CP-PTR-32</v>
      </c>
      <c r="D459" s="109" t="str">
        <f>QUANT!D889</f>
        <v>PRÓPRIA</v>
      </c>
      <c r="E459" s="80" t="str">
        <f>IFERROR(VLOOKUP($C459,'SINAPI JULHO 2021'!$1:$1048576,2,0),IFERROR(VLOOKUP($C459,'5-COMP. PROPRIA'!$B$1:$I$7981,4,0),""))</f>
        <v>CABO DE ALUMINIO PROTEGIDO 50MM² - 15KV - XLPE - FORNECIMENTO E INSTALAÇÃO</v>
      </c>
      <c r="F459" s="81" t="str">
        <f>IFERROR(VLOOKUP($C459,'SINAPI JULHO 2021'!$A:$D,3,0),IFERROR(VLOOKUP($C459,'5-COMP. PROPRIA'!$B$1:$I$7981,5,0),""))</f>
        <v>M</v>
      </c>
      <c r="G459" s="129">
        <f>QUANT!K889</f>
        <v>45</v>
      </c>
      <c r="H459" s="218">
        <f>IFERROR(VLOOKUP($C459,'SINAPI JULHO 2021'!$A:$D,4,0),IFERROR(VLOOKUP($C459,'5-COMP. PROPRIA'!$B$1:$I$1240,8,0),""))</f>
        <v>12.35</v>
      </c>
      <c r="I459" s="200">
        <f>H459*'4-BDI'!$E$29</f>
        <v>15.837639999999999</v>
      </c>
      <c r="J459" s="201">
        <f t="shared" si="128"/>
        <v>555.75</v>
      </c>
      <c r="K459" s="123">
        <f t="shared" si="129"/>
        <v>712.69</v>
      </c>
    </row>
    <row r="460" spans="2:11" s="76" customFormat="1" ht="15">
      <c r="B460" s="473" t="s">
        <v>13301</v>
      </c>
      <c r="C460" s="109" t="str">
        <f>QUANT!C890</f>
        <v>CP-PTR-33</v>
      </c>
      <c r="D460" s="109" t="str">
        <f>QUANT!D890</f>
        <v>PRÓPRIA</v>
      </c>
      <c r="E460" s="80" t="str">
        <f>IFERROR(VLOOKUP($C460,'SINAPI JULHO 2021'!$1:$1048576,2,0),IFERROR(VLOOKUP($C460,'5-COMP. PROPRIA'!$B$1:$I$7981,4,0),""))</f>
        <v>CABO DE ACO GALVANIZADO 9,5MM - FORNECIMENTO E INSTALAÇÃO</v>
      </c>
      <c r="F460" s="81" t="str">
        <f>IFERROR(VLOOKUP($C460,'SINAPI JULHO 2021'!$A:$D,3,0),IFERROR(VLOOKUP($C460,'5-COMP. PROPRIA'!$B$1:$I$7981,5,0),""))</f>
        <v>M</v>
      </c>
      <c r="G460" s="129">
        <f>QUANT!K890</f>
        <v>15</v>
      </c>
      <c r="H460" s="218">
        <f>IFERROR(VLOOKUP($C460,'SINAPI JULHO 2021'!$A:$D,4,0),IFERROR(VLOOKUP($C460,'5-COMP. PROPRIA'!$B$1:$I$1240,8,0),""))</f>
        <v>24.93</v>
      </c>
      <c r="I460" s="200">
        <f>H460*'4-BDI'!$E$29</f>
        <v>31.970231999999999</v>
      </c>
      <c r="J460" s="201">
        <f t="shared" ref="J460:J476" si="130">TRUNC(G460*H460,2)</f>
        <v>373.95</v>
      </c>
      <c r="K460" s="123">
        <f t="shared" ref="K460:K476" si="131">TRUNC(G460*I460,2)</f>
        <v>479.55</v>
      </c>
    </row>
    <row r="461" spans="2:11" s="76" customFormat="1" ht="30">
      <c r="B461" s="473" t="s">
        <v>13302</v>
      </c>
      <c r="C461" s="109" t="str">
        <f>QUANT!C891</f>
        <v>CP-PTR-34</v>
      </c>
      <c r="D461" s="109" t="str">
        <f>QUANT!D891</f>
        <v>PRÓPRIA</v>
      </c>
      <c r="E461" s="80" t="str">
        <f>IFERROR(VLOOKUP($C461,'SINAPI JULHO 2021'!$1:$1048576,2,0),IFERROR(VLOOKUP($C461,'5-COMP. PROPRIA'!$B$1:$I$7981,4,0),""))</f>
        <v>ESPAÇADOR LOSANGULAR POLIMÉRICO PARA CABO DE ALUMÍNIO - 15KV - FORNECIMENTO E INSTALAÇÃO</v>
      </c>
      <c r="F461" s="81" t="str">
        <f>IFERROR(VLOOKUP($C461,'SINAPI JULHO 2021'!$A:$D,3,0),IFERROR(VLOOKUP($C461,'5-COMP. PROPRIA'!$B$1:$I$7981,5,0),""))</f>
        <v>UNI</v>
      </c>
      <c r="G461" s="129">
        <f>QUANT!K891</f>
        <v>1</v>
      </c>
      <c r="H461" s="218">
        <f>IFERROR(VLOOKUP($C461,'SINAPI JULHO 2021'!$A:$D,4,0),IFERROR(VLOOKUP($C461,'5-COMP. PROPRIA'!$B$1:$I$1240,8,0),""))</f>
        <v>37.229999999999997</v>
      </c>
      <c r="I461" s="200">
        <f>H461*'4-BDI'!$E$29</f>
        <v>47.743751999999994</v>
      </c>
      <c r="J461" s="201">
        <f t="shared" si="130"/>
        <v>37.229999999999997</v>
      </c>
      <c r="K461" s="123">
        <f t="shared" si="131"/>
        <v>47.74</v>
      </c>
    </row>
    <row r="462" spans="2:11" s="76" customFormat="1" ht="15">
      <c r="B462" s="473" t="s">
        <v>13303</v>
      </c>
      <c r="C462" s="109" t="str">
        <f>QUANT!C892</f>
        <v>CP-PTR-35</v>
      </c>
      <c r="D462" s="109" t="str">
        <f>QUANT!D892</f>
        <v>PRÓPRIA</v>
      </c>
      <c r="E462" s="80" t="str">
        <f>IFERROR(VLOOKUP($C462,'SINAPI JULHO 2021'!$1:$1048576,2,0),IFERROR(VLOOKUP($C462,'5-COMP. PROPRIA'!$B$1:$I$7981,4,0),""))</f>
        <v>SERVIÇO DE CAMINHÃO DE LINHA VIVA PARA DE CONEXÃO EM REDE DE MÉDIA TENSÃO - 13,8KV</v>
      </c>
      <c r="F462" s="81" t="str">
        <f>IFERROR(VLOOKUP($C462,'SINAPI JULHO 2021'!$A:$D,3,0),IFERROR(VLOOKUP($C462,'5-COMP. PROPRIA'!$B$1:$I$7981,5,0),""))</f>
        <v>UNI</v>
      </c>
      <c r="G462" s="129">
        <f>QUANT!K892</f>
        <v>1</v>
      </c>
      <c r="H462" s="218">
        <f>IFERROR(VLOOKUP($C462,'SINAPI JULHO 2021'!$A:$D,4,0),IFERROR(VLOOKUP($C462,'5-COMP. PROPRIA'!$B$1:$I$1240,8,0),""))</f>
        <v>2661.5</v>
      </c>
      <c r="I462" s="200">
        <f>H462*'4-BDI'!$E$29</f>
        <v>3413.1075999999998</v>
      </c>
      <c r="J462" s="201">
        <f t="shared" si="130"/>
        <v>2661.5</v>
      </c>
      <c r="K462" s="123">
        <f t="shared" si="131"/>
        <v>3413.1</v>
      </c>
    </row>
    <row r="463" spans="2:11" s="76" customFormat="1" ht="15">
      <c r="B463" s="222" t="s">
        <v>6292</v>
      </c>
      <c r="C463" s="223"/>
      <c r="D463" s="224"/>
      <c r="E463" s="225" t="str">
        <f>QUANT!E893</f>
        <v>ATERRAMENTO</v>
      </c>
      <c r="F463" s="120"/>
      <c r="G463" s="129"/>
      <c r="H463" s="218"/>
      <c r="I463" s="200"/>
      <c r="J463" s="201"/>
      <c r="K463" s="123"/>
    </row>
    <row r="464" spans="2:11" s="76" customFormat="1" ht="15">
      <c r="B464" s="473" t="s">
        <v>13304</v>
      </c>
      <c r="C464" s="109" t="str">
        <f>QUANT!C894</f>
        <v>CP-PTR-36</v>
      </c>
      <c r="D464" s="109" t="str">
        <f>QUANT!D894</f>
        <v>PRÓPRIA</v>
      </c>
      <c r="E464" s="80" t="str">
        <f>IFERROR(VLOOKUP($C464,'SINAPI JULHO 2021'!$1:$1048576,2,0),IFERROR(VLOOKUP($C464,'5-COMP. PROPRIA'!$B$1:$I$7981,4,0),""))</f>
        <v>ARAME DE AÇO GALVANIZADO 14 BWG - FORNECIMENTO E INSTALAÇÃO</v>
      </c>
      <c r="F464" s="81" t="str">
        <f>IFERROR(VLOOKUP($C464,'SINAPI JULHO 2021'!$A:$D,3,0),IFERROR(VLOOKUP($C464,'5-COMP. PROPRIA'!$B$1:$I$7981,5,0),""))</f>
        <v>M</v>
      </c>
      <c r="G464" s="129">
        <f>QUANT!K894</f>
        <v>10</v>
      </c>
      <c r="H464" s="218">
        <f>IFERROR(VLOOKUP($C464,'SINAPI JULHO 2021'!$A:$D,4,0),IFERROR(VLOOKUP($C464,'5-COMP. PROPRIA'!$B$1:$I$1240,8,0),""))</f>
        <v>5.52</v>
      </c>
      <c r="I464" s="200">
        <f>H464*'4-BDI'!$E$29</f>
        <v>7.0788479999999998</v>
      </c>
      <c r="J464" s="201">
        <f t="shared" si="130"/>
        <v>55.2</v>
      </c>
      <c r="K464" s="123">
        <f t="shared" si="131"/>
        <v>70.78</v>
      </c>
    </row>
    <row r="465" spans="2:11" s="76" customFormat="1" ht="30">
      <c r="B465" s="473" t="s">
        <v>13305</v>
      </c>
      <c r="C465" s="109">
        <f>QUANT!C895</f>
        <v>91933</v>
      </c>
      <c r="D465" s="109" t="str">
        <f>QUANT!D895</f>
        <v>SINAPI</v>
      </c>
      <c r="E465" s="80" t="str">
        <f>IFERROR(VLOOKUP($C465,'SINAPI JULHO 2021'!$1:$1048576,2,0),IFERROR(VLOOKUP($C465,'5-COMP. PROPRIA'!$B$1:$I$7981,4,0),""))</f>
        <v>CABO DE COBRE FLEXÍVEL ISOLADO, 10 MM², ANTI-CHAMA 0,6/1,0 KV, PARA CIRCUITOS TERMINAIS - FORNECIMENTO E INSTALAÇÃO. AF_12/2015</v>
      </c>
      <c r="F465" s="81" t="str">
        <f>IFERROR(VLOOKUP($C465,'SINAPI JULHO 2021'!$A:$D,3,0),IFERROR(VLOOKUP($C465,'5-COMP. PROPRIA'!$B$1:$I$7981,5,0),""))</f>
        <v>M</v>
      </c>
      <c r="G465" s="129">
        <f>QUANT!K895</f>
        <v>3</v>
      </c>
      <c r="H465" s="218">
        <f>IFERROR(VLOOKUP($C465,'SINAPI JULHO 2021'!$A:$D,4,0),IFERROR(VLOOKUP($C465,'5-COMP. PROPRIA'!$B$1:$I$1240,8,0),""))</f>
        <v>16.05</v>
      </c>
      <c r="I465" s="200">
        <f>H465*'4-BDI'!$E$29</f>
        <v>20.582520000000002</v>
      </c>
      <c r="J465" s="201">
        <f t="shared" si="130"/>
        <v>48.15</v>
      </c>
      <c r="K465" s="123">
        <f t="shared" si="131"/>
        <v>61.74</v>
      </c>
    </row>
    <row r="466" spans="2:11" s="76" customFormat="1" ht="30">
      <c r="B466" s="473" t="s">
        <v>13306</v>
      </c>
      <c r="C466" s="109">
        <f>QUANT!C896</f>
        <v>97886</v>
      </c>
      <c r="D466" s="109" t="str">
        <f>QUANT!D896</f>
        <v>SINAPI</v>
      </c>
      <c r="E466" s="80" t="str">
        <f>IFERROR(VLOOKUP($C466,'SINAPI JULHO 2021'!$1:$1048576,2,0),IFERROR(VLOOKUP($C466,'5-COMP. PROPRIA'!$B$1:$I$7981,4,0),""))</f>
        <v>CAIXA ENTERRADA ELÉTRICA RETANGULAR, EM ALVENARIA COM TIJOLOS CERÂMICOS MACIÇOS, FUNDO COM BRITA, DIMENSÕES INTERNAS: 0,3X0,3X0,3 M. AF_12/2020</v>
      </c>
      <c r="F466" s="81" t="str">
        <f>IFERROR(VLOOKUP($C466,'SINAPI JULHO 2021'!$A:$D,3,0),IFERROR(VLOOKUP($C466,'5-COMP. PROPRIA'!$B$1:$I$7981,5,0),""))</f>
        <v>UN</v>
      </c>
      <c r="G466" s="129">
        <f>QUANT!K896</f>
        <v>6</v>
      </c>
      <c r="H466" s="218">
        <f>IFERROR(VLOOKUP($C466,'SINAPI JULHO 2021'!$A:$D,4,0),IFERROR(VLOOKUP($C466,'5-COMP. PROPRIA'!$B$1:$I$1240,8,0),""))</f>
        <v>146.86000000000001</v>
      </c>
      <c r="I466" s="200">
        <f>H466*'4-BDI'!$E$29</f>
        <v>188.33326400000001</v>
      </c>
      <c r="J466" s="201">
        <f t="shared" si="130"/>
        <v>881.16</v>
      </c>
      <c r="K466" s="123">
        <f t="shared" si="131"/>
        <v>1129.99</v>
      </c>
    </row>
    <row r="467" spans="2:11" s="76" customFormat="1" ht="15">
      <c r="B467" s="473" t="s">
        <v>13307</v>
      </c>
      <c r="C467" s="109" t="str">
        <f>QUANT!C897</f>
        <v>CP-PTR-37</v>
      </c>
      <c r="D467" s="109" t="str">
        <f>QUANT!D897</f>
        <v>PRÓPRIA</v>
      </c>
      <c r="E467" s="80" t="str">
        <f>IFERROR(VLOOKUP($C467,'SINAPI JULHO 2021'!$1:$1048576,2,0),IFERROR(VLOOKUP($C467,'5-COMP. PROPRIA'!$B$1:$I$7981,4,0),""))</f>
        <v>CONECTOR DE DERIVAÇÃO CUNHA - FORNECIMENTO E INSTALAÇÃO</v>
      </c>
      <c r="F467" s="81" t="str">
        <f>IFERROR(VLOOKUP($C467,'SINAPI JULHO 2021'!$A:$D,3,0),IFERROR(VLOOKUP($C467,'5-COMP. PROPRIA'!$B$1:$I$7981,5,0),""))</f>
        <v>UNI</v>
      </c>
      <c r="G467" s="129">
        <f>QUANT!K897</f>
        <v>2</v>
      </c>
      <c r="H467" s="218">
        <f>IFERROR(VLOOKUP($C467,'SINAPI JULHO 2021'!$A:$D,4,0),IFERROR(VLOOKUP($C467,'5-COMP. PROPRIA'!$B$1:$I$1240,8,0),""))</f>
        <v>8.7100000000000009</v>
      </c>
      <c r="I467" s="200">
        <f>H467*'4-BDI'!$E$29</f>
        <v>11.169704000000001</v>
      </c>
      <c r="J467" s="201">
        <f t="shared" si="130"/>
        <v>17.420000000000002</v>
      </c>
      <c r="K467" s="123">
        <f t="shared" si="131"/>
        <v>22.33</v>
      </c>
    </row>
    <row r="468" spans="2:11" s="76" customFormat="1" ht="30">
      <c r="B468" s="473" t="s">
        <v>13308</v>
      </c>
      <c r="C468" s="109">
        <f>QUANT!C898</f>
        <v>96977</v>
      </c>
      <c r="D468" s="109" t="str">
        <f>QUANT!D898</f>
        <v>SINAPI</v>
      </c>
      <c r="E468" s="80" t="str">
        <f>IFERROR(VLOOKUP($C468,'SINAPI JULHO 2021'!$1:$1048576,2,0),IFERROR(VLOOKUP($C468,'5-COMP. PROPRIA'!$B$1:$I$7981,4,0),""))</f>
        <v>CORDOALHA DE COBRE NU 50 MM², ENTERRADA, SEM ISOLADOR - FORNECIMENTO E INSTALAÇÃO. AF_12/2017</v>
      </c>
      <c r="F468" s="81" t="str">
        <f>IFERROR(VLOOKUP($C468,'SINAPI JULHO 2021'!$A:$D,3,0),IFERROR(VLOOKUP($C468,'5-COMP. PROPRIA'!$B$1:$I$7981,5,0),""))</f>
        <v>M</v>
      </c>
      <c r="G468" s="129">
        <f>QUANT!K898</f>
        <v>29.5</v>
      </c>
      <c r="H468" s="218">
        <f>IFERROR(VLOOKUP($C468,'SINAPI JULHO 2021'!$A:$D,4,0),IFERROR(VLOOKUP($C468,'5-COMP. PROPRIA'!$B$1:$I$1240,8,0),""))</f>
        <v>43.24</v>
      </c>
      <c r="I468" s="200">
        <f>H468*'4-BDI'!$E$29</f>
        <v>55.450976000000004</v>
      </c>
      <c r="J468" s="201">
        <f t="shared" si="130"/>
        <v>1275.58</v>
      </c>
      <c r="K468" s="123">
        <f t="shared" si="131"/>
        <v>1635.8</v>
      </c>
    </row>
    <row r="469" spans="2:11" s="76" customFormat="1" ht="30">
      <c r="B469" s="473" t="s">
        <v>13309</v>
      </c>
      <c r="C469" s="109" t="str">
        <f>QUANT!C899</f>
        <v>CP-PTR-38</v>
      </c>
      <c r="D469" s="109" t="str">
        <f>QUANT!D899</f>
        <v>PRÓPRIA</v>
      </c>
      <c r="E469" s="80" t="str">
        <f>IFERROR(VLOOKUP($C469,'SINAPI JULHO 2021'!$1:$1048576,2,0),IFERROR(VLOOKUP($C469,'5-COMP. PROPRIA'!$B$1:$I$7981,4,0),""))</f>
        <v>HASTE DE ATERRAMENTO EM ACO COM 3,00 M DE COMPRIMENTO E DN = 5/8", REVESTIDA COM BAIXA CAMADA DE COBRE, COM CONECTOR TIPO GRAMPO</v>
      </c>
      <c r="F469" s="81" t="str">
        <f>IFERROR(VLOOKUP($C469,'SINAPI JULHO 2021'!$A:$D,3,0),IFERROR(VLOOKUP($C469,'5-COMP. PROPRIA'!$B$1:$I$7981,5,0),""))</f>
        <v>UNI</v>
      </c>
      <c r="G469" s="129">
        <f>QUANT!K899</f>
        <v>10</v>
      </c>
      <c r="H469" s="218">
        <f>IFERROR(VLOOKUP($C469,'SINAPI JULHO 2021'!$A:$D,4,0),IFERROR(VLOOKUP($C469,'5-COMP. PROPRIA'!$B$1:$I$1240,8,0),""))</f>
        <v>52.92</v>
      </c>
      <c r="I469" s="200">
        <f>H469*'4-BDI'!$E$29</f>
        <v>67.864608000000004</v>
      </c>
      <c r="J469" s="201">
        <f t="shared" si="130"/>
        <v>529.20000000000005</v>
      </c>
      <c r="K469" s="123">
        <f t="shared" si="131"/>
        <v>678.64</v>
      </c>
    </row>
    <row r="470" spans="2:11" s="76" customFormat="1" ht="15">
      <c r="B470" s="222" t="s">
        <v>6293</v>
      </c>
      <c r="C470" s="223"/>
      <c r="D470" s="224"/>
      <c r="E470" s="225" t="str">
        <f>QUANT!E900</f>
        <v>N1 - CE3U - Cfu</v>
      </c>
      <c r="F470" s="120"/>
      <c r="G470" s="129"/>
      <c r="H470" s="218"/>
      <c r="I470" s="200"/>
      <c r="J470" s="201"/>
      <c r="K470" s="123"/>
    </row>
    <row r="471" spans="2:11" s="76" customFormat="1" ht="15">
      <c r="B471" s="473" t="s">
        <v>13310</v>
      </c>
      <c r="C471" s="109" t="str">
        <f>QUANT!C901</f>
        <v>CP-PTR-14</v>
      </c>
      <c r="D471" s="109" t="str">
        <f>QUANT!D901</f>
        <v>PRÓPRIA</v>
      </c>
      <c r="E471" s="80" t="str">
        <f>IFERROR(VLOOKUP($C471,'SINAPI JULHO 2021'!$1:$1048576,2,0),IFERROR(VLOOKUP($C471,'5-COMP. PROPRIA'!$B$1:$I$7981,4,0),""))</f>
        <v>POSTE DE CONCRETO DT 11/300 DAN COM BASE CONCRETADA - FORNECIMENTO E INSTALAÇÃO</v>
      </c>
      <c r="F471" s="81" t="str">
        <f>IFERROR(VLOOKUP($C471,'SINAPI JULHO 2021'!$A:$D,3,0),IFERROR(VLOOKUP($C471,'5-COMP. PROPRIA'!$B$1:$I$7981,5,0),""))</f>
        <v>UNI</v>
      </c>
      <c r="G471" s="129">
        <f>QUANT!K901</f>
        <v>1</v>
      </c>
      <c r="H471" s="218">
        <f>IFERROR(VLOOKUP($C471,'SINAPI JULHO 2021'!$A:$D,4,0),IFERROR(VLOOKUP($C471,'5-COMP. PROPRIA'!$B$1:$I$1240,8,0),""))</f>
        <v>2581.0500000000002</v>
      </c>
      <c r="I471" s="200">
        <f>H471*'4-BDI'!$E$29</f>
        <v>3309.9385200000002</v>
      </c>
      <c r="J471" s="201">
        <f t="shared" si="130"/>
        <v>2581.0500000000002</v>
      </c>
      <c r="K471" s="123">
        <f t="shared" si="131"/>
        <v>3309.93</v>
      </c>
    </row>
    <row r="472" spans="2:11" s="76" customFormat="1" ht="15">
      <c r="B472" s="473" t="s">
        <v>13311</v>
      </c>
      <c r="C472" s="109" t="str">
        <f>QUANT!C902</f>
        <v>CP-PTR-11</v>
      </c>
      <c r="D472" s="109" t="str">
        <f>QUANT!D902</f>
        <v>PRÓPRIA</v>
      </c>
      <c r="E472" s="80" t="str">
        <f>IFERROR(VLOOKUP($C472,'SINAPI JULHO 2021'!$1:$1048576,2,0),IFERROR(VLOOKUP($C472,'5-COMP. PROPRIA'!$B$1:$I$7981,4,0),""))</f>
        <v>CRUZETA DE CONCRETO 250 DAN RETANGULAR - FORNECIMENTO E INSTALAÇÃO</v>
      </c>
      <c r="F472" s="81" t="str">
        <f>IFERROR(VLOOKUP($C472,'SINAPI JULHO 2021'!$A:$D,3,0),IFERROR(VLOOKUP($C472,'5-COMP. PROPRIA'!$B$1:$I$7981,5,0),""))</f>
        <v>UNI</v>
      </c>
      <c r="G472" s="129">
        <f>QUANT!K902</f>
        <v>2</v>
      </c>
      <c r="H472" s="218">
        <f>IFERROR(VLOOKUP($C472,'SINAPI JULHO 2021'!$A:$D,4,0),IFERROR(VLOOKUP($C472,'5-COMP. PROPRIA'!$B$1:$I$1240,8,0),""))</f>
        <v>109.36</v>
      </c>
      <c r="I472" s="200">
        <f>H472*'4-BDI'!$E$29</f>
        <v>140.24326400000001</v>
      </c>
      <c r="J472" s="201">
        <f t="shared" si="130"/>
        <v>218.72</v>
      </c>
      <c r="K472" s="123">
        <f t="shared" si="131"/>
        <v>280.48</v>
      </c>
    </row>
    <row r="473" spans="2:11" s="76" customFormat="1" ht="15">
      <c r="B473" s="473" t="s">
        <v>13312</v>
      </c>
      <c r="C473" s="109" t="str">
        <f>QUANT!C903</f>
        <v>CP-PTR-13</v>
      </c>
      <c r="D473" s="109" t="str">
        <f>QUANT!D903</f>
        <v>PRÓPRIA</v>
      </c>
      <c r="E473" s="80" t="str">
        <f>IFERROR(VLOOKUP($C473,'SINAPI JULHO 2021'!$1:$1048576,2,0),IFERROR(VLOOKUP($C473,'5-COMP. PROPRIA'!$B$1:$I$7981,4,0),""))</f>
        <v>MÃO FRANCESA 619MM - FORNECIMENTO E INSTALAÇÃO</v>
      </c>
      <c r="F473" s="81" t="str">
        <f>IFERROR(VLOOKUP($C473,'SINAPI JULHO 2021'!$A:$D,3,0),IFERROR(VLOOKUP($C473,'5-COMP. PROPRIA'!$B$1:$I$7981,5,0),""))</f>
        <v>UNI</v>
      </c>
      <c r="G473" s="129">
        <f>QUANT!K903</f>
        <v>4</v>
      </c>
      <c r="H473" s="218">
        <f>IFERROR(VLOOKUP($C473,'SINAPI JULHO 2021'!$A:$D,4,0),IFERROR(VLOOKUP($C473,'5-COMP. PROPRIA'!$B$1:$I$1240,8,0),""))</f>
        <v>29.58</v>
      </c>
      <c r="I473" s="200">
        <f>H473*'4-BDI'!$E$29</f>
        <v>37.933391999999998</v>
      </c>
      <c r="J473" s="201">
        <f t="shared" si="130"/>
        <v>118.32</v>
      </c>
      <c r="K473" s="123">
        <f t="shared" si="131"/>
        <v>151.72999999999999</v>
      </c>
    </row>
    <row r="474" spans="2:11" s="76" customFormat="1" ht="30">
      <c r="B474" s="473" t="s">
        <v>13313</v>
      </c>
      <c r="C474" s="109" t="str">
        <f>QUANT!C904</f>
        <v>CP-PTR-22</v>
      </c>
      <c r="D474" s="109" t="str">
        <f>QUANT!D904</f>
        <v>PRÓPRIA</v>
      </c>
      <c r="E474" s="80" t="str">
        <f>IFERROR(VLOOKUP($C474,'SINAPI JULHO 2021'!$1:$1048576,2,0),IFERROR(VLOOKUP($C474,'5-COMP. PROPRIA'!$B$1:$I$7981,4,0),""))</f>
        <v xml:space="preserve">ISOLADOR DE PINO POLIMÉRICO COM ANEL DE AMARRAÇÃO - 15KV - FORNECIMENTO E INSTALAÇÃO </v>
      </c>
      <c r="F474" s="81" t="str">
        <f>IFERROR(VLOOKUP($C474,'SINAPI JULHO 2021'!$A:$D,3,0),IFERROR(VLOOKUP($C474,'5-COMP. PROPRIA'!$B$1:$I$7981,5,0),""))</f>
        <v>UNI</v>
      </c>
      <c r="G474" s="129">
        <f>QUANT!K904</f>
        <v>1</v>
      </c>
      <c r="H474" s="218">
        <f>IFERROR(VLOOKUP($C474,'SINAPI JULHO 2021'!$A:$D,4,0),IFERROR(VLOOKUP($C474,'5-COMP. PROPRIA'!$B$1:$I$1240,8,0),""))</f>
        <v>64.31</v>
      </c>
      <c r="I474" s="200">
        <f>H474*'4-BDI'!$E$29</f>
        <v>82.471143999999995</v>
      </c>
      <c r="J474" s="201">
        <f t="shared" si="130"/>
        <v>64.31</v>
      </c>
      <c r="K474" s="123">
        <f t="shared" si="131"/>
        <v>82.47</v>
      </c>
    </row>
    <row r="475" spans="2:11" s="76" customFormat="1" ht="15">
      <c r="B475" s="473" t="s">
        <v>13314</v>
      </c>
      <c r="C475" s="109" t="str">
        <f>QUANT!C905</f>
        <v>CP-PTR-23</v>
      </c>
      <c r="D475" s="109" t="str">
        <f>QUANT!D905</f>
        <v>PRÓPRIA</v>
      </c>
      <c r="E475" s="80" t="str">
        <f>IFERROR(VLOOKUP($C475,'SINAPI JULHO 2021'!$1:$1048576,2,0),IFERROR(VLOOKUP($C475,'5-COMP. PROPRIA'!$B$1:$I$7981,4,0),""))</f>
        <v>PINO CURTO PARA ISOLADOR DE PINO 15KV - FORNECIMENTO E INSTALAÇÃO</v>
      </c>
      <c r="F475" s="81" t="str">
        <f>IFERROR(VLOOKUP($C475,'SINAPI JULHO 2021'!$A:$D,3,0),IFERROR(VLOOKUP($C475,'5-COMP. PROPRIA'!$B$1:$I$7981,5,0),""))</f>
        <v>UNI</v>
      </c>
      <c r="G475" s="129">
        <f>QUANT!K905</f>
        <v>1</v>
      </c>
      <c r="H475" s="218">
        <f>IFERROR(VLOOKUP($C475,'SINAPI JULHO 2021'!$A:$D,4,0),IFERROR(VLOOKUP($C475,'5-COMP. PROPRIA'!$B$1:$I$1240,8,0),""))</f>
        <v>16.23</v>
      </c>
      <c r="I475" s="200">
        <f>H475*'4-BDI'!$E$29</f>
        <v>20.813352000000002</v>
      </c>
      <c r="J475" s="201">
        <f t="shared" si="130"/>
        <v>16.23</v>
      </c>
      <c r="K475" s="123">
        <f t="shared" si="131"/>
        <v>20.81</v>
      </c>
    </row>
    <row r="476" spans="2:11" s="76" customFormat="1" ht="15">
      <c r="B476" s="473" t="s">
        <v>13315</v>
      </c>
      <c r="C476" s="109" t="str">
        <f>QUANT!C906</f>
        <v>CP-PTR-17</v>
      </c>
      <c r="D476" s="109" t="str">
        <f>QUANT!D906</f>
        <v>PRÓPRIA</v>
      </c>
      <c r="E476" s="80" t="str">
        <f>IFERROR(VLOOKUP($C476,'SINAPI JULHO 2021'!$1:$1048576,2,0),IFERROR(VLOOKUP($C476,'5-COMP. PROPRIA'!$B$1:$I$7981,4,0),""))</f>
        <v>PARAFUSO CABECA QUADRADA DE 125MM - FORNECIMENTO E INSTALAÇÃO</v>
      </c>
      <c r="F476" s="81" t="str">
        <f>IFERROR(VLOOKUP($C476,'SINAPI JULHO 2021'!$A:$D,3,0),IFERROR(VLOOKUP($C476,'5-COMP. PROPRIA'!$B$1:$I$7981,5,0),""))</f>
        <v>UNI</v>
      </c>
      <c r="G476" s="129">
        <f>QUANT!K906</f>
        <v>5</v>
      </c>
      <c r="H476" s="218">
        <f>IFERROR(VLOOKUP($C476,'SINAPI JULHO 2021'!$A:$D,4,0),IFERROR(VLOOKUP($C476,'5-COMP. PROPRIA'!$B$1:$I$1240,8,0),""))</f>
        <v>11.77</v>
      </c>
      <c r="I476" s="200">
        <f>H476*'4-BDI'!$E$29</f>
        <v>15.093847999999999</v>
      </c>
      <c r="J476" s="201">
        <f t="shared" si="130"/>
        <v>58.85</v>
      </c>
      <c r="K476" s="123">
        <f t="shared" si="131"/>
        <v>75.459999999999994</v>
      </c>
    </row>
    <row r="477" spans="2:11" s="76" customFormat="1" ht="15">
      <c r="B477" s="473" t="s">
        <v>13316</v>
      </c>
      <c r="C477" s="109" t="str">
        <f>QUANT!C907</f>
        <v>CP-PTR-18</v>
      </c>
      <c r="D477" s="109" t="str">
        <f>QUANT!D907</f>
        <v>PRÓPRIA</v>
      </c>
      <c r="E477" s="80" t="str">
        <f>IFERROR(VLOOKUP($C477,'SINAPI JULHO 2021'!$1:$1048576,2,0),IFERROR(VLOOKUP($C477,'5-COMP. PROPRIA'!$B$1:$I$7981,4,0),""))</f>
        <v>PARAFUSO CABECA QUADRADA DE 200MM - FORNECIMENTO E INSTALAÇÃO</v>
      </c>
      <c r="F477" s="81" t="str">
        <f>IFERROR(VLOOKUP($C477,'SINAPI JULHO 2021'!$A:$D,3,0),IFERROR(VLOOKUP($C477,'5-COMP. PROPRIA'!$B$1:$I$7981,5,0),""))</f>
        <v>UNI</v>
      </c>
      <c r="G477" s="129">
        <f>QUANT!K907</f>
        <v>1</v>
      </c>
      <c r="H477" s="218">
        <f>IFERROR(VLOOKUP($C477,'SINAPI JULHO 2021'!$A:$D,4,0),IFERROR(VLOOKUP($C477,'5-COMP. PROPRIA'!$B$1:$I$1240,8,0),""))</f>
        <v>14.02</v>
      </c>
      <c r="I477" s="200">
        <f>H477*'4-BDI'!$E$29</f>
        <v>17.979247999999998</v>
      </c>
      <c r="J477" s="201">
        <f t="shared" ref="J477:J479" si="132">TRUNC(G477*H477,2)</f>
        <v>14.02</v>
      </c>
      <c r="K477" s="123">
        <f t="shared" ref="K477:K479" si="133">TRUNC(G477*I477,2)</f>
        <v>17.97</v>
      </c>
    </row>
    <row r="478" spans="2:11" s="76" customFormat="1" ht="15">
      <c r="B478" s="473" t="s">
        <v>13317</v>
      </c>
      <c r="C478" s="109" t="str">
        <f>QUANT!C908</f>
        <v>CP-PTR-19</v>
      </c>
      <c r="D478" s="109" t="str">
        <f>QUANT!D908</f>
        <v>PRÓPRIA</v>
      </c>
      <c r="E478" s="80" t="str">
        <f>IFERROR(VLOOKUP($C478,'SINAPI JULHO 2021'!$1:$1048576,2,0),IFERROR(VLOOKUP($C478,'5-COMP. PROPRIA'!$B$1:$I$7981,4,0),""))</f>
        <v>PARAFUSO CABECA QUADRADA DE 250MM - FORNECIMENTO E INSTALAÇÃO</v>
      </c>
      <c r="F478" s="81" t="str">
        <f>IFERROR(VLOOKUP($C478,'SINAPI JULHO 2021'!$A:$D,3,0),IFERROR(VLOOKUP($C478,'5-COMP. PROPRIA'!$B$1:$I$7981,5,0),""))</f>
        <v>UNI</v>
      </c>
      <c r="G478" s="129">
        <f>QUANT!K908</f>
        <v>2</v>
      </c>
      <c r="H478" s="218">
        <f>IFERROR(VLOOKUP($C478,'SINAPI JULHO 2021'!$A:$D,4,0),IFERROR(VLOOKUP($C478,'5-COMP. PROPRIA'!$B$1:$I$1240,8,0),""))</f>
        <v>14.96</v>
      </c>
      <c r="I478" s="200">
        <f>H478*'4-BDI'!$E$29</f>
        <v>19.184704</v>
      </c>
      <c r="J478" s="201">
        <f t="shared" si="132"/>
        <v>29.92</v>
      </c>
      <c r="K478" s="123">
        <f t="shared" si="133"/>
        <v>38.36</v>
      </c>
    </row>
    <row r="479" spans="2:11" s="76" customFormat="1" ht="15">
      <c r="B479" s="473" t="s">
        <v>13318</v>
      </c>
      <c r="C479" s="109" t="str">
        <f>QUANT!C909</f>
        <v>CP-PTR-20</v>
      </c>
      <c r="D479" s="109" t="str">
        <f>QUANT!D909</f>
        <v>PRÓPRIA</v>
      </c>
      <c r="E479" s="80" t="str">
        <f>IFERROR(VLOOKUP($C479,'SINAPI JULHO 2021'!$1:$1048576,2,0),IFERROR(VLOOKUP($C479,'5-COMP. PROPRIA'!$B$1:$I$7981,4,0),""))</f>
        <v>PARAFUSO CABECA QUADRADA DE 300MM - FORNECIMENTO E INSTALAÇÃO</v>
      </c>
      <c r="F479" s="81" t="str">
        <f>IFERROR(VLOOKUP($C479,'SINAPI JULHO 2021'!$A:$D,3,0),IFERROR(VLOOKUP($C479,'5-COMP. PROPRIA'!$B$1:$I$7981,5,0),""))</f>
        <v>UNI</v>
      </c>
      <c r="G479" s="129">
        <f>QUANT!K909</f>
        <v>1</v>
      </c>
      <c r="H479" s="218">
        <f>IFERROR(VLOOKUP($C479,'SINAPI JULHO 2021'!$A:$D,4,0),IFERROR(VLOOKUP($C479,'5-COMP. PROPRIA'!$B$1:$I$1240,8,0),""))</f>
        <v>18.46</v>
      </c>
      <c r="I479" s="200">
        <f>H479*'4-BDI'!$E$29</f>
        <v>23.673104000000002</v>
      </c>
      <c r="J479" s="201">
        <f t="shared" si="132"/>
        <v>18.46</v>
      </c>
      <c r="K479" s="123">
        <f t="shared" si="133"/>
        <v>23.67</v>
      </c>
    </row>
    <row r="480" spans="2:11" s="76" customFormat="1" ht="15">
      <c r="B480" s="473" t="s">
        <v>13319</v>
      </c>
      <c r="C480" s="109" t="str">
        <f>QUANT!C910</f>
        <v>CP-PTR-15</v>
      </c>
      <c r="D480" s="109" t="str">
        <f>QUANT!D910</f>
        <v>PRÓPRIA</v>
      </c>
      <c r="E480" s="80" t="str">
        <f>IFERROR(VLOOKUP($C480,'SINAPI JULHO 2021'!$1:$1048576,2,0),IFERROR(VLOOKUP($C480,'5-COMP. PROPRIA'!$B$1:$I$7981,4,0),""))</f>
        <v>ARRUELA QUADRADA EM ACO GALVANIZADO - FORNECIMENTO E INSTALAÇÃO</v>
      </c>
      <c r="F480" s="81" t="str">
        <f>IFERROR(VLOOKUP($C480,'SINAPI JULHO 2021'!$A:$D,3,0),IFERROR(VLOOKUP($C480,'5-COMP. PROPRIA'!$B$1:$I$7981,5,0),""))</f>
        <v>UNI</v>
      </c>
      <c r="G480" s="129">
        <f>QUANT!K910</f>
        <v>14</v>
      </c>
      <c r="H480" s="218">
        <f>IFERROR(VLOOKUP($C480,'SINAPI JULHO 2021'!$A:$D,4,0),IFERROR(VLOOKUP($C480,'5-COMP. PROPRIA'!$B$1:$I$1240,8,0),""))</f>
        <v>4.13</v>
      </c>
      <c r="I480" s="200">
        <f>H480*'4-BDI'!$E$29</f>
        <v>5.2963119999999995</v>
      </c>
      <c r="J480" s="201">
        <f t="shared" ref="J480:J483" si="134">TRUNC(G480*H480,2)</f>
        <v>57.82</v>
      </c>
      <c r="K480" s="123">
        <f t="shared" ref="K480:K483" si="135">TRUNC(G480*I480,2)</f>
        <v>74.14</v>
      </c>
    </row>
    <row r="481" spans="2:11" s="76" customFormat="1" ht="30">
      <c r="B481" s="473" t="s">
        <v>13320</v>
      </c>
      <c r="C481" s="109" t="str">
        <f>QUANT!C911</f>
        <v>CP-PTR-40</v>
      </c>
      <c r="D481" s="109" t="str">
        <f>QUANT!D911</f>
        <v>PRÓPRIA</v>
      </c>
      <c r="E481" s="80" t="str">
        <f>IFERROR(VLOOKUP($C481,'SINAPI JULHO 2021'!$1:$1048576,2,0),IFERROR(VLOOKUP($C481,'5-COMP. PROPRIA'!$B$1:$I$7981,4,0),""))</f>
        <v>CHAVE FUSIVEL PARA REDES DE DISTRIBUICAO - 15,0 KV - 100 A - 10,00 KA, COM SUPORTE - FORNECIMENTO E INSTALAÇÃO</v>
      </c>
      <c r="F481" s="81" t="str">
        <f>IFERROR(VLOOKUP($C481,'SINAPI JULHO 2021'!$A:$D,3,0),IFERROR(VLOOKUP($C481,'5-COMP. PROPRIA'!$B$1:$I$7981,5,0),""))</f>
        <v>UNI</v>
      </c>
      <c r="G481" s="129">
        <f>QUANT!K911</f>
        <v>3</v>
      </c>
      <c r="H481" s="218">
        <f>IFERROR(VLOOKUP($C481,'SINAPI JULHO 2021'!$A:$D,4,0),IFERROR(VLOOKUP($C481,'5-COMP. PROPRIA'!$B$1:$I$1240,8,0),""))</f>
        <v>303.33999999999997</v>
      </c>
      <c r="I481" s="200">
        <f>H481*'4-BDI'!$E$29</f>
        <v>389.00321599999995</v>
      </c>
      <c r="J481" s="201">
        <f t="shared" si="134"/>
        <v>910.02</v>
      </c>
      <c r="K481" s="123">
        <f t="shared" si="135"/>
        <v>1167</v>
      </c>
    </row>
    <row r="482" spans="2:11" s="76" customFormat="1" ht="15">
      <c r="B482" s="473" t="s">
        <v>13321</v>
      </c>
      <c r="C482" s="109" t="str">
        <f>QUANT!C912</f>
        <v>CP-PTR-03</v>
      </c>
      <c r="D482" s="109" t="str">
        <f>QUANT!D912</f>
        <v>PRÓPRIA</v>
      </c>
      <c r="E482" s="80" t="str">
        <f>IFERROR(VLOOKUP($C482,'SINAPI JULHO 2021'!$1:$1048576,2,0),IFERROR(VLOOKUP($C482,'5-COMP. PROPRIA'!$B$1:$I$7981,4,0),""))</f>
        <v>SAPATILHA EM AÇO GALVANIZADO - FORNECIMENTO E INSTALAÇÃO</v>
      </c>
      <c r="F482" s="81" t="str">
        <f>IFERROR(VLOOKUP($C482,'SINAPI JULHO 2021'!$A:$D,3,0),IFERROR(VLOOKUP($C482,'5-COMP. PROPRIA'!$B$1:$I$7981,5,0),""))</f>
        <v>UNI</v>
      </c>
      <c r="G482" s="129">
        <f>QUANT!K912</f>
        <v>1</v>
      </c>
      <c r="H482" s="218">
        <f>IFERROR(VLOOKUP($C482,'SINAPI JULHO 2021'!$A:$D,4,0),IFERROR(VLOOKUP($C482,'5-COMP. PROPRIA'!$B$1:$I$1240,8,0),""))</f>
        <v>8.81</v>
      </c>
      <c r="I482" s="200">
        <f>H482*'4-BDI'!$E$29</f>
        <v>11.297944000000001</v>
      </c>
      <c r="J482" s="201">
        <f t="shared" si="134"/>
        <v>8.81</v>
      </c>
      <c r="K482" s="123">
        <f t="shared" si="135"/>
        <v>11.29</v>
      </c>
    </row>
    <row r="483" spans="2:11" s="76" customFormat="1" ht="15">
      <c r="B483" s="473" t="s">
        <v>13322</v>
      </c>
      <c r="C483" s="109" t="str">
        <f>QUANT!C913</f>
        <v>CP-PTR-04</v>
      </c>
      <c r="D483" s="109" t="str">
        <f>QUANT!D913</f>
        <v>PRÓPRIA</v>
      </c>
      <c r="E483" s="80" t="str">
        <f>IFERROR(VLOOKUP($C483,'SINAPI JULHO 2021'!$1:$1048576,2,0),IFERROR(VLOOKUP($C483,'5-COMP. PROPRIA'!$B$1:$I$7981,4,0),""))</f>
        <v>OLHAL PARA PARAFUSO - FORNECIMENTO E INSTALAÇÃO</v>
      </c>
      <c r="F483" s="81" t="str">
        <f>IFERROR(VLOOKUP($C483,'SINAPI JULHO 2021'!$A:$D,3,0),IFERROR(VLOOKUP($C483,'5-COMP. PROPRIA'!$B$1:$I$7981,5,0),""))</f>
        <v>UNI</v>
      </c>
      <c r="G483" s="129">
        <f>QUANT!K913</f>
        <v>4</v>
      </c>
      <c r="H483" s="218">
        <f>IFERROR(VLOOKUP($C483,'SINAPI JULHO 2021'!$A:$D,4,0),IFERROR(VLOOKUP($C483,'5-COMP. PROPRIA'!$B$1:$I$1240,8,0),""))</f>
        <v>18.170000000000002</v>
      </c>
      <c r="I483" s="200">
        <f>H483*'4-BDI'!$E$29</f>
        <v>23.301208000000003</v>
      </c>
      <c r="J483" s="201">
        <f t="shared" si="134"/>
        <v>72.680000000000007</v>
      </c>
      <c r="K483" s="123">
        <f t="shared" si="135"/>
        <v>93.2</v>
      </c>
    </row>
    <row r="484" spans="2:11" s="76" customFormat="1" ht="15">
      <c r="B484" s="473" t="s">
        <v>13323</v>
      </c>
      <c r="C484" s="109" t="str">
        <f>QUANT!C914</f>
        <v>CP-PTR-05</v>
      </c>
      <c r="D484" s="109" t="str">
        <f>QUANT!D914</f>
        <v>PRÓPRIA</v>
      </c>
      <c r="E484" s="80" t="str">
        <f>IFERROR(VLOOKUP($C484,'SINAPI JULHO 2021'!$1:$1048576,2,0),IFERROR(VLOOKUP($C484,'5-COMP. PROPRIA'!$B$1:$I$7981,4,0),""))</f>
        <v>ISOLADOR DE ANCORAGEM TIPO BASTÃO POLIMÉRICO 15KV - FORNECIMENTO E INSTALAÇÃO</v>
      </c>
      <c r="F484" s="81" t="str">
        <f>IFERROR(VLOOKUP($C484,'SINAPI JULHO 2021'!$A:$D,3,0),IFERROR(VLOOKUP($C484,'5-COMP. PROPRIA'!$B$1:$I$7981,5,0),""))</f>
        <v>UNI</v>
      </c>
      <c r="G484" s="129">
        <f>QUANT!K914</f>
        <v>3</v>
      </c>
      <c r="H484" s="218">
        <f>IFERROR(VLOOKUP($C484,'SINAPI JULHO 2021'!$A:$D,4,0),IFERROR(VLOOKUP($C484,'5-COMP. PROPRIA'!$B$1:$I$1240,8,0),""))</f>
        <v>59.34</v>
      </c>
      <c r="I484" s="200">
        <f>H484*'4-BDI'!$E$29</f>
        <v>76.097616000000002</v>
      </c>
      <c r="J484" s="201">
        <f t="shared" ref="J484:J498" si="136">TRUNC(G484*H484,2)</f>
        <v>178.02</v>
      </c>
      <c r="K484" s="123">
        <f t="shared" ref="K484:K498" si="137">TRUNC(G484*I484,2)</f>
        <v>228.29</v>
      </c>
    </row>
    <row r="485" spans="2:11" s="76" customFormat="1" ht="15">
      <c r="B485" s="473" t="s">
        <v>13324</v>
      </c>
      <c r="C485" s="109" t="str">
        <f>QUANT!C915</f>
        <v>CP-PTR-06</v>
      </c>
      <c r="D485" s="109" t="str">
        <f>QUANT!D915</f>
        <v>PRÓPRIA</v>
      </c>
      <c r="E485" s="80" t="str">
        <f>IFERROR(VLOOKUP($C485,'SINAPI JULHO 2021'!$1:$1048576,2,0),IFERROR(VLOOKUP($C485,'5-COMP. PROPRIA'!$B$1:$I$7981,4,0),""))</f>
        <v>MANILHA SAPATILHA - FORNECIMENTO E INSTALAÇÃO</v>
      </c>
      <c r="F485" s="81" t="str">
        <f>IFERROR(VLOOKUP($C485,'SINAPI JULHO 2021'!$A:$D,3,0),IFERROR(VLOOKUP($C485,'5-COMP. PROPRIA'!$B$1:$I$7981,5,0),""))</f>
        <v>UNI</v>
      </c>
      <c r="G485" s="129">
        <f>QUANT!K915</f>
        <v>3</v>
      </c>
      <c r="H485" s="218">
        <f>IFERROR(VLOOKUP($C485,'SINAPI JULHO 2021'!$A:$D,4,0),IFERROR(VLOOKUP($C485,'5-COMP. PROPRIA'!$B$1:$I$1240,8,0),""))</f>
        <v>28.24</v>
      </c>
      <c r="I485" s="200">
        <f>H485*'4-BDI'!$E$29</f>
        <v>36.214976</v>
      </c>
      <c r="J485" s="201">
        <f t="shared" si="136"/>
        <v>84.72</v>
      </c>
      <c r="K485" s="123">
        <f t="shared" si="137"/>
        <v>108.64</v>
      </c>
    </row>
    <row r="486" spans="2:11" s="76" customFormat="1" ht="15">
      <c r="B486" s="473" t="s">
        <v>13325</v>
      </c>
      <c r="C486" s="109" t="str">
        <f>QUANT!C916</f>
        <v>CP-PTR-07</v>
      </c>
      <c r="D486" s="109" t="str">
        <f>QUANT!D916</f>
        <v>PRÓPRIA</v>
      </c>
      <c r="E486" s="80" t="str">
        <f>IFERROR(VLOOKUP($C486,'SINAPI JULHO 2021'!$1:$1048576,2,0),IFERROR(VLOOKUP($C486,'5-COMP. PROPRIA'!$B$1:$I$7981,4,0),""))</f>
        <v>GANCHO OLHAL - FORNECIMENTO E INSTALAÇÃO</v>
      </c>
      <c r="F486" s="81" t="str">
        <f>IFERROR(VLOOKUP($C486,'SINAPI JULHO 2021'!$A:$D,3,0),IFERROR(VLOOKUP($C486,'5-COMP. PROPRIA'!$B$1:$I$7981,5,0),""))</f>
        <v>UNI</v>
      </c>
      <c r="G486" s="129">
        <f>QUANT!K916</f>
        <v>3</v>
      </c>
      <c r="H486" s="218">
        <f>IFERROR(VLOOKUP($C486,'SINAPI JULHO 2021'!$A:$D,4,0),IFERROR(VLOOKUP($C486,'5-COMP. PROPRIA'!$B$1:$I$1240,8,0),""))</f>
        <v>18.829999999999998</v>
      </c>
      <c r="I486" s="200">
        <f>H486*'4-BDI'!$E$29</f>
        <v>24.147591999999996</v>
      </c>
      <c r="J486" s="201">
        <f t="shared" si="136"/>
        <v>56.49</v>
      </c>
      <c r="K486" s="123">
        <f t="shared" si="137"/>
        <v>72.44</v>
      </c>
    </row>
    <row r="487" spans="2:11" s="76" customFormat="1" ht="30">
      <c r="B487" s="473" t="s">
        <v>13326</v>
      </c>
      <c r="C487" s="109" t="str">
        <f>QUANT!C917</f>
        <v>CP-PTR-41</v>
      </c>
      <c r="D487" s="109" t="str">
        <f>QUANT!D917</f>
        <v>PRÓPRIA</v>
      </c>
      <c r="E487" s="80" t="str">
        <f>IFERROR(VLOOKUP($C487,'SINAPI JULHO 2021'!$1:$1048576,2,0),IFERROR(VLOOKUP($C487,'5-COMP. PROPRIA'!$B$1:$I$7981,4,0),""))</f>
        <v>CONECTOR CUNHA TIPO ESTRIBO DE ALUMÍNIO COM CAPA - 50MM² - FORNECIMENTO E INSTALAÇÃO</v>
      </c>
      <c r="F487" s="81" t="str">
        <f>IFERROR(VLOOKUP($C487,'SINAPI JULHO 2021'!$A:$D,3,0),IFERROR(VLOOKUP($C487,'5-COMP. PROPRIA'!$B$1:$I$7981,5,0),""))</f>
        <v>UNI</v>
      </c>
      <c r="G487" s="129">
        <f>QUANT!K917</f>
        <v>3</v>
      </c>
      <c r="H487" s="218">
        <f>IFERROR(VLOOKUP($C487,'SINAPI JULHO 2021'!$A:$D,4,0),IFERROR(VLOOKUP($C487,'5-COMP. PROPRIA'!$B$1:$I$1240,8,0),""))</f>
        <v>59.63</v>
      </c>
      <c r="I487" s="200">
        <f>H487*'4-BDI'!$E$29</f>
        <v>76.469512000000009</v>
      </c>
      <c r="J487" s="201">
        <f t="shared" si="136"/>
        <v>178.89</v>
      </c>
      <c r="K487" s="123">
        <f t="shared" si="137"/>
        <v>229.4</v>
      </c>
    </row>
    <row r="488" spans="2:11" s="76" customFormat="1" ht="15">
      <c r="B488" s="473" t="s">
        <v>13327</v>
      </c>
      <c r="C488" s="109" t="str">
        <f>QUANT!C918</f>
        <v>CP-PTR-36</v>
      </c>
      <c r="D488" s="109" t="str">
        <f>QUANT!D918</f>
        <v>PRÓPRIA</v>
      </c>
      <c r="E488" s="80" t="str">
        <f>IFERROR(VLOOKUP($C488,'SINAPI JULHO 2021'!$1:$1048576,2,0),IFERROR(VLOOKUP($C488,'5-COMP. PROPRIA'!$B$1:$I$7981,4,0),""))</f>
        <v>ARAME DE AÇO GALVANIZADO 14 BWG - FORNECIMENTO E INSTALAÇÃO</v>
      </c>
      <c r="F488" s="81" t="str">
        <f>IFERROR(VLOOKUP($C488,'SINAPI JULHO 2021'!$A:$D,3,0),IFERROR(VLOOKUP($C488,'5-COMP. PROPRIA'!$B$1:$I$7981,5,0),""))</f>
        <v>M</v>
      </c>
      <c r="G488" s="129">
        <f>QUANT!K918</f>
        <v>3</v>
      </c>
      <c r="H488" s="218">
        <f>IFERROR(VLOOKUP($C488,'SINAPI JULHO 2021'!$A:$D,4,0),IFERROR(VLOOKUP($C488,'5-COMP. PROPRIA'!$B$1:$I$1240,8,0),""))</f>
        <v>5.52</v>
      </c>
      <c r="I488" s="200">
        <f>H488*'4-BDI'!$E$29</f>
        <v>7.0788479999999998</v>
      </c>
      <c r="J488" s="201">
        <f t="shared" si="136"/>
        <v>16.559999999999999</v>
      </c>
      <c r="K488" s="123">
        <f t="shared" si="137"/>
        <v>21.23</v>
      </c>
    </row>
    <row r="489" spans="2:11" s="76" customFormat="1" ht="30">
      <c r="B489" s="473" t="s">
        <v>13328</v>
      </c>
      <c r="C489" s="109">
        <f>QUANT!C919</f>
        <v>101553</v>
      </c>
      <c r="D489" s="109" t="str">
        <f>QUANT!D919</f>
        <v>SINAPI</v>
      </c>
      <c r="E489" s="80" t="str">
        <f>IFERROR(VLOOKUP($C489,'SINAPI JULHO 2021'!$1:$1048576,2,0),IFERROR(VLOOKUP($C489,'5-COMP. PROPRIA'!$B$1:$I$7981,4,0),""))</f>
        <v>ALÇA PREFORMADA DE DISTRIBUIÇÃO, EM  AÇO GALVANIZADO, AWG 1 - FORNECIMENTO E INSTALAÇÃO. AF_07/2020</v>
      </c>
      <c r="F489" s="81" t="str">
        <f>IFERROR(VLOOKUP($C489,'SINAPI JULHO 2021'!$A:$D,3,0),IFERROR(VLOOKUP($C489,'5-COMP. PROPRIA'!$B$1:$I$7981,5,0),""))</f>
        <v>UN</v>
      </c>
      <c r="G489" s="129">
        <f>QUANT!K919</f>
        <v>1</v>
      </c>
      <c r="H489" s="218">
        <f>IFERROR(VLOOKUP($C489,'SINAPI JULHO 2021'!$A:$D,4,0),IFERROR(VLOOKUP($C489,'5-COMP. PROPRIA'!$B$1:$I$1240,8,0),""))</f>
        <v>14.17</v>
      </c>
      <c r="I489" s="200">
        <f>H489*'4-BDI'!$E$29</f>
        <v>18.171607999999999</v>
      </c>
      <c r="J489" s="201">
        <f t="shared" si="136"/>
        <v>14.17</v>
      </c>
      <c r="K489" s="123">
        <f t="shared" si="137"/>
        <v>18.170000000000002</v>
      </c>
    </row>
    <row r="490" spans="2:11" s="76" customFormat="1" ht="15">
      <c r="B490" s="473" t="s">
        <v>13329</v>
      </c>
      <c r="C490" s="109" t="str">
        <f>QUANT!C920</f>
        <v>CP-PTR-12</v>
      </c>
      <c r="D490" s="109" t="str">
        <f>QUANT!D920</f>
        <v>PRÓPRIA</v>
      </c>
      <c r="E490" s="80" t="str">
        <f>IFERROR(VLOOKUP($C490,'SINAPI JULHO 2021'!$1:$1048576,2,0),IFERROR(VLOOKUP($C490,'5-COMP. PROPRIA'!$B$1:$I$7981,4,0),""))</f>
        <v>GRAMPO DE ANCORAGEM 15KV - 50MM² - FORNECIMENTO E INSTALAÇÃO</v>
      </c>
      <c r="F490" s="81" t="str">
        <f>IFERROR(VLOOKUP($C490,'SINAPI JULHO 2021'!$A:$D,3,0),IFERROR(VLOOKUP($C490,'5-COMP. PROPRIA'!$B$1:$I$7981,5,0),""))</f>
        <v>UNI</v>
      </c>
      <c r="G490" s="129">
        <f>QUANT!K920</f>
        <v>3</v>
      </c>
      <c r="H490" s="218">
        <f>IFERROR(VLOOKUP($C490,'SINAPI JULHO 2021'!$A:$D,4,0),IFERROR(VLOOKUP($C490,'5-COMP. PROPRIA'!$B$1:$I$1240,8,0),""))</f>
        <v>48.88</v>
      </c>
      <c r="I490" s="200">
        <f>H490*'4-BDI'!$E$29</f>
        <v>62.683712</v>
      </c>
      <c r="J490" s="201">
        <f t="shared" si="136"/>
        <v>146.63999999999999</v>
      </c>
      <c r="K490" s="123">
        <f t="shared" si="137"/>
        <v>188.05</v>
      </c>
    </row>
    <row r="491" spans="2:11" s="76" customFormat="1" ht="15">
      <c r="B491" s="473" t="s">
        <v>13330</v>
      </c>
      <c r="C491" s="109" t="str">
        <f>QUANT!C921</f>
        <v>CP-PTR-42</v>
      </c>
      <c r="D491" s="109" t="str">
        <f>QUANT!D921</f>
        <v>PRÓPRIA</v>
      </c>
      <c r="E491" s="80" t="str">
        <f>IFERROR(VLOOKUP($C491,'SINAPI JULHO 2021'!$1:$1048576,2,0),IFERROR(VLOOKUP($C491,'5-COMP. PROPRIA'!$B$1:$I$7981,4,0),""))</f>
        <v>GRAMPO LINHA VIVA - FORNECIMENTO E INSTALAÇÃO</v>
      </c>
      <c r="F491" s="81" t="str">
        <f>IFERROR(VLOOKUP($C491,'SINAPI JULHO 2021'!$A:$D,3,0),IFERROR(VLOOKUP($C491,'5-COMP. PROPRIA'!$B$1:$I$7981,5,0),""))</f>
        <v>UNI</v>
      </c>
      <c r="G491" s="129">
        <f>QUANT!K921</f>
        <v>3</v>
      </c>
      <c r="H491" s="218">
        <f>IFERROR(VLOOKUP($C491,'SINAPI JULHO 2021'!$A:$D,4,0),IFERROR(VLOOKUP($C491,'5-COMP. PROPRIA'!$B$1:$I$1240,8,0),""))</f>
        <v>47.27</v>
      </c>
      <c r="I491" s="200">
        <f>H491*'4-BDI'!$E$29</f>
        <v>60.619048000000006</v>
      </c>
      <c r="J491" s="201">
        <f t="shared" si="136"/>
        <v>141.81</v>
      </c>
      <c r="K491" s="123">
        <f t="shared" si="137"/>
        <v>181.85</v>
      </c>
    </row>
    <row r="492" spans="2:11" s="76" customFormat="1" ht="15">
      <c r="B492" s="473" t="s">
        <v>13331</v>
      </c>
      <c r="C492" s="109" t="str">
        <f>QUANT!C922</f>
        <v>CP-PTR-43</v>
      </c>
      <c r="D492" s="109" t="str">
        <f>QUANT!D922</f>
        <v>PRÓPRIA</v>
      </c>
      <c r="E492" s="80" t="str">
        <f>IFERROR(VLOOKUP($C492,'SINAPI JULHO 2021'!$1:$1048576,2,0),IFERROR(VLOOKUP($C492,'5-COMP. PROPRIA'!$B$1:$I$7981,4,0),""))</f>
        <v>ISOLADOR PILAR 110KV - FORNECIMENTO E INSTALAÇÃO</v>
      </c>
      <c r="F492" s="81" t="str">
        <f>IFERROR(VLOOKUP($C492,'SINAPI JULHO 2021'!$A:$D,3,0),IFERROR(VLOOKUP($C492,'5-COMP. PROPRIA'!$B$1:$I$7981,5,0),""))</f>
        <v>UNI</v>
      </c>
      <c r="G492" s="129">
        <f>QUANT!K922</f>
        <v>3</v>
      </c>
      <c r="H492" s="218">
        <f>IFERROR(VLOOKUP($C492,'SINAPI JULHO 2021'!$A:$D,4,0),IFERROR(VLOOKUP($C492,'5-COMP. PROPRIA'!$B$1:$I$1240,8,0),""))</f>
        <v>60.62</v>
      </c>
      <c r="I492" s="200">
        <f>H492*'4-BDI'!$E$29</f>
        <v>77.739087999999995</v>
      </c>
      <c r="J492" s="201">
        <f t="shared" si="136"/>
        <v>181.86</v>
      </c>
      <c r="K492" s="123">
        <f t="shared" si="137"/>
        <v>233.21</v>
      </c>
    </row>
    <row r="493" spans="2:11" s="76" customFormat="1" ht="15">
      <c r="B493" s="473" t="s">
        <v>13332</v>
      </c>
      <c r="C493" s="109" t="str">
        <f>QUANT!C923</f>
        <v>CP-PTR-44</v>
      </c>
      <c r="D493" s="109" t="str">
        <f>QUANT!D923</f>
        <v>PRÓPRIA</v>
      </c>
      <c r="E493" s="80" t="str">
        <f>IFERROR(VLOOKUP($C493,'SINAPI JULHO 2021'!$1:$1048576,2,0),IFERROR(VLOOKUP($C493,'5-COMP. PROPRIA'!$B$1:$I$7981,4,0),""))</f>
        <v>PINO AUTO TRAVANTE PARA ISOLADOR PILAR - 140 MM - FORNECIMENTO E INSTALAÇÃO</v>
      </c>
      <c r="F493" s="81" t="str">
        <f>IFERROR(VLOOKUP($C493,'SINAPI JULHO 2021'!$A:$D,3,0),IFERROR(VLOOKUP($C493,'5-COMP. PROPRIA'!$B$1:$I$7981,5,0),""))</f>
        <v>UNI</v>
      </c>
      <c r="G493" s="129">
        <f>QUANT!K923</f>
        <v>3</v>
      </c>
      <c r="H493" s="218">
        <f>IFERROR(VLOOKUP($C493,'SINAPI JULHO 2021'!$A:$D,4,0),IFERROR(VLOOKUP($C493,'5-COMP. PROPRIA'!$B$1:$I$1240,8,0),""))</f>
        <v>14.29</v>
      </c>
      <c r="I493" s="200">
        <f>H493*'4-BDI'!$E$29</f>
        <v>18.325495999999998</v>
      </c>
      <c r="J493" s="201">
        <f t="shared" si="136"/>
        <v>42.87</v>
      </c>
      <c r="K493" s="123">
        <f t="shared" si="137"/>
        <v>54.97</v>
      </c>
    </row>
    <row r="494" spans="2:11" s="76" customFormat="1" ht="15">
      <c r="B494" s="222" t="s">
        <v>6294</v>
      </c>
      <c r="C494" s="223"/>
      <c r="D494" s="224"/>
      <c r="E494" s="225" t="str">
        <f>QUANT!E924</f>
        <v>SI-1</v>
      </c>
      <c r="F494" s="120"/>
      <c r="G494" s="129"/>
      <c r="H494" s="218"/>
      <c r="I494" s="200"/>
      <c r="J494" s="201"/>
      <c r="K494" s="123"/>
    </row>
    <row r="495" spans="2:11" s="76" customFormat="1" ht="30">
      <c r="B495" s="473" t="s">
        <v>13333</v>
      </c>
      <c r="C495" s="109" t="str">
        <f>QUANT!C925</f>
        <v>CP-PTR-45</v>
      </c>
      <c r="D495" s="109" t="str">
        <f>QUANT!D925</f>
        <v>PRÓPRIA</v>
      </c>
      <c r="E495" s="80" t="str">
        <f>IFERROR(VLOOKUP($C495,'SINAPI JULHO 2021'!$1:$1048576,2,0),IFERROR(VLOOKUP($C495,'5-COMP. PROPRIA'!$B$1:$I$7981,4,0),""))</f>
        <v>ARMAÇÃO SECUNDÁRIA OU REX COMPLETA PARA DUAS LINHAS COM ISOLADOR DE PORCELANA TIPO ROLDANA - FORNECIMENTO E INSTALAÇÃO</v>
      </c>
      <c r="F495" s="81" t="str">
        <f>IFERROR(VLOOKUP($C495,'SINAPI JULHO 2021'!$A:$D,3,0),IFERROR(VLOOKUP($C495,'5-COMP. PROPRIA'!$B$1:$I$7981,5,0),""))</f>
        <v>UNI</v>
      </c>
      <c r="G495" s="129">
        <f>QUANT!K925</f>
        <v>3</v>
      </c>
      <c r="H495" s="218">
        <f>IFERROR(VLOOKUP($C495,'SINAPI JULHO 2021'!$A:$D,4,0),IFERROR(VLOOKUP($C495,'5-COMP. PROPRIA'!$B$1:$I$1240,8,0),""))</f>
        <v>70.180000000000007</v>
      </c>
      <c r="I495" s="200">
        <f>H495*'4-BDI'!$E$29</f>
        <v>89.998832000000007</v>
      </c>
      <c r="J495" s="201">
        <f t="shared" si="136"/>
        <v>210.54</v>
      </c>
      <c r="K495" s="123">
        <f t="shared" si="137"/>
        <v>269.99</v>
      </c>
    </row>
    <row r="496" spans="2:11" s="76" customFormat="1" ht="15">
      <c r="B496" s="473" t="s">
        <v>13334</v>
      </c>
      <c r="C496" s="109" t="str">
        <f>QUANT!C926</f>
        <v>CP-PTR-15</v>
      </c>
      <c r="D496" s="109" t="str">
        <f>QUANT!D926</f>
        <v>PRÓPRIA</v>
      </c>
      <c r="E496" s="80" t="str">
        <f>IFERROR(VLOOKUP($C496,'SINAPI JULHO 2021'!$1:$1048576,2,0),IFERROR(VLOOKUP($C496,'5-COMP. PROPRIA'!$B$1:$I$7981,4,0),""))</f>
        <v>ARRUELA QUADRADA EM ACO GALVANIZADO - FORNECIMENTO E INSTALAÇÃO</v>
      </c>
      <c r="F496" s="81" t="str">
        <f>IFERROR(VLOOKUP($C496,'SINAPI JULHO 2021'!$A:$D,3,0),IFERROR(VLOOKUP($C496,'5-COMP. PROPRIA'!$B$1:$I$7981,5,0),""))</f>
        <v>UNI</v>
      </c>
      <c r="G496" s="129">
        <f>QUANT!K926</f>
        <v>2</v>
      </c>
      <c r="H496" s="218">
        <f>IFERROR(VLOOKUP($C496,'SINAPI JULHO 2021'!$A:$D,4,0),IFERROR(VLOOKUP($C496,'5-COMP. PROPRIA'!$B$1:$I$1240,8,0),""))</f>
        <v>4.13</v>
      </c>
      <c r="I496" s="200">
        <f>H496*'4-BDI'!$E$29</f>
        <v>5.2963119999999995</v>
      </c>
      <c r="J496" s="201">
        <f t="shared" si="136"/>
        <v>8.26</v>
      </c>
      <c r="K496" s="123">
        <f t="shared" si="137"/>
        <v>10.59</v>
      </c>
    </row>
    <row r="497" spans="2:11" s="76" customFormat="1" ht="15">
      <c r="B497" s="473" t="s">
        <v>13335</v>
      </c>
      <c r="C497" s="109" t="str">
        <f>QUANT!C927</f>
        <v>CP-PTR-46</v>
      </c>
      <c r="D497" s="109" t="str">
        <f>QUANT!D927</f>
        <v>PRÓPRIA</v>
      </c>
      <c r="E497" s="80" t="str">
        <f>IFERROR(VLOOKUP($C497,'SINAPI JULHO 2021'!$1:$1048576,2,0),IFERROR(VLOOKUP($C497,'5-COMP. PROPRIA'!$B$1:$I$7981,4,0),""))</f>
        <v>CONECTOR PERFURAÇÃO CDP 95 16-120 X 4-35MM - FORNECIMENTO E INSTALAÇÃO</v>
      </c>
      <c r="F497" s="81" t="str">
        <f>IFERROR(VLOOKUP($C497,'SINAPI JULHO 2021'!$A:$D,3,0),IFERROR(VLOOKUP($C497,'5-COMP. PROPRIA'!$B$1:$I$7981,5,0),""))</f>
        <v>UNI</v>
      </c>
      <c r="G497" s="129">
        <f>QUANT!K927</f>
        <v>1</v>
      </c>
      <c r="H497" s="218">
        <f>IFERROR(VLOOKUP($C497,'SINAPI JULHO 2021'!$A:$D,4,0),IFERROR(VLOOKUP($C497,'5-COMP. PROPRIA'!$B$1:$I$1240,8,0),""))</f>
        <v>48.23</v>
      </c>
      <c r="I497" s="200">
        <f>H497*'4-BDI'!$E$29</f>
        <v>61.850151999999994</v>
      </c>
      <c r="J497" s="201">
        <f t="shared" si="136"/>
        <v>48.23</v>
      </c>
      <c r="K497" s="123">
        <f t="shared" si="137"/>
        <v>61.85</v>
      </c>
    </row>
    <row r="498" spans="2:11" s="76" customFormat="1" ht="15">
      <c r="B498" s="473" t="s">
        <v>13336</v>
      </c>
      <c r="C498" s="109" t="str">
        <f>QUANT!C928</f>
        <v>CP-PTR-20</v>
      </c>
      <c r="D498" s="109" t="str">
        <f>QUANT!D928</f>
        <v>PRÓPRIA</v>
      </c>
      <c r="E498" s="80" t="str">
        <f>IFERROR(VLOOKUP($C498,'SINAPI JULHO 2021'!$1:$1048576,2,0),IFERROR(VLOOKUP($C498,'5-COMP. PROPRIA'!$B$1:$I$7981,4,0),""))</f>
        <v>PARAFUSO CABECA QUADRADA DE 300MM - FORNECIMENTO E INSTALAÇÃO</v>
      </c>
      <c r="F498" s="81" t="str">
        <f>IFERROR(VLOOKUP($C498,'SINAPI JULHO 2021'!$A:$D,3,0),IFERROR(VLOOKUP($C498,'5-COMP. PROPRIA'!$B$1:$I$7981,5,0),""))</f>
        <v>UNI</v>
      </c>
      <c r="G498" s="129">
        <f>QUANT!K928</f>
        <v>2</v>
      </c>
      <c r="H498" s="218">
        <f>IFERROR(VLOOKUP($C498,'SINAPI JULHO 2021'!$A:$D,4,0),IFERROR(VLOOKUP($C498,'5-COMP. PROPRIA'!$B$1:$I$1240,8,0),""))</f>
        <v>18.46</v>
      </c>
      <c r="I498" s="200">
        <f>H498*'4-BDI'!$E$29</f>
        <v>23.673104000000002</v>
      </c>
      <c r="J498" s="201">
        <f t="shared" si="136"/>
        <v>36.92</v>
      </c>
      <c r="K498" s="123">
        <f t="shared" si="137"/>
        <v>47.34</v>
      </c>
    </row>
    <row r="499" spans="2:11" s="76" customFormat="1" ht="15">
      <c r="B499" s="222" t="s">
        <v>6295</v>
      </c>
      <c r="C499" s="223"/>
      <c r="D499" s="224"/>
      <c r="E499" s="225" t="str">
        <f>QUANT!E929</f>
        <v>INTERLIGAÇÃO DO POSTO DE TRANSFORMAÇÃO AO QGBT</v>
      </c>
      <c r="F499" s="120"/>
      <c r="G499" s="129"/>
      <c r="H499" s="218"/>
      <c r="I499" s="200"/>
      <c r="J499" s="201"/>
      <c r="K499" s="123"/>
    </row>
    <row r="500" spans="2:11" s="76" customFormat="1" ht="30">
      <c r="B500" s="473" t="s">
        <v>13337</v>
      </c>
      <c r="C500" s="109">
        <f>QUANT!C930</f>
        <v>97670</v>
      </c>
      <c r="D500" s="109" t="str">
        <f>QUANT!D930</f>
        <v>SINAPI</v>
      </c>
      <c r="E500" s="80" t="str">
        <f>IFERROR(VLOOKUP($C500,'SINAPI JULHO 2021'!$1:$1048576,2,0),IFERROR(VLOOKUP($C500,'5-COMP. PROPRIA'!$B$1:$I$7981,4,0),""))</f>
        <v>ELETRODUTO FLEXÍVEL CORRUGADO, PEAD, DN 100 (4) - FORNECIMENTO E INSTALAÇÃO. AF_04/2016</v>
      </c>
      <c r="F500" s="81" t="str">
        <f>IFERROR(VLOOKUP($C500,'SINAPI JULHO 2021'!$A:$D,3,0),IFERROR(VLOOKUP($C500,'5-COMP. PROPRIA'!$B$1:$I$7981,5,0),""))</f>
        <v>M</v>
      </c>
      <c r="G500" s="129">
        <f>QUANT!K930</f>
        <v>37.299999999999997</v>
      </c>
      <c r="H500" s="218">
        <f>IFERROR(VLOOKUP($C500,'SINAPI JULHO 2021'!$A:$D,4,0),IFERROR(VLOOKUP($C500,'5-COMP. PROPRIA'!$B$1:$I$1240,8,0),""))</f>
        <v>19.23</v>
      </c>
      <c r="I500" s="200">
        <f>H500*'4-BDI'!$E$29</f>
        <v>24.660551999999999</v>
      </c>
      <c r="J500" s="201">
        <f t="shared" ref="J500:J502" si="138">TRUNC(G500*H500,2)</f>
        <v>717.27</v>
      </c>
      <c r="K500" s="123">
        <f t="shared" ref="K500:K502" si="139">TRUNC(G500*I500,2)</f>
        <v>919.83</v>
      </c>
    </row>
    <row r="501" spans="2:11" s="76" customFormat="1" ht="30">
      <c r="B501" s="473" t="s">
        <v>13338</v>
      </c>
      <c r="C501" s="109">
        <f>QUANT!C931</f>
        <v>92998</v>
      </c>
      <c r="D501" s="109" t="str">
        <f>QUANT!D931</f>
        <v>SINAPI</v>
      </c>
      <c r="E501" s="80" t="str">
        <f>IFERROR(VLOOKUP($C501,'SINAPI JULHO 2021'!$1:$1048576,2,0),IFERROR(VLOOKUP($C501,'5-COMP. PROPRIA'!$B$1:$I$7981,4,0),""))</f>
        <v>CABO DE COBRE FLEXÍVEL ISOLADO, 185 MM², ANTI-CHAMA 0,6/1,0 KV, PARA DISTRIBUIÇÃO - FORNECIMENTO E INSTALAÇÃO. AF_12/2015</v>
      </c>
      <c r="F501" s="81" t="str">
        <f>IFERROR(VLOOKUP($C501,'SINAPI JULHO 2021'!$A:$D,3,0),IFERROR(VLOOKUP($C501,'5-COMP. PROPRIA'!$B$1:$I$7981,5,0),""))</f>
        <v>M</v>
      </c>
      <c r="G501" s="129">
        <f>QUANT!K931</f>
        <v>79.2</v>
      </c>
      <c r="H501" s="218">
        <f>IFERROR(VLOOKUP($C501,'SINAPI JULHO 2021'!$A:$D,4,0),IFERROR(VLOOKUP($C501,'5-COMP. PROPRIA'!$B$1:$I$1240,8,0),""))</f>
        <v>199.85</v>
      </c>
      <c r="I501" s="200">
        <f>H501*'4-BDI'!$E$29</f>
        <v>256.28764000000001</v>
      </c>
      <c r="J501" s="201">
        <f t="shared" si="138"/>
        <v>15828.12</v>
      </c>
      <c r="K501" s="123">
        <f t="shared" si="139"/>
        <v>20297.98</v>
      </c>
    </row>
    <row r="502" spans="2:11" s="76" customFormat="1" ht="30">
      <c r="B502" s="473" t="s">
        <v>13339</v>
      </c>
      <c r="C502" s="109">
        <f>QUANT!C932</f>
        <v>92992</v>
      </c>
      <c r="D502" s="109" t="str">
        <f>QUANT!D932</f>
        <v>SINAPI</v>
      </c>
      <c r="E502" s="80" t="str">
        <f>IFERROR(VLOOKUP($C502,'SINAPI JULHO 2021'!$1:$1048576,2,0),IFERROR(VLOOKUP($C502,'5-COMP. PROPRIA'!$B$1:$I$7981,4,0),""))</f>
        <v>CABO DE COBRE FLEXÍVEL ISOLADO, 95 MM², ANTI-CHAMA 0,6/1,0 KV, PARA DISTRIBUIÇÃO - FORNECIMENTO E INSTALAÇÃO. AF_12/2015</v>
      </c>
      <c r="F502" s="81" t="str">
        <f>IFERROR(VLOOKUP($C502,'SINAPI JULHO 2021'!$A:$D,3,0),IFERROR(VLOOKUP($C502,'5-COMP. PROPRIA'!$B$1:$I$7981,5,0),""))</f>
        <v>M</v>
      </c>
      <c r="G502" s="129">
        <f>QUANT!K932</f>
        <v>19.8</v>
      </c>
      <c r="H502" s="218">
        <f>IFERROR(VLOOKUP($C502,'SINAPI JULHO 2021'!$A:$D,4,0),IFERROR(VLOOKUP($C502,'5-COMP. PROPRIA'!$B$1:$I$1240,8,0),""))</f>
        <v>101.77</v>
      </c>
      <c r="I502" s="200">
        <f>H502*'4-BDI'!$E$29</f>
        <v>130.50984800000001</v>
      </c>
      <c r="J502" s="201">
        <f t="shared" si="138"/>
        <v>2015.04</v>
      </c>
      <c r="K502" s="123">
        <f t="shared" si="139"/>
        <v>2584.09</v>
      </c>
    </row>
    <row r="503" spans="2:11" s="76" customFormat="1" ht="30">
      <c r="B503" s="473" t="s">
        <v>13340</v>
      </c>
      <c r="C503" s="109" t="str">
        <f>QUANT!C933</f>
        <v>CP-PTR-30</v>
      </c>
      <c r="D503" s="109" t="str">
        <f>QUANT!D933</f>
        <v>PRÓPRIA</v>
      </c>
      <c r="E503" s="80" t="str">
        <f>IFERROR(VLOOKUP($C503,'SINAPI JULHO 2021'!$1:$1048576,2,0),IFERROR(VLOOKUP($C503,'5-COMP. PROPRIA'!$B$1:$I$7981,4,0),""))</f>
        <v>TERMINAL METALICO A PRESSAO PARA 1 CABO DE 185 MM2, COM 1 FURO DE FIXACAO - FORNECIMENTO E INSTALAÇÃO</v>
      </c>
      <c r="F503" s="81" t="str">
        <f>IFERROR(VLOOKUP($C503,'SINAPI JULHO 2021'!$A:$D,3,0),IFERROR(VLOOKUP($C503,'5-COMP. PROPRIA'!$B$1:$I$7981,5,0),""))</f>
        <v>UNI</v>
      </c>
      <c r="G503" s="129">
        <f>QUANT!K933</f>
        <v>6</v>
      </c>
      <c r="H503" s="218">
        <f>IFERROR(VLOOKUP($C503,'SINAPI JULHO 2021'!$A:$D,4,0),IFERROR(VLOOKUP($C503,'5-COMP. PROPRIA'!$B$1:$I$1240,8,0),""))</f>
        <v>22.53</v>
      </c>
      <c r="I503" s="200">
        <f>H503*'4-BDI'!$E$29</f>
        <v>28.892472000000001</v>
      </c>
      <c r="J503" s="201">
        <f t="shared" ref="J503:J515" si="140">TRUNC(G503*H503,2)</f>
        <v>135.18</v>
      </c>
      <c r="K503" s="123">
        <f t="shared" ref="K503:K515" si="141">TRUNC(G503*I503,2)</f>
        <v>173.35</v>
      </c>
    </row>
    <row r="504" spans="2:11" s="76" customFormat="1" ht="30">
      <c r="B504" s="473" t="s">
        <v>13341</v>
      </c>
      <c r="C504" s="109" t="str">
        <f>QUANT!C934</f>
        <v>CP-PTR-31</v>
      </c>
      <c r="D504" s="109" t="str">
        <f>QUANT!D934</f>
        <v>PRÓPRIA</v>
      </c>
      <c r="E504" s="80" t="str">
        <f>IFERROR(VLOOKUP($C504,'SINAPI JULHO 2021'!$1:$1048576,2,0),IFERROR(VLOOKUP($C504,'5-COMP. PROPRIA'!$B$1:$I$7981,4,0),""))</f>
        <v>TERMINAL METALICO A PRESSAO PARA 1 CABO DE 95 MM2, COM 1 FURO DE FIXACAO - FORNECIMENTO E INSTALAÇÃO</v>
      </c>
      <c r="F504" s="81" t="str">
        <f>IFERROR(VLOOKUP($C504,'SINAPI JULHO 2021'!$A:$D,3,0),IFERROR(VLOOKUP($C504,'5-COMP. PROPRIA'!$B$1:$I$7981,5,0),""))</f>
        <v>UNI</v>
      </c>
      <c r="G504" s="129">
        <f>QUANT!K934</f>
        <v>2</v>
      </c>
      <c r="H504" s="218">
        <f>IFERROR(VLOOKUP($C504,'SINAPI JULHO 2021'!$A:$D,4,0),IFERROR(VLOOKUP($C504,'5-COMP. PROPRIA'!$B$1:$I$1240,8,0),""))</f>
        <v>13.75</v>
      </c>
      <c r="I504" s="200">
        <f>H504*'4-BDI'!$E$29</f>
        <v>17.632999999999999</v>
      </c>
      <c r="J504" s="201">
        <f t="shared" si="140"/>
        <v>27.5</v>
      </c>
      <c r="K504" s="123">
        <f t="shared" si="141"/>
        <v>35.26</v>
      </c>
    </row>
    <row r="505" spans="2:11" s="76" customFormat="1" ht="15">
      <c r="B505" s="473" t="s">
        <v>13342</v>
      </c>
      <c r="C505" s="109" t="str">
        <f>QUANT!C935</f>
        <v>CP-PTR-28</v>
      </c>
      <c r="D505" s="109" t="str">
        <f>QUANT!D935</f>
        <v>PRÓPRIA</v>
      </c>
      <c r="E505" s="80" t="str">
        <f>IFERROR(VLOOKUP($C505,'SINAPI JULHO 2021'!$1:$1048576,2,0),IFERROR(VLOOKUP($C505,'5-COMP. PROPRIA'!$B$1:$I$7981,4,0),""))</f>
        <v>DISJUNTOR TERMOMAGNETICO TRIPOLAR 300 A - 600 V - FORNECIMENTO E INSTALAÇÃO</v>
      </c>
      <c r="F505" s="81" t="str">
        <f>IFERROR(VLOOKUP($C505,'SINAPI JULHO 2021'!$A:$D,3,0),IFERROR(VLOOKUP($C505,'5-COMP. PROPRIA'!$B$1:$I$7981,5,0),""))</f>
        <v>UNI</v>
      </c>
      <c r="G505" s="129">
        <f>QUANT!K935</f>
        <v>1</v>
      </c>
      <c r="H505" s="218">
        <f>IFERROR(VLOOKUP($C505,'SINAPI JULHO 2021'!$A:$D,4,0),IFERROR(VLOOKUP($C505,'5-COMP. PROPRIA'!$B$1:$I$1240,8,0),""))</f>
        <v>1334.48</v>
      </c>
      <c r="I505" s="200">
        <f>H505*'4-BDI'!$E$29</f>
        <v>1711.3371520000001</v>
      </c>
      <c r="J505" s="201">
        <f t="shared" si="140"/>
        <v>1334.48</v>
      </c>
      <c r="K505" s="123">
        <f t="shared" si="141"/>
        <v>1711.33</v>
      </c>
    </row>
    <row r="506" spans="2:11" s="76" customFormat="1" ht="15">
      <c r="B506" s="473" t="s">
        <v>13343</v>
      </c>
      <c r="C506" s="109">
        <f>QUANT!C936</f>
        <v>93358</v>
      </c>
      <c r="D506" s="109" t="str">
        <f>QUANT!D936</f>
        <v>SINAPI</v>
      </c>
      <c r="E506" s="80" t="str">
        <f>IFERROR(VLOOKUP($C506,'SINAPI JULHO 2021'!$1:$1048576,2,0),IFERROR(VLOOKUP($C506,'5-COMP. PROPRIA'!$B$1:$I$7981,4,0),""))</f>
        <v>ESCAVAÇÃO MANUAL DE VALA COM PROFUNDIDADE MENOR OU IGUAL A 1,30 M. AF_02/2021</v>
      </c>
      <c r="F506" s="81" t="str">
        <f>IFERROR(VLOOKUP($C506,'SINAPI JULHO 2021'!$A:$D,3,0),IFERROR(VLOOKUP($C506,'5-COMP. PROPRIA'!$B$1:$I$7981,5,0),""))</f>
        <v>M3</v>
      </c>
      <c r="G506" s="129">
        <f>QUANT!K936</f>
        <v>4.95</v>
      </c>
      <c r="H506" s="218">
        <f>IFERROR(VLOOKUP($C506,'SINAPI JULHO 2021'!$A:$D,4,0),IFERROR(VLOOKUP($C506,'5-COMP. PROPRIA'!$B$1:$I$1240,8,0),""))</f>
        <v>55.46</v>
      </c>
      <c r="I506" s="200">
        <f>H506*'4-BDI'!$E$29</f>
        <v>71.121904000000001</v>
      </c>
      <c r="J506" s="201">
        <f t="shared" si="140"/>
        <v>274.52</v>
      </c>
      <c r="K506" s="123">
        <f t="shared" si="141"/>
        <v>352.05</v>
      </c>
    </row>
    <row r="507" spans="2:11" s="76" customFormat="1" ht="15">
      <c r="B507" s="473" t="s">
        <v>13344</v>
      </c>
      <c r="C507" s="109">
        <f>QUANT!C937</f>
        <v>96995</v>
      </c>
      <c r="D507" s="109" t="str">
        <f>QUANT!D937</f>
        <v>SINAPI</v>
      </c>
      <c r="E507" s="80" t="str">
        <f>IFERROR(VLOOKUP($C507,'SINAPI JULHO 2021'!$1:$1048576,2,0),IFERROR(VLOOKUP($C507,'5-COMP. PROPRIA'!$B$1:$I$7981,4,0),""))</f>
        <v>REATERRO MANUAL APILOADO COM SOQUETE. AF_10/2017</v>
      </c>
      <c r="F507" s="81" t="str">
        <f>IFERROR(VLOOKUP($C507,'SINAPI JULHO 2021'!$A:$D,3,0),IFERROR(VLOOKUP($C507,'5-COMP. PROPRIA'!$B$1:$I$7981,5,0),""))</f>
        <v>M3</v>
      </c>
      <c r="G507" s="129">
        <f>QUANT!K937</f>
        <v>4.95</v>
      </c>
      <c r="H507" s="218">
        <f>IFERROR(VLOOKUP($C507,'SINAPI JULHO 2021'!$A:$D,4,0),IFERROR(VLOOKUP($C507,'5-COMP. PROPRIA'!$B$1:$I$1240,8,0),""))</f>
        <v>33.619999999999997</v>
      </c>
      <c r="I507" s="200">
        <f>H507*'4-BDI'!$E$29</f>
        <v>43.114287999999995</v>
      </c>
      <c r="J507" s="201">
        <f t="shared" si="140"/>
        <v>166.41</v>
      </c>
      <c r="K507" s="123">
        <f t="shared" si="141"/>
        <v>213.41</v>
      </c>
    </row>
    <row r="508" spans="2:11" s="76" customFormat="1" ht="15">
      <c r="B508" s="473" t="s">
        <v>13345</v>
      </c>
      <c r="C508" s="109" t="str">
        <f>QUANT!C938</f>
        <v>CP-PTR-51</v>
      </c>
      <c r="D508" s="109" t="str">
        <f>QUANT!D938</f>
        <v>PRÓPRIA</v>
      </c>
      <c r="E508" s="80" t="str">
        <f>IFERROR(VLOOKUP($C508,'SINAPI JULHO 2021'!$1:$1048576,2,0),IFERROR(VLOOKUP($C508,'5-COMP. PROPRIA'!$B$1:$I$7981,4,0),""))</f>
        <v>BUCHA EM ALUMINIO, COM ROSCA, DE 4", PARA ELETRODUTO - FORNECIMENTO E INSTALAÇÃO</v>
      </c>
      <c r="F508" s="81" t="str">
        <f>IFERROR(VLOOKUP($C508,'SINAPI JULHO 2021'!$A:$D,3,0),IFERROR(VLOOKUP($C508,'5-COMP. PROPRIA'!$B$1:$I$7981,5,0),""))</f>
        <v>UNI</v>
      </c>
      <c r="G508" s="129">
        <f>QUANT!K938</f>
        <v>3</v>
      </c>
      <c r="H508" s="218">
        <f>IFERROR(VLOOKUP($C508,'SINAPI JULHO 2021'!$A:$D,4,0),IFERROR(VLOOKUP($C508,'5-COMP. PROPRIA'!$B$1:$I$1240,8,0),""))</f>
        <v>13.02</v>
      </c>
      <c r="I508" s="200">
        <f>H508*'4-BDI'!$E$29</f>
        <v>16.696847999999999</v>
      </c>
      <c r="J508" s="201">
        <f t="shared" si="140"/>
        <v>39.06</v>
      </c>
      <c r="K508" s="123">
        <f t="shared" si="141"/>
        <v>50.09</v>
      </c>
    </row>
    <row r="509" spans="2:11" s="76" customFormat="1" ht="30">
      <c r="B509" s="473" t="s">
        <v>13346</v>
      </c>
      <c r="C509" s="109" t="str">
        <f>QUANT!C939</f>
        <v>CP-PTR-52</v>
      </c>
      <c r="D509" s="109" t="str">
        <f>QUANT!D939</f>
        <v>PRÓPRIA</v>
      </c>
      <c r="E509" s="80" t="str">
        <f>IFERROR(VLOOKUP($C509,'SINAPI JULHO 2021'!$1:$1048576,2,0),IFERROR(VLOOKUP($C509,'5-COMP. PROPRIA'!$B$1:$I$7981,4,0),""))</f>
        <v>QUADRO DE DISTRIBUIÇÃO GERAL TIPO QUADRO DE COMANDO (QGBT) METÁLICO DE 600X1000X200CM - FORNECIMENTO E INSTALAÇÃO</v>
      </c>
      <c r="F509" s="81" t="str">
        <f>IFERROR(VLOOKUP($C509,'SINAPI JULHO 2021'!$A:$D,3,0),IFERROR(VLOOKUP($C509,'5-COMP. PROPRIA'!$B$1:$I$7981,5,0),""))</f>
        <v>UNI</v>
      </c>
      <c r="G509" s="129">
        <f>QUANT!K939</f>
        <v>1</v>
      </c>
      <c r="H509" s="218">
        <f>IFERROR(VLOOKUP($C509,'SINAPI JULHO 2021'!$A:$D,4,0),IFERROR(VLOOKUP($C509,'5-COMP. PROPRIA'!$B$1:$I$1240,8,0),""))</f>
        <v>1468.07</v>
      </c>
      <c r="I509" s="200">
        <f>H509*'4-BDI'!$E$29</f>
        <v>1882.6529679999999</v>
      </c>
      <c r="J509" s="201">
        <f t="shared" si="140"/>
        <v>1468.07</v>
      </c>
      <c r="K509" s="123">
        <f t="shared" si="141"/>
        <v>1882.65</v>
      </c>
    </row>
    <row r="510" spans="2:11" s="76" customFormat="1" ht="15">
      <c r="B510" s="473" t="s">
        <v>13347</v>
      </c>
      <c r="C510" s="109" t="str">
        <f>QUANT!C940</f>
        <v>CP-PTR-53</v>
      </c>
      <c r="D510" s="109" t="str">
        <f>QUANT!D940</f>
        <v>PRÓPRIA</v>
      </c>
      <c r="E510" s="80" t="str">
        <f>IFERROR(VLOOKUP($C510,'SINAPI JULHO 2021'!$1:$1048576,2,0),IFERROR(VLOOKUP($C510,'5-COMP. PROPRIA'!$B$1:$I$7981,4,0),""))</f>
        <v>MURETA  EM ALVENARIA 1 VEZ DIM 2,20X1,00 METROS COM COBERTURA DE 5% INCLINAÇÃO - QGBT</v>
      </c>
      <c r="F510" s="81" t="str">
        <f>IFERROR(VLOOKUP($C510,'SINAPI JULHO 2021'!$A:$D,3,0),IFERROR(VLOOKUP($C510,'5-COMP. PROPRIA'!$B$1:$I$7981,5,0),""))</f>
        <v>UNI</v>
      </c>
      <c r="G510" s="129">
        <f>QUANT!K940</f>
        <v>1</v>
      </c>
      <c r="H510" s="218">
        <f>IFERROR(VLOOKUP($C510,'SINAPI JULHO 2021'!$A:$D,4,0),IFERROR(VLOOKUP($C510,'5-COMP. PROPRIA'!$B$1:$I$1240,8,0),""))</f>
        <v>1091.5999999999999</v>
      </c>
      <c r="I510" s="200">
        <f>H510*'4-BDI'!$E$29</f>
        <v>1399.8678399999999</v>
      </c>
      <c r="J510" s="201">
        <f t="shared" si="140"/>
        <v>1091.5999999999999</v>
      </c>
      <c r="K510" s="123">
        <f t="shared" si="141"/>
        <v>1399.86</v>
      </c>
    </row>
    <row r="511" spans="2:11" s="76" customFormat="1" ht="15">
      <c r="B511" s="473" t="s">
        <v>13348</v>
      </c>
      <c r="C511" s="109" t="str">
        <f>QUANT!C941</f>
        <v>CP-PTR-54</v>
      </c>
      <c r="D511" s="109" t="str">
        <f>QUANT!D941</f>
        <v>PRÓPRIA</v>
      </c>
      <c r="E511" s="80" t="str">
        <f>IFERROR(VLOOKUP($C511,'SINAPI JULHO 2021'!$1:$1048576,2,0),IFERROR(VLOOKUP($C511,'5-COMP. PROPRIA'!$B$1:$I$7981,4,0),""))</f>
        <v>BARRAMENTO DE COBRE PARA 400A - FORNECIMENTO E INSTALAÇÃO</v>
      </c>
      <c r="F511" s="81" t="str">
        <f>IFERROR(VLOOKUP($C511,'SINAPI JULHO 2021'!$A:$D,3,0),IFERROR(VLOOKUP($C511,'5-COMP. PROPRIA'!$B$1:$I$7981,5,0),""))</f>
        <v>M</v>
      </c>
      <c r="G511" s="129">
        <f>QUANT!K941</f>
        <v>2.2000000000000002</v>
      </c>
      <c r="H511" s="218">
        <f>IFERROR(VLOOKUP($C511,'SINAPI JULHO 2021'!$A:$D,4,0),IFERROR(VLOOKUP($C511,'5-COMP. PROPRIA'!$B$1:$I$1240,8,0),""))</f>
        <v>627.69000000000005</v>
      </c>
      <c r="I511" s="200">
        <f>H511*'4-BDI'!$E$29</f>
        <v>804.949656</v>
      </c>
      <c r="J511" s="201">
        <f t="shared" si="140"/>
        <v>1380.91</v>
      </c>
      <c r="K511" s="123">
        <f t="shared" si="141"/>
        <v>1770.88</v>
      </c>
    </row>
    <row r="512" spans="2:11" s="76" customFormat="1" ht="15">
      <c r="B512" s="473" t="s">
        <v>13349</v>
      </c>
      <c r="C512" s="109" t="str">
        <f>QUANT!C942</f>
        <v>CP-PTR-55</v>
      </c>
      <c r="D512" s="109" t="str">
        <f>QUANT!D942</f>
        <v>PRÓPRIA</v>
      </c>
      <c r="E512" s="80" t="str">
        <f>IFERROR(VLOOKUP($C512,'SINAPI JULHO 2021'!$1:$1048576,2,0),IFERROR(VLOOKUP($C512,'5-COMP. PROPRIA'!$B$1:$I$7981,4,0),""))</f>
        <v>BARRAMENTO DE COBRE PARA 200A - FORNECIMENTO E INSTALAÇÃO</v>
      </c>
      <c r="F512" s="81" t="str">
        <f>IFERROR(VLOOKUP($C512,'SINAPI JULHO 2021'!$A:$D,3,0),IFERROR(VLOOKUP($C512,'5-COMP. PROPRIA'!$B$1:$I$7981,5,0),""))</f>
        <v>M</v>
      </c>
      <c r="G512" s="129">
        <f>QUANT!K942</f>
        <v>6</v>
      </c>
      <c r="H512" s="218">
        <f>IFERROR(VLOOKUP($C512,'SINAPI JULHO 2021'!$A:$D,4,0),IFERROR(VLOOKUP($C512,'5-COMP. PROPRIA'!$B$1:$I$1240,8,0),""))</f>
        <v>223.69</v>
      </c>
      <c r="I512" s="200">
        <f>H512*'4-BDI'!$E$29</f>
        <v>286.86005599999999</v>
      </c>
      <c r="J512" s="201">
        <f t="shared" si="140"/>
        <v>1342.14</v>
      </c>
      <c r="K512" s="123">
        <f t="shared" si="141"/>
        <v>1721.16</v>
      </c>
    </row>
    <row r="513" spans="2:11" s="76" customFormat="1" ht="15">
      <c r="B513" s="473" t="s">
        <v>13350</v>
      </c>
      <c r="C513" s="109" t="str">
        <f>QUANT!C943</f>
        <v>CP-PTR-56</v>
      </c>
      <c r="D513" s="109" t="str">
        <f>QUANT!D943</f>
        <v>PRÓPRIA</v>
      </c>
      <c r="E513" s="80" t="str">
        <f>IFERROR(VLOOKUP($C513,'SINAPI JULHO 2021'!$1:$1048576,2,0),IFERROR(VLOOKUP($C513,'5-COMP. PROPRIA'!$B$1:$I$7981,4,0),""))</f>
        <v>ISOLADOR POXI 3/4" - FORNECIMENTO E INSTALAÇÃO</v>
      </c>
      <c r="F513" s="81" t="str">
        <f>IFERROR(VLOOKUP($C513,'SINAPI JULHO 2021'!$A:$D,3,0),IFERROR(VLOOKUP($C513,'5-COMP. PROPRIA'!$B$1:$I$7981,5,0),""))</f>
        <v>UNI</v>
      </c>
      <c r="G513" s="129">
        <f>QUANT!K943</f>
        <v>20</v>
      </c>
      <c r="H513" s="218">
        <f>IFERROR(VLOOKUP($C513,'SINAPI JULHO 2021'!$A:$D,4,0),IFERROR(VLOOKUP($C513,'5-COMP. PROPRIA'!$B$1:$I$1240,8,0),""))</f>
        <v>14.79</v>
      </c>
      <c r="I513" s="200">
        <f>H513*'4-BDI'!$E$29</f>
        <v>18.966695999999999</v>
      </c>
      <c r="J513" s="201">
        <f t="shared" si="140"/>
        <v>295.8</v>
      </c>
      <c r="K513" s="123">
        <f t="shared" si="141"/>
        <v>379.33</v>
      </c>
    </row>
    <row r="514" spans="2:11" s="76" customFormat="1" ht="15">
      <c r="B514" s="473" t="s">
        <v>13351</v>
      </c>
      <c r="C514" s="109" t="str">
        <f>QUANT!C944</f>
        <v>CP-PTR-57</v>
      </c>
      <c r="D514" s="109" t="str">
        <f>QUANT!D944</f>
        <v>PRÓPRIA</v>
      </c>
      <c r="E514" s="80" t="str">
        <f>IFERROR(VLOOKUP($C514,'SINAPI JULHO 2021'!$1:$1048576,2,0),IFERROR(VLOOKUP($C514,'5-COMP. PROPRIA'!$B$1:$I$7981,4,0),""))</f>
        <v>CHAPA ACRÍLICA TRANSPARENTE - FORNECIMENTO E INSTALAÇÃO</v>
      </c>
      <c r="F514" s="81" t="str">
        <f>IFERROR(VLOOKUP($C514,'SINAPI JULHO 2021'!$A:$D,3,0),IFERROR(VLOOKUP($C514,'5-COMP. PROPRIA'!$B$1:$I$7981,5,0),""))</f>
        <v>UNI</v>
      </c>
      <c r="G514" s="129">
        <f>QUANT!K944</f>
        <v>1</v>
      </c>
      <c r="H514" s="218">
        <f>IFERROR(VLOOKUP($C514,'SINAPI JULHO 2021'!$A:$D,4,0),IFERROR(VLOOKUP($C514,'5-COMP. PROPRIA'!$B$1:$I$1240,8,0),""))</f>
        <v>221.27</v>
      </c>
      <c r="I514" s="200">
        <f>H514*'4-BDI'!$E$29</f>
        <v>283.75664799999998</v>
      </c>
      <c r="J514" s="201">
        <f t="shared" si="140"/>
        <v>221.27</v>
      </c>
      <c r="K514" s="123">
        <f t="shared" si="141"/>
        <v>283.75</v>
      </c>
    </row>
    <row r="515" spans="2:11" s="76" customFormat="1" ht="15">
      <c r="B515" s="473" t="s">
        <v>13352</v>
      </c>
      <c r="C515" s="109" t="str">
        <f>QUANT!C945</f>
        <v>CP-PTR-58</v>
      </c>
      <c r="D515" s="109" t="str">
        <f>QUANT!D945</f>
        <v>PRÓPRIA</v>
      </c>
      <c r="E515" s="80" t="str">
        <f>IFERROR(VLOOKUP($C515,'SINAPI JULHO 2021'!$1:$1048576,2,0),IFERROR(VLOOKUP($C515,'5-COMP. PROPRIA'!$B$1:$I$7981,4,0),""))</f>
        <v>DISJUNTOR TERMOMAGNETICO CAIXA MOLDADA TRIPOLAR 150A - FORNECIMENTO E INSTALAÇÃO</v>
      </c>
      <c r="F515" s="81" t="str">
        <f>IFERROR(VLOOKUP($C515,'SINAPI JULHO 2021'!$A:$D,3,0),IFERROR(VLOOKUP($C515,'5-COMP. PROPRIA'!$B$1:$I$7981,5,0),""))</f>
        <v>UNI</v>
      </c>
      <c r="G515" s="129">
        <f>QUANT!K945</f>
        <v>2</v>
      </c>
      <c r="H515" s="218">
        <f>IFERROR(VLOOKUP($C515,'SINAPI JULHO 2021'!$A:$D,4,0),IFERROR(VLOOKUP($C515,'5-COMP. PROPRIA'!$B$1:$I$1240,8,0),""))</f>
        <v>434.83</v>
      </c>
      <c r="I515" s="200">
        <f>H515*'4-BDI'!$E$29</f>
        <v>557.625992</v>
      </c>
      <c r="J515" s="201">
        <f t="shared" si="140"/>
        <v>869.66</v>
      </c>
      <c r="K515" s="123">
        <f t="shared" si="141"/>
        <v>1115.25</v>
      </c>
    </row>
    <row r="516" spans="2:11" s="76" customFormat="1" ht="15">
      <c r="B516" s="473" t="s">
        <v>13353</v>
      </c>
      <c r="C516" s="109" t="str">
        <f>QUANT!C946</f>
        <v>CP-PTR-59</v>
      </c>
      <c r="D516" s="109" t="str">
        <f>QUANT!D946</f>
        <v>PRÓPRIA</v>
      </c>
      <c r="E516" s="80" t="str">
        <f>IFERROR(VLOOKUP($C516,'SINAPI JULHO 2021'!$1:$1048576,2,0),IFERROR(VLOOKUP($C516,'5-COMP. PROPRIA'!$B$1:$I$7981,4,0),""))</f>
        <v>DISJUNTOR TERMOMAGNÉTICO DIN TRIPOLAR 100A - FORNECIMENTO E INSTALAÇÃO</v>
      </c>
      <c r="F516" s="81" t="str">
        <f>IFERROR(VLOOKUP($C516,'SINAPI JULHO 2021'!$A:$D,3,0),IFERROR(VLOOKUP($C516,'5-COMP. PROPRIA'!$B$1:$I$7981,5,0),""))</f>
        <v>UNI</v>
      </c>
      <c r="G516" s="129">
        <f>QUANT!K946</f>
        <v>2</v>
      </c>
      <c r="H516" s="218">
        <f>IFERROR(VLOOKUP($C516,'SINAPI JULHO 2021'!$A:$D,4,0),IFERROR(VLOOKUP($C516,'5-COMP. PROPRIA'!$B$1:$I$1240,8,0),""))</f>
        <v>381</v>
      </c>
      <c r="I516" s="200">
        <f>H516*'4-BDI'!$E$29</f>
        <v>488.59440000000001</v>
      </c>
      <c r="J516" s="201">
        <f t="shared" ref="J516:J520" si="142">TRUNC(G516*H516,2)</f>
        <v>762</v>
      </c>
      <c r="K516" s="123">
        <f t="shared" ref="K516:K520" si="143">TRUNC(G516*I516,2)</f>
        <v>977.18</v>
      </c>
    </row>
    <row r="517" spans="2:11" s="76" customFormat="1" ht="15">
      <c r="B517" s="473" t="s">
        <v>13354</v>
      </c>
      <c r="C517" s="109" t="str">
        <f>QUANT!C947</f>
        <v>CP-PTR-60</v>
      </c>
      <c r="D517" s="109" t="str">
        <f>QUANT!D947</f>
        <v>PRÓPRIA</v>
      </c>
      <c r="E517" s="80" t="str">
        <f>IFERROR(VLOOKUP($C517,'SINAPI JULHO 2021'!$1:$1048576,2,0),IFERROR(VLOOKUP($C517,'5-COMP. PROPRIA'!$B$1:$I$7981,4,0),""))</f>
        <v>DISJUNTOR TERMOMAGNÉTICO DIN TRIPOLAR 63A - FORNECIMENTO E INSTALAÇÃO</v>
      </c>
      <c r="F517" s="81" t="str">
        <f>IFERROR(VLOOKUP($C517,'SINAPI JULHO 2021'!$A:$D,3,0),IFERROR(VLOOKUP($C517,'5-COMP. PROPRIA'!$B$1:$I$7981,5,0),""))</f>
        <v>UNI</v>
      </c>
      <c r="G517" s="129">
        <f>QUANT!K947</f>
        <v>1</v>
      </c>
      <c r="H517" s="218">
        <f>IFERROR(VLOOKUP($C517,'SINAPI JULHO 2021'!$A:$D,4,0),IFERROR(VLOOKUP($C517,'5-COMP. PROPRIA'!$B$1:$I$1240,8,0),""))</f>
        <v>96.55</v>
      </c>
      <c r="I517" s="200">
        <f>H517*'4-BDI'!$E$29</f>
        <v>123.81572</v>
      </c>
      <c r="J517" s="201">
        <f t="shared" si="142"/>
        <v>96.55</v>
      </c>
      <c r="K517" s="123">
        <f t="shared" si="143"/>
        <v>123.81</v>
      </c>
    </row>
    <row r="518" spans="2:11" s="76" customFormat="1" ht="30">
      <c r="B518" s="473" t="s">
        <v>13355</v>
      </c>
      <c r="C518" s="109">
        <f>QUANT!C948</f>
        <v>93672</v>
      </c>
      <c r="D518" s="109" t="str">
        <f>QUANT!D948</f>
        <v>SINAPI</v>
      </c>
      <c r="E518" s="80" t="str">
        <f>IFERROR(VLOOKUP($C518,'SINAPI JULHO 2021'!$1:$1048576,2,0),IFERROR(VLOOKUP($C518,'5-COMP. PROPRIA'!$B$1:$I$7981,4,0),""))</f>
        <v>DISJUNTOR TRIPOLAR TIPO DIN, CORRENTE NOMINAL DE 40A - FORNECIMENTO E INSTALAÇÃO. AF_10/2020</v>
      </c>
      <c r="F518" s="81" t="str">
        <f>IFERROR(VLOOKUP($C518,'SINAPI JULHO 2021'!$A:$D,3,0),IFERROR(VLOOKUP($C518,'5-COMP. PROPRIA'!$B$1:$I$7981,5,0),""))</f>
        <v>UN</v>
      </c>
      <c r="G518" s="129">
        <f>QUANT!K948</f>
        <v>1</v>
      </c>
      <c r="H518" s="218">
        <f>IFERROR(VLOOKUP($C518,'SINAPI JULHO 2021'!$A:$D,4,0),IFERROR(VLOOKUP($C518,'5-COMP. PROPRIA'!$B$1:$I$1240,8,0),""))</f>
        <v>83.14</v>
      </c>
      <c r="I518" s="200">
        <f>H518*'4-BDI'!$E$29</f>
        <v>106.618736</v>
      </c>
      <c r="J518" s="201">
        <f t="shared" si="142"/>
        <v>83.14</v>
      </c>
      <c r="K518" s="123">
        <f t="shared" si="143"/>
        <v>106.61</v>
      </c>
    </row>
    <row r="519" spans="2:11" s="76" customFormat="1" ht="15">
      <c r="B519" s="473" t="s">
        <v>13356</v>
      </c>
      <c r="C519" s="109" t="str">
        <f>QUANT!C949</f>
        <v>CP-PTR-61</v>
      </c>
      <c r="D519" s="109" t="str">
        <f>QUANT!D949</f>
        <v>PRÓPRIA</v>
      </c>
      <c r="E519" s="80" t="str">
        <f>IFERROR(VLOOKUP($C519,'SINAPI JULHO 2021'!$1:$1048576,2,0),IFERROR(VLOOKUP($C519,'5-COMP. PROPRIA'!$B$1:$I$7981,4,0),""))</f>
        <v>PARAFUSO SEXTAVADO INOXIDÁVEL DE Ø5/16"</v>
      </c>
      <c r="F519" s="81" t="str">
        <f>IFERROR(VLOOKUP($C519,'SINAPI JULHO 2021'!$A:$D,3,0),IFERROR(VLOOKUP($C519,'5-COMP. PROPRIA'!$B$1:$I$7981,5,0),""))</f>
        <v>UNI</v>
      </c>
      <c r="G519" s="129">
        <f>QUANT!K949</f>
        <v>20</v>
      </c>
      <c r="H519" s="218">
        <f>IFERROR(VLOOKUP($C519,'SINAPI JULHO 2021'!$A:$D,4,0),IFERROR(VLOOKUP($C519,'5-COMP. PROPRIA'!$B$1:$I$1240,8,0),""))</f>
        <v>3.89</v>
      </c>
      <c r="I519" s="200">
        <f>H519*'4-BDI'!$E$29</f>
        <v>4.9885359999999999</v>
      </c>
      <c r="J519" s="201">
        <f t="shared" si="142"/>
        <v>77.8</v>
      </c>
      <c r="K519" s="123">
        <f t="shared" si="143"/>
        <v>99.77</v>
      </c>
    </row>
    <row r="520" spans="2:11" s="76" customFormat="1" ht="15">
      <c r="B520" s="473" t="s">
        <v>13357</v>
      </c>
      <c r="C520" s="109" t="str">
        <f>QUANT!C950</f>
        <v>CP-PTR-62</v>
      </c>
      <c r="D520" s="109" t="str">
        <f>QUANT!D950</f>
        <v>PRÓPRIA</v>
      </c>
      <c r="E520" s="80" t="str">
        <f>IFERROR(VLOOKUP($C520,'SINAPI JULHO 2021'!$1:$1048576,2,0),IFERROR(VLOOKUP($C520,'5-COMP. PROPRIA'!$B$1:$I$7981,4,0),""))</f>
        <v>PARAFUSO COBREADO DE Ø3/8"</v>
      </c>
      <c r="F520" s="81" t="str">
        <f>IFERROR(VLOOKUP($C520,'SINAPI JULHO 2021'!$A:$D,3,0),IFERROR(VLOOKUP($C520,'5-COMP. PROPRIA'!$B$1:$I$7981,5,0),""))</f>
        <v>UNI</v>
      </c>
      <c r="G520" s="129">
        <f>QUANT!K950</f>
        <v>50</v>
      </c>
      <c r="H520" s="218">
        <f>IFERROR(VLOOKUP($C520,'SINAPI JULHO 2021'!$A:$D,4,0),IFERROR(VLOOKUP($C520,'5-COMP. PROPRIA'!$B$1:$I$1240,8,0),""))</f>
        <v>4.3499999999999996</v>
      </c>
      <c r="I520" s="200">
        <f>H520*'4-BDI'!$E$29</f>
        <v>5.5784399999999996</v>
      </c>
      <c r="J520" s="201">
        <f t="shared" si="142"/>
        <v>217.5</v>
      </c>
      <c r="K520" s="123">
        <f t="shared" si="143"/>
        <v>278.92</v>
      </c>
    </row>
    <row r="521" spans="2:11" s="76" customFormat="1" ht="30">
      <c r="B521" s="473" t="s">
        <v>13358</v>
      </c>
      <c r="C521" s="109">
        <f>QUANT!C951</f>
        <v>97892</v>
      </c>
      <c r="D521" s="109" t="str">
        <f>QUANT!D951</f>
        <v>SINAPI</v>
      </c>
      <c r="E521" s="80" t="str">
        <f>IFERROR(VLOOKUP($C521,'SINAPI JULHO 2021'!$1:$1048576,2,0),IFERROR(VLOOKUP($C521,'5-COMP. PROPRIA'!$B$1:$I$7981,4,0),""))</f>
        <v>CAIXA ENTERRADA ELÉTRICA RETANGULAR, EM ALVENARIA COM BLOCOS DE CONCRETO, FUNDO COM BRITA, DIMENSÕES INTERNAS: 0,6X0,6X0,6 M. AF_12/2020</v>
      </c>
      <c r="F521" s="81" t="str">
        <f>IFERROR(VLOOKUP($C521,'SINAPI JULHO 2021'!$A:$D,3,0),IFERROR(VLOOKUP($C521,'5-COMP. PROPRIA'!$B$1:$I$7981,5,0),""))</f>
        <v>UN</v>
      </c>
      <c r="G521" s="129">
        <f>QUANT!K951</f>
        <v>2</v>
      </c>
      <c r="H521" s="218">
        <f>IFERROR(VLOOKUP($C521,'SINAPI JULHO 2021'!$A:$D,4,0),IFERROR(VLOOKUP($C521,'5-COMP. PROPRIA'!$B$1:$I$1240,8,0),""))</f>
        <v>292.26</v>
      </c>
      <c r="I521" s="200">
        <f>H521*'4-BDI'!$E$29</f>
        <v>374.79422399999999</v>
      </c>
      <c r="J521" s="201">
        <f t="shared" ref="J521" si="144">TRUNC(G521*H521,2)</f>
        <v>584.52</v>
      </c>
      <c r="K521" s="123">
        <f t="shared" ref="K521" si="145">TRUNC(G521*I521,2)</f>
        <v>749.58</v>
      </c>
    </row>
    <row r="522" spans="2:11" s="76" customFormat="1" ht="15">
      <c r="B522" s="834" t="s">
        <v>3507</v>
      </c>
      <c r="C522" s="835"/>
      <c r="D522" s="835"/>
      <c r="E522" s="835"/>
      <c r="F522" s="835"/>
      <c r="G522" s="835"/>
      <c r="H522" s="835"/>
      <c r="I522" s="124"/>
      <c r="J522" s="126">
        <f>TRUNC(SUM(J424:J521),2)</f>
        <v>74470.53</v>
      </c>
      <c r="K522" s="125">
        <f>TRUNC(SUM(K424:K521),2)</f>
        <v>95500.57</v>
      </c>
    </row>
    <row r="523" spans="2:11" ht="15">
      <c r="B523" s="5" t="s">
        <v>6296</v>
      </c>
      <c r="C523" s="6"/>
      <c r="D523" s="7"/>
      <c r="E523" s="8" t="str">
        <f>QUANT!E952</f>
        <v>CABEAMENTO ESTRUTURADO</v>
      </c>
      <c r="F523" s="9"/>
      <c r="G523" s="128"/>
      <c r="H523" s="221"/>
      <c r="I523" s="121"/>
      <c r="J523" s="121"/>
      <c r="K523" s="122"/>
    </row>
    <row r="524" spans="2:11" ht="15">
      <c r="B524" s="222" t="s">
        <v>6297</v>
      </c>
      <c r="C524" s="223"/>
      <c r="D524" s="224"/>
      <c r="E524" s="225" t="str">
        <f>QUANT!E953</f>
        <v>ACESSÓRIOS CABEAMENTO</v>
      </c>
      <c r="F524" s="120"/>
      <c r="G524" s="129"/>
      <c r="H524" s="218"/>
      <c r="I524" s="200"/>
      <c r="J524" s="201"/>
      <c r="K524" s="123"/>
    </row>
    <row r="525" spans="2:11" ht="15">
      <c r="B525" s="473" t="s">
        <v>6975</v>
      </c>
      <c r="C525" s="79">
        <f>QUANT!C954</f>
        <v>98307</v>
      </c>
      <c r="D525" s="79" t="str">
        <f>QUANT!D954</f>
        <v>SINAPI</v>
      </c>
      <c r="E525" s="80" t="str">
        <f>IFERROR(VLOOKUP($C525,'SINAPI JULHO 2021'!$1:$1048576,2,0),IFERROR(VLOOKUP($C525,'5-COMP. PROPRIA'!$B$1:$I$7981,4,0),""))</f>
        <v>TOMADA DE REDE RJ45 - FORNECIMENTO E INSTALAÇÃO. AF_11/2019</v>
      </c>
      <c r="F525" s="81" t="str">
        <f>IFERROR(VLOOKUP($C525,'SINAPI JULHO 2021'!$A:$D,3,0),IFERROR(VLOOKUP($C525,'5-COMP. PROPRIA'!$B$1:$I$7981,5,0),""))</f>
        <v>UN</v>
      </c>
      <c r="G525" s="129">
        <f>QUANT!K954</f>
        <v>49</v>
      </c>
      <c r="H525" s="218">
        <f>IFERROR(VLOOKUP($C525,'SINAPI JULHO 2021'!$A:$D,4,0),IFERROR(VLOOKUP($C525,'5-COMP. PROPRIA'!$B$1:$I$1240,8,0),""))</f>
        <v>35.67</v>
      </c>
      <c r="I525" s="200">
        <f>H525*'4-BDI'!$E$29</f>
        <v>45.743208000000003</v>
      </c>
      <c r="J525" s="201">
        <f>TRUNC(G525*H525,2)</f>
        <v>1747.83</v>
      </c>
      <c r="K525" s="123">
        <f>TRUNC(G525*I525,2)</f>
        <v>2241.41</v>
      </c>
    </row>
    <row r="526" spans="2:11" ht="15">
      <c r="B526" s="473" t="s">
        <v>6976</v>
      </c>
      <c r="C526" s="79">
        <f>QUANT!C955</f>
        <v>98302</v>
      </c>
      <c r="D526" s="79" t="str">
        <f>QUANT!D955</f>
        <v>SINAPI</v>
      </c>
      <c r="E526" s="80" t="str">
        <f>IFERROR(VLOOKUP($C526,'SINAPI JULHO 2021'!$1:$1048576,2,0),IFERROR(VLOOKUP($C526,'5-COMP. PROPRIA'!$B$1:$I$7981,4,0),""))</f>
        <v>PATCH PANEL 24 PORTAS, CATEGORIA 6 - FORNECIMENTO E INSTALAÇÃO. AF_11/2019</v>
      </c>
      <c r="F526" s="81" t="str">
        <f>IFERROR(VLOOKUP($C526,'SINAPI JULHO 2021'!$A:$D,3,0),IFERROR(VLOOKUP($C526,'5-COMP. PROPRIA'!$B$1:$I$7981,5,0),""))</f>
        <v>UN</v>
      </c>
      <c r="G526" s="129">
        <f>QUANT!K955</f>
        <v>5</v>
      </c>
      <c r="H526" s="218">
        <f>IFERROR(VLOOKUP($C526,'SINAPI JULHO 2021'!$A:$D,4,0),IFERROR(VLOOKUP($C526,'5-COMP. PROPRIA'!$B$1:$I$1240,8,0),""))</f>
        <v>548.41999999999996</v>
      </c>
      <c r="I526" s="200">
        <f>H526*'4-BDI'!$E$29</f>
        <v>703.2938079999999</v>
      </c>
      <c r="J526" s="201">
        <f t="shared" ref="J526:J537" si="146">TRUNC(G526*H526,2)</f>
        <v>2742.1</v>
      </c>
      <c r="K526" s="123">
        <f t="shared" ref="K526:K537" si="147">TRUNC(G526*I526,2)</f>
        <v>3516.46</v>
      </c>
    </row>
    <row r="527" spans="2:11" ht="15">
      <c r="B527" s="473" t="s">
        <v>6977</v>
      </c>
      <c r="C527" s="79" t="str">
        <f>QUANT!C956</f>
        <v>CP-RED-01</v>
      </c>
      <c r="D527" s="79" t="str">
        <f>QUANT!D956</f>
        <v>PRÓPRIA</v>
      </c>
      <c r="E527" s="80" t="str">
        <f>IFERROR(VLOOKUP($C527,'SINAPI JULHO 2021'!$1:$1048576,2,0),IFERROR(VLOOKUP($C527,'5-COMP. PROPRIA'!$B$1:$I$7981,4,0),""))</f>
        <v>PLUGUE 110 IDC - 4 PARES - FORNECIMENTO E INSTALAÇÃO</v>
      </c>
      <c r="F527" s="81" t="str">
        <f>IFERROR(VLOOKUP($C527,'SINAPI JULHO 2021'!$A:$D,3,0),IFERROR(VLOOKUP($C527,'5-COMP. PROPRIA'!$B$1:$I$7981,5,0),""))</f>
        <v>UN</v>
      </c>
      <c r="G527" s="129">
        <f>QUANT!K956</f>
        <v>96</v>
      </c>
      <c r="H527" s="218">
        <f>IFERROR(VLOOKUP($C527,'SINAPI JULHO 2021'!$A:$D,4,0),IFERROR(VLOOKUP($C527,'5-COMP. PROPRIA'!$B$1:$I$1240,8,0),""))</f>
        <v>28.23</v>
      </c>
      <c r="I527" s="200">
        <f>H527*'4-BDI'!$E$29</f>
        <v>36.202151999999998</v>
      </c>
      <c r="J527" s="201">
        <f t="shared" si="146"/>
        <v>2710.08</v>
      </c>
      <c r="K527" s="123">
        <f t="shared" si="147"/>
        <v>3475.4</v>
      </c>
    </row>
    <row r="528" spans="2:11" ht="15">
      <c r="B528" s="473" t="s">
        <v>6978</v>
      </c>
      <c r="C528" s="79" t="str">
        <f>QUANT!C957</f>
        <v>CP-RED-02</v>
      </c>
      <c r="D528" s="79" t="str">
        <f>QUANT!D957</f>
        <v>PRÓPRIA</v>
      </c>
      <c r="E528" s="80" t="str">
        <f>IFERROR(VLOOKUP($C528,'SINAPI JULHO 2021'!$1:$1048576,2,0),IFERROR(VLOOKUP($C528,'5-COMP. PROPRIA'!$B$1:$I$7981,4,0),""))</f>
        <v>SWITCH 24 PORTAS (10/100) BASETX/POE - FORNECIMENTO E INSTALAÇÃO</v>
      </c>
      <c r="F528" s="81" t="str">
        <f>IFERROR(VLOOKUP($C528,'SINAPI JULHO 2021'!$A:$D,3,0),IFERROR(VLOOKUP($C528,'5-COMP. PROPRIA'!$B$1:$I$7981,5,0),""))</f>
        <v>UN</v>
      </c>
      <c r="G528" s="129">
        <f>QUANT!K957</f>
        <v>2</v>
      </c>
      <c r="H528" s="218">
        <f>IFERROR(VLOOKUP($C528,'SINAPI JULHO 2021'!$A:$D,4,0),IFERROR(VLOOKUP($C528,'5-COMP. PROPRIA'!$B$1:$I$1240,8,0),""))</f>
        <v>3503.23</v>
      </c>
      <c r="I528" s="200">
        <f>H528*'4-BDI'!$E$29</f>
        <v>4492.542152</v>
      </c>
      <c r="J528" s="201">
        <f t="shared" si="146"/>
        <v>7006.46</v>
      </c>
      <c r="K528" s="123">
        <f t="shared" si="147"/>
        <v>8985.08</v>
      </c>
    </row>
    <row r="529" spans="2:11" ht="15">
      <c r="B529" s="473" t="s">
        <v>6979</v>
      </c>
      <c r="C529" s="79" t="str">
        <f>QUANT!C958</f>
        <v>CP-RED-03</v>
      </c>
      <c r="D529" s="79" t="str">
        <f>QUANT!D958</f>
        <v>PRÓPRIA</v>
      </c>
      <c r="E529" s="80" t="str">
        <f>IFERROR(VLOOKUP($C529,'SINAPI JULHO 2021'!$1:$1048576,2,0),IFERROR(VLOOKUP($C529,'5-COMP. PROPRIA'!$B$1:$I$7981,4,0),""))</f>
        <v>VOICE PANEL 30 PORTAS RJ 45</v>
      </c>
      <c r="F529" s="81" t="str">
        <f>IFERROR(VLOOKUP($C529,'SINAPI JULHO 2021'!$A:$D,3,0),IFERROR(VLOOKUP($C529,'5-COMP. PROPRIA'!$B$1:$I$7981,5,0),""))</f>
        <v>UN</v>
      </c>
      <c r="G529" s="129">
        <f>QUANT!K958</f>
        <v>2</v>
      </c>
      <c r="H529" s="218">
        <f>IFERROR(VLOOKUP($C529,'SINAPI JULHO 2021'!$A:$D,4,0),IFERROR(VLOOKUP($C529,'5-COMP. PROPRIA'!$B$1:$I$1240,8,0),""))</f>
        <v>303.23</v>
      </c>
      <c r="I529" s="200">
        <f>H529*'4-BDI'!$E$29</f>
        <v>388.86215200000004</v>
      </c>
      <c r="J529" s="201">
        <f t="shared" si="146"/>
        <v>606.46</v>
      </c>
      <c r="K529" s="123">
        <f t="shared" si="147"/>
        <v>777.72</v>
      </c>
    </row>
    <row r="530" spans="2:11" ht="15">
      <c r="B530" s="222" t="s">
        <v>6298</v>
      </c>
      <c r="C530" s="223"/>
      <c r="D530" s="224"/>
      <c r="E530" s="225" t="str">
        <f>QUANT!E959</f>
        <v>ACESSÓRIOS PARA ELETRODUTOS</v>
      </c>
      <c r="F530" s="120"/>
      <c r="G530" s="129"/>
      <c r="H530" s="218"/>
      <c r="I530" s="200"/>
      <c r="J530" s="201"/>
      <c r="K530" s="123"/>
    </row>
    <row r="531" spans="2:11" ht="30">
      <c r="B531" s="473" t="s">
        <v>6980</v>
      </c>
      <c r="C531" s="79">
        <f>QUANT!C960</f>
        <v>91941</v>
      </c>
      <c r="D531" s="79" t="str">
        <f>QUANT!D960</f>
        <v>SINAPI</v>
      </c>
      <c r="E531" s="80" t="str">
        <f>IFERROR(VLOOKUP($C531,'SINAPI JULHO 2021'!$1:$1048576,2,0),IFERROR(VLOOKUP($C531,'5-COMP. PROPRIA'!$B$1:$I$7981,4,0),""))</f>
        <v>CAIXA RETANGULAR 4" X 2" BAIXA (0,30 M DO PISO), PVC, INSTALADA EM PAREDE - FORNECIMENTO E INSTALAÇÃO. AF_12/2015</v>
      </c>
      <c r="F531" s="81" t="str">
        <f>IFERROR(VLOOKUP($C531,'SINAPI JULHO 2021'!$A:$D,3,0),IFERROR(VLOOKUP($C531,'5-COMP. PROPRIA'!$B$1:$I$7981,5,0),""))</f>
        <v>UN</v>
      </c>
      <c r="G531" s="129">
        <f>QUANT!K960</f>
        <v>27</v>
      </c>
      <c r="H531" s="218">
        <f>IFERROR(VLOOKUP($C531,'SINAPI JULHO 2021'!$A:$D,4,0),IFERROR(VLOOKUP($C531,'5-COMP. PROPRIA'!$B$1:$I$1240,8,0),""))</f>
        <v>6.87</v>
      </c>
      <c r="I531" s="200">
        <f>H531*'4-BDI'!$E$29</f>
        <v>8.8100880000000004</v>
      </c>
      <c r="J531" s="201">
        <f t="shared" si="146"/>
        <v>185.49</v>
      </c>
      <c r="K531" s="123">
        <f t="shared" si="147"/>
        <v>237.87</v>
      </c>
    </row>
    <row r="532" spans="2:11" ht="15">
      <c r="B532" s="222" t="s">
        <v>13359</v>
      </c>
      <c r="C532" s="223"/>
      <c r="D532" s="224"/>
      <c r="E532" s="225" t="str">
        <f>QUANT!E961</f>
        <v>ACESSÓRIOS CABEAMENTO  - RACK</v>
      </c>
      <c r="F532" s="120"/>
      <c r="G532" s="129"/>
      <c r="H532" s="218"/>
      <c r="I532" s="200"/>
      <c r="J532" s="201"/>
      <c r="K532" s="123"/>
    </row>
    <row r="533" spans="2:11" ht="15">
      <c r="B533" s="473" t="s">
        <v>13360</v>
      </c>
      <c r="C533" s="79" t="str">
        <f>QUANT!C962</f>
        <v>CP-RED-04</v>
      </c>
      <c r="D533" s="79" t="str">
        <f>QUANT!D962</f>
        <v>PRÓPRIA</v>
      </c>
      <c r="E533" s="80" t="str">
        <f>IFERROR(VLOOKUP($C533,'SINAPI JULHO 2021'!$1:$1048576,2,0),IFERROR(VLOOKUP($C533,'5-COMP. PROPRIA'!$B$1:$I$7981,4,0),""))</f>
        <v>RACK ABERTO 19" - FORNECIMENTO E INSTALAÇÃO</v>
      </c>
      <c r="F533" s="81" t="str">
        <f>IFERROR(VLOOKUP($C533,'SINAPI JULHO 2021'!$A:$D,3,0),IFERROR(VLOOKUP($C533,'5-COMP. PROPRIA'!$B$1:$I$7981,5,0),""))</f>
        <v>UN</v>
      </c>
      <c r="G533" s="129">
        <f>QUANT!K962</f>
        <v>1</v>
      </c>
      <c r="H533" s="218">
        <f>IFERROR(VLOOKUP($C533,'SINAPI JULHO 2021'!$A:$D,4,0),IFERROR(VLOOKUP($C533,'5-COMP. PROPRIA'!$B$1:$I$1240,8,0),""))</f>
        <v>467.23</v>
      </c>
      <c r="I533" s="200">
        <f>H533*'4-BDI'!$E$29</f>
        <v>599.17575199999999</v>
      </c>
      <c r="J533" s="201">
        <f t="shared" si="146"/>
        <v>467.23</v>
      </c>
      <c r="K533" s="123">
        <f t="shared" si="147"/>
        <v>599.16999999999996</v>
      </c>
    </row>
    <row r="534" spans="2:11" ht="15">
      <c r="B534" s="473" t="s">
        <v>13361</v>
      </c>
      <c r="C534" s="79" t="str">
        <f>QUANT!C963</f>
        <v>CP-RED-05</v>
      </c>
      <c r="D534" s="79" t="str">
        <f>QUANT!D963</f>
        <v>PRÓPRIA</v>
      </c>
      <c r="E534" s="80" t="str">
        <f>IFERROR(VLOOKUP($C534,'SINAPI JULHO 2021'!$1:$1048576,2,0),IFERROR(VLOOKUP($C534,'5-COMP. PROPRIA'!$B$1:$I$7981,4,0),""))</f>
        <v>RACK ABERTO PADRÃO 19" 12U - FORNECIMENTO E INSTALAÇÃO</v>
      </c>
      <c r="F534" s="81" t="str">
        <f>IFERROR(VLOOKUP($C534,'SINAPI JULHO 2021'!$A:$D,3,0),IFERROR(VLOOKUP($C534,'5-COMP. PROPRIA'!$B$1:$I$7981,5,0),""))</f>
        <v>UN</v>
      </c>
      <c r="G534" s="129">
        <f>QUANT!K963</f>
        <v>4</v>
      </c>
      <c r="H534" s="218">
        <f>IFERROR(VLOOKUP($C534,'SINAPI JULHO 2021'!$A:$D,4,0),IFERROR(VLOOKUP($C534,'5-COMP. PROPRIA'!$B$1:$I$1240,8,0),""))</f>
        <v>613.23</v>
      </c>
      <c r="I534" s="200">
        <f>H534*'4-BDI'!$E$29</f>
        <v>786.40615200000002</v>
      </c>
      <c r="J534" s="201">
        <f t="shared" si="146"/>
        <v>2452.92</v>
      </c>
      <c r="K534" s="123">
        <f t="shared" si="147"/>
        <v>3145.62</v>
      </c>
    </row>
    <row r="535" spans="2:11" ht="15">
      <c r="B535" s="222" t="s">
        <v>13362</v>
      </c>
      <c r="C535" s="223"/>
      <c r="D535" s="224"/>
      <c r="E535" s="225" t="str">
        <f>QUANT!E964</f>
        <v>CABEAMENTO ESTRUTURADO -METÁLICO</v>
      </c>
      <c r="F535" s="120"/>
      <c r="G535" s="129"/>
      <c r="H535" s="218"/>
      <c r="I535" s="200"/>
      <c r="J535" s="201"/>
      <c r="K535" s="123"/>
    </row>
    <row r="536" spans="2:11" ht="30">
      <c r="B536" s="473" t="s">
        <v>13363</v>
      </c>
      <c r="C536" s="79">
        <f>QUANT!C965</f>
        <v>98295</v>
      </c>
      <c r="D536" s="79" t="str">
        <f>QUANT!D965</f>
        <v>SINAPI</v>
      </c>
      <c r="E536" s="80" t="str">
        <f>IFERROR(VLOOKUP($C536,'SINAPI JULHO 2021'!$1:$1048576,2,0),IFERROR(VLOOKUP($C536,'5-COMP. PROPRIA'!$B$1:$I$7981,4,0),""))</f>
        <v>CABO ELETRÔNICO CATEGORIA 5E, INSTALADO EM EDIFICAÇÃO INSTITUCIONAL - FORNECIMENTO E INSTALAÇÃO. AF_11/2019</v>
      </c>
      <c r="F536" s="81" t="str">
        <f>IFERROR(VLOOKUP($C536,'SINAPI JULHO 2021'!$A:$D,3,0),IFERROR(VLOOKUP($C536,'5-COMP. PROPRIA'!$B$1:$I$7981,5,0),""))</f>
        <v>M</v>
      </c>
      <c r="G536" s="129">
        <f>QUANT!K965</f>
        <v>1247</v>
      </c>
      <c r="H536" s="218">
        <f>IFERROR(VLOOKUP($C536,'SINAPI JULHO 2021'!$A:$D,4,0),IFERROR(VLOOKUP($C536,'5-COMP. PROPRIA'!$B$1:$I$1240,8,0),""))</f>
        <v>1.38</v>
      </c>
      <c r="I536" s="200">
        <f>H536*'4-BDI'!$E$29</f>
        <v>1.769712</v>
      </c>
      <c r="J536" s="201">
        <f t="shared" si="146"/>
        <v>1720.86</v>
      </c>
      <c r="K536" s="123">
        <f t="shared" si="147"/>
        <v>2206.83</v>
      </c>
    </row>
    <row r="537" spans="2:11" ht="30">
      <c r="B537" s="473" t="s">
        <v>13364</v>
      </c>
      <c r="C537" s="79">
        <f>QUANT!C966</f>
        <v>98297</v>
      </c>
      <c r="D537" s="79" t="str">
        <f>QUANT!D966</f>
        <v>SINAPI</v>
      </c>
      <c r="E537" s="80" t="str">
        <f>IFERROR(VLOOKUP($C537,'SINAPI JULHO 2021'!$1:$1048576,2,0),IFERROR(VLOOKUP($C537,'5-COMP. PROPRIA'!$B$1:$I$7981,4,0),""))</f>
        <v>CABO ELETRÔNICO CATEGORIA 6, INSTALADO EM EDIFICAÇÃO INSTITUCIONAL - FORNECIMENTO E INSTALAÇÃO. AF_11/2019</v>
      </c>
      <c r="F537" s="81" t="str">
        <f>IFERROR(VLOOKUP($C537,'SINAPI JULHO 2021'!$A:$D,3,0),IFERROR(VLOOKUP($C537,'5-COMP. PROPRIA'!$B$1:$I$7981,5,0),""))</f>
        <v>M</v>
      </c>
      <c r="G537" s="129">
        <f>QUANT!K966</f>
        <v>144</v>
      </c>
      <c r="H537" s="218">
        <f>IFERROR(VLOOKUP($C537,'SINAPI JULHO 2021'!$A:$D,4,0),IFERROR(VLOOKUP($C537,'5-COMP. PROPRIA'!$B$1:$I$1240,8,0),""))</f>
        <v>2.1</v>
      </c>
      <c r="I537" s="200">
        <f>H537*'4-BDI'!$E$29</f>
        <v>2.6930399999999999</v>
      </c>
      <c r="J537" s="201">
        <f t="shared" si="146"/>
        <v>302.39999999999998</v>
      </c>
      <c r="K537" s="123">
        <f t="shared" si="147"/>
        <v>387.79</v>
      </c>
    </row>
    <row r="538" spans="2:11" ht="15">
      <c r="B538" s="222" t="s">
        <v>13365</v>
      </c>
      <c r="C538" s="223"/>
      <c r="D538" s="224"/>
      <c r="E538" s="225" t="str">
        <f>QUANT!E967</f>
        <v>ELETROCALHAS E ELETRODUTOS</v>
      </c>
      <c r="F538" s="120"/>
      <c r="G538" s="129"/>
      <c r="H538" s="218"/>
      <c r="I538" s="200"/>
      <c r="J538" s="201"/>
      <c r="K538" s="123"/>
    </row>
    <row r="539" spans="2:11" ht="30">
      <c r="B539" s="473" t="s">
        <v>13366</v>
      </c>
      <c r="C539" s="79" t="str">
        <f>QUANT!C968</f>
        <v>CP-RED-06</v>
      </c>
      <c r="D539" s="79" t="str">
        <f>QUANT!D968</f>
        <v>PRÓPRIA</v>
      </c>
      <c r="E539" s="80" t="str">
        <f>IFERROR(VLOOKUP($C539,'SINAPI JULHO 2021'!$1:$1048576,2,0),IFERROR(VLOOKUP($C539,'5-COMP. PROPRIA'!$B$1:$I$7981,4,0),""))</f>
        <v>ELETROCALHA PERFURADA TIPO C 50X50 MM CHAPA 18 - INCLUSIVE CONEXÕES, TAMPAS  E SUPORTE - FORNECIMENTO E INSTALAÇÃO</v>
      </c>
      <c r="F539" s="81" t="str">
        <f>IFERROR(VLOOKUP($C539,'SINAPI JULHO 2021'!$A:$D,3,0),IFERROR(VLOOKUP($C539,'5-COMP. PROPRIA'!$B$1:$I$7981,5,0),""))</f>
        <v>M</v>
      </c>
      <c r="G539" s="129">
        <f>QUANT!K968</f>
        <v>76.599999999999994</v>
      </c>
      <c r="H539" s="218">
        <f>IFERROR(VLOOKUP($C539,'SINAPI JULHO 2021'!$A:$D,4,0),IFERROR(VLOOKUP($C539,'5-COMP. PROPRIA'!$B$1:$I$1240,8,0),""))</f>
        <v>72.489999999999995</v>
      </c>
      <c r="I539" s="200">
        <f>H539*'4-BDI'!$E$29</f>
        <v>92.961175999999995</v>
      </c>
      <c r="J539" s="201">
        <f t="shared" ref="J539" si="148">TRUNC(G539*H539,2)</f>
        <v>5552.73</v>
      </c>
      <c r="K539" s="123">
        <f t="shared" ref="K539" si="149">TRUNC(G539*I539,2)</f>
        <v>7120.82</v>
      </c>
    </row>
    <row r="540" spans="2:11" ht="30">
      <c r="B540" s="473" t="s">
        <v>13367</v>
      </c>
      <c r="C540" s="79" t="str">
        <f>QUANT!C969</f>
        <v>CP-RED-07</v>
      </c>
      <c r="D540" s="79" t="str">
        <f>QUANT!D969</f>
        <v>PRÓPRIA</v>
      </c>
      <c r="E540" s="80" t="str">
        <f>IFERROR(VLOOKUP($C540,'SINAPI JULHO 2021'!$1:$1048576,2,0),IFERROR(VLOOKUP($C540,'5-COMP. PROPRIA'!$B$1:$I$7981,4,0),""))</f>
        <v>ELETROCALHA PERFURADA TIPO C 50X75 MM CHAPA 18 - INCLUSIVE CONEXÕES, TAMPAS  E SUPORTE - FORNECIMENTO E INSTALAÇÃO</v>
      </c>
      <c r="F540" s="81" t="str">
        <f>IFERROR(VLOOKUP($C540,'SINAPI JULHO 2021'!$A:$D,3,0),IFERROR(VLOOKUP($C540,'5-COMP. PROPRIA'!$B$1:$I$7981,5,0),""))</f>
        <v>M</v>
      </c>
      <c r="G540" s="129">
        <f>QUANT!K969</f>
        <v>15.9</v>
      </c>
      <c r="H540" s="218">
        <f>IFERROR(VLOOKUP($C540,'SINAPI JULHO 2021'!$A:$D,4,0),IFERROR(VLOOKUP($C540,'5-COMP. PROPRIA'!$B$1:$I$1240,8,0),""))</f>
        <v>79.790000000000006</v>
      </c>
      <c r="I540" s="200">
        <f>H540*'4-BDI'!$E$29</f>
        <v>102.32269600000001</v>
      </c>
      <c r="J540" s="201">
        <f t="shared" ref="J540:J543" si="150">TRUNC(G540*H540,2)</f>
        <v>1268.6600000000001</v>
      </c>
      <c r="K540" s="123">
        <f t="shared" ref="K540:K543" si="151">TRUNC(G540*I540,2)</f>
        <v>1626.93</v>
      </c>
    </row>
    <row r="541" spans="2:11" ht="30">
      <c r="B541" s="473" t="s">
        <v>13368</v>
      </c>
      <c r="C541" s="79" t="str">
        <f>QUANT!C970</f>
        <v>CP-RED-08</v>
      </c>
      <c r="D541" s="79" t="str">
        <f>QUANT!D970</f>
        <v>PRÓPRIA</v>
      </c>
      <c r="E541" s="80" t="str">
        <f>IFERROR(VLOOKUP($C541,'SINAPI JULHO 2021'!$1:$1048576,2,0),IFERROR(VLOOKUP($C541,'5-COMP. PROPRIA'!$B$1:$I$7981,4,0),""))</f>
        <v>ELETROCALHA PERFURADA TIPO C 50X150 MM CHAPA 18 -INCLUSIVE CONEXÕES, TAMPAS  E SUPORTE - FORNECIMENTO E INSTALAÇÃO</v>
      </c>
      <c r="F541" s="81" t="str">
        <f>IFERROR(VLOOKUP($C541,'SINAPI JULHO 2021'!$A:$D,3,0),IFERROR(VLOOKUP($C541,'5-COMP. PROPRIA'!$B$1:$I$7981,5,0),""))</f>
        <v>M</v>
      </c>
      <c r="G541" s="129">
        <f>QUANT!K970</f>
        <v>2.9</v>
      </c>
      <c r="H541" s="218">
        <f>IFERROR(VLOOKUP($C541,'SINAPI JULHO 2021'!$A:$D,4,0),IFERROR(VLOOKUP($C541,'5-COMP. PROPRIA'!$B$1:$I$1240,8,0),""))</f>
        <v>104.22</v>
      </c>
      <c r="I541" s="200">
        <f>H541*'4-BDI'!$E$29</f>
        <v>133.65172799999999</v>
      </c>
      <c r="J541" s="201">
        <f t="shared" si="150"/>
        <v>302.23</v>
      </c>
      <c r="K541" s="123">
        <f t="shared" si="151"/>
        <v>387.59</v>
      </c>
    </row>
    <row r="542" spans="2:11" ht="30">
      <c r="B542" s="473" t="s">
        <v>13369</v>
      </c>
      <c r="C542" s="79" t="str">
        <f>QUANT!C971</f>
        <v>CP-RED-09</v>
      </c>
      <c r="D542" s="79" t="str">
        <f>QUANT!D971</f>
        <v>PRÓPRIA</v>
      </c>
      <c r="E542" s="80" t="str">
        <f>IFERROR(VLOOKUP($C542,'SINAPI JULHO 2021'!$1:$1048576,2,0),IFERROR(VLOOKUP($C542,'5-COMP. PROPRIA'!$B$1:$I$7981,4,0),""))</f>
        <v>ELETROCALHA PERFURADA TIPO C 75X75 MM CHAPA 18 - INCLUSIVE CONEXÕES, TAMPAS  E SUPORTE - FORNECIMENTO E INSTALAÇÃO</v>
      </c>
      <c r="F542" s="81" t="str">
        <f>IFERROR(VLOOKUP($C542,'SINAPI JULHO 2021'!$A:$D,3,0),IFERROR(VLOOKUP($C542,'5-COMP. PROPRIA'!$B$1:$I$7981,5,0),""))</f>
        <v>M</v>
      </c>
      <c r="G542" s="129">
        <f>QUANT!K971</f>
        <v>2.9</v>
      </c>
      <c r="H542" s="218">
        <f>IFERROR(VLOOKUP($C542,'SINAPI JULHO 2021'!$A:$D,4,0),IFERROR(VLOOKUP($C542,'5-COMP. PROPRIA'!$B$1:$I$1240,8,0),""))</f>
        <v>99.77</v>
      </c>
      <c r="I542" s="200">
        <f>H542*'4-BDI'!$E$29</f>
        <v>127.945048</v>
      </c>
      <c r="J542" s="201">
        <f t="shared" si="150"/>
        <v>289.33</v>
      </c>
      <c r="K542" s="123">
        <f t="shared" si="151"/>
        <v>371.04</v>
      </c>
    </row>
    <row r="543" spans="2:11" ht="30">
      <c r="B543" s="473" t="s">
        <v>13370</v>
      </c>
      <c r="C543" s="79" t="str">
        <f>QUANT!C972</f>
        <v>CP-RED-10</v>
      </c>
      <c r="D543" s="79" t="str">
        <f>QUANT!D972</f>
        <v>PRÓPRIA</v>
      </c>
      <c r="E543" s="80" t="str">
        <f>IFERROR(VLOOKUP($C543,'SINAPI JULHO 2021'!$1:$1048576,2,0),IFERROR(VLOOKUP($C543,'5-COMP. PROPRIA'!$B$1:$I$7981,4,0),""))</f>
        <v>ELETROCALHA PERFURADA TIPO C 75X150 MM CHAPA 18 - INCLUSIVE CONEXÕES, TAMPAS  E SUPORTE - FORNECIMENTO E INSTALAÇÃO</v>
      </c>
      <c r="F543" s="81" t="str">
        <f>IFERROR(VLOOKUP($C543,'SINAPI JULHO 2021'!$A:$D,3,0),IFERROR(VLOOKUP($C543,'5-COMP. PROPRIA'!$B$1:$I$7981,5,0),""))</f>
        <v>M</v>
      </c>
      <c r="G543" s="129">
        <f>QUANT!K972</f>
        <v>24</v>
      </c>
      <c r="H543" s="218">
        <f>IFERROR(VLOOKUP($C543,'SINAPI JULHO 2021'!$A:$D,4,0),IFERROR(VLOOKUP($C543,'5-COMP. PROPRIA'!$B$1:$I$1240,8,0),""))</f>
        <v>115.71</v>
      </c>
      <c r="I543" s="200">
        <f>H543*'4-BDI'!$E$29</f>
        <v>148.386504</v>
      </c>
      <c r="J543" s="201">
        <f t="shared" si="150"/>
        <v>2777.04</v>
      </c>
      <c r="K543" s="123">
        <f t="shared" si="151"/>
        <v>3561.27</v>
      </c>
    </row>
    <row r="544" spans="2:11" ht="30">
      <c r="B544" s="473" t="s">
        <v>13371</v>
      </c>
      <c r="C544" s="79">
        <f>QUANT!C973</f>
        <v>95749</v>
      </c>
      <c r="D544" s="79" t="str">
        <f>QUANT!D973</f>
        <v>SINAPI</v>
      </c>
      <c r="E544" s="80" t="str">
        <f>IFERROR(VLOOKUP($C544,'SINAPI JULHO 2021'!$1:$1048576,2,0),IFERROR(VLOOKUP($C544,'5-COMP. PROPRIA'!$B$1:$I$7981,4,0),""))</f>
        <v>ELETRODUTO DE AÇO GALVANIZADO, CLASSE LEVE, DN 20 MM (3/4), APARENTE, INSTALADO EM PAREDE - FORNECIMENTO E INSTALAÇÃO. AF_11/2016_P</v>
      </c>
      <c r="F544" s="81" t="str">
        <f>IFERROR(VLOOKUP($C544,'SINAPI JULHO 2021'!$A:$D,3,0),IFERROR(VLOOKUP($C544,'5-COMP. PROPRIA'!$B$1:$I$7981,5,0),""))</f>
        <v>M</v>
      </c>
      <c r="G544" s="129">
        <f>QUANT!K973</f>
        <v>1.6</v>
      </c>
      <c r="H544" s="218">
        <f>IFERROR(VLOOKUP($C544,'SINAPI JULHO 2021'!$A:$D,4,0),IFERROR(VLOOKUP($C544,'5-COMP. PROPRIA'!$B$1:$I$1240,8,0),""))</f>
        <v>21.24</v>
      </c>
      <c r="I544" s="200">
        <f>H544*'4-BDI'!$E$29</f>
        <v>27.238175999999999</v>
      </c>
      <c r="J544" s="201">
        <f t="shared" ref="J544" si="152">TRUNC(G544*H544,2)</f>
        <v>33.979999999999997</v>
      </c>
      <c r="K544" s="123">
        <f t="shared" ref="K544" si="153">TRUNC(G544*I544,2)</f>
        <v>43.58</v>
      </c>
    </row>
    <row r="545" spans="2:11" ht="15">
      <c r="B545" s="834" t="s">
        <v>3507</v>
      </c>
      <c r="C545" s="835"/>
      <c r="D545" s="835"/>
      <c r="E545" s="835"/>
      <c r="F545" s="835"/>
      <c r="G545" s="835"/>
      <c r="H545" s="835"/>
      <c r="I545" s="124"/>
      <c r="J545" s="126">
        <f>TRUNC(SUM(J525:J544),2)</f>
        <v>30165.8</v>
      </c>
      <c r="K545" s="125">
        <f>TRUNC(SUM(K525:K544),2)</f>
        <v>38684.58</v>
      </c>
    </row>
    <row r="546" spans="2:11" ht="15">
      <c r="B546" s="5" t="s">
        <v>6299</v>
      </c>
      <c r="C546" s="6"/>
      <c r="D546" s="7"/>
      <c r="E546" s="8" t="str">
        <f>QUANT!E974</f>
        <v xml:space="preserve">INSTALAÇÕES ESPECIAIS </v>
      </c>
      <c r="F546" s="9"/>
      <c r="G546" s="128"/>
      <c r="H546" s="221"/>
      <c r="I546" s="121"/>
      <c r="J546" s="121"/>
      <c r="K546" s="122"/>
    </row>
    <row r="547" spans="2:11" ht="15">
      <c r="B547" s="474" t="s">
        <v>6300</v>
      </c>
      <c r="C547" s="475"/>
      <c r="D547" s="476"/>
      <c r="E547" s="477" t="str">
        <f>QUANT!E975</f>
        <v>INSTALAÇÃO DE GÁS</v>
      </c>
      <c r="F547" s="478"/>
      <c r="G547" s="479"/>
      <c r="H547" s="480"/>
      <c r="I547" s="481"/>
      <c r="J547" s="481"/>
      <c r="K547" s="482"/>
    </row>
    <row r="548" spans="2:11" ht="15">
      <c r="B548" s="473" t="s">
        <v>13372</v>
      </c>
      <c r="C548" s="79" t="str">
        <f>QUANT!C976</f>
        <v>CP-GAS-01</v>
      </c>
      <c r="D548" s="79" t="str">
        <f>QUANT!D976</f>
        <v>PRÓPRIA</v>
      </c>
      <c r="E548" s="80" t="str">
        <f>IFERROR(VLOOKUP($C548,'SINAPI JULHO 2021'!$1:$1048576,2,0),IFERROR(VLOOKUP($C548,'5-COMP. PROPRIA'!$B$1:$I$7981,4,0),""))</f>
        <v>FORNECIMENTO E INSTALAÇÃO DE CASA DE GÁS MODELO PADRÃO DE 2,20X1,00</v>
      </c>
      <c r="F548" s="81" t="str">
        <f>IFERROR(VLOOKUP($C548,'SINAPI JULHO 2021'!$A:$D,3,0),IFERROR(VLOOKUP($C548,'5-COMP. PROPRIA'!$B$1:$I$7981,5,0),""))</f>
        <v>UN</v>
      </c>
      <c r="G548" s="129">
        <f>QUANT!K976</f>
        <v>1</v>
      </c>
      <c r="H548" s="218">
        <f>IFERROR(VLOOKUP($C548,'SINAPI JULHO 2021'!$A:$D,4,0),IFERROR(VLOOKUP($C548,'5-COMP. PROPRIA'!$B$1:$I$1240,8,0),""))</f>
        <v>3786.69</v>
      </c>
      <c r="I548" s="200">
        <f>H548*'4-BDI'!$E$29</f>
        <v>4856.0512559999997</v>
      </c>
      <c r="J548" s="201">
        <f>TRUNC(G548*H548,2)</f>
        <v>3786.69</v>
      </c>
      <c r="K548" s="123">
        <f>TRUNC(G548*I548,2)</f>
        <v>4856.05</v>
      </c>
    </row>
    <row r="549" spans="2:11" ht="45">
      <c r="B549" s="473" t="s">
        <v>13373</v>
      </c>
      <c r="C549" s="79">
        <f>QUANT!C977</f>
        <v>101936</v>
      </c>
      <c r="D549" s="79" t="str">
        <f>QUANT!D977</f>
        <v>SINAPI</v>
      </c>
      <c r="E549" s="80" t="str">
        <f>IFERROR(VLOOKUP($C549,'SINAPI JULHO 2021'!$1:$1048576,2,0),IFERROR(VLOOKUP($C549,'5-COMP. PROPRIA'!$B$1:$I$7981,4,0),""))</f>
        <v>INSTALAÇÃO DE TUBOS E CONEXÕES, EM AÇO/FERRO GALVANIZADO, PARA O CENTRO DE MEDIÇÃO DE GÁS DE EDIFÍCIO RESIDENCIAL, COM 4 PAVIMENTOS, 16 UNIDADES HABITACIONAIS, DN 32 (1 1/4) - FORNECIMENTO E INSTALAÇÃO. AF_10/2020</v>
      </c>
      <c r="F549" s="81" t="str">
        <f>IFERROR(VLOOKUP($C549,'SINAPI JULHO 2021'!$A:$D,3,0),IFERROR(VLOOKUP($C549,'5-COMP. PROPRIA'!$B$1:$I$7981,5,0),""))</f>
        <v>UN</v>
      </c>
      <c r="G549" s="129">
        <f>QUANT!K977</f>
        <v>1</v>
      </c>
      <c r="H549" s="218">
        <f>IFERROR(VLOOKUP($C549,'SINAPI JULHO 2021'!$A:$D,4,0),IFERROR(VLOOKUP($C549,'5-COMP. PROPRIA'!$B$1:$I$1240,8,0),""))</f>
        <v>5384.42</v>
      </c>
      <c r="I549" s="200">
        <f>H549*'4-BDI'!$E$29</f>
        <v>6904.9802079999999</v>
      </c>
      <c r="J549" s="201">
        <f t="shared" ref="J549:J572" si="154">TRUNC(G549*H549,2)</f>
        <v>5384.42</v>
      </c>
      <c r="K549" s="123">
        <f t="shared" ref="K549:K572" si="155">TRUNC(G549*I549,2)</f>
        <v>6904.98</v>
      </c>
    </row>
    <row r="550" spans="2:11" ht="30">
      <c r="B550" s="473" t="s">
        <v>13374</v>
      </c>
      <c r="C550" s="79">
        <f>QUANT!C978</f>
        <v>100788</v>
      </c>
      <c r="D550" s="79" t="str">
        <f>QUANT!D978</f>
        <v>SINAPI</v>
      </c>
      <c r="E550" s="80" t="str">
        <f>IFERROR(VLOOKUP($C550,'SINAPI JULHO 2021'!$1:$1048576,2,0),IFERROR(VLOOKUP($C550,'5-COMP. PROPRIA'!$B$1:$I$7981,4,0),""))</f>
        <v>KIT CAVALETE PARA GÁS - SEM MEDIDOR OU REGULADOR - ENTRADA INDIVIDUAL PRINCIPAL, EM AÇO GALVANIZADO DN 15 E 25 MM (1/2" E 1") - FORNECIMENTO E INSTALAÇÃO. AF_01/2020</v>
      </c>
      <c r="F550" s="81" t="str">
        <f>IFERROR(VLOOKUP($C550,'SINAPI JULHO 2021'!$A:$D,3,0),IFERROR(VLOOKUP($C550,'5-COMP. PROPRIA'!$B$1:$I$7981,5,0),""))</f>
        <v>UN</v>
      </c>
      <c r="G550" s="129">
        <f>QUANT!K978</f>
        <v>1</v>
      </c>
      <c r="H550" s="218">
        <f>IFERROR(VLOOKUP($C550,'SINAPI JULHO 2021'!$A:$D,4,0),IFERROR(VLOOKUP($C550,'5-COMP. PROPRIA'!$B$1:$I$1240,8,0),""))</f>
        <v>431.87</v>
      </c>
      <c r="I550" s="200">
        <f>H550*'4-BDI'!$E$29</f>
        <v>553.83008800000005</v>
      </c>
      <c r="J550" s="201">
        <f t="shared" si="154"/>
        <v>431.87</v>
      </c>
      <c r="K550" s="123">
        <f t="shared" si="155"/>
        <v>553.83000000000004</v>
      </c>
    </row>
    <row r="551" spans="2:11" ht="15">
      <c r="B551" s="473" t="s">
        <v>13375</v>
      </c>
      <c r="C551" s="79" t="str">
        <f>QUANT!C979</f>
        <v>CP-GAS-02</v>
      </c>
      <c r="D551" s="79" t="str">
        <f>QUANT!D979</f>
        <v>PRÓPRIA</v>
      </c>
      <c r="E551" s="80" t="str">
        <f>IFERROR(VLOOKUP($C551,'SINAPI JULHO 2021'!$1:$1048576,2,0),IFERROR(VLOOKUP($C551,'5-COMP. PROPRIA'!$B$1:$I$7981,4,0),""))</f>
        <v xml:space="preserve">REGUALADOR DE 1º ESTÁGIO PARA 10KG - FORNECIMENTO E INSTALAÇÃO </v>
      </c>
      <c r="F551" s="81" t="str">
        <f>IFERROR(VLOOKUP($C551,'SINAPI JULHO 2021'!$A:$D,3,0),IFERROR(VLOOKUP($C551,'5-COMP. PROPRIA'!$B$1:$I$7981,5,0),""))</f>
        <v>UN</v>
      </c>
      <c r="G551" s="129">
        <f>QUANT!K979</f>
        <v>1</v>
      </c>
      <c r="H551" s="218">
        <f>IFERROR(VLOOKUP($C551,'SINAPI JULHO 2021'!$A:$D,4,0),IFERROR(VLOOKUP($C551,'5-COMP. PROPRIA'!$B$1:$I$1240,8,0),""))</f>
        <v>82.22</v>
      </c>
      <c r="I551" s="200">
        <f>H551*'4-BDI'!$E$29</f>
        <v>105.438928</v>
      </c>
      <c r="J551" s="201">
        <f t="shared" si="154"/>
        <v>82.22</v>
      </c>
      <c r="K551" s="123">
        <f t="shared" si="155"/>
        <v>105.43</v>
      </c>
    </row>
    <row r="552" spans="2:11" ht="30">
      <c r="B552" s="473" t="s">
        <v>13376</v>
      </c>
      <c r="C552" s="79" t="str">
        <f>QUANT!C980</f>
        <v>CP-GAS-03</v>
      </c>
      <c r="D552" s="79" t="str">
        <f>QUANT!D980</f>
        <v>PRÓPRIA</v>
      </c>
      <c r="E552" s="80" t="str">
        <f>IFERROR(VLOOKUP($C552,'SINAPI JULHO 2021'!$1:$1048576,2,0),IFERROR(VLOOKUP($C552,'5-COMP. PROPRIA'!$B$1:$I$7981,4,0),""))</f>
        <v>MANOMETRO COM CAIXA EM ACO PINTADO, ESCALA *10* KGF/CM2 (*10* BAR), DIAMETRO NOMINAL DE 100 MM, CONEXAO DE 1/2" - FORNECIMENTO E INSTALAÇÃO</v>
      </c>
      <c r="F552" s="81" t="str">
        <f>IFERROR(VLOOKUP($C552,'SINAPI JULHO 2021'!$A:$D,3,0),IFERROR(VLOOKUP($C552,'5-COMP. PROPRIA'!$B$1:$I$7981,5,0),""))</f>
        <v>UN</v>
      </c>
      <c r="G552" s="129">
        <f>QUANT!K980</f>
        <v>1</v>
      </c>
      <c r="H552" s="218">
        <f>IFERROR(VLOOKUP($C552,'SINAPI JULHO 2021'!$A:$D,4,0),IFERROR(VLOOKUP($C552,'5-COMP. PROPRIA'!$B$1:$I$1240,8,0),""))</f>
        <v>163.33000000000001</v>
      </c>
      <c r="I552" s="200">
        <f>H552*'4-BDI'!$E$29</f>
        <v>209.45439200000001</v>
      </c>
      <c r="J552" s="201">
        <f t="shared" si="154"/>
        <v>163.33000000000001</v>
      </c>
      <c r="K552" s="123">
        <f t="shared" si="155"/>
        <v>209.45</v>
      </c>
    </row>
    <row r="553" spans="2:11" ht="30">
      <c r="B553" s="473" t="s">
        <v>13377</v>
      </c>
      <c r="C553" s="79">
        <f>QUANT!C981</f>
        <v>100808</v>
      </c>
      <c r="D553" s="79" t="str">
        <f>QUANT!D981</f>
        <v>SINAPI</v>
      </c>
      <c r="E553" s="80" t="str">
        <f>IFERROR(VLOOKUP($C553,'SINAPI JULHO 2021'!$1:$1048576,2,0),IFERROR(VLOOKUP($C553,'5-COMP. PROPRIA'!$B$1:$I$7981,4,0),""))</f>
        <v>TUBO, PEX, MULTICAMADA, COM TUBO LUVA, DN 20, INSTALADO EM RAMAL INTERNO DE INSTALAÇÕES DE GÁS - FORNECIMENTO E INSTALAÇÃO. AF_01/2020</v>
      </c>
      <c r="F553" s="81" t="str">
        <f>IFERROR(VLOOKUP($C553,'SINAPI JULHO 2021'!$A:$D,3,0),IFERROR(VLOOKUP($C553,'5-COMP. PROPRIA'!$B$1:$I$7981,5,0),""))</f>
        <v>M</v>
      </c>
      <c r="G553" s="129">
        <f>QUANT!K981</f>
        <v>15</v>
      </c>
      <c r="H553" s="218">
        <f>IFERROR(VLOOKUP($C553,'SINAPI JULHO 2021'!$A:$D,4,0),IFERROR(VLOOKUP($C553,'5-COMP. PROPRIA'!$B$1:$I$1240,8,0),""))</f>
        <v>30.89</v>
      </c>
      <c r="I553" s="200">
        <f>H553*'4-BDI'!$E$29</f>
        <v>39.613335999999997</v>
      </c>
      <c r="J553" s="201">
        <f t="shared" si="154"/>
        <v>463.35</v>
      </c>
      <c r="K553" s="123">
        <f t="shared" si="155"/>
        <v>594.20000000000005</v>
      </c>
    </row>
    <row r="554" spans="2:11" ht="15">
      <c r="B554" s="474" t="s">
        <v>6301</v>
      </c>
      <c r="C554" s="475"/>
      <c r="D554" s="476"/>
      <c r="E554" s="477" t="str">
        <f>QUANT!E982</f>
        <v>PREVENÇÃO E COMBATE A INCÊNDIO</v>
      </c>
      <c r="F554" s="478"/>
      <c r="G554" s="479"/>
      <c r="H554" s="480"/>
      <c r="I554" s="481"/>
      <c r="J554" s="481"/>
      <c r="K554" s="482"/>
    </row>
    <row r="555" spans="2:11" ht="15">
      <c r="B555" s="222" t="s">
        <v>13378</v>
      </c>
      <c r="C555" s="223"/>
      <c r="D555" s="224"/>
      <c r="E555" s="225" t="str">
        <f>QUANT!E983</f>
        <v>INSTALAÇÃO DE HIDRANTES</v>
      </c>
      <c r="F555" s="120"/>
      <c r="G555" s="129"/>
      <c r="H555" s="218"/>
      <c r="I555" s="200"/>
      <c r="J555" s="201"/>
      <c r="K555" s="123"/>
    </row>
    <row r="556" spans="2:11" ht="45">
      <c r="B556" s="473" t="s">
        <v>13379</v>
      </c>
      <c r="C556" s="79">
        <f>QUANT!C984</f>
        <v>94670</v>
      </c>
      <c r="D556" s="79" t="str">
        <f>QUANT!D984</f>
        <v>SINAPI</v>
      </c>
      <c r="E556" s="80" t="str">
        <f>IFERROR(VLOOKUP($C556,'SINAPI JULHO 2021'!$1:$1048576,2,0),IFERROR(VLOOKUP($C556,'5-COMP. PROPRIA'!$B$1:$I$7981,4,0),""))</f>
        <v>ADAPTADOR CURTO COM BOLSA E ROSCA PARA REGISTRO, PVC, SOLDÁVEL, DN 110 MM X 4 , INSTALADO EM RESERVAÇÃO DE ÁGUA DE EDIFICAÇÃO QUE POSSUA RESERVATÓRIO DE FIBRA/FIBROCIMENTO   FORNECIMENTO E INSTALAÇÃO. AF_06/2016</v>
      </c>
      <c r="F556" s="81" t="str">
        <f>IFERROR(VLOOKUP($C556,'SINAPI JULHO 2021'!$A:$D,3,0),IFERROR(VLOOKUP($C556,'5-COMP. PROPRIA'!$B$1:$I$7981,5,0),""))</f>
        <v>UN</v>
      </c>
      <c r="G556" s="129">
        <f>QUANT!K984</f>
        <v>1</v>
      </c>
      <c r="H556" s="218">
        <f>IFERROR(VLOOKUP($C556,'SINAPI JULHO 2021'!$A:$D,4,0),IFERROR(VLOOKUP($C556,'5-COMP. PROPRIA'!$B$1:$I$1240,8,0),""))</f>
        <v>68.03</v>
      </c>
      <c r="I556" s="200">
        <f>H556*'4-BDI'!$E$29</f>
        <v>87.241671999999994</v>
      </c>
      <c r="J556" s="201">
        <f t="shared" si="154"/>
        <v>68.03</v>
      </c>
      <c r="K556" s="123">
        <f t="shared" si="155"/>
        <v>87.24</v>
      </c>
    </row>
    <row r="557" spans="2:11" ht="45">
      <c r="B557" s="473" t="s">
        <v>13386</v>
      </c>
      <c r="C557" s="79">
        <f>QUANT!C985</f>
        <v>94473</v>
      </c>
      <c r="D557" s="79" t="str">
        <f>QUANT!D985</f>
        <v>SINAPI</v>
      </c>
      <c r="E557" s="80" t="str">
        <f>IFERROR(VLOOKUP($C557,'SINAPI JULHO 2021'!$1:$1048576,2,0),IFERROR(VLOOKUP($C557,'5-COMP. PROPRIA'!$B$1:$I$7981,4,0),""))</f>
        <v>COTOVELO 90 GRAUS, EM FERRO GALVANIZADO, CONEXÃO ROSQUEADA, DN 65 (2 1/2), INSTALADO EM RESERVAÇÃO DE ÁGUA DE EDIFICAÇÃO QUE POSSUA RESERVATÓRIO DE FIBRA/FIBROCIMENTO  FORNECIMENTO E INSTALAÇÃO. AF_06/2016</v>
      </c>
      <c r="F557" s="81" t="str">
        <f>IFERROR(VLOOKUP($C557,'SINAPI JULHO 2021'!$A:$D,3,0),IFERROR(VLOOKUP($C557,'5-COMP. PROPRIA'!$B$1:$I$7981,5,0),""))</f>
        <v>UN</v>
      </c>
      <c r="G557" s="129">
        <f>QUANT!K985</f>
        <v>19</v>
      </c>
      <c r="H557" s="218">
        <f>IFERROR(VLOOKUP($C557,'SINAPI JULHO 2021'!$A:$D,4,0),IFERROR(VLOOKUP($C557,'5-COMP. PROPRIA'!$B$1:$I$1240,8,0),""))</f>
        <v>84.78</v>
      </c>
      <c r="I557" s="200">
        <f>H557*'4-BDI'!$E$29</f>
        <v>108.721872</v>
      </c>
      <c r="J557" s="201">
        <f t="shared" si="154"/>
        <v>1610.82</v>
      </c>
      <c r="K557" s="123">
        <f t="shared" si="155"/>
        <v>2065.71</v>
      </c>
    </row>
    <row r="558" spans="2:11" ht="30">
      <c r="B558" s="473" t="s">
        <v>13387</v>
      </c>
      <c r="C558" s="79">
        <f>QUANT!C986</f>
        <v>97488</v>
      </c>
      <c r="D558" s="79" t="str">
        <f>QUANT!D986</f>
        <v>SINAPI</v>
      </c>
      <c r="E558" s="80" t="str">
        <f>IFERROR(VLOOKUP($C558,'SINAPI JULHO 2021'!$1:$1048576,2,0),IFERROR(VLOOKUP($C558,'5-COMP. PROPRIA'!$B$1:$I$7981,4,0),""))</f>
        <v>CURVA 90 GRAUS, EM AÇO, CONEXÃO SOLDADA, DN 65 (2 1/2"), INSTALADO EM REDE DE ALIMENTAÇÃO PARA HIDRANTE - FORNECIMENTO E INSTALAÇÃO. AF_10/2020</v>
      </c>
      <c r="F558" s="81" t="str">
        <f>IFERROR(VLOOKUP($C558,'SINAPI JULHO 2021'!$A:$D,3,0),IFERROR(VLOOKUP($C558,'5-COMP. PROPRIA'!$B$1:$I$7981,5,0),""))</f>
        <v>UN</v>
      </c>
      <c r="G558" s="129">
        <f>QUANT!K986</f>
        <v>1</v>
      </c>
      <c r="H558" s="218">
        <f>IFERROR(VLOOKUP($C558,'SINAPI JULHO 2021'!$A:$D,4,0),IFERROR(VLOOKUP($C558,'5-COMP. PROPRIA'!$B$1:$I$1240,8,0),""))</f>
        <v>268.49</v>
      </c>
      <c r="I558" s="200">
        <f>H558*'4-BDI'!$E$29</f>
        <v>344.311576</v>
      </c>
      <c r="J558" s="201">
        <f t="shared" si="154"/>
        <v>268.49</v>
      </c>
      <c r="K558" s="123">
        <f t="shared" si="155"/>
        <v>344.31</v>
      </c>
    </row>
    <row r="559" spans="2:11" ht="30">
      <c r="B559" s="473" t="s">
        <v>13388</v>
      </c>
      <c r="C559" s="79">
        <f>QUANT!C987</f>
        <v>92378</v>
      </c>
      <c r="D559" s="79" t="str">
        <f>QUANT!D987</f>
        <v>SINAPI</v>
      </c>
      <c r="E559" s="80" t="str">
        <f>IFERROR(VLOOKUP($C559,'SINAPI JULHO 2021'!$1:$1048576,2,0),IFERROR(VLOOKUP($C559,'5-COMP. PROPRIA'!$B$1:$I$7981,4,0),""))</f>
        <v>LUVA, EM FERRO GALVANIZADO, DN 65 (2 1/2"), CONEXÃO ROSQUEADA, INSTALADO EM REDE DE ALIMENTAÇÃO PARA HIDRANTE - FORNECIMENTO E INSTALAÇÃO. AF_10/2020</v>
      </c>
      <c r="F559" s="81" t="str">
        <f>IFERROR(VLOOKUP($C559,'SINAPI JULHO 2021'!$A:$D,3,0),IFERROR(VLOOKUP($C559,'5-COMP. PROPRIA'!$B$1:$I$7981,5,0),""))</f>
        <v>UN</v>
      </c>
      <c r="G559" s="129">
        <f>QUANT!K987</f>
        <v>1</v>
      </c>
      <c r="H559" s="218">
        <f>IFERROR(VLOOKUP($C559,'SINAPI JULHO 2021'!$A:$D,4,0),IFERROR(VLOOKUP($C559,'5-COMP. PROPRIA'!$B$1:$I$1240,8,0),""))</f>
        <v>71.599999999999994</v>
      </c>
      <c r="I559" s="200">
        <f>H559*'4-BDI'!$E$29</f>
        <v>91.819839999999985</v>
      </c>
      <c r="J559" s="201">
        <f t="shared" si="154"/>
        <v>71.599999999999994</v>
      </c>
      <c r="K559" s="123">
        <f t="shared" si="155"/>
        <v>91.81</v>
      </c>
    </row>
    <row r="560" spans="2:11" ht="30">
      <c r="B560" s="473" t="s">
        <v>13389</v>
      </c>
      <c r="C560" s="79">
        <f>QUANT!C988</f>
        <v>92377</v>
      </c>
      <c r="D560" s="79" t="str">
        <f>QUANT!D988</f>
        <v>SINAPI</v>
      </c>
      <c r="E560" s="80" t="str">
        <f>IFERROR(VLOOKUP($C560,'SINAPI JULHO 2021'!$1:$1048576,2,0),IFERROR(VLOOKUP($C560,'5-COMP. PROPRIA'!$B$1:$I$7981,4,0),""))</f>
        <v>NIPLE, EM FERRO GALVANIZADO, DN 65 (2 1/2"), CONEXÃO ROSQUEADA, INSTALADO EM REDE DE ALIMENTAÇÃO PARA HIDRANTE - FORNECIMENTO E INSTALAÇÃO. AF_10/2020</v>
      </c>
      <c r="F560" s="81" t="str">
        <f>IFERROR(VLOOKUP($C560,'SINAPI JULHO 2021'!$A:$D,3,0),IFERROR(VLOOKUP($C560,'5-COMP. PROPRIA'!$B$1:$I$7981,5,0),""))</f>
        <v>UN</v>
      </c>
      <c r="G560" s="129">
        <f>QUANT!K988</f>
        <v>9</v>
      </c>
      <c r="H560" s="218">
        <f>IFERROR(VLOOKUP($C560,'SINAPI JULHO 2021'!$A:$D,4,0),IFERROR(VLOOKUP($C560,'5-COMP. PROPRIA'!$B$1:$I$1240,8,0),""))</f>
        <v>63.91</v>
      </c>
      <c r="I560" s="200">
        <f>H560*'4-BDI'!$E$29</f>
        <v>81.958183999999989</v>
      </c>
      <c r="J560" s="201">
        <f t="shared" si="154"/>
        <v>575.19000000000005</v>
      </c>
      <c r="K560" s="123">
        <f t="shared" si="155"/>
        <v>737.62</v>
      </c>
    </row>
    <row r="561" spans="2:11" ht="45">
      <c r="B561" s="473" t="s">
        <v>13390</v>
      </c>
      <c r="C561" s="79">
        <f>QUANT!C989</f>
        <v>92367</v>
      </c>
      <c r="D561" s="79" t="str">
        <f>QUANT!D989</f>
        <v>SINAPI</v>
      </c>
      <c r="E561" s="80" t="str">
        <f>IFERROR(VLOOKUP($C561,'SINAPI JULHO 2021'!$1:$1048576,2,0),IFERROR(VLOOKUP($C561,'5-COMP. PROPRIA'!$B$1:$I$7981,4,0),""))</f>
        <v>TUBO DE AÇO GALVANIZADO COM COSTURA, CLASSE MÉDIA, DN 65 (2 1/2"), CONEXÃO ROSQUEADA, INSTALADO EM REDE DE ALIMENTAÇÃO PARA HIDRANTE - FORNECIMENTO E INSTALAÇÃO. AF_10/2020</v>
      </c>
      <c r="F561" s="81" t="str">
        <f>IFERROR(VLOOKUP($C561,'SINAPI JULHO 2021'!$A:$D,3,0),IFERROR(VLOOKUP($C561,'5-COMP. PROPRIA'!$B$1:$I$7981,5,0),""))</f>
        <v>M</v>
      </c>
      <c r="G561" s="129">
        <f>QUANT!K989</f>
        <v>169.37</v>
      </c>
      <c r="H561" s="218">
        <f>IFERROR(VLOOKUP($C561,'SINAPI JULHO 2021'!$A:$D,4,0),IFERROR(VLOOKUP($C561,'5-COMP. PROPRIA'!$B$1:$I$1240,8,0),""))</f>
        <v>148.06</v>
      </c>
      <c r="I561" s="200">
        <f>H561*'4-BDI'!$E$29</f>
        <v>189.87214399999999</v>
      </c>
      <c r="J561" s="201">
        <f t="shared" si="154"/>
        <v>25076.92</v>
      </c>
      <c r="K561" s="123">
        <f t="shared" si="155"/>
        <v>32158.639999999999</v>
      </c>
    </row>
    <row r="562" spans="2:11" ht="30">
      <c r="B562" s="473" t="s">
        <v>13391</v>
      </c>
      <c r="C562" s="79">
        <f>QUANT!C990</f>
        <v>92642</v>
      </c>
      <c r="D562" s="79" t="str">
        <f>QUANT!D990</f>
        <v>SINAPI</v>
      </c>
      <c r="E562" s="80" t="str">
        <f>IFERROR(VLOOKUP($C562,'SINAPI JULHO 2021'!$1:$1048576,2,0),IFERROR(VLOOKUP($C562,'5-COMP. PROPRIA'!$B$1:$I$7981,4,0),""))</f>
        <v>TÊ, EM FERRO GALVANIZADO, CONEXÃO ROSQUEADA, DN 65 (2 1/2"), INSTALADO EM REDE DE ALIMENTAÇÃO PARA HIDRANTE - FORNECIMENTO E INSTALAÇÃO. AF_10/2020</v>
      </c>
      <c r="F562" s="81" t="str">
        <f>IFERROR(VLOOKUP($C562,'SINAPI JULHO 2021'!$A:$D,3,0),IFERROR(VLOOKUP($C562,'5-COMP. PROPRIA'!$B$1:$I$7981,5,0),""))</f>
        <v>UN</v>
      </c>
      <c r="G562" s="129">
        <f>QUANT!K990</f>
        <v>4</v>
      </c>
      <c r="H562" s="218">
        <f>IFERROR(VLOOKUP($C562,'SINAPI JULHO 2021'!$A:$D,4,0),IFERROR(VLOOKUP($C562,'5-COMP. PROPRIA'!$B$1:$I$1240,8,0),""))</f>
        <v>141.19</v>
      </c>
      <c r="I562" s="200">
        <f>H562*'4-BDI'!$E$29</f>
        <v>181.06205599999998</v>
      </c>
      <c r="J562" s="201">
        <f t="shared" si="154"/>
        <v>564.76</v>
      </c>
      <c r="K562" s="123">
        <f t="shared" si="155"/>
        <v>724.24</v>
      </c>
    </row>
    <row r="563" spans="2:11" ht="30">
      <c r="B563" s="473" t="s">
        <v>13392</v>
      </c>
      <c r="C563" s="79">
        <f>QUANT!C991</f>
        <v>92896</v>
      </c>
      <c r="D563" s="79" t="str">
        <f>QUANT!D991</f>
        <v>SINAPI</v>
      </c>
      <c r="E563" s="80" t="str">
        <f>IFERROR(VLOOKUP($C563,'SINAPI JULHO 2021'!$1:$1048576,2,0),IFERROR(VLOOKUP($C563,'5-COMP. PROPRIA'!$B$1:$I$7981,4,0),""))</f>
        <v>UNIÃO, EM FERRO GALVANIZADO, DN 65 (2 1/2"), CONEXÃO ROSQUEADA, INSTALADO EM REDE DE ALIMENTAÇÃO PARA HIDRANTE - FORNECIMENTO E INSTALAÇÃO. AF_10/2020</v>
      </c>
      <c r="F563" s="81" t="str">
        <f>IFERROR(VLOOKUP($C563,'SINAPI JULHO 2021'!$A:$D,3,0),IFERROR(VLOOKUP($C563,'5-COMP. PROPRIA'!$B$1:$I$7981,5,0),""))</f>
        <v>UN</v>
      </c>
      <c r="G563" s="129">
        <f>QUANT!K991</f>
        <v>2</v>
      </c>
      <c r="H563" s="218">
        <f>IFERROR(VLOOKUP($C563,'SINAPI JULHO 2021'!$A:$D,4,0),IFERROR(VLOOKUP($C563,'5-COMP. PROPRIA'!$B$1:$I$1240,8,0),""))</f>
        <v>149.78</v>
      </c>
      <c r="I563" s="200">
        <f>H563*'4-BDI'!$E$29</f>
        <v>192.07787199999999</v>
      </c>
      <c r="J563" s="201">
        <f t="shared" si="154"/>
        <v>299.56</v>
      </c>
      <c r="K563" s="123">
        <f t="shared" si="155"/>
        <v>384.15</v>
      </c>
    </row>
    <row r="564" spans="2:11" ht="45">
      <c r="B564" s="473" t="s">
        <v>13393</v>
      </c>
      <c r="C564" s="79">
        <f>QUANT!C992</f>
        <v>96765</v>
      </c>
      <c r="D564" s="79" t="str">
        <f>QUANT!D992</f>
        <v>SINAPI</v>
      </c>
      <c r="E564" s="80" t="str">
        <f>IFERROR(VLOOKUP($C564,'SINAPI JULHO 2021'!$1:$1048576,2,0),IFERROR(VLOOKUP($C564,'5-COMP. PROPRIA'!$B$1:$I$7981,4,0),""))</f>
        <v>ABRIGO PARA HIDRANTE, 90X60X17CM, COM REGISTRO GLOBO ANGULAR 45 GRAUS 2 1/2", ADAPTADOR STORZ 2 1/2", MANGUEIRA DE INCÊNDIO 20M, REDUÇÃO 2 1/2" X 1 1/2" E ESGUICHO EM LATÃO 1 1/2" - FORNECIMENTO E INSTALAÇÃO. AF_10/2020</v>
      </c>
      <c r="F564" s="81" t="str">
        <f>IFERROR(VLOOKUP($C564,'SINAPI JULHO 2021'!$A:$D,3,0),IFERROR(VLOOKUP($C564,'5-COMP. PROPRIA'!$B$1:$I$7981,5,0),""))</f>
        <v>UN</v>
      </c>
      <c r="G564" s="129">
        <f>QUANT!K992</f>
        <v>5</v>
      </c>
      <c r="H564" s="218">
        <f>IFERROR(VLOOKUP($C564,'SINAPI JULHO 2021'!$A:$D,4,0),IFERROR(VLOOKUP($C564,'5-COMP. PROPRIA'!$B$1:$I$1240,8,0),""))</f>
        <v>1244.3699999999999</v>
      </c>
      <c r="I564" s="200">
        <f>H564*'4-BDI'!$E$29</f>
        <v>1595.7800879999998</v>
      </c>
      <c r="J564" s="201">
        <f t="shared" si="154"/>
        <v>6221.85</v>
      </c>
      <c r="K564" s="123">
        <f t="shared" si="155"/>
        <v>7978.9</v>
      </c>
    </row>
    <row r="565" spans="2:11" ht="45">
      <c r="B565" s="473" t="s">
        <v>13394</v>
      </c>
      <c r="C565" s="79">
        <f>QUANT!C993</f>
        <v>94499</v>
      </c>
      <c r="D565" s="79" t="str">
        <f>QUANT!D993</f>
        <v>SINAPI</v>
      </c>
      <c r="E565" s="80" t="str">
        <f>IFERROR(VLOOKUP($C565,'SINAPI JULHO 2021'!$1:$1048576,2,0),IFERROR(VLOOKUP($C565,'5-COMP. PROPRIA'!$B$1:$I$7981,4,0),""))</f>
        <v>REGISTRO DE GAVETA BRUTO, LATÃO, ROSCÁVEL, 2 1/2, INSTALADO EM RESERVAÇÃO DE ÁGUA DE EDIFICAÇÃO QUE POSSUA RESERVATÓRIO DE FIBRA/FIBROCIMENTO  FORNECIMENTO E INSTALAÇÃO. AF_06/2016</v>
      </c>
      <c r="F565" s="81" t="str">
        <f>IFERROR(VLOOKUP($C565,'SINAPI JULHO 2021'!$A:$D,3,0),IFERROR(VLOOKUP($C565,'5-COMP. PROPRIA'!$B$1:$I$7981,5,0),""))</f>
        <v>UN</v>
      </c>
      <c r="G565" s="129">
        <f>QUANT!K993</f>
        <v>4</v>
      </c>
      <c r="H565" s="218">
        <f>IFERROR(VLOOKUP($C565,'SINAPI JULHO 2021'!$A:$D,4,0),IFERROR(VLOOKUP($C565,'5-COMP. PROPRIA'!$B$1:$I$1240,8,0),""))</f>
        <v>146.56</v>
      </c>
      <c r="I565" s="200">
        <f>H565*'4-BDI'!$E$29</f>
        <v>187.948544</v>
      </c>
      <c r="J565" s="201">
        <f t="shared" si="154"/>
        <v>586.24</v>
      </c>
      <c r="K565" s="123">
        <f t="shared" si="155"/>
        <v>751.79</v>
      </c>
    </row>
    <row r="566" spans="2:11" ht="45">
      <c r="B566" s="473" t="s">
        <v>13395</v>
      </c>
      <c r="C566" s="79" t="str">
        <f>QUANT!C994</f>
        <v>CP-INC-01</v>
      </c>
      <c r="D566" s="79" t="str">
        <f>QUANT!D994</f>
        <v>PRÓPRIA</v>
      </c>
      <c r="E566" s="80" t="str">
        <f>IFERROR(VLOOKUP($C566,'SINAPI JULHO 2021'!$1:$1048576,2,0),IFERROR(VLOOKUP($C566,'5-COMP. PROPRIA'!$B$1:$I$7981,4,0),""))</f>
        <v>TAMPAO FOFO ARTICULADO, CLASSE B125 CARGA MAX 12,5 T, REDONDO TAMPA 600 MM, REDE PLUVIAL/ESGOTO, P = CHAMINE CX AREIA / POCO VISITA ASSENTADO COM ARG CIM/AREIA 1:4, FORNECIMENTO E ASSENTAMENTO</v>
      </c>
      <c r="F566" s="81" t="str">
        <f>IFERROR(VLOOKUP($C566,'SINAPI JULHO 2021'!$A:$D,3,0),IFERROR(VLOOKUP($C566,'5-COMP. PROPRIA'!$B$1:$I$7981,5,0),""))</f>
        <v>UN</v>
      </c>
      <c r="G566" s="129">
        <f>QUANT!K994</f>
        <v>1</v>
      </c>
      <c r="H566" s="218">
        <f>IFERROR(VLOOKUP($C566,'SINAPI JULHO 2021'!$A:$D,4,0),IFERROR(VLOOKUP($C566,'5-COMP. PROPRIA'!$B$1:$I$1240,8,0),""))</f>
        <v>727.43</v>
      </c>
      <c r="I566" s="200">
        <f>H566*'4-BDI'!$E$29</f>
        <v>932.85623199999998</v>
      </c>
      <c r="J566" s="201">
        <f t="shared" si="154"/>
        <v>727.43</v>
      </c>
      <c r="K566" s="123">
        <f t="shared" si="155"/>
        <v>932.85</v>
      </c>
    </row>
    <row r="567" spans="2:11" ht="30">
      <c r="B567" s="473" t="s">
        <v>13396</v>
      </c>
      <c r="C567" s="79">
        <f>QUANT!C995</f>
        <v>99624</v>
      </c>
      <c r="D567" s="79" t="str">
        <f>QUANT!D995</f>
        <v>SINAPI</v>
      </c>
      <c r="E567" s="80" t="str">
        <f>IFERROR(VLOOKUP($C567,'SINAPI JULHO 2021'!$1:$1048576,2,0),IFERROR(VLOOKUP($C567,'5-COMP. PROPRIA'!$B$1:$I$7981,4,0),""))</f>
        <v>VÁLVULA DE RETENÇÃO HORIZONTAL, DE BRONZE, ROSCÁVEL, 2 1/2" - FORNECIMENTO E INSTALAÇÃO. AF_01/2019</v>
      </c>
      <c r="F567" s="81" t="str">
        <f>IFERROR(VLOOKUP($C567,'SINAPI JULHO 2021'!$A:$D,3,0),IFERROR(VLOOKUP($C567,'5-COMP. PROPRIA'!$B$1:$I$7981,5,0),""))</f>
        <v>UN</v>
      </c>
      <c r="G567" s="129">
        <f>QUANT!K995</f>
        <v>1</v>
      </c>
      <c r="H567" s="218">
        <f>IFERROR(VLOOKUP($C567,'SINAPI JULHO 2021'!$A:$D,4,0),IFERROR(VLOOKUP($C567,'5-COMP. PROPRIA'!$B$1:$I$1240,8,0),""))</f>
        <v>424.1</v>
      </c>
      <c r="I567" s="200">
        <f>H567*'4-BDI'!$E$29</f>
        <v>543.86584000000005</v>
      </c>
      <c r="J567" s="201">
        <f t="shared" si="154"/>
        <v>424.1</v>
      </c>
      <c r="K567" s="123">
        <f t="shared" si="155"/>
        <v>543.86</v>
      </c>
    </row>
    <row r="568" spans="2:11" ht="30">
      <c r="B568" s="473" t="s">
        <v>13397</v>
      </c>
      <c r="C568" s="79">
        <f>QUANT!C996</f>
        <v>102520</v>
      </c>
      <c r="D568" s="79" t="str">
        <f>QUANT!D996</f>
        <v>SINAPI</v>
      </c>
      <c r="E568" s="80" t="str">
        <f>IFERROR(VLOOKUP($C568,'SINAPI JULHO 2021'!$1:$1048576,2,0),IFERROR(VLOOKUP($C568,'5-COMP. PROPRIA'!$B$1:$I$7981,4,0),""))</f>
        <v>PINTURA DE SINALIZAÇÃO VERTICAL DE SEGURANÇA, FAIXAS AMARELA E PRETA, APLICAÇÃO MANUAL, 2 DEMÃOS. AF_05/2021</v>
      </c>
      <c r="F568" s="81" t="str">
        <f>IFERROR(VLOOKUP($C568,'SINAPI JULHO 2021'!$A:$D,3,0),IFERROR(VLOOKUP($C568,'5-COMP. PROPRIA'!$B$1:$I$7981,5,0),""))</f>
        <v>M2</v>
      </c>
      <c r="G568" s="129">
        <f>QUANT!K996</f>
        <v>26</v>
      </c>
      <c r="H568" s="218">
        <f>IFERROR(VLOOKUP($C568,'SINAPI JULHO 2021'!$A:$D,4,0),IFERROR(VLOOKUP($C568,'5-COMP. PROPRIA'!$B$1:$I$1240,8,0),""))</f>
        <v>53.72</v>
      </c>
      <c r="I568" s="200">
        <f>H568*'4-BDI'!$E$29</f>
        <v>68.890528000000003</v>
      </c>
      <c r="J568" s="201">
        <f t="shared" si="154"/>
        <v>1396.72</v>
      </c>
      <c r="K568" s="123">
        <f t="shared" si="155"/>
        <v>1791.15</v>
      </c>
    </row>
    <row r="569" spans="2:11" ht="30">
      <c r="B569" s="473" t="s">
        <v>13398</v>
      </c>
      <c r="C569" s="79">
        <f>QUANT!C997</f>
        <v>101916</v>
      </c>
      <c r="D569" s="79" t="str">
        <f>QUANT!D997</f>
        <v>SINAPI</v>
      </c>
      <c r="E569" s="80" t="str">
        <f>IFERROR(VLOOKUP($C569,'SINAPI JULHO 2021'!$1:$1048576,2,0),IFERROR(VLOOKUP($C569,'5-COMP. PROPRIA'!$B$1:$I$7981,4,0),""))</f>
        <v>HIDRANTE SUBTERRÂNEO PREDIAL (COM CURVA LONGA E CAIXA), DN 75 MM - FORNECIMENTO E INSTALAÇÃO. AF_10/2020</v>
      </c>
      <c r="F569" s="81" t="str">
        <f>IFERROR(VLOOKUP($C569,'SINAPI JULHO 2021'!$A:$D,3,0),IFERROR(VLOOKUP($C569,'5-COMP. PROPRIA'!$B$1:$I$7981,5,0),""))</f>
        <v>UN</v>
      </c>
      <c r="G569" s="129">
        <f>QUANT!K997</f>
        <v>1</v>
      </c>
      <c r="H569" s="218">
        <f>IFERROR(VLOOKUP($C569,'SINAPI JULHO 2021'!$A:$D,4,0),IFERROR(VLOOKUP($C569,'5-COMP. PROPRIA'!$B$1:$I$1240,8,0),""))</f>
        <v>2746.96</v>
      </c>
      <c r="I569" s="200">
        <f>H569*'4-BDI'!$E$29</f>
        <v>3522.7015040000001</v>
      </c>
      <c r="J569" s="201">
        <f t="shared" si="154"/>
        <v>2746.96</v>
      </c>
      <c r="K569" s="123">
        <f t="shared" si="155"/>
        <v>3522.7</v>
      </c>
    </row>
    <row r="570" spans="2:11" ht="45">
      <c r="B570" s="473" t="s">
        <v>13399</v>
      </c>
      <c r="C570" s="79" t="str">
        <f>QUANT!C998</f>
        <v>CP-PLA-01</v>
      </c>
      <c r="D570" s="79" t="str">
        <f>QUANT!D998</f>
        <v>PRÓPRIA</v>
      </c>
      <c r="E570" s="80" t="str">
        <f>IFERROR(VLOOKUP($C570,'SINAPI JULHO 2021'!$1:$1048576,2,0),IFERROR(VLOOKUP($C570,'5-COMP. PROPRIA'!$B$1:$I$7981,4,0),""))</f>
        <v>PLACA DE SINALIZACAO DE SEGURANCA CONTRA INCENDIO, FOTOLUMINESCENTE, RETANGULAR, *20 X 40* CM, EM PVC *2* MM ANTI-CHAMAS (SIMBOLOS, CORES E PICTOGRAMAS CONFORME NBR 13434) - FORNECIMENTO E INSTALAÇÃO</v>
      </c>
      <c r="F570" s="81" t="str">
        <f>IFERROR(VLOOKUP($C570,'SINAPI JULHO 2021'!$A:$D,3,0),IFERROR(VLOOKUP($C570,'5-COMP. PROPRIA'!$B$1:$I$7981,5,0),""))</f>
        <v>UN</v>
      </c>
      <c r="G570" s="129">
        <f>QUANT!K998</f>
        <v>2</v>
      </c>
      <c r="H570" s="218">
        <f>IFERROR(VLOOKUP($C570,'SINAPI JULHO 2021'!$A:$D,4,0),IFERROR(VLOOKUP($C570,'5-COMP. PROPRIA'!$B$1:$I$1240,8,0),""))</f>
        <v>45.96</v>
      </c>
      <c r="I570" s="200">
        <f>H570*'4-BDI'!$E$29</f>
        <v>58.939104</v>
      </c>
      <c r="J570" s="201">
        <f t="shared" si="154"/>
        <v>91.92</v>
      </c>
      <c r="K570" s="123">
        <f t="shared" si="155"/>
        <v>117.87</v>
      </c>
    </row>
    <row r="571" spans="2:11" ht="15">
      <c r="B571" s="222" t="s">
        <v>13380</v>
      </c>
      <c r="C571" s="223"/>
      <c r="D571" s="224"/>
      <c r="E571" s="225" t="str">
        <f>QUANT!E999</f>
        <v>EXTINTORES</v>
      </c>
      <c r="F571" s="120"/>
      <c r="G571" s="129"/>
      <c r="H571" s="218"/>
      <c r="I571" s="200"/>
      <c r="J571" s="201"/>
      <c r="K571" s="123"/>
    </row>
    <row r="572" spans="2:11" ht="30">
      <c r="B572" s="473" t="s">
        <v>13381</v>
      </c>
      <c r="C572" s="79">
        <f>QUANT!C1000</f>
        <v>101909</v>
      </c>
      <c r="D572" s="79" t="str">
        <f>QUANT!D1000</f>
        <v>SINAPI</v>
      </c>
      <c r="E572" s="80" t="str">
        <f>IFERROR(VLOOKUP($C572,'SINAPI JULHO 2021'!$1:$1048576,2,0),IFERROR(VLOOKUP($C572,'5-COMP. PROPRIA'!$B$1:$I$7981,4,0),""))</f>
        <v>EXTINTOR DE INCÊNDIO PORTÁTIL COM CARGA DE PQS DE 6 KG, CLASSE BC - FORNECIMENTO E INSTALAÇÃO. AF_10/2020_P</v>
      </c>
      <c r="F572" s="81" t="str">
        <f>IFERROR(VLOOKUP($C572,'SINAPI JULHO 2021'!$A:$D,3,0),IFERROR(VLOOKUP($C572,'5-COMP. PROPRIA'!$B$1:$I$7981,5,0),""))</f>
        <v>UN</v>
      </c>
      <c r="G572" s="129">
        <f>QUANT!K1000</f>
        <v>7</v>
      </c>
      <c r="H572" s="218">
        <f>IFERROR(VLOOKUP($C572,'SINAPI JULHO 2021'!$A:$D,4,0),IFERROR(VLOOKUP($C572,'5-COMP. PROPRIA'!$B$1:$I$1240,8,0),""))</f>
        <v>203.07</v>
      </c>
      <c r="I572" s="200">
        <f>H572*'4-BDI'!$E$29</f>
        <v>260.416968</v>
      </c>
      <c r="J572" s="201">
        <f t="shared" si="154"/>
        <v>1421.49</v>
      </c>
      <c r="K572" s="123">
        <f t="shared" si="155"/>
        <v>1822.91</v>
      </c>
    </row>
    <row r="573" spans="2:11" ht="30">
      <c r="B573" s="473" t="s">
        <v>13382</v>
      </c>
      <c r="C573" s="79">
        <f>QUANT!C1001</f>
        <v>101907</v>
      </c>
      <c r="D573" s="79" t="str">
        <f>QUANT!D1001</f>
        <v>SINAPI</v>
      </c>
      <c r="E573" s="80" t="str">
        <f>IFERROR(VLOOKUP($C573,'SINAPI JULHO 2021'!$1:$1048576,2,0),IFERROR(VLOOKUP($C573,'5-COMP. PROPRIA'!$B$1:$I$7981,4,0),""))</f>
        <v>EXTINTOR DE INCÊNDIO PORTÁTIL COM CARGA DE CO2 DE 6 KG, CLASSE BC - FORNECIMENTO E INSTALAÇÃO. AF_10/2020_P</v>
      </c>
      <c r="F573" s="81" t="str">
        <f>IFERROR(VLOOKUP($C573,'SINAPI JULHO 2021'!$A:$D,3,0),IFERROR(VLOOKUP($C573,'5-COMP. PROPRIA'!$B$1:$I$7981,5,0),""))</f>
        <v>UN</v>
      </c>
      <c r="G573" s="129">
        <f>QUANT!K1001</f>
        <v>2</v>
      </c>
      <c r="H573" s="218">
        <f>IFERROR(VLOOKUP($C573,'SINAPI JULHO 2021'!$A:$D,4,0),IFERROR(VLOOKUP($C573,'5-COMP. PROPRIA'!$B$1:$I$1240,8,0),""))</f>
        <v>579.07000000000005</v>
      </c>
      <c r="I573" s="200">
        <f>H573*'4-BDI'!$E$29</f>
        <v>742.59936800000003</v>
      </c>
      <c r="J573" s="201">
        <f t="shared" ref="J573:J581" si="156">TRUNC(G573*H573,2)</f>
        <v>1158.1400000000001</v>
      </c>
      <c r="K573" s="123">
        <f t="shared" ref="K573:K581" si="157">TRUNC(G573*I573,2)</f>
        <v>1485.19</v>
      </c>
    </row>
    <row r="574" spans="2:11" ht="30">
      <c r="B574" s="473" t="s">
        <v>13383</v>
      </c>
      <c r="C574" s="79">
        <f>QUANT!C1002</f>
        <v>101905</v>
      </c>
      <c r="D574" s="79" t="str">
        <f>QUANT!D1002</f>
        <v>SINAPI</v>
      </c>
      <c r="E574" s="80" t="str">
        <f>IFERROR(VLOOKUP($C574,'SINAPI JULHO 2021'!$1:$1048576,2,0),IFERROR(VLOOKUP($C574,'5-COMP. PROPRIA'!$B$1:$I$7981,4,0),""))</f>
        <v>EXTINTOR DE INCÊNDIO PORTÁTIL COM CARGA DE ÁGUA PRESSURIZADA DE 10 L, CLASSE A - FORNECIMENTO E INSTALAÇÃO. AF_10/2020_P</v>
      </c>
      <c r="F574" s="81" t="str">
        <f>IFERROR(VLOOKUP($C574,'SINAPI JULHO 2021'!$A:$D,3,0),IFERROR(VLOOKUP($C574,'5-COMP. PROPRIA'!$B$1:$I$7981,5,0),""))</f>
        <v>UN</v>
      </c>
      <c r="G574" s="129">
        <f>QUANT!K1002</f>
        <v>7</v>
      </c>
      <c r="H574" s="218">
        <f>IFERROR(VLOOKUP($C574,'SINAPI JULHO 2021'!$A:$D,4,0),IFERROR(VLOOKUP($C574,'5-COMP. PROPRIA'!$B$1:$I$1240,8,0),""))</f>
        <v>179.57</v>
      </c>
      <c r="I574" s="200">
        <f>H574*'4-BDI'!$E$29</f>
        <v>230.28056799999999</v>
      </c>
      <c r="J574" s="201">
        <f t="shared" si="156"/>
        <v>1256.99</v>
      </c>
      <c r="K574" s="123">
        <f t="shared" si="157"/>
        <v>1611.96</v>
      </c>
    </row>
    <row r="575" spans="2:11" ht="15">
      <c r="B575" s="222" t="s">
        <v>13384</v>
      </c>
      <c r="C575" s="223"/>
      <c r="D575" s="224"/>
      <c r="E575" s="225" t="str">
        <f>QUANT!E1003</f>
        <v>SISTEMA DE ALARME</v>
      </c>
      <c r="F575" s="120"/>
      <c r="G575" s="129"/>
      <c r="H575" s="218"/>
      <c r="I575" s="200"/>
      <c r="J575" s="201"/>
      <c r="K575" s="123"/>
    </row>
    <row r="576" spans="2:11" ht="15">
      <c r="B576" s="473" t="s">
        <v>13385</v>
      </c>
      <c r="C576" s="79" t="str">
        <f>QUANT!C1004</f>
        <v>CP-INC-02</v>
      </c>
      <c r="D576" s="79" t="str">
        <f>QUANT!D1004</f>
        <v>PRÓPRIA</v>
      </c>
      <c r="E576" s="80" t="str">
        <f>IFERROR(VLOOKUP($C576,'SINAPI JULHO 2021'!$1:$1048576,2,0),IFERROR(VLOOKUP($C576,'5-COMP. PROPRIA'!$B$1:$I$7981,4,0),""))</f>
        <v>BOTOEIRA CHAVE COM MARTELINHO - FORNECIMENTO E INSTALAÇÃO</v>
      </c>
      <c r="F576" s="81" t="str">
        <f>IFERROR(VLOOKUP($C576,'SINAPI JULHO 2021'!$A:$D,3,0),IFERROR(VLOOKUP($C576,'5-COMP. PROPRIA'!$B$1:$I$7981,5,0),""))</f>
        <v>UN</v>
      </c>
      <c r="G576" s="129">
        <f>QUANT!K1004</f>
        <v>4</v>
      </c>
      <c r="H576" s="218">
        <f>IFERROR(VLOOKUP($C576,'SINAPI JULHO 2021'!$A:$D,4,0),IFERROR(VLOOKUP($C576,'5-COMP. PROPRIA'!$B$1:$I$1240,8,0),""))</f>
        <v>79.69</v>
      </c>
      <c r="I576" s="200">
        <f>H576*'4-BDI'!$E$29</f>
        <v>102.194456</v>
      </c>
      <c r="J576" s="201">
        <f t="shared" si="156"/>
        <v>318.76</v>
      </c>
      <c r="K576" s="123">
        <f t="shared" si="157"/>
        <v>408.77</v>
      </c>
    </row>
    <row r="577" spans="2:11" ht="15">
      <c r="B577" s="473" t="s">
        <v>13400</v>
      </c>
      <c r="C577" s="79" t="str">
        <f>QUANT!C1005</f>
        <v>CP-INC-03</v>
      </c>
      <c r="D577" s="79" t="str">
        <f>QUANT!D1005</f>
        <v>PRÓPRIA</v>
      </c>
      <c r="E577" s="80" t="str">
        <f>IFERROR(VLOOKUP($C577,'SINAPI JULHO 2021'!$1:$1048576,2,0),IFERROR(VLOOKUP($C577,'5-COMP. PROPRIA'!$B$1:$I$7981,4,0),""))</f>
        <v>BOTOEIRA QUEBRA VIDRO - FORNECIMENTO E INSTALAÇÃO</v>
      </c>
      <c r="F577" s="81" t="str">
        <f>IFERROR(VLOOKUP($C577,'SINAPI JULHO 2021'!$A:$D,3,0),IFERROR(VLOOKUP($C577,'5-COMP. PROPRIA'!$B$1:$I$7981,5,0),""))</f>
        <v>UN</v>
      </c>
      <c r="G577" s="129">
        <f>QUANT!K1005</f>
        <v>4</v>
      </c>
      <c r="H577" s="218">
        <f>IFERROR(VLOOKUP($C577,'SINAPI JULHO 2021'!$A:$D,4,0),IFERROR(VLOOKUP($C577,'5-COMP. PROPRIA'!$B$1:$I$1240,8,0),""))</f>
        <v>74.69</v>
      </c>
      <c r="I577" s="200">
        <f>H577*'4-BDI'!$E$29</f>
        <v>95.782455999999996</v>
      </c>
      <c r="J577" s="201">
        <f t="shared" si="156"/>
        <v>298.76</v>
      </c>
      <c r="K577" s="123">
        <f t="shared" si="157"/>
        <v>383.12</v>
      </c>
    </row>
    <row r="578" spans="2:11" ht="15">
      <c r="B578" s="473" t="s">
        <v>13401</v>
      </c>
      <c r="C578" s="79" t="str">
        <f>QUANT!C1006</f>
        <v>CP-INC-04</v>
      </c>
      <c r="D578" s="79" t="str">
        <f>QUANT!D1006</f>
        <v>PRÓPRIA</v>
      </c>
      <c r="E578" s="80" t="str">
        <f>IFERROR(VLOOKUP($C578,'SINAPI JULHO 2021'!$1:$1048576,2,0),IFERROR(VLOOKUP($C578,'5-COMP. PROPRIA'!$B$1:$I$7981,4,0),""))</f>
        <v>CENTRAL DE ALARME DE INCÊNDIO ENDEREÇAVEL - FORNECIMENTO E INSTALAÇÃO</v>
      </c>
      <c r="F578" s="81" t="str">
        <f>IFERROR(VLOOKUP($C578,'SINAPI JULHO 2021'!$A:$D,3,0),IFERROR(VLOOKUP($C578,'5-COMP. PROPRIA'!$B$1:$I$7981,5,0),""))</f>
        <v>UN</v>
      </c>
      <c r="G578" s="129">
        <f>QUANT!K1006</f>
        <v>1</v>
      </c>
      <c r="H578" s="218">
        <f>IFERROR(VLOOKUP($C578,'SINAPI JULHO 2021'!$A:$D,4,0),IFERROR(VLOOKUP($C578,'5-COMP. PROPRIA'!$B$1:$I$1240,8,0),""))</f>
        <v>1509.69</v>
      </c>
      <c r="I578" s="200">
        <f>H578*'4-BDI'!$E$29</f>
        <v>1936.0264560000001</v>
      </c>
      <c r="J578" s="201">
        <f t="shared" si="156"/>
        <v>1509.69</v>
      </c>
      <c r="K578" s="123">
        <f t="shared" si="157"/>
        <v>1936.02</v>
      </c>
    </row>
    <row r="579" spans="2:11" ht="30">
      <c r="B579" s="473" t="s">
        <v>13402</v>
      </c>
      <c r="C579" s="79">
        <f>QUANT!C1007</f>
        <v>91925</v>
      </c>
      <c r="D579" s="79" t="str">
        <f>QUANT!D1007</f>
        <v>SINAPI</v>
      </c>
      <c r="E579" s="80" t="str">
        <f>IFERROR(VLOOKUP($C579,'SINAPI JULHO 2021'!$1:$1048576,2,0),IFERROR(VLOOKUP($C579,'5-COMP. PROPRIA'!$B$1:$I$7981,4,0),""))</f>
        <v>CABO DE COBRE FLEXÍVEL ISOLADO, 1,5 MM², ANTI-CHAMA 0,6/1,0 KV, PARA CIRCUITOS TERMINAIS - FORNECIMENTO E INSTALAÇÃO. AF_12/2015</v>
      </c>
      <c r="F579" s="81" t="str">
        <f>IFERROR(VLOOKUP($C579,'SINAPI JULHO 2021'!$A:$D,3,0),IFERROR(VLOOKUP($C579,'5-COMP. PROPRIA'!$B$1:$I$7981,5,0),""))</f>
        <v>M</v>
      </c>
      <c r="G579" s="129">
        <f>QUANT!K1007</f>
        <v>88.7</v>
      </c>
      <c r="H579" s="218">
        <f>IFERROR(VLOOKUP($C579,'SINAPI JULHO 2021'!$A:$D,4,0),IFERROR(VLOOKUP($C579,'5-COMP. PROPRIA'!$B$1:$I$1240,8,0),""))</f>
        <v>3.9</v>
      </c>
      <c r="I579" s="200">
        <f>H579*'4-BDI'!$E$29</f>
        <v>5.00136</v>
      </c>
      <c r="J579" s="201">
        <f t="shared" si="156"/>
        <v>345.93</v>
      </c>
      <c r="K579" s="123">
        <f t="shared" si="157"/>
        <v>443.62</v>
      </c>
    </row>
    <row r="580" spans="2:11" ht="15">
      <c r="B580" s="222" t="s">
        <v>13403</v>
      </c>
      <c r="C580" s="223"/>
      <c r="D580" s="224"/>
      <c r="E580" s="225" t="str">
        <f>QUANT!E1008</f>
        <v>ILUMINAÇÃO DE EMERGÊNCIA</v>
      </c>
      <c r="F580" s="120"/>
      <c r="G580" s="129"/>
      <c r="H580" s="218"/>
      <c r="I580" s="200"/>
      <c r="J580" s="201"/>
      <c r="K580" s="123"/>
    </row>
    <row r="581" spans="2:11" ht="30">
      <c r="B581" s="473" t="s">
        <v>13404</v>
      </c>
      <c r="C581" s="79">
        <f>QUANT!C1009</f>
        <v>97599</v>
      </c>
      <c r="D581" s="79" t="str">
        <f>QUANT!D1009</f>
        <v>SINAPI</v>
      </c>
      <c r="E581" s="80" t="str">
        <f>IFERROR(VLOOKUP($C581,'SINAPI JULHO 2021'!$1:$1048576,2,0),IFERROR(VLOOKUP($C581,'5-COMP. PROPRIA'!$B$1:$I$7981,4,0),""))</f>
        <v>LUMINÁRIA DE EMERGÊNCIA, COM 30 LÂMPADAS LED DE 2 W, SEM REATOR - FORNECIMENTO E INSTALAÇÃO. AF_02/2020</v>
      </c>
      <c r="F581" s="81" t="str">
        <f>IFERROR(VLOOKUP($C581,'SINAPI JULHO 2021'!$A:$D,3,0),IFERROR(VLOOKUP($C581,'5-COMP. PROPRIA'!$B$1:$I$7981,5,0),""))</f>
        <v>UN</v>
      </c>
      <c r="G581" s="129">
        <f>QUANT!K1009</f>
        <v>70</v>
      </c>
      <c r="H581" s="218">
        <f>IFERROR(VLOOKUP($C581,'SINAPI JULHO 2021'!$A:$D,4,0),IFERROR(VLOOKUP($C581,'5-COMP. PROPRIA'!$B$1:$I$1240,8,0),""))</f>
        <v>21.88</v>
      </c>
      <c r="I581" s="200">
        <f>H581*'4-BDI'!$E$29</f>
        <v>28.058911999999999</v>
      </c>
      <c r="J581" s="201">
        <f t="shared" si="156"/>
        <v>1531.6</v>
      </c>
      <c r="K581" s="123">
        <f t="shared" si="157"/>
        <v>1964.12</v>
      </c>
    </row>
    <row r="582" spans="2:11" ht="15">
      <c r="B582" s="473" t="s">
        <v>13405</v>
      </c>
      <c r="C582" s="79" t="str">
        <f>QUANT!C1010</f>
        <v>CP-INC-05</v>
      </c>
      <c r="D582" s="79" t="str">
        <f>QUANT!D1010</f>
        <v>PRÓPRIA</v>
      </c>
      <c r="E582" s="80" t="str">
        <f>IFERROR(VLOOKUP($C582,'SINAPI JULHO 2021'!$1:$1048576,2,0),IFERROR(VLOOKUP($C582,'5-COMP. PROPRIA'!$B$1:$I$7981,4,0),""))</f>
        <v>AVISADOR SONORO - FORNECIMENTO E INSTALAÇÃO</v>
      </c>
      <c r="F582" s="81" t="str">
        <f>IFERROR(VLOOKUP($C582,'SINAPI JULHO 2021'!$A:$D,3,0),IFERROR(VLOOKUP($C582,'5-COMP. PROPRIA'!$B$1:$I$7981,5,0),""))</f>
        <v>UN</v>
      </c>
      <c r="G582" s="129">
        <f>QUANT!K1010</f>
        <v>4</v>
      </c>
      <c r="H582" s="218">
        <f>IFERROR(VLOOKUP($C582,'SINAPI JULHO 2021'!$A:$D,4,0),IFERROR(VLOOKUP($C582,'5-COMP. PROPRIA'!$B$1:$I$1240,8,0),""))</f>
        <v>49.69</v>
      </c>
      <c r="I582" s="200">
        <f>H582*'4-BDI'!$E$29</f>
        <v>63.722455999999994</v>
      </c>
      <c r="J582" s="201">
        <f t="shared" ref="J582:J584" si="158">TRUNC(G582*H582,2)</f>
        <v>198.76</v>
      </c>
      <c r="K582" s="123">
        <f t="shared" ref="K582:K584" si="159">TRUNC(G582*I582,2)</f>
        <v>254.88</v>
      </c>
    </row>
    <row r="583" spans="2:11" ht="15">
      <c r="B583" s="474" t="s">
        <v>6302</v>
      </c>
      <c r="C583" s="475"/>
      <c r="D583" s="476"/>
      <c r="E583" s="477" t="str">
        <f>QUANT!E1011</f>
        <v>SISTEMA DE PROTEÇÃO CONTRA DESCARGAS ATMOSFÉRICAS</v>
      </c>
      <c r="F583" s="478"/>
      <c r="G583" s="479"/>
      <c r="H583" s="480"/>
      <c r="I583" s="481"/>
      <c r="J583" s="481"/>
      <c r="K583" s="482"/>
    </row>
    <row r="584" spans="2:11" ht="15">
      <c r="B584" s="473" t="s">
        <v>13417</v>
      </c>
      <c r="C584" s="79">
        <f>QUANT!C1012</f>
        <v>96984</v>
      </c>
      <c r="D584" s="79" t="str">
        <f>QUANT!D1012</f>
        <v>SINAPI</v>
      </c>
      <c r="E584" s="80" t="str">
        <f>IFERROR(VLOOKUP($C584,'SINAPI JULHO 2021'!$1:$1048576,2,0),IFERROR(VLOOKUP($C584,'5-COMP. PROPRIA'!$B$1:$I$7981,4,0),""))</f>
        <v>ELETRODUTO PVC 40MM (1 ¼ ) PARA SPDA - FORNECIMENTO E INSTALAÇÃO. AF_12/2017</v>
      </c>
      <c r="F584" s="81" t="str">
        <f>IFERROR(VLOOKUP($C584,'SINAPI JULHO 2021'!$A:$D,3,0),IFERROR(VLOOKUP($C584,'5-COMP. PROPRIA'!$B$1:$I$7981,5,0),""))</f>
        <v>UN</v>
      </c>
      <c r="G584" s="129">
        <f>QUANT!K1012</f>
        <v>11</v>
      </c>
      <c r="H584" s="218">
        <f>IFERROR(VLOOKUP($C584,'SINAPI JULHO 2021'!$A:$D,4,0),IFERROR(VLOOKUP($C584,'5-COMP. PROPRIA'!$B$1:$I$1240,8,0),""))</f>
        <v>41.38</v>
      </c>
      <c r="I584" s="200">
        <f>H584*'4-BDI'!$E$29</f>
        <v>53.065712000000005</v>
      </c>
      <c r="J584" s="201">
        <f t="shared" si="158"/>
        <v>455.18</v>
      </c>
      <c r="K584" s="123">
        <f t="shared" si="159"/>
        <v>583.72</v>
      </c>
    </row>
    <row r="585" spans="2:11" ht="15">
      <c r="B585" s="473" t="s">
        <v>13406</v>
      </c>
      <c r="C585" s="79">
        <f>QUANT!C1013</f>
        <v>96985</v>
      </c>
      <c r="D585" s="79" t="str">
        <f>QUANT!D1013</f>
        <v>SINAPI</v>
      </c>
      <c r="E585" s="80" t="str">
        <f>IFERROR(VLOOKUP($C585,'SINAPI JULHO 2021'!$1:$1048576,2,0),IFERROR(VLOOKUP($C585,'5-COMP. PROPRIA'!$B$1:$I$7981,4,0),""))</f>
        <v>HASTE DE ATERRAMENTO 5/8  PARA SPDA - FORNECIMENTO E INSTALAÇÃO. AF_12/2017</v>
      </c>
      <c r="F585" s="81" t="str">
        <f>IFERROR(VLOOKUP($C585,'SINAPI JULHO 2021'!$A:$D,3,0),IFERROR(VLOOKUP($C585,'5-COMP. PROPRIA'!$B$1:$I$7981,5,0),""))</f>
        <v>UN</v>
      </c>
      <c r="G585" s="129">
        <f>QUANT!K1013</f>
        <v>16</v>
      </c>
      <c r="H585" s="218">
        <f>IFERROR(VLOOKUP($C585,'SINAPI JULHO 2021'!$A:$D,4,0),IFERROR(VLOOKUP($C585,'5-COMP. PROPRIA'!$B$1:$I$1240,8,0),""))</f>
        <v>51.37</v>
      </c>
      <c r="I585" s="200">
        <f>H585*'4-BDI'!$E$29</f>
        <v>65.876887999999994</v>
      </c>
      <c r="J585" s="201">
        <f t="shared" ref="J585" si="160">TRUNC(G585*H585,2)</f>
        <v>821.92</v>
      </c>
      <c r="K585" s="123">
        <f t="shared" ref="K585" si="161">TRUNC(G585*I585,2)</f>
        <v>1054.03</v>
      </c>
    </row>
    <row r="586" spans="2:11" ht="30">
      <c r="B586" s="473" t="s">
        <v>13407</v>
      </c>
      <c r="C586" s="79" t="str">
        <f>QUANT!C1014</f>
        <v>CP-SPDA-01</v>
      </c>
      <c r="D586" s="79" t="str">
        <f>QUANT!D1014</f>
        <v>PRÓPRIA</v>
      </c>
      <c r="E586" s="80" t="str">
        <f>IFERROR(VLOOKUP($C586,'SINAPI JULHO 2021'!$1:$1048576,2,0),IFERROR(VLOOKUP($C586,'5-COMP. PROPRIA'!$B$1:$I$7981,4,0),""))</f>
        <v>CAIXA DE INSPEÇÃO, PVC DE 12'', COM TAMPA DE FERRO FUNDIDO, CONFORME DETALHE NO PROJETO, FORNECIMENTO E INSTALAÇÃO</v>
      </c>
      <c r="F586" s="81" t="str">
        <f>IFERROR(VLOOKUP($C586,'SINAPI JULHO 2021'!$A:$D,3,0),IFERROR(VLOOKUP($C586,'5-COMP. PROPRIA'!$B$1:$I$7981,5,0),""))</f>
        <v>UN</v>
      </c>
      <c r="G586" s="129">
        <f>QUANT!K1014</f>
        <v>13</v>
      </c>
      <c r="H586" s="218">
        <f>IFERROR(VLOOKUP($C586,'SINAPI JULHO 2021'!$A:$D,4,0),IFERROR(VLOOKUP($C586,'5-COMP. PROPRIA'!$B$1:$I$1240,8,0),""))</f>
        <v>85.92</v>
      </c>
      <c r="I586" s="200">
        <f>H586*'4-BDI'!$E$29</f>
        <v>110.183808</v>
      </c>
      <c r="J586" s="201">
        <f t="shared" ref="J586:J595" si="162">TRUNC(G586*H586,2)</f>
        <v>1116.96</v>
      </c>
      <c r="K586" s="123">
        <f t="shared" ref="K586:K595" si="163">TRUNC(G586*I586,2)</f>
        <v>1432.38</v>
      </c>
    </row>
    <row r="587" spans="2:11" ht="30">
      <c r="B587" s="473" t="s">
        <v>13408</v>
      </c>
      <c r="C587" s="79">
        <f>QUANT!C1015</f>
        <v>96977</v>
      </c>
      <c r="D587" s="79" t="str">
        <f>QUANT!D1015</f>
        <v>SINAPI</v>
      </c>
      <c r="E587" s="80" t="str">
        <f>IFERROR(VLOOKUP($C587,'SINAPI JULHO 2021'!$1:$1048576,2,0),IFERROR(VLOOKUP($C587,'5-COMP. PROPRIA'!$B$1:$I$7981,4,0),""))</f>
        <v>CORDOALHA DE COBRE NU 50 MM², ENTERRADA, SEM ISOLADOR - FORNECIMENTO E INSTALAÇÃO. AF_12/2017</v>
      </c>
      <c r="F587" s="81" t="str">
        <f>IFERROR(VLOOKUP($C587,'SINAPI JULHO 2021'!$A:$D,3,0),IFERROR(VLOOKUP($C587,'5-COMP. PROPRIA'!$B$1:$I$7981,5,0),""))</f>
        <v>M</v>
      </c>
      <c r="G587" s="129">
        <f>QUANT!K1015</f>
        <v>183.88</v>
      </c>
      <c r="H587" s="218">
        <f>IFERROR(VLOOKUP($C587,'SINAPI JULHO 2021'!$A:$D,4,0),IFERROR(VLOOKUP($C587,'5-COMP. PROPRIA'!$B$1:$I$1240,8,0),""))</f>
        <v>43.24</v>
      </c>
      <c r="I587" s="200">
        <f>H587*'4-BDI'!$E$29</f>
        <v>55.450976000000004</v>
      </c>
      <c r="J587" s="201">
        <f t="shared" si="162"/>
        <v>7950.97</v>
      </c>
      <c r="K587" s="123">
        <f t="shared" si="163"/>
        <v>10196.32</v>
      </c>
    </row>
    <row r="588" spans="2:11" ht="30">
      <c r="B588" s="473" t="s">
        <v>13409</v>
      </c>
      <c r="C588" s="79" t="str">
        <f>QUANT!C1016</f>
        <v>CP-SPDA-02</v>
      </c>
      <c r="D588" s="79" t="str">
        <f>QUANT!D1016</f>
        <v>PRÓPRIA</v>
      </c>
      <c r="E588" s="80" t="str">
        <f>IFERROR(VLOOKUP($C588,'SINAPI JULHO 2021'!$1:$1048576,2,0),IFERROR(VLOOKUP($C588,'5-COMP. PROPRIA'!$B$1:$I$7981,4,0),""))</f>
        <v>GRAMPO CONECTOR GTDU PARA HASTE DE ATERRAMENTO DUPLO 5/8'' - 50MM² - FORNECIMENTO E INSTALAÇÃO</v>
      </c>
      <c r="F588" s="81" t="str">
        <f>IFERROR(VLOOKUP($C588,'SINAPI JULHO 2021'!$A:$D,3,0),IFERROR(VLOOKUP($C588,'5-COMP. PROPRIA'!$B$1:$I$7981,5,0),""))</f>
        <v>UN</v>
      </c>
      <c r="G588" s="129">
        <f>QUANT!K1016</f>
        <v>16</v>
      </c>
      <c r="H588" s="218">
        <f>IFERROR(VLOOKUP($C588,'SINAPI JULHO 2021'!$A:$D,4,0),IFERROR(VLOOKUP($C588,'5-COMP. PROPRIA'!$B$1:$I$1240,8,0),""))</f>
        <v>15.88</v>
      </c>
      <c r="I588" s="200">
        <f>H588*'4-BDI'!$E$29</f>
        <v>20.364512000000001</v>
      </c>
      <c r="J588" s="201">
        <f t="shared" si="162"/>
        <v>254.08</v>
      </c>
      <c r="K588" s="123">
        <f t="shared" si="163"/>
        <v>325.83</v>
      </c>
    </row>
    <row r="589" spans="2:11" ht="15">
      <c r="B589" s="473" t="s">
        <v>13410</v>
      </c>
      <c r="C589" s="79" t="str">
        <f>QUANT!C1017</f>
        <v>CP-SPDA-03</v>
      </c>
      <c r="D589" s="79" t="str">
        <f>QUANT!D1017</f>
        <v>PRÓPRIA</v>
      </c>
      <c r="E589" s="80" t="str">
        <f>IFERROR(VLOOKUP($C589,'SINAPI JULHO 2021'!$1:$1048576,2,0),IFERROR(VLOOKUP($C589,'5-COMP. PROPRIA'!$B$1:$I$7981,4,0),""))</f>
        <v>GRAMPO CONECTOR MINI-BAR EM BRONZE ESTANHADO TEL-583 - FORNECIMENTO E INSTALAÇÃO</v>
      </c>
      <c r="F589" s="81" t="str">
        <f>IFERROR(VLOOKUP($C589,'SINAPI JULHO 2021'!$A:$D,3,0),IFERROR(VLOOKUP($C589,'5-COMP. PROPRIA'!$B$1:$I$7981,5,0),""))</f>
        <v>UN</v>
      </c>
      <c r="G589" s="129">
        <f>QUANT!K1017</f>
        <v>41</v>
      </c>
      <c r="H589" s="218">
        <f>IFERROR(VLOOKUP($C589,'SINAPI JULHO 2021'!$A:$D,4,0),IFERROR(VLOOKUP($C589,'5-COMP. PROPRIA'!$B$1:$I$1240,8,0),""))</f>
        <v>10.08</v>
      </c>
      <c r="I589" s="200">
        <f>H589*'4-BDI'!$E$29</f>
        <v>12.926591999999999</v>
      </c>
      <c r="J589" s="201">
        <f t="shared" si="162"/>
        <v>413.28</v>
      </c>
      <c r="K589" s="123">
        <f t="shared" si="163"/>
        <v>529.99</v>
      </c>
    </row>
    <row r="590" spans="2:11" ht="30">
      <c r="B590" s="473" t="s">
        <v>13411</v>
      </c>
      <c r="C590" s="79">
        <f>QUANT!C1018</f>
        <v>96973</v>
      </c>
      <c r="D590" s="79" t="str">
        <f>QUANT!D1018</f>
        <v>SINAPI</v>
      </c>
      <c r="E590" s="80" t="str">
        <f>IFERROR(VLOOKUP($C590,'SINAPI JULHO 2021'!$1:$1048576,2,0),IFERROR(VLOOKUP($C590,'5-COMP. PROPRIA'!$B$1:$I$7981,4,0),""))</f>
        <v>CORDOALHA DE COBRE NU 35 MM², NÃO ENTERRADA, COM ISOLADOR - FORNECIMENTO E INSTALAÇÃO. AF_12/2017</v>
      </c>
      <c r="F590" s="81" t="str">
        <f>IFERROR(VLOOKUP($C590,'SINAPI JULHO 2021'!$A:$D,3,0),IFERROR(VLOOKUP($C590,'5-COMP. PROPRIA'!$B$1:$I$7981,5,0),""))</f>
        <v>M</v>
      </c>
      <c r="G590" s="129">
        <f>QUANT!K1018</f>
        <v>112</v>
      </c>
      <c r="H590" s="218">
        <f>IFERROR(VLOOKUP($C590,'SINAPI JULHO 2021'!$A:$D,4,0),IFERROR(VLOOKUP($C590,'5-COMP. PROPRIA'!$B$1:$I$1240,8,0),""))</f>
        <v>47.51</v>
      </c>
      <c r="I590" s="200">
        <f>H590*'4-BDI'!$E$29</f>
        <v>60.926823999999996</v>
      </c>
      <c r="J590" s="201">
        <f t="shared" si="162"/>
        <v>5321.12</v>
      </c>
      <c r="K590" s="123">
        <f t="shared" si="163"/>
        <v>6823.8</v>
      </c>
    </row>
    <row r="591" spans="2:11" ht="30">
      <c r="B591" s="473" t="s">
        <v>13412</v>
      </c>
      <c r="C591" s="79" t="str">
        <f>QUANT!C1019</f>
        <v>CP-SPDA-04</v>
      </c>
      <c r="D591" s="79" t="str">
        <f>QUANT!D1019</f>
        <v>PRÓPRIA</v>
      </c>
      <c r="E591" s="80" t="str">
        <f>IFERROR(VLOOKUP($C591,'SINAPI JULHO 2021'!$1:$1048576,2,0),IFERROR(VLOOKUP($C591,'5-COMP. PROPRIA'!$B$1:$I$7981,4,0),""))</f>
        <v>CAIXA DE EQUALIZAÇÃO DE POTÊNCIAS 200X200MM EM AÇO COM BARRAMENTO, EXPESSURA 9MM - FORNECIMENTO E INSTALAÇÃO</v>
      </c>
      <c r="F591" s="81" t="str">
        <f>IFERROR(VLOOKUP($C591,'SINAPI JULHO 2021'!$A:$D,3,0),IFERROR(VLOOKUP($C591,'5-COMP. PROPRIA'!$B$1:$I$7981,5,0),""))</f>
        <v>UN</v>
      </c>
      <c r="G591" s="129">
        <f>QUANT!K1019</f>
        <v>1</v>
      </c>
      <c r="H591" s="218">
        <f>IFERROR(VLOOKUP($C591,'SINAPI JULHO 2021'!$A:$D,4,0),IFERROR(VLOOKUP($C591,'5-COMP. PROPRIA'!$B$1:$I$1240,8,0),""))</f>
        <v>427.85</v>
      </c>
      <c r="I591" s="200">
        <f>H591*'4-BDI'!$E$29</f>
        <v>548.67484000000002</v>
      </c>
      <c r="J591" s="201">
        <f t="shared" si="162"/>
        <v>427.85</v>
      </c>
      <c r="K591" s="123">
        <f t="shared" si="163"/>
        <v>548.66999999999996</v>
      </c>
    </row>
    <row r="592" spans="2:11" ht="15">
      <c r="B592" s="473" t="s">
        <v>13413</v>
      </c>
      <c r="C592" s="79">
        <f>QUANT!C1020</f>
        <v>93358</v>
      </c>
      <c r="D592" s="79" t="str">
        <f>QUANT!D1020</f>
        <v>SINAPI</v>
      </c>
      <c r="E592" s="80" t="str">
        <f>IFERROR(VLOOKUP($C592,'SINAPI JULHO 2021'!$1:$1048576,2,0),IFERROR(VLOOKUP($C592,'5-COMP. PROPRIA'!$B$1:$I$7981,4,0),""))</f>
        <v>ESCAVAÇÃO MANUAL DE VALA COM PROFUNDIDADE MENOR OU IGUAL A 1,30 M. AF_02/2021</v>
      </c>
      <c r="F592" s="81" t="str">
        <f>IFERROR(VLOOKUP($C592,'SINAPI JULHO 2021'!$A:$D,3,0),IFERROR(VLOOKUP($C592,'5-COMP. PROPRIA'!$B$1:$I$7981,5,0),""))</f>
        <v>M3</v>
      </c>
      <c r="G592" s="129">
        <f>QUANT!K1020</f>
        <v>27.581999999999997</v>
      </c>
      <c r="H592" s="218">
        <f>IFERROR(VLOOKUP($C592,'SINAPI JULHO 2021'!$A:$D,4,0),IFERROR(VLOOKUP($C592,'5-COMP. PROPRIA'!$B$1:$I$1240,8,0),""))</f>
        <v>55.46</v>
      </c>
      <c r="I592" s="200">
        <f>H592*'4-BDI'!$E$29</f>
        <v>71.121904000000001</v>
      </c>
      <c r="J592" s="201">
        <f t="shared" si="162"/>
        <v>1529.69</v>
      </c>
      <c r="K592" s="123">
        <f t="shared" si="163"/>
        <v>1961.68</v>
      </c>
    </row>
    <row r="593" spans="2:11" ht="15">
      <c r="B593" s="473" t="s">
        <v>13414</v>
      </c>
      <c r="C593" s="79">
        <f>QUANT!C1021</f>
        <v>96995</v>
      </c>
      <c r="D593" s="79" t="str">
        <f>QUANT!D1021</f>
        <v>SINAPI</v>
      </c>
      <c r="E593" s="80" t="str">
        <f>IFERROR(VLOOKUP($C593,'SINAPI JULHO 2021'!$1:$1048576,2,0),IFERROR(VLOOKUP($C593,'5-COMP. PROPRIA'!$B$1:$I$7981,4,0),""))</f>
        <v>REATERRO MANUAL APILOADO COM SOQUETE. AF_10/2017</v>
      </c>
      <c r="F593" s="81" t="str">
        <f>IFERROR(VLOOKUP($C593,'SINAPI JULHO 2021'!$A:$D,3,0),IFERROR(VLOOKUP($C593,'5-COMP. PROPRIA'!$B$1:$I$7981,5,0),""))</f>
        <v>M3</v>
      </c>
      <c r="G593" s="129">
        <f>QUANT!K1021</f>
        <v>27.581999999999997</v>
      </c>
      <c r="H593" s="218">
        <f>IFERROR(VLOOKUP($C593,'SINAPI JULHO 2021'!$A:$D,4,0),IFERROR(VLOOKUP($C593,'5-COMP. PROPRIA'!$B$1:$I$1240,8,0),""))</f>
        <v>33.619999999999997</v>
      </c>
      <c r="I593" s="200">
        <f>H593*'4-BDI'!$E$29</f>
        <v>43.114287999999995</v>
      </c>
      <c r="J593" s="201">
        <f t="shared" si="162"/>
        <v>927.3</v>
      </c>
      <c r="K593" s="123">
        <f t="shared" si="163"/>
        <v>1189.17</v>
      </c>
    </row>
    <row r="594" spans="2:11" ht="15">
      <c r="B594" s="473" t="s">
        <v>13415</v>
      </c>
      <c r="C594" s="79" t="str">
        <f>QUANT!C1022</f>
        <v>CP-SPDA-05</v>
      </c>
      <c r="D594" s="79" t="str">
        <f>QUANT!D1022</f>
        <v>PRÓPRIA</v>
      </c>
      <c r="E594" s="80" t="str">
        <f>IFERROR(VLOOKUP($C594,'SINAPI JULHO 2021'!$1:$1048576,2,0),IFERROR(VLOOKUP($C594,'5-COMP. PROPRIA'!$B$1:$I$7981,4,0),""))</f>
        <v>SPDA CAIXA DÁGUA - FORNECIMENTO E INSTALAÇÃO</v>
      </c>
      <c r="F594" s="81" t="str">
        <f>IFERROR(VLOOKUP($C594,'SINAPI JULHO 2021'!$A:$D,3,0),IFERROR(VLOOKUP($C594,'5-COMP. PROPRIA'!$B$1:$I$7981,5,0),""))</f>
        <v>UN</v>
      </c>
      <c r="G594" s="129">
        <f>QUANT!K1022</f>
        <v>1</v>
      </c>
      <c r="H594" s="218">
        <f>IFERROR(VLOOKUP($C594,'SINAPI JULHO 2021'!$A:$D,4,0),IFERROR(VLOOKUP($C594,'5-COMP. PROPRIA'!$B$1:$I$1240,8,0),""))</f>
        <v>996.99</v>
      </c>
      <c r="I594" s="200">
        <f>H594*'4-BDI'!$E$29</f>
        <v>1278.539976</v>
      </c>
      <c r="J594" s="201">
        <f t="shared" si="162"/>
        <v>996.99</v>
      </c>
      <c r="K594" s="123">
        <f t="shared" si="163"/>
        <v>1278.53</v>
      </c>
    </row>
    <row r="595" spans="2:11" ht="15">
      <c r="B595" s="473" t="s">
        <v>13416</v>
      </c>
      <c r="C595" s="79" t="str">
        <f>QUANT!C1023</f>
        <v>CP-SPDA-06</v>
      </c>
      <c r="D595" s="79" t="str">
        <f>QUANT!D1023</f>
        <v>PRÓPRIA</v>
      </c>
      <c r="E595" s="80" t="str">
        <f>IFERROR(VLOOKUP($C595,'SINAPI JULHO 2021'!$1:$1048576,2,0),IFERROR(VLOOKUP($C595,'5-COMP. PROPRIA'!$B$1:$I$7981,4,0),""))</f>
        <v>FIXADOR UNIVERSAL DE SPDA</v>
      </c>
      <c r="F595" s="81" t="str">
        <f>IFERROR(VLOOKUP($C595,'SINAPI JULHO 2021'!$A:$D,3,0),IFERROR(VLOOKUP($C595,'5-COMP. PROPRIA'!$B$1:$I$7981,5,0),""))</f>
        <v>UN</v>
      </c>
      <c r="G595" s="129">
        <f>QUANT!K1023</f>
        <v>432</v>
      </c>
      <c r="H595" s="218">
        <f>IFERROR(VLOOKUP($C595,'SINAPI JULHO 2021'!$A:$D,4,0),IFERROR(VLOOKUP($C595,'5-COMP. PROPRIA'!$B$1:$I$1240,8,0),""))</f>
        <v>12.03</v>
      </c>
      <c r="I595" s="200">
        <f>H595*'4-BDI'!$E$29</f>
        <v>15.427271999999999</v>
      </c>
      <c r="J595" s="201">
        <f t="shared" si="162"/>
        <v>5196.96</v>
      </c>
      <c r="K595" s="123">
        <f t="shared" si="163"/>
        <v>6664.58</v>
      </c>
    </row>
    <row r="596" spans="2:11" ht="15">
      <c r="B596" s="473" t="s">
        <v>13418</v>
      </c>
      <c r="C596" s="79" t="str">
        <f>QUANT!C1024</f>
        <v>CP-SPDA-07</v>
      </c>
      <c r="D596" s="79" t="str">
        <f>QUANT!D1024</f>
        <v>PRÓPRIA</v>
      </c>
      <c r="E596" s="80" t="str">
        <f>IFERROR(VLOOKUP($C596,'SINAPI JULHO 2021'!$1:$1048576,2,0),IFERROR(VLOOKUP($C596,'5-COMP. PROPRIA'!$B$1:$I$7981,4,0),""))</f>
        <v>TERMINAL AÉREO COM BRAÇADEIRA DE FIXAÇÃO</v>
      </c>
      <c r="F596" s="81" t="str">
        <f>IFERROR(VLOOKUP($C596,'SINAPI JULHO 2021'!$A:$D,3,0),IFERROR(VLOOKUP($C596,'5-COMP. PROPRIA'!$B$1:$I$7981,5,0),""))</f>
        <v>UN</v>
      </c>
      <c r="G596" s="129">
        <f>QUANT!K1024</f>
        <v>9</v>
      </c>
      <c r="H596" s="218">
        <f>IFERROR(VLOOKUP($C596,'SINAPI JULHO 2021'!$A:$D,4,0),IFERROR(VLOOKUP($C596,'5-COMP. PROPRIA'!$B$1:$I$1240,8,0),""))</f>
        <v>25.04</v>
      </c>
      <c r="I596" s="200">
        <f>H596*'4-BDI'!$E$29</f>
        <v>32.111295999999996</v>
      </c>
      <c r="J596" s="201">
        <f t="shared" ref="J596:J597" si="164">TRUNC(G596*H596,2)</f>
        <v>225.36</v>
      </c>
      <c r="K596" s="123">
        <f t="shared" ref="K596:K597" si="165">TRUNC(G596*I596,2)</f>
        <v>289</v>
      </c>
    </row>
    <row r="597" spans="2:11" ht="15">
      <c r="B597" s="473" t="s">
        <v>13419</v>
      </c>
      <c r="C597" s="79" t="str">
        <f>QUANT!C1025</f>
        <v>CP-SPDA-08</v>
      </c>
      <c r="D597" s="79" t="str">
        <f>QUANT!D1025</f>
        <v>PRÓPRIA</v>
      </c>
      <c r="E597" s="80" t="str">
        <f>IFERROR(VLOOKUP($C597,'SINAPI JULHO 2021'!$1:$1048576,2,0),IFERROR(VLOOKUP($C597,'5-COMP. PROPRIA'!$B$1:$I$7981,4,0),""))</f>
        <v>CORDOALHA DE COBRE NU 35 MM², ENTERRADA, SEM ISOLADOR - FORNECIMENTO E INSTALAÇÃO.</v>
      </c>
      <c r="F597" s="81" t="str">
        <f>IFERROR(VLOOKUP($C597,'SINAPI JULHO 2021'!$A:$D,3,0),IFERROR(VLOOKUP($C597,'5-COMP. PROPRIA'!$B$1:$I$7981,5,0),""))</f>
        <v xml:space="preserve">M     </v>
      </c>
      <c r="G597" s="129">
        <f>QUANT!K1025</f>
        <v>431.86</v>
      </c>
      <c r="H597" s="218">
        <f>IFERROR(VLOOKUP($C597,'SINAPI JULHO 2021'!$A:$D,4,0),IFERROR(VLOOKUP($C597,'5-COMP. PROPRIA'!$B$1:$I$1240,8,0),""))</f>
        <v>36.96</v>
      </c>
      <c r="I597" s="200">
        <f>H597*'4-BDI'!$E$29</f>
        <v>47.397503999999998</v>
      </c>
      <c r="J597" s="201">
        <f t="shared" si="164"/>
        <v>15961.54</v>
      </c>
      <c r="K597" s="123">
        <f t="shared" si="165"/>
        <v>20469.080000000002</v>
      </c>
    </row>
    <row r="598" spans="2:11" ht="15">
      <c r="B598" s="834" t="s">
        <v>3507</v>
      </c>
      <c r="C598" s="835"/>
      <c r="D598" s="835"/>
      <c r="E598" s="835"/>
      <c r="F598" s="835"/>
      <c r="G598" s="835"/>
      <c r="H598" s="835"/>
      <c r="I598" s="124"/>
      <c r="J598" s="126">
        <f>TRUNC(SUM(J548:J597),2)</f>
        <v>100681.79</v>
      </c>
      <c r="K598" s="125">
        <f>TRUNC(SUM(K548:K597),2)</f>
        <v>129114.15</v>
      </c>
    </row>
    <row r="599" spans="2:11" ht="15">
      <c r="B599" s="5" t="s">
        <v>13420</v>
      </c>
      <c r="C599" s="6"/>
      <c r="D599" s="7"/>
      <c r="E599" s="8" t="str">
        <f>QUANT!E1026</f>
        <v>SERVIÇOS COMPLEMENTARES</v>
      </c>
      <c r="F599" s="9"/>
      <c r="G599" s="128"/>
      <c r="H599" s="221"/>
      <c r="I599" s="121"/>
      <c r="J599" s="121"/>
      <c r="K599" s="122"/>
    </row>
    <row r="600" spans="2:11" ht="15">
      <c r="B600" s="222" t="s">
        <v>13421</v>
      </c>
      <c r="C600" s="223"/>
      <c r="D600" s="224"/>
      <c r="E600" s="225" t="str">
        <f>QUANT!E1027</f>
        <v>DIVERSOS</v>
      </c>
      <c r="F600" s="120"/>
      <c r="G600" s="129"/>
      <c r="H600" s="218"/>
      <c r="I600" s="200"/>
      <c r="J600" s="201"/>
      <c r="K600" s="123"/>
    </row>
    <row r="601" spans="2:11" ht="30.75" customHeight="1">
      <c r="B601" s="473" t="s">
        <v>13422</v>
      </c>
      <c r="C601" s="79">
        <f>QUANT!C1028</f>
        <v>99857</v>
      </c>
      <c r="D601" s="79" t="str">
        <f>QUANT!D1028</f>
        <v>SINAPI</v>
      </c>
      <c r="E601" s="80" t="str">
        <f>IFERROR(VLOOKUP($C601,'SINAPI JULHO 2021'!$1:$1048576,2,0),IFERROR(VLOOKUP($C601,'5-COMP. PROPRIA'!$B$1:$I$7981,4,0),""))</f>
        <v>CORRIMÃO SIMPLES, DIÂMETRO EXTERNO = 1 1/2", EM ALUMÍNIO. AF_04/2019_P</v>
      </c>
      <c r="F601" s="81" t="str">
        <f>IFERROR(VLOOKUP($C601,'SINAPI JULHO 2021'!$A:$D,3,0),IFERROR(VLOOKUP($C601,'5-COMP. PROPRIA'!$B$1:$I$7981,5,0),""))</f>
        <v>M</v>
      </c>
      <c r="G601" s="129">
        <f>QUANT!K1028</f>
        <v>89.2</v>
      </c>
      <c r="H601" s="218">
        <f>IFERROR(VLOOKUP($C601,'SINAPI JULHO 2021'!$A:$D,4,0),IFERROR(VLOOKUP($C601,'5-COMP. PROPRIA'!$B$1:$I$1240,8,0),""))</f>
        <v>67.010000000000005</v>
      </c>
      <c r="I601" s="200">
        <f>H601*'4-BDI'!$E$29</f>
        <v>85.933624000000009</v>
      </c>
      <c r="J601" s="201">
        <f>TRUNC(G601*H601,2)</f>
        <v>5977.29</v>
      </c>
      <c r="K601" s="123">
        <f>TRUNC(G601*I601,2)</f>
        <v>7665.27</v>
      </c>
    </row>
    <row r="602" spans="2:11" ht="15">
      <c r="B602" s="473" t="s">
        <v>13423</v>
      </c>
      <c r="C602" s="79" t="str">
        <f>QUANT!C1029</f>
        <v>CP-SD- 01</v>
      </c>
      <c r="D602" s="79" t="str">
        <f>QUANT!D1029</f>
        <v>PRÓPRIA</v>
      </c>
      <c r="E602" s="80" t="str">
        <f>IFERROR(VLOOKUP($C602,'SINAPI JULHO 2021'!$1:$1048576,2,0),IFERROR(VLOOKUP($C602,'5-COMP. PROPRIA'!$B$1:$I$7981,4,0),""))</f>
        <v>PLACA DE INAUGURAÇÃO</v>
      </c>
      <c r="F602" s="81" t="str">
        <f>IFERROR(VLOOKUP($C602,'SINAPI JULHO 2021'!$A:$D,3,0),IFERROR(VLOOKUP($C602,'5-COMP. PROPRIA'!$B$1:$I$7981,5,0),""))</f>
        <v>UN</v>
      </c>
      <c r="G602" s="129">
        <f>QUANT!K1029</f>
        <v>1</v>
      </c>
      <c r="H602" s="218">
        <f>IFERROR(VLOOKUP($C602,'SINAPI JULHO 2021'!$A:$D,4,0),IFERROR(VLOOKUP($C602,'5-COMP. PROPRIA'!$B$1:$I$1240,8,0),""))</f>
        <v>680.48</v>
      </c>
      <c r="I602" s="200">
        <f>H602*'4-BDI'!$E$29</f>
        <v>872.64755200000002</v>
      </c>
      <c r="J602" s="201">
        <f t="shared" ref="J602:J613" si="166">TRUNC(G602*H602,2)</f>
        <v>680.48</v>
      </c>
      <c r="K602" s="123">
        <f t="shared" ref="K602:K613" si="167">TRUNC(G602*I602,2)</f>
        <v>872.64</v>
      </c>
    </row>
    <row r="603" spans="2:11" ht="30.75" customHeight="1">
      <c r="B603" s="473" t="s">
        <v>13424</v>
      </c>
      <c r="C603" s="79" t="str">
        <f>QUANT!C1030</f>
        <v>CP-QUA-01</v>
      </c>
      <c r="D603" s="79" t="str">
        <f>QUANT!D1030</f>
        <v>PRÓPRIA</v>
      </c>
      <c r="E603" s="80" t="str">
        <f>IFERROR(VLOOKUP($C603,'SINAPI JULHO 2021'!$1:$1048576,2,0),IFERROR(VLOOKUP($C603,'5-COMP. PROPRIA'!$B$1:$I$7981,4,0),""))</f>
        <v>FORNECIMENTO E INSTALAÇÃO QUADRO DE VIDRO, FUNDO BRANCO 4,00X1,20 COM REQUADRO E ACABAMENTO EM ALUMINIO.</v>
      </c>
      <c r="F603" s="81" t="str">
        <f>IFERROR(VLOOKUP($C603,'SINAPI JULHO 2021'!$A:$D,3,0),IFERROR(VLOOKUP($C603,'5-COMP. PROPRIA'!$B$1:$I$7981,5,0),""))</f>
        <v>M2</v>
      </c>
      <c r="G603" s="129">
        <f>QUANT!K1030</f>
        <v>86.399999999999991</v>
      </c>
      <c r="H603" s="218">
        <f>IFERROR(VLOOKUP($C603,'SINAPI JULHO 2021'!$A:$D,4,0),IFERROR(VLOOKUP($C603,'5-COMP. PROPRIA'!$B$1:$I$1240,8,0),""))</f>
        <v>607.01</v>
      </c>
      <c r="I603" s="200">
        <f>H603*'4-BDI'!$E$29</f>
        <v>778.42962399999999</v>
      </c>
      <c r="J603" s="201">
        <f t="shared" si="166"/>
        <v>52445.66</v>
      </c>
      <c r="K603" s="123">
        <f t="shared" si="167"/>
        <v>67256.31</v>
      </c>
    </row>
    <row r="604" spans="2:11" ht="45.75" customHeight="1">
      <c r="B604" s="473" t="s">
        <v>13436</v>
      </c>
      <c r="C604" s="79" t="str">
        <f>QUANT!C1031</f>
        <v>CP-CF- 04</v>
      </c>
      <c r="D604" s="79" t="str">
        <f>QUANT!D1031</f>
        <v>PRÓPRIA</v>
      </c>
      <c r="E604" s="80" t="str">
        <f>IFERROR(VLOOKUP($C604,'SINAPI JULHO 2021'!$1:$1048576,2,0),IFERROR(VLOOKUP($C604,'5-COMP. PROPRIA'!$B$1:$I$7981,4,0),""))</f>
        <v xml:space="preserve">COIFA INDUSTRIAL EM INOX (1,30X2,75X0,5) COM EXAUSTORES, DUTOS, CURVAS E CHAPÉUS DE 300MM(30 CM) EM INOX CONFORME PROJETO - FORNECIMENTO E INSTALAÇÃO </v>
      </c>
      <c r="F604" s="81" t="str">
        <f>IFERROR(VLOOKUP($C604,'SINAPI JULHO 2021'!$A:$D,3,0),IFERROR(VLOOKUP($C604,'5-COMP. PROPRIA'!$B$1:$I$7981,5,0),""))</f>
        <v xml:space="preserve">UN    </v>
      </c>
      <c r="G604" s="129">
        <f>QUANT!K1031</f>
        <v>1</v>
      </c>
      <c r="H604" s="218">
        <f>IFERROR(VLOOKUP($C604,'SINAPI JULHO 2021'!$A:$D,4,0),IFERROR(VLOOKUP($C604,'5-COMP. PROPRIA'!$B$1:$I$1240,8,0),""))</f>
        <v>9864.02</v>
      </c>
      <c r="I604" s="200">
        <f>H604*'4-BDI'!$E$29</f>
        <v>12649.619248000001</v>
      </c>
      <c r="J604" s="201">
        <f t="shared" ref="J604" si="168">TRUNC(G604*H604,2)</f>
        <v>9864.02</v>
      </c>
      <c r="K604" s="123">
        <f t="shared" ref="K604" si="169">TRUNC(G604*I604,2)</f>
        <v>12649.61</v>
      </c>
    </row>
    <row r="605" spans="2:11" ht="15">
      <c r="B605" s="222" t="s">
        <v>13425</v>
      </c>
      <c r="C605" s="223"/>
      <c r="D605" s="224"/>
      <c r="E605" s="225" t="str">
        <f>QUANT!E1033</f>
        <v>PAISAGISMO</v>
      </c>
      <c r="F605" s="120"/>
      <c r="G605" s="129"/>
      <c r="H605" s="218"/>
      <c r="I605" s="200"/>
      <c r="J605" s="201"/>
      <c r="K605" s="123"/>
    </row>
    <row r="606" spans="2:11" ht="30">
      <c r="B606" s="483" t="s">
        <v>13426</v>
      </c>
      <c r="C606" s="79">
        <f>QUANT!C1034</f>
        <v>98511</v>
      </c>
      <c r="D606" s="79" t="str">
        <f>QUANT!D1034</f>
        <v>SINAPI</v>
      </c>
      <c r="E606" s="80" t="str">
        <f>IFERROR(VLOOKUP($C606,'SINAPI JULHO 2021'!$1:$1048576,2,0),IFERROR(VLOOKUP($C606,'5-COMP. PROPRIA'!$B$1:$I$7981,4,0),""))</f>
        <v>PLANTIO DE ÁRVORE ORNAMENTAL COM ALTURA DE MUDA MAIOR QUE 2,00 M E MENOR OU IGUAL A 4,00 M. AF_05/2018</v>
      </c>
      <c r="F606" s="81" t="str">
        <f>IFERROR(VLOOKUP($C606,'SINAPI JULHO 2021'!$A:$D,3,0),IFERROR(VLOOKUP($C606,'5-COMP. PROPRIA'!$B$1:$I$7981,5,0),""))</f>
        <v>UN</v>
      </c>
      <c r="G606" s="129">
        <f>QUANT!K1034</f>
        <v>5</v>
      </c>
      <c r="H606" s="218">
        <f>IFERROR(VLOOKUP($C606,'SINAPI JULHO 2021'!$A:$D,4,0),IFERROR(VLOOKUP($C606,'5-COMP. PROPRIA'!$B$1:$I$1240,8,0),""))</f>
        <v>150.04</v>
      </c>
      <c r="I606" s="200">
        <f>H606*'4-BDI'!$E$29</f>
        <v>192.41129599999999</v>
      </c>
      <c r="J606" s="201">
        <f t="shared" ref="J606" si="170">TRUNC(G606*H606,2)</f>
        <v>750.2</v>
      </c>
      <c r="K606" s="123">
        <f t="shared" ref="K606" si="171">TRUNC(G606*I606,2)</f>
        <v>962.05</v>
      </c>
    </row>
    <row r="607" spans="2:11" ht="15">
      <c r="B607" s="483" t="s">
        <v>13427</v>
      </c>
      <c r="C607" s="79">
        <f>QUANT!C1035</f>
        <v>98516</v>
      </c>
      <c r="D607" s="79" t="str">
        <f>QUANT!D1035</f>
        <v>SINAPI</v>
      </c>
      <c r="E607" s="80" t="str">
        <f>IFERROR(VLOOKUP($C607,'SINAPI JULHO 2021'!$1:$1048576,2,0),IFERROR(VLOOKUP($C607,'5-COMP. PROPRIA'!$B$1:$I$7981,4,0),""))</f>
        <v>PLANTIO DE PALMEIRA COM ALTURA DE MUDA MENOR OU IGUAL A 2,00 M. AF_05/2018</v>
      </c>
      <c r="F607" s="81" t="str">
        <f>IFERROR(VLOOKUP($C607,'SINAPI JULHO 2021'!$A:$D,3,0),IFERROR(VLOOKUP($C607,'5-COMP. PROPRIA'!$B$1:$I$7981,5,0),""))</f>
        <v>UN</v>
      </c>
      <c r="G607" s="129">
        <f>QUANT!K1035</f>
        <v>12</v>
      </c>
      <c r="H607" s="218">
        <f>IFERROR(VLOOKUP($C607,'SINAPI JULHO 2021'!$A:$D,4,0),IFERROR(VLOOKUP($C607,'5-COMP. PROPRIA'!$B$1:$I$1240,8,0),""))</f>
        <v>298.38</v>
      </c>
      <c r="I607" s="200">
        <f>H607*'4-BDI'!$E$29</f>
        <v>382.64251200000001</v>
      </c>
      <c r="J607" s="201">
        <f t="shared" ref="J607:J609" si="172">TRUNC(G607*H607,2)</f>
        <v>3580.56</v>
      </c>
      <c r="K607" s="123">
        <f t="shared" ref="K607:K609" si="173">TRUNC(G607*I607,2)</f>
        <v>4591.71</v>
      </c>
    </row>
    <row r="608" spans="2:11" ht="15">
      <c r="B608" s="483" t="s">
        <v>13428</v>
      </c>
      <c r="C608" s="79">
        <f>QUANT!C1036</f>
        <v>98505</v>
      </c>
      <c r="D608" s="79" t="str">
        <f>QUANT!D1036</f>
        <v>SINAPI</v>
      </c>
      <c r="E608" s="80" t="str">
        <f>IFERROR(VLOOKUP($C608,'SINAPI JULHO 2021'!$1:$1048576,2,0),IFERROR(VLOOKUP($C608,'5-COMP. PROPRIA'!$B$1:$I$7981,4,0),""))</f>
        <v>PLANTIO DE FORRAÇÃO. AF_05/2018</v>
      </c>
      <c r="F608" s="81" t="str">
        <f>IFERROR(VLOOKUP($C608,'SINAPI JULHO 2021'!$A:$D,3,0),IFERROR(VLOOKUP($C608,'5-COMP. PROPRIA'!$B$1:$I$7981,5,0),""))</f>
        <v>M2</v>
      </c>
      <c r="G608" s="129">
        <f>QUANT!K1036</f>
        <v>35.6</v>
      </c>
      <c r="H608" s="218">
        <f>IFERROR(VLOOKUP($C608,'SINAPI JULHO 2021'!$A:$D,4,0),IFERROR(VLOOKUP($C608,'5-COMP. PROPRIA'!$B$1:$I$1240,8,0),""))</f>
        <v>78.849999999999994</v>
      </c>
      <c r="I608" s="200">
        <f>H608*'4-BDI'!$E$29</f>
        <v>101.11724</v>
      </c>
      <c r="J608" s="201">
        <f t="shared" si="172"/>
        <v>2807.06</v>
      </c>
      <c r="K608" s="123">
        <f t="shared" si="173"/>
        <v>3599.77</v>
      </c>
    </row>
    <row r="609" spans="2:11" ht="15">
      <c r="B609" s="483" t="s">
        <v>13441</v>
      </c>
      <c r="C609" s="79">
        <f>QUANT!C1037</f>
        <v>98509</v>
      </c>
      <c r="D609" s="79" t="str">
        <f>QUANT!D1037</f>
        <v>SINAPI</v>
      </c>
      <c r="E609" s="80" t="str">
        <f>IFERROR(VLOOKUP($C609,'SINAPI JULHO 2021'!$1:$1048576,2,0),IFERROR(VLOOKUP($C609,'5-COMP. PROPRIA'!$B$1:$I$7981,4,0),""))</f>
        <v>PLANTIO DE ARBUSTO OU  CERCA VIVA. AF_05/2018</v>
      </c>
      <c r="F609" s="81" t="str">
        <f>IFERROR(VLOOKUP($C609,'SINAPI JULHO 2021'!$A:$D,3,0),IFERROR(VLOOKUP($C609,'5-COMP. PROPRIA'!$B$1:$I$7981,5,0),""))</f>
        <v>UN</v>
      </c>
      <c r="G609" s="129">
        <f>QUANT!K1037</f>
        <v>10</v>
      </c>
      <c r="H609" s="218">
        <f>IFERROR(VLOOKUP($C609,'SINAPI JULHO 2021'!$A:$D,4,0),IFERROR(VLOOKUP($C609,'5-COMP. PROPRIA'!$B$1:$I$1240,8,0),""))</f>
        <v>55.29</v>
      </c>
      <c r="I609" s="200">
        <f>H609*'4-BDI'!$E$29</f>
        <v>70.903896000000003</v>
      </c>
      <c r="J609" s="201">
        <f t="shared" si="172"/>
        <v>552.9</v>
      </c>
      <c r="K609" s="123">
        <f t="shared" si="173"/>
        <v>709.03</v>
      </c>
    </row>
    <row r="610" spans="2:11" ht="15">
      <c r="B610" s="222" t="s">
        <v>13437</v>
      </c>
      <c r="C610" s="223"/>
      <c r="D610" s="224"/>
      <c r="E610" s="225" t="str">
        <f>QUANT!E1038</f>
        <v>ACESSÓRIOS DA QUADRA</v>
      </c>
      <c r="F610" s="120"/>
      <c r="G610" s="129"/>
      <c r="H610" s="218"/>
      <c r="I610" s="200"/>
      <c r="J610" s="201"/>
      <c r="K610" s="123"/>
    </row>
    <row r="611" spans="2:11" ht="45">
      <c r="B611" s="483" t="s">
        <v>13438</v>
      </c>
      <c r="C611" s="79" t="str">
        <f>QUANT!C1039</f>
        <v>CP-SD- 02</v>
      </c>
      <c r="D611" s="79" t="str">
        <f>QUANT!D1039</f>
        <v>PRÓPRIA</v>
      </c>
      <c r="E611" s="80" t="str">
        <f>IFERROR(VLOOKUP($C611,'SINAPI JULHO 2021'!$1:$1048576,2,0),IFERROR(VLOOKUP($C611,'5-COMP. PROPRIA'!$B$1:$I$7981,4,0),""))</f>
        <v>CONJUNTO PARA FUTSAL COM TRAVES OFICIAIS DE 3,00 X 2,00 M EM TUBO DE ACO GALVANIZADO 3" COM REQUADRO EM TUBO DE 1", PINTURA EM PRIMER COM TINTA ESMALTE SINTETICO E REDES DE POLIETILENO FIO 4 MM  - FORNECIMENTO E INSTALAÇÃO</v>
      </c>
      <c r="F611" s="81" t="str">
        <f>IFERROR(VLOOKUP($C611,'SINAPI JULHO 2021'!$A:$D,3,0),IFERROR(VLOOKUP($C611,'5-COMP. PROPRIA'!$B$1:$I$7981,5,0),""))</f>
        <v>CJ</v>
      </c>
      <c r="G611" s="129">
        <f>QUANT!K1039</f>
        <v>1</v>
      </c>
      <c r="H611" s="218">
        <f>IFERROR(VLOOKUP($C611,'SINAPI JULHO 2021'!$A:$D,4,0),IFERROR(VLOOKUP($C611,'5-COMP. PROPRIA'!$B$1:$I$1240,8,0),""))</f>
        <v>5019.46</v>
      </c>
      <c r="I611" s="200">
        <f>H611*'4-BDI'!$E$29</f>
        <v>6436.9555039999996</v>
      </c>
      <c r="J611" s="201">
        <f t="shared" si="166"/>
        <v>5019.46</v>
      </c>
      <c r="K611" s="123">
        <f t="shared" si="167"/>
        <v>6436.95</v>
      </c>
    </row>
    <row r="612" spans="2:11" ht="45">
      <c r="B612" s="483" t="s">
        <v>13439</v>
      </c>
      <c r="C612" s="79" t="str">
        <f>QUANT!C1040</f>
        <v>CP-SD- 03</v>
      </c>
      <c r="D612" s="79" t="str">
        <f>QUANT!D1040</f>
        <v>PRÓPRIA</v>
      </c>
      <c r="E612" s="80" t="str">
        <f>IFERROR(VLOOKUP($C612,'SINAPI JULHO 2021'!$1:$1048576,2,0),IFERROR(VLOOKUP($C612,'5-COMP. PROPRIA'!$B$1:$I$7981,4,0),""))</f>
        <v xml:space="preserve">CONJUNTO PARA QUADRA DE  VOLEI COM POSTES EM TUBO DE ACO GALVANIZADO 3", H = *255* CM, PINTURA EM TINTA ESMALTE SINTETICO, REDE DE NYLON COM 2 MM, MALHA 10 X 10 CM E ANTENAS OFICIAIS EM FIBRA DE VIDRO - FORNECIMENTO E INSTALAÇÃO                                                                                                                                                                                                                                                                                                </v>
      </c>
      <c r="F612" s="81" t="str">
        <f>IFERROR(VLOOKUP($C612,'SINAPI JULHO 2021'!$A:$D,3,0),IFERROR(VLOOKUP($C612,'5-COMP. PROPRIA'!$B$1:$I$7981,5,0),""))</f>
        <v>CJ</v>
      </c>
      <c r="G612" s="129">
        <f>QUANT!K1040</f>
        <v>1</v>
      </c>
      <c r="H612" s="218">
        <f>IFERROR(VLOOKUP($C612,'SINAPI JULHO 2021'!$A:$D,4,0),IFERROR(VLOOKUP($C612,'5-COMP. PROPRIA'!$B$1:$I$1240,8,0),""))</f>
        <v>3047.8</v>
      </c>
      <c r="I612" s="200">
        <f>H612*'4-BDI'!$E$29</f>
        <v>3908.49872</v>
      </c>
      <c r="J612" s="201">
        <f t="shared" si="166"/>
        <v>3047.8</v>
      </c>
      <c r="K612" s="123">
        <f t="shared" si="167"/>
        <v>3908.49</v>
      </c>
    </row>
    <row r="613" spans="2:11" ht="45">
      <c r="B613" s="483" t="s">
        <v>13440</v>
      </c>
      <c r="C613" s="79" t="str">
        <f>QUANT!C1041</f>
        <v>CP-SD- 04</v>
      </c>
      <c r="D613" s="79" t="str">
        <f>QUANT!D1041</f>
        <v>PRÓPRIA</v>
      </c>
      <c r="E613" s="80" t="str">
        <f>IFERROR(VLOOKUP($C613,'SINAPI JULHO 2021'!$1:$1048576,2,0),IFERROR(VLOOKUP($C613,'5-COMP. PROPRIA'!$B$1:$I$7981,4,0),""))</f>
        <v xml:space="preserve">PAR DE TABELAS DE BASQUETE EM COMPENSADO NAVAL DE *1,80 X 1,20* M, COM ARO DE METAL E REDE (COM SUPORTE DE FIXACAO E ESTRUTURA COM PÉ DIREITO 3 METROS DE ALTURA) - FORNECIMENTO E INSTALAÇÃO                                                                                                                                                                                                                                                                                                                                                                                      </v>
      </c>
      <c r="F613" s="81" t="str">
        <f>IFERROR(VLOOKUP($C613,'SINAPI JULHO 2021'!$A:$D,3,0),IFERROR(VLOOKUP($C613,'5-COMP. PROPRIA'!$B$1:$I$7981,5,0),""))</f>
        <v>CJ</v>
      </c>
      <c r="G613" s="129">
        <f>QUANT!K1041</f>
        <v>1</v>
      </c>
      <c r="H613" s="218">
        <f>IFERROR(VLOOKUP($C613,'SINAPI JULHO 2021'!$A:$D,4,0),IFERROR(VLOOKUP($C613,'5-COMP. PROPRIA'!$B$1:$I$1240,8,0),""))</f>
        <v>4509.22</v>
      </c>
      <c r="I613" s="200">
        <f>H613*'4-BDI'!$E$29</f>
        <v>5782.6237280000005</v>
      </c>
      <c r="J613" s="201">
        <f t="shared" si="166"/>
        <v>4509.22</v>
      </c>
      <c r="K613" s="123">
        <f t="shared" si="167"/>
        <v>5782.62</v>
      </c>
    </row>
    <row r="614" spans="2:11" ht="15">
      <c r="B614" s="834" t="s">
        <v>3507</v>
      </c>
      <c r="C614" s="835"/>
      <c r="D614" s="835"/>
      <c r="E614" s="835"/>
      <c r="F614" s="835"/>
      <c r="G614" s="835"/>
      <c r="H614" s="835"/>
      <c r="I614" s="124"/>
      <c r="J614" s="126">
        <f>TRUNC(SUM(J601:J613),2)</f>
        <v>89234.65</v>
      </c>
      <c r="K614" s="125">
        <f>TRUNC(SUM(K601:K613),2)</f>
        <v>114434.45</v>
      </c>
    </row>
    <row r="615" spans="2:11" s="86" customFormat="1" ht="15">
      <c r="B615" s="5" t="s">
        <v>13429</v>
      </c>
      <c r="C615" s="6"/>
      <c r="D615" s="7"/>
      <c r="E615" s="8" t="str">
        <f>QUANT!E1042</f>
        <v>LIMPEZA DE OBRA</v>
      </c>
      <c r="F615" s="9"/>
      <c r="G615" s="128"/>
      <c r="H615" s="221"/>
      <c r="I615" s="121"/>
      <c r="J615" s="121"/>
      <c r="K615" s="122"/>
    </row>
    <row r="616" spans="2:11" ht="15">
      <c r="B616" s="11" t="s">
        <v>13430</v>
      </c>
      <c r="C616" s="79" t="str">
        <f>QUANT!C1043</f>
        <v>CP-LP-01</v>
      </c>
      <c r="D616" s="79" t="str">
        <f>QUANT!D1043</f>
        <v>PRÓPRIA</v>
      </c>
      <c r="E616" s="80" t="str">
        <f>IFERROR(VLOOKUP($C616,'SINAPI JULHO 2021'!$1:$1048576,2,0),IFERROR(VLOOKUP($C616,'5-COMP. PROPRIA'!$B$1:$I$7981,4,0),""))</f>
        <v xml:space="preserve">LIMPEZA DE ESQUADRIAS COM PANO ÚMIDO </v>
      </c>
      <c r="F616" s="81" t="str">
        <f>IFERROR(VLOOKUP($C616,'SINAPI JULHO 2021'!$A:$D,3,0),IFERROR(VLOOKUP($C616,'5-COMP. PROPRIA'!$B$1:$I$7981,5,0),""))</f>
        <v>M2</v>
      </c>
      <c r="G616" s="129">
        <f>QUANT!K1043</f>
        <v>507.56</v>
      </c>
      <c r="H616" s="218">
        <f>IFERROR(VLOOKUP($C616,'SINAPI JULHO 2021'!$A:$D,4,0),IFERROR(VLOOKUP($C616,'5-COMP. PROPRIA'!$B$1:$I$1240,8,0),""))</f>
        <v>1.96</v>
      </c>
      <c r="I616" s="200">
        <f>H616*'4-BDI'!$E$29</f>
        <v>2.5135039999999997</v>
      </c>
      <c r="J616" s="201">
        <f>TRUNC(G616*H616,2)</f>
        <v>994.81</v>
      </c>
      <c r="K616" s="123">
        <f>TRUNC(G616*I616,2)</f>
        <v>1275.75</v>
      </c>
    </row>
    <row r="617" spans="2:11" ht="15">
      <c r="B617" s="11" t="s">
        <v>13431</v>
      </c>
      <c r="C617" s="79">
        <f>QUANT!C1044</f>
        <v>99806</v>
      </c>
      <c r="D617" s="79" t="str">
        <f>QUANT!D1044</f>
        <v>SINAPI</v>
      </c>
      <c r="E617" s="80" t="str">
        <f>IFERROR(VLOOKUP($C617,'SINAPI JULHO 2021'!$1:$1048576,2,0),IFERROR(VLOOKUP($C617,'5-COMP. PROPRIA'!$B$1:$I$7981,4,0),""))</f>
        <v>LIMPEZA DE REVESTIMENTO CERÂMICO EM PAREDE COM PANO ÚMIDO AF_04/2019</v>
      </c>
      <c r="F617" s="81" t="str">
        <f>IFERROR(VLOOKUP($C617,'SINAPI JULHO 2021'!$A:$D,3,0),IFERROR(VLOOKUP($C617,'5-COMP. PROPRIA'!$B$1:$I$7981,5,0),""))</f>
        <v>M2</v>
      </c>
      <c r="G617" s="129">
        <f>QUANT!K1044</f>
        <v>2114.98</v>
      </c>
      <c r="H617" s="218">
        <f>IFERROR(VLOOKUP($C617,'SINAPI JULHO 2021'!$A:$D,4,0),IFERROR(VLOOKUP($C617,'5-COMP. PROPRIA'!$B$1:$I$1240,8,0),""))</f>
        <v>0.56000000000000005</v>
      </c>
      <c r="I617" s="200">
        <f>H617*'4-BDI'!$E$29</f>
        <v>0.718144</v>
      </c>
      <c r="J617" s="201">
        <f>TRUNC(G617*H617,2)</f>
        <v>1184.3800000000001</v>
      </c>
      <c r="K617" s="123">
        <f>TRUNC(G617*I617,2)</f>
        <v>1518.86</v>
      </c>
    </row>
    <row r="618" spans="2:11" ht="15">
      <c r="B618" s="11" t="s">
        <v>13432</v>
      </c>
      <c r="C618" s="79">
        <f>QUANT!C1045</f>
        <v>99814</v>
      </c>
      <c r="D618" s="79" t="str">
        <f>QUANT!D1045</f>
        <v>SINAPI</v>
      </c>
      <c r="E618" s="80" t="str">
        <f>IFERROR(VLOOKUP($C618,'SINAPI JULHO 2021'!$1:$1048576,2,0),IFERROR(VLOOKUP($C618,'5-COMP. PROPRIA'!$B$1:$I$7981,4,0),""))</f>
        <v>LIMPEZA DE SUPERFÍCIE COM JATO DE ALTA PRESSÃO. AF_04/2019</v>
      </c>
      <c r="F618" s="81" t="str">
        <f>IFERROR(VLOOKUP($C618,'SINAPI JULHO 2021'!$A:$D,3,0),IFERROR(VLOOKUP($C618,'5-COMP. PROPRIA'!$B$1:$I$7981,5,0),""))</f>
        <v>M2</v>
      </c>
      <c r="G618" s="129">
        <f>QUANT!K1045</f>
        <v>2012.7299999999998</v>
      </c>
      <c r="H618" s="218">
        <f>IFERROR(VLOOKUP($C618,'SINAPI JULHO 2021'!$A:$D,4,0),IFERROR(VLOOKUP($C618,'5-COMP. PROPRIA'!$B$1:$I$1240,8,0),""))</f>
        <v>1.26</v>
      </c>
      <c r="I618" s="200">
        <f>H618*'4-BDI'!$E$29</f>
        <v>1.6158239999999999</v>
      </c>
      <c r="J618" s="201">
        <f>TRUNC(G618*H618,2)</f>
        <v>2536.0300000000002</v>
      </c>
      <c r="K618" s="123">
        <f>TRUNC(G618*I618,2)</f>
        <v>3252.21</v>
      </c>
    </row>
    <row r="619" spans="2:11" ht="15.75" thickBot="1">
      <c r="B619" s="846" t="s">
        <v>3507</v>
      </c>
      <c r="C619" s="847"/>
      <c r="D619" s="847"/>
      <c r="E619" s="847"/>
      <c r="F619" s="847"/>
      <c r="G619" s="847"/>
      <c r="H619" s="847"/>
      <c r="I619" s="314"/>
      <c r="J619" s="315">
        <f>TRUNC(SUM(J616:J618),2)</f>
        <v>4715.22</v>
      </c>
      <c r="K619" s="316">
        <f>TRUNC(SUM(K616:K618),2)</f>
        <v>6046.82</v>
      </c>
    </row>
    <row r="620" spans="2:11" ht="15.75" thickBot="1">
      <c r="B620" s="844"/>
      <c r="C620" s="845"/>
      <c r="D620" s="845"/>
      <c r="E620" s="845"/>
      <c r="F620" s="845"/>
      <c r="G620" s="845"/>
      <c r="H620" s="845"/>
      <c r="I620" s="845"/>
      <c r="J620" s="845"/>
      <c r="K620" s="313"/>
    </row>
    <row r="621" spans="2:11" ht="15.75" thickBot="1">
      <c r="B621" s="838" t="s">
        <v>15</v>
      </c>
      <c r="C621" s="839"/>
      <c r="D621" s="839"/>
      <c r="E621" s="839"/>
      <c r="F621" s="839"/>
      <c r="G621" s="839"/>
      <c r="H621" s="839"/>
      <c r="I621" s="840"/>
      <c r="J621" s="509">
        <f>TRUNC(SUM(J15+J22+J29+J171+J220+J338+J522+J619+J614+J598+J545+J207+J177+J158+J421+J185+J137+J124+J127+J102+J55),2)</f>
        <v>3671678.23</v>
      </c>
      <c r="K621" s="509"/>
    </row>
    <row r="622" spans="2:11" ht="15.75" thickBot="1">
      <c r="B622" s="841" t="s">
        <v>9</v>
      </c>
      <c r="C622" s="842"/>
      <c r="D622" s="842"/>
      <c r="E622" s="842"/>
      <c r="F622" s="842"/>
      <c r="G622" s="842"/>
      <c r="H622" s="842"/>
      <c r="I622" s="843"/>
      <c r="J622" s="509"/>
      <c r="K622" s="509">
        <f>TRUNC(SUM(K15+K22+K29+K171+K220+K338+K522+K619+K614+K598+K545+K207+K177+K158+K421+K185+K137+K124+K127+K102+K55),2)</f>
        <v>4708558.57</v>
      </c>
    </row>
    <row r="623" spans="2:11" ht="110.25" customHeight="1">
      <c r="B623" s="299"/>
      <c r="C623" s="300"/>
      <c r="D623" s="301"/>
      <c r="E623" s="302"/>
      <c r="F623" s="303"/>
      <c r="G623" s="304"/>
      <c r="H623" s="305"/>
      <c r="I623" s="306"/>
      <c r="J623" s="208"/>
      <c r="K623" s="204"/>
    </row>
    <row r="624" spans="2:11" ht="15">
      <c r="B624" s="89"/>
      <c r="C624" s="19"/>
      <c r="D624" s="84"/>
      <c r="E624" s="297" t="s">
        <v>6968</v>
      </c>
      <c r="F624" s="198"/>
      <c r="G624" s="130"/>
      <c r="H624" s="219"/>
      <c r="I624" s="208"/>
      <c r="J624" s="208"/>
      <c r="K624" s="204"/>
    </row>
    <row r="625" spans="2:11" ht="15">
      <c r="B625" s="89"/>
      <c r="C625" s="196"/>
      <c r="D625" s="197"/>
      <c r="E625" s="307" t="s">
        <v>6969</v>
      </c>
      <c r="F625" s="83"/>
      <c r="G625" s="130"/>
      <c r="H625" s="219"/>
      <c r="I625" s="203"/>
      <c r="J625" s="203"/>
      <c r="K625" s="204"/>
    </row>
    <row r="626" spans="2:11" ht="15.75" thickBot="1">
      <c r="B626" s="90"/>
      <c r="C626" s="227"/>
      <c r="D626" s="228"/>
      <c r="E626" s="308" t="s">
        <v>6970</v>
      </c>
      <c r="F626" s="229"/>
      <c r="G626" s="131"/>
      <c r="H626" s="220"/>
      <c r="I626" s="205"/>
      <c r="J626" s="205"/>
      <c r="K626" s="206"/>
    </row>
  </sheetData>
  <protectedRanges>
    <protectedRange password="C715" sqref="C15 C22 C137 C155:D155 C102 C220 C139:D139 C127 C185 C421 C171 C207 C177 C158 C29 C124 C338 C55 D601:D603 D611:D613 C599:C603 C610:C614 C604:D604 C605 C606:D609" name="Intervalo3" securityDescriptor="O:WDG:WDD:(A;;CC;;;S-1-5-21-331323738-3957049979-2397494211-500)"/>
    <protectedRange password="C715" sqref="G15:H15 B22:C22 E22 G22:H22 B15:C15 E15 B137:C137 B155:D155 G155 B29:C29 G124:H124 E338 E137 G127:H127 E127 B127:C127 G102:H102 E102 E610 I545 G599:I600 G207:I209 G215:I215 B421:C421 E220 B220:C220 E599:E600 G139 B139:D139 I598 E614 G137:H137 E185 G185:H185 B185:C185 G421:I422 B500:D521 B522:C522 B424:D457 B403:D411 E421 G220:I221 B459:D462 B464:D469 B471:D493 B495:D498 B413:D420 G186:I187 G29:I29 E29 E124 B124:C124 G614:I614 G55:H55 B338:C338 E55 B55:C55 B102:C102 G202:I202 G338:I339 G158:H158 E158 B158:C158 G171:I172 B171:C171 E171 G177:I178 B177:C177 E177 E207 B207:C207 B341:D349 B351:D362 B364:D378 B380:D387 B389:D392 B394:D396 B398:D401 E554:E555 E571 E575 E580 E583 E546:E547 D601:D603 D611:D613 G610:I610 B599:C603 B604:D604 G605:I605 E605 B605:C605 B610:C614 B606:D609" name="Intervalo3_18" securityDescriptor="O:WDG:WDD:(A;;CC;;;S-1-5-21-331323738-3957049979-2397494211-500)"/>
    <protectedRange sqref="B22 G22:H22 B15 B155 G15:H15 B185 G155 G124:H124 B102 B137 G137:H137 I545 G599:I600 G220:I220 G614:I614 B340:B421 G421:I422 G127:H127 G29:I29 B29 B124 G55:H55 B55 B171 G338:I339 B338 B127 B312 G102:H102 B259 G158:H158 G171:I171 B177 G177:I177 G207:I207 B207 G185:H185 I598 G139 B139 B220:B222 B158 B423:B524 B530 B532 B535 B538 B554:B555 B571 B575 B580 B583 B546:B547 G610:I610 G605:I605 B599:B614" name="Intervalo2_16"/>
    <protectedRange password="C715" sqref="B22 B15 B155 B127 B102 B220 B139 B137 B185 B421 B158 B207 B171 B177 B338 B29 B124 B55 B599:B614" name="Intervalo3_1_2_1" securityDescriptor="O:WDG:WDD:(A;;CC;;;S-1-5-21-331323738-3957049979-2397494211-500)"/>
    <protectedRange sqref="B22 B15 B155 B127 B102 B220 B139 B137 B185 B421 B158 B207 B171 B177 B338 B29 B124 B55 B599:B614" name="Intervalo2_1_2"/>
    <protectedRange password="C715" sqref="F22 F102 F15 F137 F124 F55 F171 F610 F338 F599:F600 F220 F177 F207 F614 F127 F185 F421 F29 F158 F605" name="Intervalo3_4_1_1_5" securityDescriptor="O:WDG:WDD:(A;;CC;;;S-1-5-21-331323738-3957049979-2397494211-500)"/>
    <protectedRange password="C715" sqref="B619" name="Intervalo3_19" securityDescriptor="O:WDG:WDD:(A;;CC;;;S-1-5-21-331323738-3957049979-2397494211-500)"/>
    <protectedRange sqref="B619" name="Intervalo2_17"/>
    <protectedRange password="C715" sqref="B619" name="Intervalo3_1_3" securityDescriptor="O:WDG:WDD:(A;;CC;;;S-1-5-21-331323738-3957049979-2397494211-500)"/>
    <protectedRange sqref="B619" name="Intervalo2_1_3"/>
    <protectedRange password="C715" sqref="F619" name="Intervalo3_8_7" securityDescriptor="O:WDG:WDD:(A;;CC;;;S-1-5-21-331323738-3957049979-2397494211-500)"/>
    <protectedRange password="C715" sqref="F619" name="Intervalo3_3_1_7" securityDescriptor="O:WDG:WDD:(A;;CC;;;S-1-5-21-331323738-3957049979-2397494211-500)"/>
    <protectedRange password="C715" sqref="F619" name="Intervalo3_4_1_1_1_1_7" securityDescriptor="O:WDG:WDD:(A;;CC;;;S-1-5-21-331323738-3957049979-2397494211-500)"/>
  </protectedRanges>
  <mergeCells count="31">
    <mergeCell ref="B621:I621"/>
    <mergeCell ref="B622:I622"/>
    <mergeCell ref="B598:H598"/>
    <mergeCell ref="B207:H207"/>
    <mergeCell ref="B102:H102"/>
    <mergeCell ref="B177:H177"/>
    <mergeCell ref="B620:J620"/>
    <mergeCell ref="B619:H619"/>
    <mergeCell ref="B614:H614"/>
    <mergeCell ref="B522:H522"/>
    <mergeCell ref="B421:H421"/>
    <mergeCell ref="B545:H545"/>
    <mergeCell ref="B15:H15"/>
    <mergeCell ref="B338:H338"/>
    <mergeCell ref="B171:H171"/>
    <mergeCell ref="B185:H185"/>
    <mergeCell ref="B124:H124"/>
    <mergeCell ref="B137:H137"/>
    <mergeCell ref="B22:H22"/>
    <mergeCell ref="B29:H29"/>
    <mergeCell ref="B220:H220"/>
    <mergeCell ref="B127:H127"/>
    <mergeCell ref="B158:H158"/>
    <mergeCell ref="B55:H55"/>
    <mergeCell ref="B2:K2"/>
    <mergeCell ref="B8:K8"/>
    <mergeCell ref="B3:K3"/>
    <mergeCell ref="B4:K4"/>
    <mergeCell ref="B5:K5"/>
    <mergeCell ref="B6:K6"/>
    <mergeCell ref="B7:K7"/>
  </mergeCells>
  <phoneticPr fontId="112" type="noConversion"/>
  <printOptions horizontalCentered="1"/>
  <pageMargins left="0.59055118110236227" right="0" top="0.78740157480314965" bottom="0.78740157480314965" header="0" footer="0"/>
  <pageSetup paperSize="9" scale="45"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sheetPr codeName="Plan4"/>
  <dimension ref="B1:P60"/>
  <sheetViews>
    <sheetView view="pageBreakPreview" zoomScale="70" zoomScaleNormal="70" zoomScaleSheetLayoutView="70" workbookViewId="0">
      <selection activeCell="I22" sqref="I22"/>
    </sheetView>
  </sheetViews>
  <sheetFormatPr defaultRowHeight="12.75"/>
  <cols>
    <col min="1" max="1" width="6.7109375" customWidth="1"/>
    <col min="2" max="2" width="6.7109375" bestFit="1" customWidth="1"/>
    <col min="3" max="3" width="58.140625" customWidth="1"/>
    <col min="4" max="4" width="23.140625" style="4" bestFit="1" customWidth="1"/>
    <col min="5" max="5" width="12.28515625" bestFit="1" customWidth="1"/>
    <col min="6" max="6" width="20.85546875" bestFit="1" customWidth="1"/>
    <col min="7" max="11" width="23.28515625" bestFit="1" customWidth="1"/>
    <col min="12" max="13" width="23.28515625" style="210" customWidth="1"/>
    <col min="14" max="14" width="23.28515625" style="210" bestFit="1" customWidth="1"/>
    <col min="15" max="15" width="14.85546875" hidden="1" customWidth="1"/>
    <col min="16" max="16" width="5.42578125" hidden="1" customWidth="1"/>
    <col min="17" max="17" width="0" hidden="1" customWidth="1"/>
  </cols>
  <sheetData>
    <row r="1" spans="2:15" ht="22.5" customHeight="1" thickBot="1"/>
    <row r="2" spans="2:15" ht="160.5" customHeight="1" thickBot="1">
      <c r="B2" s="881"/>
      <c r="C2" s="882"/>
      <c r="D2" s="882"/>
      <c r="E2" s="882"/>
      <c r="F2" s="882"/>
      <c r="G2" s="882"/>
      <c r="H2" s="882"/>
      <c r="I2" s="882"/>
      <c r="J2" s="882"/>
      <c r="K2" s="882"/>
      <c r="L2" s="882"/>
      <c r="M2" s="882"/>
      <c r="N2" s="883"/>
    </row>
    <row r="3" spans="2:15" ht="21" customHeight="1" thickBot="1">
      <c r="B3" s="878" t="str">
        <f>'2-ORÇAMENTO'!B3:G3</f>
        <v xml:space="preserve">OBRA:  FINALIZAÇÃO DO SALDO REMANESCENTE DA CONSTRUÇÃO DA ESCOLA MUNICIPAL DE EDUCAÇÃO BASICA </v>
      </c>
      <c r="C3" s="879"/>
      <c r="D3" s="879"/>
      <c r="E3" s="879"/>
      <c r="F3" s="879"/>
      <c r="G3" s="879"/>
      <c r="H3" s="879"/>
      <c r="I3" s="879"/>
      <c r="J3" s="879"/>
      <c r="K3" s="879"/>
      <c r="L3" s="879"/>
      <c r="M3" s="879"/>
      <c r="N3" s="880"/>
    </row>
    <row r="4" spans="2:15" ht="21" customHeight="1" thickBot="1">
      <c r="B4" s="878" t="str">
        <f>'2-ORÇAMENTO'!B4:G4</f>
        <v>LOCAL: EMEB ALINO FERREIRA DE MAGALHÃES</v>
      </c>
      <c r="C4" s="879"/>
      <c r="D4" s="879"/>
      <c r="E4" s="879"/>
      <c r="F4" s="879"/>
      <c r="G4" s="879"/>
      <c r="H4" s="879"/>
      <c r="I4" s="879"/>
      <c r="J4" s="879"/>
      <c r="K4" s="879"/>
      <c r="L4" s="879"/>
      <c r="M4" s="879"/>
      <c r="N4" s="880"/>
    </row>
    <row r="5" spans="2:15" ht="21" customHeight="1" thickBot="1">
      <c r="B5" s="878" t="str">
        <f>'2-ORÇAMENTO'!B5:G5</f>
        <v>ENDEREÇO: AVENIDA VERDÃO, ESQUINA COM RUA B, BAIRRO ALTO DA BOA VISTA - CRISTO REI, CEP 78120-550</v>
      </c>
      <c r="C5" s="879"/>
      <c r="D5" s="879"/>
      <c r="E5" s="879"/>
      <c r="F5" s="879"/>
      <c r="G5" s="879"/>
      <c r="H5" s="879"/>
      <c r="I5" s="879"/>
      <c r="J5" s="879"/>
      <c r="K5" s="879"/>
      <c r="L5" s="879"/>
      <c r="M5" s="879"/>
      <c r="N5" s="880"/>
    </row>
    <row r="6" spans="2:15" ht="21" customHeight="1" thickBot="1">
      <c r="B6" s="878" t="str">
        <f>'2-ORÇAMENTO'!B6:G6</f>
        <v>MUNICÍPIO: VÁRZEA GRANDE - MT</v>
      </c>
      <c r="C6" s="879"/>
      <c r="D6" s="879"/>
      <c r="E6" s="879"/>
      <c r="F6" s="879"/>
      <c r="G6" s="879"/>
      <c r="H6" s="879"/>
      <c r="I6" s="879"/>
      <c r="J6" s="879"/>
      <c r="K6" s="879"/>
      <c r="L6" s="879"/>
      <c r="M6" s="879"/>
      <c r="N6" s="880"/>
    </row>
    <row r="7" spans="2:15" ht="21" customHeight="1" thickBot="1">
      <c r="B7" s="878" t="str">
        <f>'2-ORÇAMENTO'!B7:G7</f>
        <v>DATA BASE: SINAPI-MT JULHO/COM DESONERAÇÃO/2021 - BDI - 28,24%</v>
      </c>
      <c r="C7" s="879"/>
      <c r="D7" s="879"/>
      <c r="E7" s="879"/>
      <c r="F7" s="879"/>
      <c r="G7" s="879"/>
      <c r="H7" s="879"/>
      <c r="I7" s="879"/>
      <c r="J7" s="879"/>
      <c r="K7" s="879"/>
      <c r="L7" s="879"/>
      <c r="M7" s="879"/>
      <c r="N7" s="880"/>
    </row>
    <row r="8" spans="2:15" ht="21" customHeight="1" thickBot="1">
      <c r="B8" s="881" t="s">
        <v>35</v>
      </c>
      <c r="C8" s="882"/>
      <c r="D8" s="882"/>
      <c r="E8" s="882"/>
      <c r="F8" s="882"/>
      <c r="G8" s="882"/>
      <c r="H8" s="882"/>
      <c r="I8" s="882"/>
      <c r="J8" s="882"/>
      <c r="K8" s="882"/>
      <c r="L8" s="882"/>
      <c r="M8" s="882"/>
      <c r="N8" s="883"/>
    </row>
    <row r="9" spans="2:15" ht="22.5" customHeight="1" thickBot="1">
      <c r="B9" s="785" t="s">
        <v>1</v>
      </c>
      <c r="C9" s="787" t="s">
        <v>10</v>
      </c>
      <c r="D9" s="789" t="s">
        <v>8</v>
      </c>
      <c r="E9" s="790"/>
      <c r="F9" s="884" t="s">
        <v>11</v>
      </c>
      <c r="G9" s="885"/>
      <c r="H9" s="885"/>
      <c r="I9" s="885"/>
      <c r="J9" s="885"/>
      <c r="K9" s="885"/>
      <c r="L9" s="490"/>
      <c r="M9" s="490"/>
      <c r="N9" s="876" t="s">
        <v>8</v>
      </c>
    </row>
    <row r="10" spans="2:15" ht="16.5" thickBot="1">
      <c r="B10" s="786"/>
      <c r="C10" s="788"/>
      <c r="D10" s="150" t="s">
        <v>12</v>
      </c>
      <c r="E10" s="151" t="s">
        <v>13</v>
      </c>
      <c r="F10" s="295" t="s">
        <v>13444</v>
      </c>
      <c r="G10" s="295" t="s">
        <v>13445</v>
      </c>
      <c r="H10" s="295" t="s">
        <v>13446</v>
      </c>
      <c r="I10" s="295" t="s">
        <v>13447</v>
      </c>
      <c r="J10" s="295" t="s">
        <v>13448</v>
      </c>
      <c r="K10" s="332" t="s">
        <v>13449</v>
      </c>
      <c r="L10" s="332" t="s">
        <v>13450</v>
      </c>
      <c r="M10" s="295" t="s">
        <v>13451</v>
      </c>
      <c r="N10" s="877"/>
    </row>
    <row r="11" spans="2:15" ht="18">
      <c r="B11" s="858" t="str">
        <f>'2-ORÇAMENTO'!B10</f>
        <v>1.0</v>
      </c>
      <c r="C11" s="861" t="str">
        <f>'2-ORÇAMENTO'!E10</f>
        <v xml:space="preserve">ADMINISTRAÇÃO DE OBRA </v>
      </c>
      <c r="D11" s="862">
        <f>'2-ORÇAMENTO'!K15</f>
        <v>111427.4</v>
      </c>
      <c r="E11" s="857">
        <f>D11/$D$55</f>
        <v>2.3664864383326548E-2</v>
      </c>
      <c r="F11" s="495">
        <f t="shared" ref="F11:M11" si="0">F12*$D11</f>
        <v>12901.365857119396</v>
      </c>
      <c r="G11" s="495">
        <f t="shared" si="0"/>
        <v>12158.474570586995</v>
      </c>
      <c r="H11" s="495">
        <f t="shared" si="0"/>
        <v>12049.84986539017</v>
      </c>
      <c r="I11" s="495">
        <f t="shared" si="0"/>
        <v>14029.110164443739</v>
      </c>
      <c r="J11" s="495">
        <f t="shared" si="0"/>
        <v>16040.450215363508</v>
      </c>
      <c r="K11" s="495">
        <f t="shared" si="0"/>
        <v>15845.660372915898</v>
      </c>
      <c r="L11" s="495">
        <f t="shared" si="0"/>
        <v>14839.899999999998</v>
      </c>
      <c r="M11" s="501">
        <f t="shared" si="0"/>
        <v>13562.586158945183</v>
      </c>
      <c r="N11" s="491">
        <f>SUM(F11:M11)</f>
        <v>111427.39720476487</v>
      </c>
      <c r="O11" s="330">
        <f>TRUNC(SUM(D11-F11-G11-H11-I11-J11-K11-L11-M11),2)</f>
        <v>0</v>
      </c>
    </row>
    <row r="12" spans="2:15" ht="18">
      <c r="B12" s="859"/>
      <c r="C12" s="850"/>
      <c r="D12" s="851"/>
      <c r="E12" s="848"/>
      <c r="F12" s="492">
        <v>0.11578270566413106</v>
      </c>
      <c r="G12" s="492">
        <v>0.10911566249043768</v>
      </c>
      <c r="H12" s="492">
        <v>0.10814081514412227</v>
      </c>
      <c r="I12" s="492">
        <v>0.12590359430843526</v>
      </c>
      <c r="J12" s="492">
        <v>0.14395427170842637</v>
      </c>
      <c r="K12" s="492">
        <v>0.14220613935994109</v>
      </c>
      <c r="L12" s="492">
        <v>0.13317998984091883</v>
      </c>
      <c r="M12" s="492">
        <v>0.12171679639788045</v>
      </c>
      <c r="N12" s="494">
        <f>SUM(F12:M12)</f>
        <v>0.99999997491429293</v>
      </c>
      <c r="O12" s="331">
        <f t="shared" ref="O12:O52" si="1">O11/D11</f>
        <v>0</v>
      </c>
    </row>
    <row r="13" spans="2:15" ht="18" customHeight="1">
      <c r="B13" s="852" t="str">
        <f>'2-ORÇAMENTO'!B16</f>
        <v>2.0</v>
      </c>
      <c r="C13" s="850" t="str">
        <f>'2-ORÇAMENTO'!E16</f>
        <v>INSTALAÇÕES DE CANTEIRO E SERVIÇOS PRELIMINARES</v>
      </c>
      <c r="D13" s="851">
        <f>'2-ORÇAMENTO'!K22</f>
        <v>78810.210000000006</v>
      </c>
      <c r="E13" s="848">
        <f>D13/$D$55</f>
        <v>1.6737650987741669E-2</v>
      </c>
      <c r="F13" s="495">
        <f>F14*$D13</f>
        <v>78810.210000000006</v>
      </c>
      <c r="G13" s="496"/>
      <c r="H13" s="496"/>
      <c r="I13" s="496"/>
      <c r="J13" s="496"/>
      <c r="K13" s="496"/>
      <c r="L13" s="496"/>
      <c r="M13" s="502"/>
      <c r="N13" s="507">
        <f t="shared" ref="N13:N52" si="2">SUM(F13:M13)</f>
        <v>78810.210000000006</v>
      </c>
      <c r="O13" s="330">
        <f t="shared" ref="O13" si="3">TRUNC(SUM(D13-F13-G13-H13-I13-J13-K13-L13-M13),2)</f>
        <v>0</v>
      </c>
    </row>
    <row r="14" spans="2:15" ht="18">
      <c r="B14" s="860"/>
      <c r="C14" s="850"/>
      <c r="D14" s="851"/>
      <c r="E14" s="848"/>
      <c r="F14" s="492">
        <v>1</v>
      </c>
      <c r="G14" s="493"/>
      <c r="H14" s="493"/>
      <c r="I14" s="493"/>
      <c r="J14" s="493"/>
      <c r="K14" s="493"/>
      <c r="L14" s="493"/>
      <c r="M14" s="503"/>
      <c r="N14" s="494">
        <f t="shared" si="2"/>
        <v>1</v>
      </c>
      <c r="O14" s="331">
        <f t="shared" si="1"/>
        <v>0</v>
      </c>
    </row>
    <row r="15" spans="2:15" ht="18" customHeight="1">
      <c r="B15" s="852" t="str">
        <f>'2-ORÇAMENTO'!B23</f>
        <v>3.0</v>
      </c>
      <c r="C15" s="850" t="str">
        <f>'2-ORÇAMENTO'!E23</f>
        <v>DEMOLIÇÕES E RETIRADAS</v>
      </c>
      <c r="D15" s="851">
        <f>'2-ORÇAMENTO'!K29</f>
        <v>33294.9</v>
      </c>
      <c r="E15" s="848">
        <f>D15/$D$55</f>
        <v>7.0711449172862258E-3</v>
      </c>
      <c r="F15" s="495">
        <f>F16*$D15</f>
        <v>33294.9</v>
      </c>
      <c r="G15" s="498"/>
      <c r="H15" s="498"/>
      <c r="I15" s="498"/>
      <c r="J15" s="498"/>
      <c r="K15" s="498"/>
      <c r="L15" s="498"/>
      <c r="M15" s="504"/>
      <c r="N15" s="507">
        <f t="shared" si="2"/>
        <v>33294.9</v>
      </c>
      <c r="O15" s="330">
        <f t="shared" ref="O15" si="4">TRUNC(SUM(D15-F15-G15-H15-I15-J15-K15-L15-M15),2)</f>
        <v>0</v>
      </c>
    </row>
    <row r="16" spans="2:15" ht="18">
      <c r="B16" s="860"/>
      <c r="C16" s="850"/>
      <c r="D16" s="851"/>
      <c r="E16" s="848"/>
      <c r="F16" s="492">
        <v>1</v>
      </c>
      <c r="G16" s="493"/>
      <c r="H16" s="493"/>
      <c r="I16" s="493"/>
      <c r="J16" s="493"/>
      <c r="K16" s="493"/>
      <c r="L16" s="493"/>
      <c r="M16" s="503"/>
      <c r="N16" s="494">
        <f t="shared" si="2"/>
        <v>1</v>
      </c>
      <c r="O16" s="331">
        <f t="shared" si="1"/>
        <v>0</v>
      </c>
    </row>
    <row r="17" spans="2:15" s="210" customFormat="1" ht="18">
      <c r="B17" s="852" t="str">
        <f>'2-ORÇAMENTO'!B30</f>
        <v>4.0</v>
      </c>
      <c r="C17" s="850" t="str">
        <f>'2-ORÇAMENTO'!E30</f>
        <v>INFRAESTRUTURA</v>
      </c>
      <c r="D17" s="851">
        <f>'2-ORÇAMENTO'!K55</f>
        <v>88895.91</v>
      </c>
      <c r="E17" s="848">
        <f>D17/$D$55</f>
        <v>1.8879644094562043E-2</v>
      </c>
      <c r="F17" s="495">
        <f>F18*$D17</f>
        <v>45479.147556000004</v>
      </c>
      <c r="G17" s="495">
        <f>G18*$D17</f>
        <v>43416.762444</v>
      </c>
      <c r="H17" s="498"/>
      <c r="I17" s="498"/>
      <c r="J17" s="498"/>
      <c r="K17" s="498"/>
      <c r="L17" s="498"/>
      <c r="M17" s="504"/>
      <c r="N17" s="507">
        <f t="shared" si="2"/>
        <v>88895.91</v>
      </c>
      <c r="O17" s="330">
        <f t="shared" ref="O17" si="5">TRUNC(SUM(D17-F17-G17-H17-I17-J17-K17-L17-M17),2)</f>
        <v>0</v>
      </c>
    </row>
    <row r="18" spans="2:15" s="210" customFormat="1" ht="18">
      <c r="B18" s="860"/>
      <c r="C18" s="850"/>
      <c r="D18" s="851"/>
      <c r="E18" s="848"/>
      <c r="F18" s="492">
        <v>0.51160000000000005</v>
      </c>
      <c r="G18" s="492">
        <v>0.4884</v>
      </c>
      <c r="H18" s="493"/>
      <c r="I18" s="493"/>
      <c r="J18" s="493"/>
      <c r="K18" s="493"/>
      <c r="L18" s="493"/>
      <c r="M18" s="503"/>
      <c r="N18" s="494">
        <f t="shared" si="2"/>
        <v>1</v>
      </c>
      <c r="O18" s="331">
        <f t="shared" si="1"/>
        <v>0</v>
      </c>
    </row>
    <row r="19" spans="2:15" s="210" customFormat="1" ht="18">
      <c r="B19" s="852" t="str">
        <f>'2-ORÇAMENTO'!B56</f>
        <v>5.0</v>
      </c>
      <c r="C19" s="850" t="str">
        <f>'2-ORÇAMENTO'!E56</f>
        <v xml:space="preserve">SUPERESTRUTURA </v>
      </c>
      <c r="D19" s="851">
        <f>'2-ORÇAMENTO'!K102</f>
        <v>324689.93</v>
      </c>
      <c r="E19" s="848">
        <f>D19/$D$55</f>
        <v>6.895739432205894E-2</v>
      </c>
      <c r="F19" s="499">
        <f>F20*$D19</f>
        <v>97666.730943999995</v>
      </c>
      <c r="G19" s="499">
        <f>G20*$D19</f>
        <v>97666.730943999995</v>
      </c>
      <c r="H19" s="499">
        <f>H20*$D19</f>
        <v>80555.571633</v>
      </c>
      <c r="I19" s="499">
        <f>I20*$D19</f>
        <v>48800.896478999995</v>
      </c>
      <c r="J19" s="500"/>
      <c r="K19" s="500"/>
      <c r="L19" s="500"/>
      <c r="M19" s="505"/>
      <c r="N19" s="507">
        <f t="shared" si="2"/>
        <v>324689.93</v>
      </c>
      <c r="O19" s="330">
        <f t="shared" ref="O19" si="6">TRUNC(SUM(D19-F19-G19-H19-I19-J19-K19-L19-M19),2)</f>
        <v>0</v>
      </c>
    </row>
    <row r="20" spans="2:15" s="210" customFormat="1" ht="18">
      <c r="B20" s="860"/>
      <c r="C20" s="850"/>
      <c r="D20" s="851"/>
      <c r="E20" s="848"/>
      <c r="F20" s="492">
        <v>0.30080000000000001</v>
      </c>
      <c r="G20" s="492">
        <v>0.30080000000000001</v>
      </c>
      <c r="H20" s="493">
        <v>0.24809999999999999</v>
      </c>
      <c r="I20" s="493">
        <v>0.15029999999999999</v>
      </c>
      <c r="J20" s="493"/>
      <c r="K20" s="493"/>
      <c r="L20" s="493"/>
      <c r="M20" s="503"/>
      <c r="N20" s="494">
        <f t="shared" si="2"/>
        <v>1</v>
      </c>
      <c r="O20" s="331">
        <f t="shared" si="1"/>
        <v>0</v>
      </c>
    </row>
    <row r="21" spans="2:15" s="210" customFormat="1" ht="18">
      <c r="B21" s="852" t="str">
        <f>'2-ORÇAMENTO'!B103</f>
        <v>6.0</v>
      </c>
      <c r="C21" s="850" t="str">
        <f>'2-ORÇAMENTO'!E103</f>
        <v>ÁGUAS PLUVIAIS</v>
      </c>
      <c r="D21" s="851">
        <f>'2-ORÇAMENTO'!K124</f>
        <v>89675.67</v>
      </c>
      <c r="E21" s="848">
        <f>D21/$D$55</f>
        <v>1.9045248915741955E-2</v>
      </c>
      <c r="F21" s="495">
        <f>F22*$D21</f>
        <v>35134.927506</v>
      </c>
      <c r="G21" s="495"/>
      <c r="H21" s="498"/>
      <c r="I21" s="498"/>
      <c r="J21" s="498"/>
      <c r="K21" s="500">
        <f>K22*$D21</f>
        <v>27638.041493999997</v>
      </c>
      <c r="L21" s="500">
        <f>L22*$D21</f>
        <v>26902.700999999997</v>
      </c>
      <c r="M21" s="505"/>
      <c r="N21" s="507">
        <f t="shared" si="2"/>
        <v>89675.67</v>
      </c>
      <c r="O21" s="330">
        <f t="shared" ref="O21" si="7">TRUNC(SUM(D21-F21-G21-H21-I21-J21-K21-L21-M21),2)</f>
        <v>0</v>
      </c>
    </row>
    <row r="22" spans="2:15" s="210" customFormat="1" ht="18">
      <c r="B22" s="860"/>
      <c r="C22" s="850"/>
      <c r="D22" s="851"/>
      <c r="E22" s="848"/>
      <c r="F22" s="492">
        <v>0.39179999999999998</v>
      </c>
      <c r="G22" s="493"/>
      <c r="H22" s="493"/>
      <c r="I22" s="493"/>
      <c r="J22" s="493"/>
      <c r="K22" s="493">
        <v>0.30819999999999997</v>
      </c>
      <c r="L22" s="493">
        <v>0.3</v>
      </c>
      <c r="M22" s="503"/>
      <c r="N22" s="494">
        <f t="shared" si="2"/>
        <v>1</v>
      </c>
      <c r="O22" s="331">
        <f t="shared" si="1"/>
        <v>0</v>
      </c>
    </row>
    <row r="23" spans="2:15" s="210" customFormat="1" ht="18">
      <c r="B23" s="852" t="str">
        <f>'2-ORÇAMENTO'!B125</f>
        <v>7.0</v>
      </c>
      <c r="C23" s="850" t="str">
        <f>'2-ORÇAMENTO'!E125</f>
        <v>IMPERMEABILIZAÇÃO</v>
      </c>
      <c r="D23" s="851">
        <f>'2-ORÇAMENTO'!K127</f>
        <v>81900.47</v>
      </c>
      <c r="E23" s="848">
        <f>D23/$D$55</f>
        <v>1.7393957998487846E-2</v>
      </c>
      <c r="F23" s="497"/>
      <c r="G23" s="495">
        <f>G24*$D23</f>
        <v>40950.235000000001</v>
      </c>
      <c r="H23" s="495">
        <f>H24*$D23</f>
        <v>40950.235000000001</v>
      </c>
      <c r="I23" s="498"/>
      <c r="J23" s="498"/>
      <c r="K23" s="498"/>
      <c r="L23" s="498"/>
      <c r="M23" s="504"/>
      <c r="N23" s="507">
        <f t="shared" si="2"/>
        <v>81900.47</v>
      </c>
      <c r="O23" s="330">
        <f t="shared" ref="O23" si="8">TRUNC(SUM(D23-F23-G23-H23-I23-J23-K23-L23-M23),2)</f>
        <v>0</v>
      </c>
    </row>
    <row r="24" spans="2:15" s="210" customFormat="1" ht="18">
      <c r="B24" s="860"/>
      <c r="C24" s="850"/>
      <c r="D24" s="851"/>
      <c r="E24" s="848"/>
      <c r="F24" s="492"/>
      <c r="G24" s="492">
        <v>0.5</v>
      </c>
      <c r="H24" s="492">
        <v>0.5</v>
      </c>
      <c r="I24" s="493"/>
      <c r="J24" s="493"/>
      <c r="K24" s="493"/>
      <c r="L24" s="493"/>
      <c r="M24" s="503"/>
      <c r="N24" s="494">
        <f t="shared" si="2"/>
        <v>1</v>
      </c>
      <c r="O24" s="331">
        <f t="shared" si="1"/>
        <v>0</v>
      </c>
    </row>
    <row r="25" spans="2:15" s="210" customFormat="1" ht="18">
      <c r="B25" s="852" t="str">
        <f>'2-ORÇAMENTO'!B128</f>
        <v>8.0</v>
      </c>
      <c r="C25" s="850" t="str">
        <f>'2-ORÇAMENTO'!E128</f>
        <v>FECHAMENTO EM ALVENARIA</v>
      </c>
      <c r="D25" s="851">
        <f>'2-ORÇAMENTO'!K137</f>
        <v>268214.95</v>
      </c>
      <c r="E25" s="848">
        <f>D25/$D$55</f>
        <v>5.6963282077215405E-2</v>
      </c>
      <c r="F25" s="495"/>
      <c r="G25" s="495">
        <f>G26*$D25</f>
        <v>55225.458205000003</v>
      </c>
      <c r="H25" s="495">
        <f>H26*$D25</f>
        <v>84192.672805000009</v>
      </c>
      <c r="I25" s="495">
        <f>I26*$D25</f>
        <v>75153.828990000009</v>
      </c>
      <c r="J25" s="495">
        <f>J26*$D25</f>
        <v>53642.990000000005</v>
      </c>
      <c r="K25" s="498"/>
      <c r="L25" s="498"/>
      <c r="M25" s="504"/>
      <c r="N25" s="507">
        <f t="shared" si="2"/>
        <v>268214.95</v>
      </c>
      <c r="O25" s="330">
        <f t="shared" ref="O25" si="9">TRUNC(SUM(D25-F25-G25-H25-I25-J25-K25-L25-M25),2)</f>
        <v>0</v>
      </c>
    </row>
    <row r="26" spans="2:15" s="210" customFormat="1" ht="18">
      <c r="B26" s="860"/>
      <c r="C26" s="850"/>
      <c r="D26" s="851"/>
      <c r="E26" s="848"/>
      <c r="F26" s="492"/>
      <c r="G26" s="492">
        <v>0.2059</v>
      </c>
      <c r="H26" s="492">
        <f>20.59%+10.8%</f>
        <v>0.31390000000000001</v>
      </c>
      <c r="I26" s="492">
        <v>0.2802</v>
      </c>
      <c r="J26" s="492">
        <v>0.2</v>
      </c>
      <c r="K26" s="493"/>
      <c r="L26" s="493"/>
      <c r="M26" s="503"/>
      <c r="N26" s="494">
        <f t="shared" si="2"/>
        <v>1</v>
      </c>
      <c r="O26" s="331">
        <f t="shared" si="1"/>
        <v>0</v>
      </c>
    </row>
    <row r="27" spans="2:15" s="210" customFormat="1" ht="18">
      <c r="B27" s="852" t="str">
        <f>'2-ORÇAMENTO'!B138</f>
        <v>9.0</v>
      </c>
      <c r="C27" s="850" t="str">
        <f>'2-ORÇAMENTO'!E138</f>
        <v>SISTEMA DE COBERTURA</v>
      </c>
      <c r="D27" s="851">
        <f>'2-ORÇAMENTO'!K158</f>
        <v>757029.73</v>
      </c>
      <c r="E27" s="848">
        <f>D27/$D$55</f>
        <v>0.16077738414964646</v>
      </c>
      <c r="F27" s="497"/>
      <c r="G27" s="495">
        <f>G28*$D27</f>
        <v>132480.20275</v>
      </c>
      <c r="H27" s="495">
        <f>H28*$D27</f>
        <v>132480.20275</v>
      </c>
      <c r="I27" s="495">
        <f>I28*$D27</f>
        <v>189257.4325</v>
      </c>
      <c r="J27" s="495">
        <f>J28*$D27</f>
        <v>189257.4325</v>
      </c>
      <c r="K27" s="495">
        <f>K28*$D27</f>
        <v>113554.4595</v>
      </c>
      <c r="L27" s="495"/>
      <c r="M27" s="504"/>
      <c r="N27" s="507">
        <f t="shared" si="2"/>
        <v>757029.73</v>
      </c>
      <c r="O27" s="330">
        <f t="shared" ref="O27" si="10">TRUNC(SUM(D27-F27-G27-H27-I27-J27-K27-L27-M27),2)</f>
        <v>0</v>
      </c>
    </row>
    <row r="28" spans="2:15" s="210" customFormat="1" ht="18">
      <c r="B28" s="860"/>
      <c r="C28" s="850"/>
      <c r="D28" s="851"/>
      <c r="E28" s="848"/>
      <c r="F28" s="492"/>
      <c r="G28" s="493">
        <v>0.17499999999999999</v>
      </c>
      <c r="H28" s="493">
        <v>0.17499999999999999</v>
      </c>
      <c r="I28" s="493">
        <v>0.25</v>
      </c>
      <c r="J28" s="493">
        <v>0.25</v>
      </c>
      <c r="K28" s="493">
        <v>0.15</v>
      </c>
      <c r="L28" s="493"/>
      <c r="M28" s="503"/>
      <c r="N28" s="494">
        <f t="shared" si="2"/>
        <v>1</v>
      </c>
      <c r="O28" s="331">
        <f t="shared" si="1"/>
        <v>0</v>
      </c>
    </row>
    <row r="29" spans="2:15" s="210" customFormat="1" ht="18">
      <c r="B29" s="852" t="str">
        <f>'2-ORÇAMENTO'!B159</f>
        <v>10.0</v>
      </c>
      <c r="C29" s="850" t="str">
        <f>'2-ORÇAMENTO'!E159</f>
        <v>ESQUADRIAS</v>
      </c>
      <c r="D29" s="851">
        <f>'2-ORÇAMENTO'!K171</f>
        <v>278283.55</v>
      </c>
      <c r="E29" s="848">
        <f>D29/$D$55</f>
        <v>5.9101643499360777E-2</v>
      </c>
      <c r="F29" s="497"/>
      <c r="G29" s="498"/>
      <c r="H29" s="498"/>
      <c r="I29" s="495">
        <f>I30*$D29</f>
        <v>67288.962390000001</v>
      </c>
      <c r="J29" s="495">
        <f>J30*$D29</f>
        <v>67288.962390000001</v>
      </c>
      <c r="K29" s="495">
        <f>K30*$D29</f>
        <v>60804.955674999997</v>
      </c>
      <c r="L29" s="495">
        <f>L30*$D29</f>
        <v>55072.314544999994</v>
      </c>
      <c r="M29" s="495">
        <f>M30*$D29</f>
        <v>27828.355</v>
      </c>
      <c r="N29" s="507">
        <f t="shared" si="2"/>
        <v>278283.55</v>
      </c>
      <c r="O29" s="330">
        <f t="shared" ref="O29" si="11">TRUNC(SUM(D29-F29-G29-H29-I29-J29-K29-L29-M29),2)</f>
        <v>0</v>
      </c>
    </row>
    <row r="30" spans="2:15" s="210" customFormat="1" ht="18">
      <c r="B30" s="860"/>
      <c r="C30" s="850"/>
      <c r="D30" s="851"/>
      <c r="E30" s="848"/>
      <c r="F30" s="492"/>
      <c r="G30" s="493"/>
      <c r="H30" s="493"/>
      <c r="I30" s="493">
        <v>0.24179999999999999</v>
      </c>
      <c r="J30" s="493">
        <v>0.24179999999999999</v>
      </c>
      <c r="K30" s="493">
        <v>0.2185</v>
      </c>
      <c r="L30" s="493">
        <v>0.19789999999999999</v>
      </c>
      <c r="M30" s="503">
        <v>0.1</v>
      </c>
      <c r="N30" s="494">
        <f t="shared" si="2"/>
        <v>0.99999999999999989</v>
      </c>
      <c r="O30" s="331">
        <f t="shared" si="1"/>
        <v>0</v>
      </c>
    </row>
    <row r="31" spans="2:15" s="210" customFormat="1" ht="18">
      <c r="B31" s="852" t="str">
        <f>'2-ORÇAMENTO'!B172</f>
        <v>11.0</v>
      </c>
      <c r="C31" s="850" t="str">
        <f>'2-ORÇAMENTO'!E172</f>
        <v>DIVISORIAS, BANCADAS E PEITORIS</v>
      </c>
      <c r="D31" s="851">
        <f>'2-ORÇAMENTO'!K177</f>
        <v>119761.06</v>
      </c>
      <c r="E31" s="848">
        <f>D31/$D$55</f>
        <v>2.5434760600206358E-2</v>
      </c>
      <c r="F31" s="497"/>
      <c r="G31" s="498"/>
      <c r="H31" s="498"/>
      <c r="I31" s="498"/>
      <c r="J31" s="498"/>
      <c r="K31" s="498">
        <f>K32*$D31</f>
        <v>41916.370999999999</v>
      </c>
      <c r="L31" s="498">
        <f>L32*$D31</f>
        <v>41916.370999999999</v>
      </c>
      <c r="M31" s="498">
        <f>M32*$D31</f>
        <v>35928.317999999999</v>
      </c>
      <c r="N31" s="507">
        <f t="shared" si="2"/>
        <v>119761.06</v>
      </c>
      <c r="O31" s="330">
        <f t="shared" ref="O31" si="12">TRUNC(SUM(D31-F31-G31-H31-I31-J31-K31-L31-M31),2)</f>
        <v>0</v>
      </c>
    </row>
    <row r="32" spans="2:15" s="210" customFormat="1" ht="18">
      <c r="B32" s="860"/>
      <c r="C32" s="850"/>
      <c r="D32" s="851"/>
      <c r="E32" s="848"/>
      <c r="F32" s="492"/>
      <c r="G32" s="493"/>
      <c r="H32" s="493"/>
      <c r="I32" s="493"/>
      <c r="J32" s="493"/>
      <c r="K32" s="493">
        <v>0.35</v>
      </c>
      <c r="L32" s="493">
        <v>0.35</v>
      </c>
      <c r="M32" s="493">
        <v>0.3</v>
      </c>
      <c r="N32" s="494">
        <f t="shared" si="2"/>
        <v>1</v>
      </c>
      <c r="O32" s="331">
        <f t="shared" si="1"/>
        <v>0</v>
      </c>
    </row>
    <row r="33" spans="2:15" s="210" customFormat="1" ht="18">
      <c r="B33" s="852" t="str">
        <f>'2-ORÇAMENTO'!B178</f>
        <v>12.0</v>
      </c>
      <c r="C33" s="850" t="str">
        <f>'2-ORÇAMENTO'!E178</f>
        <v>REVESTIMENTO INTERNO E EXTERNO</v>
      </c>
      <c r="D33" s="851">
        <f>'2-ORÇAMENTO'!K185</f>
        <v>560284.46</v>
      </c>
      <c r="E33" s="848">
        <f>D33/$D$55</f>
        <v>0.11899277701880639</v>
      </c>
      <c r="F33" s="497"/>
      <c r="G33" s="495">
        <f>G34*$D33</f>
        <v>79840.535549999986</v>
      </c>
      <c r="H33" s="495">
        <f>H34*$D33</f>
        <v>79840.535549999986</v>
      </c>
      <c r="I33" s="495">
        <f>I34*$D33</f>
        <v>159681.07109999997</v>
      </c>
      <c r="J33" s="495">
        <f>J34*$D33</f>
        <v>240922.31779999999</v>
      </c>
      <c r="K33" s="495"/>
      <c r="L33" s="495"/>
      <c r="M33" s="495"/>
      <c r="N33" s="507">
        <f t="shared" si="2"/>
        <v>560284.46</v>
      </c>
      <c r="O33" s="330">
        <f t="shared" ref="O33" si="13">TRUNC(SUM(D33-F33-G33-H33-I33-J33-K33-L33-M33),2)</f>
        <v>0</v>
      </c>
    </row>
    <row r="34" spans="2:15" s="210" customFormat="1" ht="18">
      <c r="B34" s="860"/>
      <c r="C34" s="850"/>
      <c r="D34" s="851"/>
      <c r="E34" s="848"/>
      <c r="F34" s="492"/>
      <c r="G34" s="493">
        <v>0.14249999999999999</v>
      </c>
      <c r="H34" s="493">
        <v>0.14249999999999999</v>
      </c>
      <c r="I34" s="493">
        <v>0.28499999999999998</v>
      </c>
      <c r="J34" s="493">
        <v>0.43</v>
      </c>
      <c r="K34" s="493"/>
      <c r="L34" s="493"/>
      <c r="M34" s="493"/>
      <c r="N34" s="494">
        <f t="shared" si="2"/>
        <v>1</v>
      </c>
      <c r="O34" s="331">
        <f t="shared" si="1"/>
        <v>0</v>
      </c>
    </row>
    <row r="35" spans="2:15" ht="18" customHeight="1">
      <c r="B35" s="852" t="str">
        <f>'2-ORÇAMENTO'!B186</f>
        <v>13.0</v>
      </c>
      <c r="C35" s="865" t="str">
        <f>'2-ORÇAMENTO'!E186</f>
        <v>PISOS E CALÇAMENTOS</v>
      </c>
      <c r="D35" s="863">
        <f>'2-ORÇAMENTO'!K207</f>
        <v>617998.73</v>
      </c>
      <c r="E35" s="848">
        <f>D35/$D$55</f>
        <v>0.13125008870814575</v>
      </c>
      <c r="F35" s="495">
        <f>F36*$D35</f>
        <v>92699.809499999988</v>
      </c>
      <c r="G35" s="495"/>
      <c r="H35" s="495"/>
      <c r="I35" s="495"/>
      <c r="J35" s="495"/>
      <c r="K35" s="495">
        <f t="shared" ref="K35" si="14">K36*$D35</f>
        <v>154499.6825</v>
      </c>
      <c r="L35" s="495">
        <f t="shared" ref="L35" si="15">L36*$D35</f>
        <v>154499.6825</v>
      </c>
      <c r="M35" s="495">
        <f t="shared" ref="M35" si="16">M36*$D35</f>
        <v>216299.55549999999</v>
      </c>
      <c r="N35" s="507">
        <f t="shared" si="2"/>
        <v>617998.73</v>
      </c>
      <c r="O35" s="330">
        <f t="shared" ref="O35" si="17">TRUNC(SUM(D35-F35-G35-H35-I35-J35-K35-L35-M35),2)</f>
        <v>0</v>
      </c>
    </row>
    <row r="36" spans="2:15" ht="18">
      <c r="B36" s="860"/>
      <c r="C36" s="866"/>
      <c r="D36" s="864"/>
      <c r="E36" s="848"/>
      <c r="F36" s="493">
        <v>0.15</v>
      </c>
      <c r="G36" s="493"/>
      <c r="H36" s="493"/>
      <c r="I36" s="493"/>
      <c r="J36" s="493"/>
      <c r="K36" s="493">
        <v>0.25</v>
      </c>
      <c r="L36" s="493">
        <v>0.25</v>
      </c>
      <c r="M36" s="493">
        <v>0.35</v>
      </c>
      <c r="N36" s="494">
        <f t="shared" si="2"/>
        <v>1</v>
      </c>
      <c r="O36" s="331">
        <f t="shared" si="1"/>
        <v>0</v>
      </c>
    </row>
    <row r="37" spans="2:15" ht="18">
      <c r="B37" s="852" t="str">
        <f>'2-ORÇAMENTO'!B208</f>
        <v>14.0</v>
      </c>
      <c r="C37" s="865" t="str">
        <f>'2-ORÇAMENTO'!E208</f>
        <v>PINTURA INTERNA E EXTERNA</v>
      </c>
      <c r="D37" s="863">
        <f>'2-ORÇAMENTO'!K220</f>
        <v>286551.09000000003</v>
      </c>
      <c r="E37" s="848">
        <f>D37/$D$55</f>
        <v>6.0857497202163935E-2</v>
      </c>
      <c r="F37" s="495"/>
      <c r="G37" s="495"/>
      <c r="H37" s="495"/>
      <c r="I37" s="495"/>
      <c r="J37" s="495">
        <f t="shared" ref="J37" si="18">J38*$D37</f>
        <v>71637.772500000006</v>
      </c>
      <c r="K37" s="495">
        <f t="shared" ref="K37" si="19">K38*$D37</f>
        <v>71637.772500000006</v>
      </c>
      <c r="L37" s="495">
        <f t="shared" ref="L37" si="20">L38*$D37</f>
        <v>71637.772500000006</v>
      </c>
      <c r="M37" s="495">
        <f t="shared" ref="M37" si="21">M38*$D37</f>
        <v>71637.772500000006</v>
      </c>
      <c r="N37" s="507">
        <f t="shared" si="2"/>
        <v>286551.09000000003</v>
      </c>
      <c r="O37" s="330">
        <f t="shared" ref="O37" si="22">TRUNC(SUM(D37-F37-G37-H37-I37-J37-K37-L37-M37),2)</f>
        <v>0</v>
      </c>
    </row>
    <row r="38" spans="2:15" ht="18">
      <c r="B38" s="860"/>
      <c r="C38" s="866"/>
      <c r="D38" s="864"/>
      <c r="E38" s="848"/>
      <c r="F38" s="493"/>
      <c r="G38" s="493"/>
      <c r="H38" s="493"/>
      <c r="I38" s="493"/>
      <c r="J38" s="493">
        <v>0.25</v>
      </c>
      <c r="K38" s="493">
        <v>0.25</v>
      </c>
      <c r="L38" s="493">
        <v>0.25</v>
      </c>
      <c r="M38" s="493">
        <v>0.25</v>
      </c>
      <c r="N38" s="494">
        <f t="shared" si="2"/>
        <v>1</v>
      </c>
      <c r="O38" s="331">
        <f t="shared" si="1"/>
        <v>0</v>
      </c>
    </row>
    <row r="39" spans="2:15" ht="18" customHeight="1">
      <c r="B39" s="852" t="str">
        <f>'2-ORÇAMENTO'!B221</f>
        <v>15.0</v>
      </c>
      <c r="C39" s="869" t="str">
        <f>'2-ORÇAMENTO'!E221</f>
        <v xml:space="preserve">INSTALAÇÕES HIDROSSANITÁRIAS  </v>
      </c>
      <c r="D39" s="851">
        <f>'2-ORÇAMENTO'!K338</f>
        <v>367764.47999999998</v>
      </c>
      <c r="E39" s="848">
        <f>D39/$D$55</f>
        <v>7.8105533685651901E-2</v>
      </c>
      <c r="F39" s="495">
        <f t="shared" ref="F39" si="23">F40*$D39</f>
        <v>71714.073600000003</v>
      </c>
      <c r="G39" s="495"/>
      <c r="H39" s="495"/>
      <c r="I39" s="495">
        <f t="shared" ref="I39" si="24">I40*$D39</f>
        <v>38615.270399999994</v>
      </c>
      <c r="J39" s="495"/>
      <c r="K39" s="495">
        <f t="shared" ref="K39" si="25">K40*$D39</f>
        <v>110329.344</v>
      </c>
      <c r="L39" s="495">
        <f t="shared" ref="L39" si="26">L40*$D39</f>
        <v>80908.185599999997</v>
      </c>
      <c r="M39" s="495">
        <f t="shared" ref="M39" si="27">M40*$D39</f>
        <v>66197.60639999999</v>
      </c>
      <c r="N39" s="507">
        <f t="shared" si="2"/>
        <v>367764.47999999998</v>
      </c>
      <c r="O39" s="330">
        <f t="shared" ref="O39" si="28">TRUNC(SUM(D39-F39-G39-H39-I39-J39-K39-L39-M39),2)</f>
        <v>0</v>
      </c>
    </row>
    <row r="40" spans="2:15" ht="18">
      <c r="B40" s="860"/>
      <c r="C40" s="850"/>
      <c r="D40" s="851"/>
      <c r="E40" s="848"/>
      <c r="F40" s="493">
        <v>0.19500000000000001</v>
      </c>
      <c r="G40" s="493"/>
      <c r="H40" s="493"/>
      <c r="I40" s="493">
        <v>0.105</v>
      </c>
      <c r="J40" s="493"/>
      <c r="K40" s="493">
        <v>0.3</v>
      </c>
      <c r="L40" s="493">
        <v>0.22</v>
      </c>
      <c r="M40" s="493">
        <v>0.18</v>
      </c>
      <c r="N40" s="494">
        <f t="shared" si="2"/>
        <v>1</v>
      </c>
      <c r="O40" s="331">
        <f t="shared" si="1"/>
        <v>0</v>
      </c>
    </row>
    <row r="41" spans="2:15" ht="18">
      <c r="B41" s="852" t="str">
        <f>'2-ORÇAMENTO'!B339</f>
        <v>16.0</v>
      </c>
      <c r="C41" s="869" t="str">
        <f>'2-ORÇAMENTO'!E339</f>
        <v>INSTALAÇÕES ELÉTRICAS BAIXA TENSÃO</v>
      </c>
      <c r="D41" s="851">
        <f>'2-ORÇAMENTO'!K421</f>
        <v>260195.46</v>
      </c>
      <c r="E41" s="848">
        <f>D41/$D$55</f>
        <v>5.5260109040121803E-2</v>
      </c>
      <c r="F41" s="495"/>
      <c r="G41" s="495">
        <f t="shared" ref="G41" si="29">G42*$D41</f>
        <v>52039.092000000004</v>
      </c>
      <c r="H41" s="495">
        <f t="shared" ref="H41" si="30">H42*$D41</f>
        <v>52039.092000000004</v>
      </c>
      <c r="I41" s="495"/>
      <c r="J41" s="495">
        <f t="shared" ref="J41" si="31">J42*$D41</f>
        <v>39029.318999999996</v>
      </c>
      <c r="K41" s="495">
        <f t="shared" ref="K41" si="32">K42*$D41</f>
        <v>39029.318999999996</v>
      </c>
      <c r="L41" s="495">
        <f t="shared" ref="L41" si="33">L42*$D41</f>
        <v>39029.318999999996</v>
      </c>
      <c r="M41" s="495">
        <f t="shared" ref="M41" si="34">M42*$D41</f>
        <v>39029.318999999996</v>
      </c>
      <c r="N41" s="507">
        <f t="shared" si="2"/>
        <v>260195.45999999996</v>
      </c>
      <c r="O41" s="330">
        <f t="shared" ref="O41" si="35">TRUNC(SUM(D41-F41-G41-H41-I41-J41-K41-L41-M41),2)</f>
        <v>0</v>
      </c>
    </row>
    <row r="42" spans="2:15" ht="18">
      <c r="B42" s="860"/>
      <c r="C42" s="850"/>
      <c r="D42" s="851"/>
      <c r="E42" s="848"/>
      <c r="F42" s="493"/>
      <c r="G42" s="493">
        <v>0.2</v>
      </c>
      <c r="H42" s="493">
        <v>0.2</v>
      </c>
      <c r="I42" s="493"/>
      <c r="J42" s="493">
        <v>0.15</v>
      </c>
      <c r="K42" s="493">
        <v>0.15</v>
      </c>
      <c r="L42" s="493">
        <v>0.15</v>
      </c>
      <c r="M42" s="493">
        <v>0.15</v>
      </c>
      <c r="N42" s="494">
        <f t="shared" si="2"/>
        <v>1</v>
      </c>
      <c r="O42" s="331">
        <f t="shared" si="1"/>
        <v>0</v>
      </c>
    </row>
    <row r="43" spans="2:15" s="210" customFormat="1" ht="30.75" customHeight="1">
      <c r="B43" s="852" t="str">
        <f>'2-ORÇAMENTO'!B422</f>
        <v>17.0</v>
      </c>
      <c r="C43" s="869" t="str">
        <f>'2-ORÇAMENTO'!E422</f>
        <v>POSTO DE TRANSFORMAÇÃO 112,5kVA - 13,8kV E EXTENSÃO DE REDE EM MÉDIA TENSÃO 13,8 Kv</v>
      </c>
      <c r="D43" s="851">
        <f>'2-ORÇAMENTO'!K522</f>
        <v>95500.57</v>
      </c>
      <c r="E43" s="848">
        <f>D43/$D$55</f>
        <v>2.0282336638747598E-2</v>
      </c>
      <c r="F43" s="495"/>
      <c r="G43" s="495"/>
      <c r="H43" s="495"/>
      <c r="I43" s="495"/>
      <c r="J43" s="495"/>
      <c r="K43" s="495"/>
      <c r="L43" s="495">
        <f t="shared" ref="L43" si="36">L44*$D43</f>
        <v>76400.456000000006</v>
      </c>
      <c r="M43" s="495">
        <f t="shared" ref="M43" si="37">M44*$D43</f>
        <v>19100.114000000001</v>
      </c>
      <c r="N43" s="507">
        <f t="shared" si="2"/>
        <v>95500.57</v>
      </c>
      <c r="O43" s="330">
        <f t="shared" ref="O43" si="38">TRUNC(SUM(D43-F43-G43-H43-I43-J43-K43-L43-M43),2)</f>
        <v>0</v>
      </c>
    </row>
    <row r="44" spans="2:15" s="210" customFormat="1" ht="26.25" customHeight="1">
      <c r="B44" s="860"/>
      <c r="C44" s="850"/>
      <c r="D44" s="851"/>
      <c r="E44" s="848"/>
      <c r="F44" s="493"/>
      <c r="G44" s="493"/>
      <c r="H44" s="493"/>
      <c r="I44" s="493"/>
      <c r="J44" s="493"/>
      <c r="K44" s="493"/>
      <c r="L44" s="493">
        <v>0.8</v>
      </c>
      <c r="M44" s="493">
        <v>0.2</v>
      </c>
      <c r="N44" s="494">
        <f t="shared" si="2"/>
        <v>1</v>
      </c>
      <c r="O44" s="331">
        <f t="shared" si="1"/>
        <v>0</v>
      </c>
    </row>
    <row r="45" spans="2:15" s="210" customFormat="1" ht="18">
      <c r="B45" s="852" t="str">
        <f>'2-ORÇAMENTO'!B523</f>
        <v>18.0</v>
      </c>
      <c r="C45" s="850" t="str">
        <f>'2-ORÇAMENTO'!E523</f>
        <v>CABEAMENTO ESTRUTURADO</v>
      </c>
      <c r="D45" s="851">
        <f>'2-ORÇAMENTO'!K545</f>
        <v>38684.58</v>
      </c>
      <c r="E45" s="848">
        <f>D45/$D$55</f>
        <v>8.2158009558326462E-3</v>
      </c>
      <c r="F45" s="495"/>
      <c r="G45" s="495"/>
      <c r="H45" s="495">
        <f t="shared" ref="H45" si="39">H46*$D45</f>
        <v>27079.205999999998</v>
      </c>
      <c r="I45" s="495"/>
      <c r="J45" s="495"/>
      <c r="K45" s="495"/>
      <c r="L45" s="495"/>
      <c r="M45" s="495">
        <f t="shared" ref="M45" si="40">M46*$D45</f>
        <v>11605.374</v>
      </c>
      <c r="N45" s="507">
        <f t="shared" si="2"/>
        <v>38684.58</v>
      </c>
      <c r="O45" s="330">
        <f t="shared" ref="O45" si="41">TRUNC(SUM(D45-F45-G45-H45-I45-J45-K45-L45-M45),2)</f>
        <v>0</v>
      </c>
    </row>
    <row r="46" spans="2:15" s="210" customFormat="1" ht="18">
      <c r="B46" s="860"/>
      <c r="C46" s="850"/>
      <c r="D46" s="851"/>
      <c r="E46" s="848"/>
      <c r="F46" s="493"/>
      <c r="G46" s="493"/>
      <c r="H46" s="493">
        <v>0.7</v>
      </c>
      <c r="I46" s="493"/>
      <c r="J46" s="493"/>
      <c r="K46" s="493"/>
      <c r="L46" s="493"/>
      <c r="M46" s="493">
        <v>0.3</v>
      </c>
      <c r="N46" s="494">
        <f t="shared" si="2"/>
        <v>1</v>
      </c>
      <c r="O46" s="331">
        <f t="shared" si="1"/>
        <v>0</v>
      </c>
    </row>
    <row r="47" spans="2:15" ht="18">
      <c r="B47" s="852" t="str">
        <f>'2-ORÇAMENTO'!B546</f>
        <v>19.0</v>
      </c>
      <c r="C47" s="850" t="str">
        <f>'2-ORÇAMENTO'!E546</f>
        <v xml:space="preserve">INSTALAÇÕES ESPECIAIS </v>
      </c>
      <c r="D47" s="851">
        <f>'2-ORÇAMENTO'!K598</f>
        <v>129114.15</v>
      </c>
      <c r="E47" s="848">
        <f>D47/$D$55</f>
        <v>2.7421162566105658E-2</v>
      </c>
      <c r="F47" s="495">
        <f t="shared" ref="F47" si="42">F48*$D47</f>
        <v>77468.489999999991</v>
      </c>
      <c r="G47" s="495"/>
      <c r="H47" s="495"/>
      <c r="I47" s="495"/>
      <c r="J47" s="495"/>
      <c r="K47" s="495"/>
      <c r="L47" s="495">
        <f t="shared" ref="L47" si="43">L48*$D47</f>
        <v>25822.83</v>
      </c>
      <c r="M47" s="495">
        <f t="shared" ref="M47" si="44">M48*$D47</f>
        <v>25822.83</v>
      </c>
      <c r="N47" s="507">
        <f t="shared" si="2"/>
        <v>129114.15</v>
      </c>
      <c r="O47" s="330">
        <f t="shared" ref="O47" si="45">TRUNC(SUM(D47-F47-G47-H47-I47-J47-K47-L47-M47),2)</f>
        <v>0</v>
      </c>
    </row>
    <row r="48" spans="2:15" ht="18">
      <c r="B48" s="860"/>
      <c r="C48" s="850"/>
      <c r="D48" s="851"/>
      <c r="E48" s="848"/>
      <c r="F48" s="493">
        <v>0.6</v>
      </c>
      <c r="G48" s="493"/>
      <c r="H48" s="493"/>
      <c r="I48" s="493"/>
      <c r="J48" s="493"/>
      <c r="K48" s="493"/>
      <c r="L48" s="493">
        <v>0.2</v>
      </c>
      <c r="M48" s="493">
        <v>0.2</v>
      </c>
      <c r="N48" s="494">
        <f t="shared" si="2"/>
        <v>1</v>
      </c>
      <c r="O48" s="331">
        <f t="shared" si="1"/>
        <v>0</v>
      </c>
    </row>
    <row r="49" spans="2:15" s="210" customFormat="1" ht="18">
      <c r="B49" s="852" t="str">
        <f>'2-ORÇAMENTO'!B599</f>
        <v>20.0</v>
      </c>
      <c r="C49" s="850" t="str">
        <f>'2-ORÇAMENTO'!E599</f>
        <v>SERVIÇOS COMPLEMENTARES</v>
      </c>
      <c r="D49" s="851">
        <f>'2-ORÇAMENTO'!K614</f>
        <v>114434.45</v>
      </c>
      <c r="E49" s="848">
        <f>D49/$D$55</f>
        <v>2.4303499319113277E-2</v>
      </c>
      <c r="F49" s="495"/>
      <c r="G49" s="495"/>
      <c r="H49" s="495"/>
      <c r="I49" s="495"/>
      <c r="J49" s="495"/>
      <c r="K49" s="495">
        <f t="shared" ref="K49" si="46">K50*$D49</f>
        <v>34330.334999999999</v>
      </c>
      <c r="L49" s="495">
        <f t="shared" ref="L49" si="47">L50*$D49</f>
        <v>40052.057499999995</v>
      </c>
      <c r="M49" s="495">
        <f t="shared" ref="M49" si="48">M50*$D49</f>
        <v>40052.057499999995</v>
      </c>
      <c r="N49" s="507">
        <f t="shared" si="2"/>
        <v>114434.44999999998</v>
      </c>
      <c r="O49" s="330">
        <f t="shared" ref="O49" si="49">TRUNC(SUM(D49-F49-G49-H49-I49-J49-K49-L49-M49),2)</f>
        <v>0</v>
      </c>
    </row>
    <row r="50" spans="2:15" s="210" customFormat="1" ht="18">
      <c r="B50" s="860"/>
      <c r="C50" s="850"/>
      <c r="D50" s="851"/>
      <c r="E50" s="848"/>
      <c r="F50" s="493"/>
      <c r="G50" s="493"/>
      <c r="H50" s="493"/>
      <c r="I50" s="493"/>
      <c r="J50" s="493"/>
      <c r="K50" s="493">
        <v>0.3</v>
      </c>
      <c r="L50" s="493">
        <v>0.35</v>
      </c>
      <c r="M50" s="493">
        <v>0.35</v>
      </c>
      <c r="N50" s="494">
        <f t="shared" si="2"/>
        <v>0.99999999999999989</v>
      </c>
      <c r="O50" s="331">
        <f t="shared" si="1"/>
        <v>0</v>
      </c>
    </row>
    <row r="51" spans="2:15" s="210" customFormat="1" ht="18">
      <c r="B51" s="852" t="str">
        <f>'2-ORÇAMENTO'!B615</f>
        <v>21.0</v>
      </c>
      <c r="C51" s="850" t="str">
        <f>'2-ORÇAMENTO'!E615</f>
        <v>LIMPEZA DE OBRA</v>
      </c>
      <c r="D51" s="855">
        <f>'2-ORÇAMENTO'!K619</f>
        <v>6046.82</v>
      </c>
      <c r="E51" s="848">
        <f>D51/$D$55</f>
        <v>1.284218919676728E-3</v>
      </c>
      <c r="F51" s="495"/>
      <c r="G51" s="495"/>
      <c r="H51" s="495"/>
      <c r="I51" s="495"/>
      <c r="J51" s="495"/>
      <c r="K51" s="495"/>
      <c r="L51" s="495"/>
      <c r="M51" s="495">
        <f t="shared" ref="M51" si="50">M52*$D51</f>
        <v>6046.82</v>
      </c>
      <c r="N51" s="507">
        <f t="shared" si="2"/>
        <v>6046.82</v>
      </c>
      <c r="O51" s="330">
        <f t="shared" ref="O51" si="51">TRUNC(SUM(D51-F51-G51-H51-I51-J51-K51-L51-M51),2)</f>
        <v>0</v>
      </c>
    </row>
    <row r="52" spans="2:15" s="210" customFormat="1" ht="18.75" thickBot="1">
      <c r="B52" s="853"/>
      <c r="C52" s="854"/>
      <c r="D52" s="856"/>
      <c r="E52" s="849"/>
      <c r="F52" s="493"/>
      <c r="G52" s="493"/>
      <c r="H52" s="493"/>
      <c r="I52" s="493"/>
      <c r="J52" s="493"/>
      <c r="K52" s="493"/>
      <c r="L52" s="493"/>
      <c r="M52" s="493">
        <v>1</v>
      </c>
      <c r="N52" s="508">
        <f t="shared" si="2"/>
        <v>1</v>
      </c>
      <c r="O52" s="331">
        <f t="shared" si="1"/>
        <v>0</v>
      </c>
    </row>
    <row r="53" spans="2:15" ht="18.75" thickBot="1">
      <c r="B53" s="870" t="s">
        <v>16</v>
      </c>
      <c r="C53" s="871"/>
      <c r="D53" s="872"/>
      <c r="E53" s="873"/>
      <c r="F53" s="296">
        <f>SUM(F11+F13+F15+F17+F19+F21+F23+F25+F27+F29+F31+F33+F35+F37+F39+F41+F43+F45+F47+F49+F51)</f>
        <v>545169.65496311942</v>
      </c>
      <c r="G53" s="296">
        <f t="shared" ref="G53:M53" si="52">SUM(G11+G13+G15+G17+G19+G21+G23+G25+G27+G29+G31+G33+G35+G37+G39+G41+G43+G45+G47+G49+G51)</f>
        <v>513777.49146358692</v>
      </c>
      <c r="H53" s="296">
        <f t="shared" si="52"/>
        <v>509187.36560339015</v>
      </c>
      <c r="I53" s="296">
        <f t="shared" si="52"/>
        <v>592826.57202344376</v>
      </c>
      <c r="J53" s="296">
        <f t="shared" si="52"/>
        <v>677819.24440536345</v>
      </c>
      <c r="K53" s="296">
        <f t="shared" si="52"/>
        <v>669585.94104191591</v>
      </c>
      <c r="L53" s="296">
        <f t="shared" si="52"/>
        <v>627081.58964499994</v>
      </c>
      <c r="M53" s="296">
        <f t="shared" si="52"/>
        <v>573110.70805894514</v>
      </c>
      <c r="N53" s="506">
        <f>SUM(N11+N13+N15+N17+N19+N21+N23+N25+N27+N29+N31+N33+N35+N37+N39+N41+N43+N45+N47+N49+N51)</f>
        <v>4708558.567204766</v>
      </c>
    </row>
    <row r="54" spans="2:15" ht="18.75" thickBot="1">
      <c r="B54" s="870" t="s">
        <v>3332</v>
      </c>
      <c r="C54" s="871"/>
      <c r="D54" s="874"/>
      <c r="E54" s="875"/>
      <c r="F54" s="96">
        <f t="shared" ref="F54:N54" si="53">F53/$D$55</f>
        <v>0.11578270650313252</v>
      </c>
      <c r="G54" s="94">
        <f t="shared" si="53"/>
        <v>0.10911566328112743</v>
      </c>
      <c r="H54" s="94">
        <f t="shared" si="53"/>
        <v>0.10814081592774795</v>
      </c>
      <c r="I54" s="94">
        <f t="shared" si="53"/>
        <v>0.12590404541223402</v>
      </c>
      <c r="J54" s="94">
        <f t="shared" si="53"/>
        <v>0.14395472294302658</v>
      </c>
      <c r="K54" s="94">
        <f t="shared" si="53"/>
        <v>0.14220614039041587</v>
      </c>
      <c r="L54" s="94">
        <f t="shared" ref="L54:M54" si="54">L53/$D$55</f>
        <v>0.13317909936182443</v>
      </c>
      <c r="M54" s="94">
        <f t="shared" si="54"/>
        <v>0.12171680558684121</v>
      </c>
      <c r="N54" s="94">
        <f t="shared" si="53"/>
        <v>0.99999999940635032</v>
      </c>
    </row>
    <row r="55" spans="2:15" ht="18.75" thickBot="1">
      <c r="B55" s="867" t="s">
        <v>4484</v>
      </c>
      <c r="C55" s="868"/>
      <c r="D55" s="92">
        <f>TRUNC(SUM(D11:D52),2)</f>
        <v>4708558.57</v>
      </c>
      <c r="E55" s="93">
        <f>SUM(E11:E52)</f>
        <v>0.99999999999999978</v>
      </c>
      <c r="F55" s="97">
        <f>F53</f>
        <v>545169.65496311942</v>
      </c>
      <c r="G55" s="95">
        <f>G53+F55</f>
        <v>1058947.1464267063</v>
      </c>
      <c r="H55" s="95">
        <f>H53+G55</f>
        <v>1568134.5120300965</v>
      </c>
      <c r="I55" s="95">
        <f>I53+H55</f>
        <v>2160961.0840535401</v>
      </c>
      <c r="J55" s="95">
        <f>J53+I55</f>
        <v>2838780.3284589034</v>
      </c>
      <c r="K55" s="95">
        <f>K53+J55</f>
        <v>3508366.269500819</v>
      </c>
      <c r="L55" s="95">
        <f t="shared" ref="L55:M55" si="55">L53+K55</f>
        <v>4135447.8591458192</v>
      </c>
      <c r="M55" s="95">
        <f t="shared" si="55"/>
        <v>4708558.5672047641</v>
      </c>
      <c r="N55" s="95">
        <v>1859573.4200000002</v>
      </c>
    </row>
    <row r="56" spans="2:15" ht="123.75" customHeight="1">
      <c r="B56" s="309"/>
      <c r="C56" s="310"/>
      <c r="D56" s="311"/>
      <c r="E56" s="310"/>
      <c r="F56" s="310"/>
      <c r="G56" s="310"/>
      <c r="H56" s="310"/>
      <c r="I56" s="310"/>
      <c r="J56" s="310"/>
      <c r="K56" s="310"/>
      <c r="L56" s="310"/>
      <c r="M56" s="310"/>
      <c r="N56" s="91"/>
    </row>
    <row r="57" spans="2:15" ht="14.25" customHeight="1">
      <c r="B57" s="14"/>
      <c r="C57" s="298" t="str">
        <f>'2-ORÇAMENTO'!E624</f>
        <v>VITOR GUSTAVO VERHALEN</v>
      </c>
      <c r="D57" s="15"/>
      <c r="E57" s="88"/>
      <c r="F57" s="88"/>
      <c r="G57" s="88"/>
      <c r="H57" s="88"/>
      <c r="I57" s="88"/>
      <c r="J57" s="88"/>
      <c r="K57" s="88"/>
      <c r="L57" s="88"/>
      <c r="M57" s="88"/>
      <c r="N57" s="16"/>
    </row>
    <row r="58" spans="2:15">
      <c r="B58" s="14"/>
      <c r="C58" s="117" t="str">
        <f>'2-ORÇAMENTO'!E625</f>
        <v>ENGENHEIRO CIVIL</v>
      </c>
      <c r="D58" s="15"/>
      <c r="E58" s="88"/>
      <c r="F58" s="88"/>
      <c r="G58" s="88"/>
      <c r="H58" s="88"/>
      <c r="I58" s="88"/>
      <c r="J58" s="88"/>
      <c r="K58" s="88"/>
      <c r="L58" s="88"/>
      <c r="M58" s="88"/>
      <c r="N58" s="16"/>
    </row>
    <row r="59" spans="2:15" s="209" customFormat="1" ht="13.5" thickBot="1">
      <c r="B59" s="176"/>
      <c r="C59" s="312" t="str">
        <f>'2-ORÇAMENTO'!E626</f>
        <v>CREA MT 49989</v>
      </c>
      <c r="D59" s="178"/>
      <c r="E59" s="177"/>
      <c r="F59" s="177"/>
      <c r="G59" s="177"/>
      <c r="H59" s="177"/>
      <c r="I59" s="177"/>
      <c r="J59" s="177"/>
      <c r="K59" s="177"/>
      <c r="L59" s="177"/>
      <c r="M59" s="177"/>
      <c r="N59" s="179"/>
    </row>
    <row r="60" spans="2:15">
      <c r="B60" s="88"/>
      <c r="C60" s="88"/>
      <c r="D60" s="15"/>
      <c r="E60" s="88"/>
      <c r="F60" s="88"/>
      <c r="G60" s="88"/>
      <c r="H60" s="88"/>
      <c r="I60" s="88"/>
      <c r="J60" s="88"/>
    </row>
  </sheetData>
  <mergeCells count="100">
    <mergeCell ref="N9:N10"/>
    <mergeCell ref="B3:N3"/>
    <mergeCell ref="B2:N2"/>
    <mergeCell ref="B4:N4"/>
    <mergeCell ref="B5:N5"/>
    <mergeCell ref="B6:N6"/>
    <mergeCell ref="B7:N7"/>
    <mergeCell ref="B8:N8"/>
    <mergeCell ref="F9:K9"/>
    <mergeCell ref="B9:B10"/>
    <mergeCell ref="C9:C10"/>
    <mergeCell ref="D9:E9"/>
    <mergeCell ref="B33:B34"/>
    <mergeCell ref="C33:C34"/>
    <mergeCell ref="D33:D34"/>
    <mergeCell ref="E33:E34"/>
    <mergeCell ref="B27:B28"/>
    <mergeCell ref="C27:C28"/>
    <mergeCell ref="D27:D28"/>
    <mergeCell ref="E27:E28"/>
    <mergeCell ref="B29:B30"/>
    <mergeCell ref="E29:E30"/>
    <mergeCell ref="D29:D30"/>
    <mergeCell ref="C29:C30"/>
    <mergeCell ref="B31:B32"/>
    <mergeCell ref="C31:C32"/>
    <mergeCell ref="D31:D32"/>
    <mergeCell ref="E31:E32"/>
    <mergeCell ref="E23:E24"/>
    <mergeCell ref="B25:B26"/>
    <mergeCell ref="C25:C26"/>
    <mergeCell ref="D25:D26"/>
    <mergeCell ref="E25:E26"/>
    <mergeCell ref="B23:B24"/>
    <mergeCell ref="C23:C24"/>
    <mergeCell ref="D23:D24"/>
    <mergeCell ref="B37:B38"/>
    <mergeCell ref="C37:C38"/>
    <mergeCell ref="E47:E48"/>
    <mergeCell ref="B39:B40"/>
    <mergeCell ref="C39:C40"/>
    <mergeCell ref="D39:D40"/>
    <mergeCell ref="E39:E40"/>
    <mergeCell ref="E43:E44"/>
    <mergeCell ref="C41:C42"/>
    <mergeCell ref="D41:D42"/>
    <mergeCell ref="E41:E42"/>
    <mergeCell ref="E37:E38"/>
    <mergeCell ref="D37:D38"/>
    <mergeCell ref="B55:C55"/>
    <mergeCell ref="B43:B44"/>
    <mergeCell ref="B41:B42"/>
    <mergeCell ref="C43:C44"/>
    <mergeCell ref="D43:D44"/>
    <mergeCell ref="D47:D48"/>
    <mergeCell ref="B54:C54"/>
    <mergeCell ref="B53:C53"/>
    <mergeCell ref="B47:B48"/>
    <mergeCell ref="C47:C48"/>
    <mergeCell ref="D53:E54"/>
    <mergeCell ref="B45:B46"/>
    <mergeCell ref="C45:C46"/>
    <mergeCell ref="D45:D46"/>
    <mergeCell ref="E45:E46"/>
    <mergeCell ref="B49:B50"/>
    <mergeCell ref="E17:E18"/>
    <mergeCell ref="D17:D18"/>
    <mergeCell ref="D35:D36"/>
    <mergeCell ref="C35:C36"/>
    <mergeCell ref="B35:B36"/>
    <mergeCell ref="E35:E36"/>
    <mergeCell ref="E19:E20"/>
    <mergeCell ref="E21:E22"/>
    <mergeCell ref="B19:B20"/>
    <mergeCell ref="C19:C20"/>
    <mergeCell ref="B21:B22"/>
    <mergeCell ref="C21:C22"/>
    <mergeCell ref="D19:D20"/>
    <mergeCell ref="D21:D22"/>
    <mergeCell ref="B17:B18"/>
    <mergeCell ref="C17:C18"/>
    <mergeCell ref="E11:E12"/>
    <mergeCell ref="B11:B12"/>
    <mergeCell ref="E15:E16"/>
    <mergeCell ref="D15:D16"/>
    <mergeCell ref="E13:E14"/>
    <mergeCell ref="B13:B14"/>
    <mergeCell ref="C13:C14"/>
    <mergeCell ref="D13:D14"/>
    <mergeCell ref="C11:C12"/>
    <mergeCell ref="D11:D12"/>
    <mergeCell ref="C15:C16"/>
    <mergeCell ref="B15:B16"/>
    <mergeCell ref="E49:E50"/>
    <mergeCell ref="E51:E52"/>
    <mergeCell ref="C49:C50"/>
    <mergeCell ref="D49:D50"/>
    <mergeCell ref="B51:B52"/>
    <mergeCell ref="C51:C52"/>
    <mergeCell ref="D51:D52"/>
  </mergeCells>
  <phoneticPr fontId="37" type="noConversion"/>
  <conditionalFormatting sqref="F1:I1 F9 F53 F61:I1048576 F56:J60 N9 N11:N12 F54:K54 F35:F36 F10:M11 F55:M55 F13:M34 F12:L12">
    <cfRule type="containsText" dxfId="6754" priority="11066" operator="containsText" text="%">
      <formula>NOT(ISERROR(SEARCH("%",F1)))</formula>
    </cfRule>
  </conditionalFormatting>
  <conditionalFormatting sqref="F53:F55 F35:F36 F11:M11 F13:M34 F12:L12">
    <cfRule type="containsText" dxfId="6753" priority="11064" operator="containsText" text="%">
      <formula>NOT(ISERROR(SEARCH("%",F11)))</formula>
    </cfRule>
  </conditionalFormatting>
  <conditionalFormatting sqref="J11:J12">
    <cfRule type="containsText" dxfId="6752" priority="10948" operator="containsText" text="%">
      <formula>NOT(ISERROR(SEARCH("%",J11)))</formula>
    </cfRule>
  </conditionalFormatting>
  <conditionalFormatting sqref="K11:M11 K12:L12">
    <cfRule type="containsText" dxfId="6751" priority="10929" operator="containsText" text="%">
      <formula>NOT(ISERROR(SEARCH("%",K11)))</formula>
    </cfRule>
  </conditionalFormatting>
  <conditionalFormatting sqref="J27:J28">
    <cfRule type="containsText" dxfId="6750" priority="8271" operator="containsText" text="%">
      <formula>NOT(ISERROR(SEARCH("%",J27)))</formula>
    </cfRule>
  </conditionalFormatting>
  <conditionalFormatting sqref="J27:J28">
    <cfRule type="containsText" dxfId="6749" priority="8268" operator="containsText" text="%">
      <formula>NOT(ISERROR(SEARCH("%",J27)))</formula>
    </cfRule>
  </conditionalFormatting>
  <conditionalFormatting sqref="J27:M28">
    <cfRule type="containsText" dxfId="6748" priority="8210" operator="containsText" text="%">
      <formula>NOT(ISERROR(SEARCH("%",J27)))</formula>
    </cfRule>
  </conditionalFormatting>
  <conditionalFormatting sqref="K23:M24">
    <cfRule type="containsText" dxfId="6747" priority="10688" operator="containsText" text="%">
      <formula>NOT(ISERROR(SEARCH("%",K23)))</formula>
    </cfRule>
  </conditionalFormatting>
  <conditionalFormatting sqref="J31:J32">
    <cfRule type="containsText" dxfId="6746" priority="9757" operator="containsText" text="%">
      <formula>NOT(ISERROR(SEARCH("%",J31)))</formula>
    </cfRule>
  </conditionalFormatting>
  <conditionalFormatting sqref="J25:J26">
    <cfRule type="containsText" dxfId="6745" priority="10667" operator="containsText" text="%">
      <formula>NOT(ISERROR(SEARCH("%",J25)))</formula>
    </cfRule>
  </conditionalFormatting>
  <conditionalFormatting sqref="K23:M24">
    <cfRule type="containsText" dxfId="6744" priority="10620" operator="containsText" text="%">
      <formula>NOT(ISERROR(SEARCH("%",K23)))</formula>
    </cfRule>
  </conditionalFormatting>
  <conditionalFormatting sqref="J25:J26">
    <cfRule type="containsText" dxfId="6743" priority="10572" operator="containsText" text="%">
      <formula>NOT(ISERROR(SEARCH("%",J25)))</formula>
    </cfRule>
  </conditionalFormatting>
  <conditionalFormatting sqref="K25:M26">
    <cfRule type="containsText" dxfId="6742" priority="10564" operator="containsText" text="%">
      <formula>NOT(ISERROR(SEARCH("%",K25)))</formula>
    </cfRule>
  </conditionalFormatting>
  <conditionalFormatting sqref="J25">
    <cfRule type="containsText" dxfId="6741" priority="10541" operator="containsText" text="%">
      <formula>NOT(ISERROR(SEARCH("%",J25)))</formula>
    </cfRule>
  </conditionalFormatting>
  <conditionalFormatting sqref="K25:M25">
    <cfRule type="containsText" dxfId="6740" priority="10525" operator="containsText" text="%">
      <formula>NOT(ISERROR(SEARCH("%",K25)))</formula>
    </cfRule>
  </conditionalFormatting>
  <conditionalFormatting sqref="J27:J28">
    <cfRule type="containsText" dxfId="6739" priority="10396" operator="containsText" text="%">
      <formula>NOT(ISERROR(SEARCH("%",J27)))</formula>
    </cfRule>
  </conditionalFormatting>
  <conditionalFormatting sqref="J27:M27">
    <cfRule type="containsText" dxfId="6738" priority="10373" operator="containsText" text="%">
      <formula>NOT(ISERROR(SEARCH("%",J27)))</formula>
    </cfRule>
  </conditionalFormatting>
  <conditionalFormatting sqref="J27:M27">
    <cfRule type="containsText" dxfId="6737" priority="10370" operator="containsText" text="%">
      <formula>NOT(ISERROR(SEARCH("%",J27)))</formula>
    </cfRule>
  </conditionalFormatting>
  <conditionalFormatting sqref="J31:J32">
    <cfRule type="containsText" dxfId="6736" priority="10327" operator="containsText" text="%">
      <formula>NOT(ISERROR(SEARCH("%",J31)))</formula>
    </cfRule>
  </conditionalFormatting>
  <conditionalFormatting sqref="H31:H32">
    <cfRule type="containsText" dxfId="6735" priority="10304" operator="containsText" text="%">
      <formula>NOT(ISERROR(SEARCH("%",H31)))</formula>
    </cfRule>
  </conditionalFormatting>
  <conditionalFormatting sqref="H31:H32">
    <cfRule type="containsText" dxfId="6734" priority="10301" operator="containsText" text="%">
      <formula>NOT(ISERROR(SEARCH("%",H31)))</formula>
    </cfRule>
  </conditionalFormatting>
  <conditionalFormatting sqref="H29:H30">
    <cfRule type="containsText" dxfId="6733" priority="10278" operator="containsText" text="%">
      <formula>NOT(ISERROR(SEARCH("%",H29)))</formula>
    </cfRule>
  </conditionalFormatting>
  <conditionalFormatting sqref="H29:H30">
    <cfRule type="containsText" dxfId="6732" priority="10275" operator="containsText" text="%">
      <formula>NOT(ISERROR(SEARCH("%",H29)))</formula>
    </cfRule>
  </conditionalFormatting>
  <conditionalFormatting sqref="H33:H34">
    <cfRule type="containsText" dxfId="6731" priority="10252" operator="containsText" text="%">
      <formula>NOT(ISERROR(SEARCH("%",H33)))</formula>
    </cfRule>
  </conditionalFormatting>
  <conditionalFormatting sqref="H33:H34">
    <cfRule type="containsText" dxfId="6730" priority="10249" operator="containsText" text="%">
      <formula>NOT(ISERROR(SEARCH("%",H33)))</formula>
    </cfRule>
  </conditionalFormatting>
  <conditionalFormatting sqref="I33:I34">
    <cfRule type="containsText" dxfId="6729" priority="10224" operator="containsText" text="%">
      <formula>NOT(ISERROR(SEARCH("%",I33)))</formula>
    </cfRule>
  </conditionalFormatting>
  <conditionalFormatting sqref="I33:I34">
    <cfRule type="containsText" dxfId="6728" priority="10221" operator="containsText" text="%">
      <formula>NOT(ISERROR(SEARCH("%",I33)))</formula>
    </cfRule>
  </conditionalFormatting>
  <conditionalFormatting sqref="J33:J34">
    <cfRule type="containsText" dxfId="6727" priority="10198" operator="containsText" text="%">
      <formula>NOT(ISERROR(SEARCH("%",J33)))</formula>
    </cfRule>
  </conditionalFormatting>
  <conditionalFormatting sqref="J33:J34">
    <cfRule type="containsText" dxfId="6726" priority="10195" operator="containsText" text="%">
      <formula>NOT(ISERROR(SEARCH("%",J33)))</formula>
    </cfRule>
  </conditionalFormatting>
  <conditionalFormatting sqref="J33:J34">
    <cfRule type="containsText" dxfId="6725" priority="10192" operator="containsText" text="%">
      <formula>NOT(ISERROR(SEARCH("%",J33)))</formula>
    </cfRule>
  </conditionalFormatting>
  <conditionalFormatting sqref="K33:M34">
    <cfRule type="containsText" dxfId="6724" priority="10169" operator="containsText" text="%">
      <formula>NOT(ISERROR(SEARCH("%",K33)))</formula>
    </cfRule>
  </conditionalFormatting>
  <conditionalFormatting sqref="K33:M34">
    <cfRule type="containsText" dxfId="6723" priority="10166" operator="containsText" text="%">
      <formula>NOT(ISERROR(SEARCH("%",K33)))</formula>
    </cfRule>
  </conditionalFormatting>
  <conditionalFormatting sqref="K33:M34">
    <cfRule type="containsText" dxfId="6722" priority="10163" operator="containsText" text="%">
      <formula>NOT(ISERROR(SEARCH("%",K33)))</formula>
    </cfRule>
  </conditionalFormatting>
  <conditionalFormatting sqref="K33:M34">
    <cfRule type="containsText" dxfId="6721" priority="9011" operator="containsText" text="%">
      <formula>NOT(ISERROR(SEARCH("%",K33)))</formula>
    </cfRule>
  </conditionalFormatting>
  <conditionalFormatting sqref="K33:M34">
    <cfRule type="containsText" dxfId="6720" priority="9008" operator="containsText" text="%">
      <formula>NOT(ISERROR(SEARCH("%",K33)))</formula>
    </cfRule>
  </conditionalFormatting>
  <conditionalFormatting sqref="K33:M34">
    <cfRule type="containsText" dxfId="6719" priority="9005" operator="containsText" text="%">
      <formula>NOT(ISERROR(SEARCH("%",K33)))</formula>
    </cfRule>
  </conditionalFormatting>
  <conditionalFormatting sqref="I31:I32">
    <cfRule type="containsText" dxfId="6718" priority="9789" operator="containsText" text="%">
      <formula>NOT(ISERROR(SEARCH("%",I31)))</formula>
    </cfRule>
  </conditionalFormatting>
  <conditionalFormatting sqref="I31:I32">
    <cfRule type="containsText" dxfId="6717" priority="9786" operator="containsText" text="%">
      <formula>NOT(ISERROR(SEARCH("%",I31)))</formula>
    </cfRule>
  </conditionalFormatting>
  <conditionalFormatting sqref="I31:I32">
    <cfRule type="containsText" dxfId="6716" priority="9783" operator="containsText" text="%">
      <formula>NOT(ISERROR(SEARCH("%",I31)))</formula>
    </cfRule>
  </conditionalFormatting>
  <conditionalFormatting sqref="I31:I32">
    <cfRule type="containsText" dxfId="6715" priority="9780" operator="containsText" text="%">
      <formula>NOT(ISERROR(SEARCH("%",I31)))</formula>
    </cfRule>
  </conditionalFormatting>
  <conditionalFormatting sqref="J31:J32">
    <cfRule type="containsText" dxfId="6714" priority="9754" operator="containsText" text="%">
      <formula>NOT(ISERROR(SEARCH("%",J31)))</formula>
    </cfRule>
  </conditionalFormatting>
  <conditionalFormatting sqref="J31:J32">
    <cfRule type="containsText" dxfId="6713" priority="9751" operator="containsText" text="%">
      <formula>NOT(ISERROR(SEARCH("%",J31)))</formula>
    </cfRule>
  </conditionalFormatting>
  <conditionalFormatting sqref="I31:I32">
    <cfRule type="containsText" dxfId="6712" priority="9726" operator="containsText" text="%">
      <formula>NOT(ISERROR(SEARCH("%",I31)))</formula>
    </cfRule>
  </conditionalFormatting>
  <conditionalFormatting sqref="I31:I32">
    <cfRule type="containsText" dxfId="6711" priority="9703" operator="containsText" text="%">
      <formula>NOT(ISERROR(SEARCH("%",I31)))</formula>
    </cfRule>
  </conditionalFormatting>
  <conditionalFormatting sqref="H31:H32">
    <cfRule type="containsText" dxfId="6710" priority="9680" operator="containsText" text="%">
      <formula>NOT(ISERROR(SEARCH("%",H31)))</formula>
    </cfRule>
  </conditionalFormatting>
  <conditionalFormatting sqref="H31:H32">
    <cfRule type="containsText" dxfId="6709" priority="9677" operator="containsText" text="%">
      <formula>NOT(ISERROR(SEARCH("%",H31)))</formula>
    </cfRule>
  </conditionalFormatting>
  <conditionalFormatting sqref="H31:H32">
    <cfRule type="containsText" dxfId="6708" priority="9674" operator="containsText" text="%">
      <formula>NOT(ISERROR(SEARCH("%",H31)))</formula>
    </cfRule>
  </conditionalFormatting>
  <conditionalFormatting sqref="H31:H32">
    <cfRule type="containsText" dxfId="6707" priority="9671" operator="containsText" text="%">
      <formula>NOT(ISERROR(SEARCH("%",H31)))</formula>
    </cfRule>
  </conditionalFormatting>
  <conditionalFormatting sqref="I31:I32">
    <cfRule type="containsText" dxfId="6706" priority="9648" operator="containsText" text="%">
      <formula>NOT(ISERROR(SEARCH("%",I31)))</formula>
    </cfRule>
  </conditionalFormatting>
  <conditionalFormatting sqref="I31:I32">
    <cfRule type="containsText" dxfId="6705" priority="9645" operator="containsText" text="%">
      <formula>NOT(ISERROR(SEARCH("%",I31)))</formula>
    </cfRule>
  </conditionalFormatting>
  <conditionalFormatting sqref="I31:I32">
    <cfRule type="containsText" dxfId="6704" priority="9642" operator="containsText" text="%">
      <formula>NOT(ISERROR(SEARCH("%",I31)))</formula>
    </cfRule>
  </conditionalFormatting>
  <conditionalFormatting sqref="G31:G32">
    <cfRule type="containsText" dxfId="6703" priority="9617" operator="containsText" text="%">
      <formula>NOT(ISERROR(SEARCH("%",G31)))</formula>
    </cfRule>
  </conditionalFormatting>
  <conditionalFormatting sqref="G31:G32">
    <cfRule type="containsText" dxfId="6702" priority="9614" operator="containsText" text="%">
      <formula>NOT(ISERROR(SEARCH("%",G31)))</formula>
    </cfRule>
  </conditionalFormatting>
  <conditionalFormatting sqref="G31:G32">
    <cfRule type="containsText" dxfId="6701" priority="9569" operator="containsText" text="%">
      <formula>NOT(ISERROR(SEARCH("%",G31)))</formula>
    </cfRule>
  </conditionalFormatting>
  <conditionalFormatting sqref="G31:G32">
    <cfRule type="containsText" dxfId="6700" priority="9566" operator="containsText" text="%">
      <formula>NOT(ISERROR(SEARCH("%",G31)))</formula>
    </cfRule>
  </conditionalFormatting>
  <conditionalFormatting sqref="G31:G32">
    <cfRule type="containsText" dxfId="6699" priority="9563" operator="containsText" text="%">
      <formula>NOT(ISERROR(SEARCH("%",G31)))</formula>
    </cfRule>
  </conditionalFormatting>
  <conditionalFormatting sqref="G31:G32">
    <cfRule type="containsText" dxfId="6698" priority="9560" operator="containsText" text="%">
      <formula>NOT(ISERROR(SEARCH("%",G31)))</formula>
    </cfRule>
  </conditionalFormatting>
  <conditionalFormatting sqref="J27:M28">
    <cfRule type="containsText" dxfId="6697" priority="8198" operator="containsText" text="%">
      <formula>NOT(ISERROR(SEARCH("%",J27)))</formula>
    </cfRule>
  </conditionalFormatting>
  <conditionalFormatting sqref="J23:J24">
    <cfRule type="containsText" dxfId="6696" priority="8149" operator="containsText" text="%">
      <formula>NOT(ISERROR(SEARCH("%",J23)))</formula>
    </cfRule>
  </conditionalFormatting>
  <conditionalFormatting sqref="J31:J32">
    <cfRule type="containsText" dxfId="6695" priority="8924" operator="containsText" text="%">
      <formula>NOT(ISERROR(SEARCH("%",J31)))</formula>
    </cfRule>
  </conditionalFormatting>
  <conditionalFormatting sqref="J31:J32">
    <cfRule type="containsText" dxfId="6694" priority="8921" operator="containsText" text="%">
      <formula>NOT(ISERROR(SEARCH("%",J31)))</formula>
    </cfRule>
  </conditionalFormatting>
  <conditionalFormatting sqref="J31:J32">
    <cfRule type="containsText" dxfId="6693" priority="8918" operator="containsText" text="%">
      <formula>NOT(ISERROR(SEARCH("%",J31)))</formula>
    </cfRule>
  </conditionalFormatting>
  <conditionalFormatting sqref="K31:M32">
    <cfRule type="containsText" dxfId="6692" priority="8895" operator="containsText" text="%">
      <formula>NOT(ISERROR(SEARCH("%",K31)))</formula>
    </cfRule>
  </conditionalFormatting>
  <conditionalFormatting sqref="K31:M32">
    <cfRule type="containsText" dxfId="6691" priority="8892" operator="containsText" text="%">
      <formula>NOT(ISERROR(SEARCH("%",K31)))</formula>
    </cfRule>
  </conditionalFormatting>
  <conditionalFormatting sqref="K31:M32">
    <cfRule type="containsText" dxfId="6690" priority="8889" operator="containsText" text="%">
      <formula>NOT(ISERROR(SEARCH("%",K31)))</formula>
    </cfRule>
  </conditionalFormatting>
  <conditionalFormatting sqref="K31:M32">
    <cfRule type="containsText" dxfId="6689" priority="8886" operator="containsText" text="%">
      <formula>NOT(ISERROR(SEARCH("%",K31)))</formula>
    </cfRule>
  </conditionalFormatting>
  <conditionalFormatting sqref="J32">
    <cfRule type="containsText" dxfId="6688" priority="8799" operator="containsText" text="%">
      <formula>NOT(ISERROR(SEARCH("%",J32)))</formula>
    </cfRule>
  </conditionalFormatting>
  <conditionalFormatting sqref="J32">
    <cfRule type="containsText" dxfId="6687" priority="8798" operator="containsText" text="%">
      <formula>NOT(ISERROR(SEARCH("%",J32)))</formula>
    </cfRule>
  </conditionalFormatting>
  <conditionalFormatting sqref="J32">
    <cfRule type="containsText" dxfId="6686" priority="8797" operator="containsText" text="%">
      <formula>NOT(ISERROR(SEARCH("%",J32)))</formula>
    </cfRule>
  </conditionalFormatting>
  <conditionalFormatting sqref="K32:M32">
    <cfRule type="containsText" dxfId="6685" priority="8793" operator="containsText" text="%">
      <formula>NOT(ISERROR(SEARCH("%",K32)))</formula>
    </cfRule>
  </conditionalFormatting>
  <conditionalFormatting sqref="K32:M32">
    <cfRule type="containsText" dxfId="6684" priority="8792" operator="containsText" text="%">
      <formula>NOT(ISERROR(SEARCH("%",K32)))</formula>
    </cfRule>
  </conditionalFormatting>
  <conditionalFormatting sqref="K32:M32">
    <cfRule type="containsText" dxfId="6683" priority="8791" operator="containsText" text="%">
      <formula>NOT(ISERROR(SEARCH("%",K32)))</formula>
    </cfRule>
  </conditionalFormatting>
  <conditionalFormatting sqref="K32:M32">
    <cfRule type="containsText" dxfId="6682" priority="8781" operator="containsText" text="%">
      <formula>NOT(ISERROR(SEARCH("%",K32)))</formula>
    </cfRule>
  </conditionalFormatting>
  <conditionalFormatting sqref="K32:M32">
    <cfRule type="containsText" dxfId="6681" priority="8780" operator="containsText" text="%">
      <formula>NOT(ISERROR(SEARCH("%",K32)))</formula>
    </cfRule>
  </conditionalFormatting>
  <conditionalFormatting sqref="K32:M32">
    <cfRule type="containsText" dxfId="6680" priority="8779" operator="containsText" text="%">
      <formula>NOT(ISERROR(SEARCH("%",K32)))</formula>
    </cfRule>
  </conditionalFormatting>
  <conditionalFormatting sqref="J31:J32">
    <cfRule type="containsText" dxfId="6679" priority="7844" operator="containsText" text="%">
      <formula>NOT(ISERROR(SEARCH("%",J31)))</formula>
    </cfRule>
  </conditionalFormatting>
  <conditionalFormatting sqref="G27:G28">
    <cfRule type="containsText" dxfId="6678" priority="8511" operator="containsText" text="%">
      <formula>NOT(ISERROR(SEARCH("%",G27)))</formula>
    </cfRule>
  </conditionalFormatting>
  <conditionalFormatting sqref="G27:G28">
    <cfRule type="containsText" dxfId="6677" priority="8508" operator="containsText" text="%">
      <formula>NOT(ISERROR(SEARCH("%",G27)))</formula>
    </cfRule>
  </conditionalFormatting>
  <conditionalFormatting sqref="H27:H28">
    <cfRule type="containsText" dxfId="6676" priority="8481" operator="containsText" text="%">
      <formula>NOT(ISERROR(SEARCH("%",H27)))</formula>
    </cfRule>
  </conditionalFormatting>
  <conditionalFormatting sqref="H27:H28">
    <cfRule type="containsText" dxfId="6675" priority="8478" operator="containsText" text="%">
      <formula>NOT(ISERROR(SEARCH("%",H27)))</formula>
    </cfRule>
  </conditionalFormatting>
  <conditionalFormatting sqref="I27:I28">
    <cfRule type="containsText" dxfId="6674" priority="8449" operator="containsText" text="%">
      <formula>NOT(ISERROR(SEARCH("%",I27)))</formula>
    </cfRule>
  </conditionalFormatting>
  <conditionalFormatting sqref="I27:I28">
    <cfRule type="containsText" dxfId="6673" priority="8446" operator="containsText" text="%">
      <formula>NOT(ISERROR(SEARCH("%",I27)))</formula>
    </cfRule>
  </conditionalFormatting>
  <conditionalFormatting sqref="J27:J28">
    <cfRule type="containsText" dxfId="6672" priority="8423" operator="containsText" text="%">
      <formula>NOT(ISERROR(SEARCH("%",J27)))</formula>
    </cfRule>
  </conditionalFormatting>
  <conditionalFormatting sqref="J27:J28">
    <cfRule type="containsText" dxfId="6671" priority="8414" operator="containsText" text="%">
      <formula>NOT(ISERROR(SEARCH("%",J27)))</formula>
    </cfRule>
  </conditionalFormatting>
  <conditionalFormatting sqref="J27:J28">
    <cfRule type="containsText" dxfId="6670" priority="8411" operator="containsText" text="%">
      <formula>NOT(ISERROR(SEARCH("%",J27)))</formula>
    </cfRule>
  </conditionalFormatting>
  <conditionalFormatting sqref="J27:M28">
    <cfRule type="containsText" dxfId="6669" priority="8388" operator="containsText" text="%">
      <formula>NOT(ISERROR(SEARCH("%",J27)))</formula>
    </cfRule>
  </conditionalFormatting>
  <conditionalFormatting sqref="J27:M28">
    <cfRule type="containsText" dxfId="6668" priority="8385" operator="containsText" text="%">
      <formula>NOT(ISERROR(SEARCH("%",J27)))</formula>
    </cfRule>
  </conditionalFormatting>
  <conditionalFormatting sqref="J27:M28">
    <cfRule type="containsText" dxfId="6667" priority="8376" operator="containsText" text="%">
      <formula>NOT(ISERROR(SEARCH("%",J27)))</formula>
    </cfRule>
  </conditionalFormatting>
  <conditionalFormatting sqref="J27:M28">
    <cfRule type="containsText" dxfId="6666" priority="8373" operator="containsText" text="%">
      <formula>NOT(ISERROR(SEARCH("%",J27)))</formula>
    </cfRule>
  </conditionalFormatting>
  <conditionalFormatting sqref="G27:G28">
    <cfRule type="containsText" dxfId="6665" priority="8344" operator="containsText" text="%">
      <formula>NOT(ISERROR(SEARCH("%",G27)))</formula>
    </cfRule>
  </conditionalFormatting>
  <conditionalFormatting sqref="G27:G28">
    <cfRule type="containsText" dxfId="6664" priority="8341" operator="containsText" text="%">
      <formula>NOT(ISERROR(SEARCH("%",G27)))</formula>
    </cfRule>
  </conditionalFormatting>
  <conditionalFormatting sqref="J27:J28">
    <cfRule type="containsText" dxfId="6663" priority="8318" operator="containsText" text="%">
      <formula>NOT(ISERROR(SEARCH("%",J27)))</formula>
    </cfRule>
  </conditionalFormatting>
  <conditionalFormatting sqref="J27:J28">
    <cfRule type="containsText" dxfId="6662" priority="8309" operator="containsText" text="%">
      <formula>NOT(ISERROR(SEARCH("%",J27)))</formula>
    </cfRule>
  </conditionalFormatting>
  <conditionalFormatting sqref="J27:J28">
    <cfRule type="containsText" dxfId="6661" priority="8306" operator="containsText" text="%">
      <formula>NOT(ISERROR(SEARCH("%",J27)))</formula>
    </cfRule>
  </conditionalFormatting>
  <conditionalFormatting sqref="J27:J28">
    <cfRule type="containsText" dxfId="6660" priority="8283" operator="containsText" text="%">
      <formula>NOT(ISERROR(SEARCH("%",J27)))</formula>
    </cfRule>
  </conditionalFormatting>
  <conditionalFormatting sqref="J27:M28">
    <cfRule type="containsText" dxfId="6659" priority="8280" operator="containsText" text="%">
      <formula>NOT(ISERROR(SEARCH("%",J27)))</formula>
    </cfRule>
  </conditionalFormatting>
  <conditionalFormatting sqref="J27:M28">
    <cfRule type="containsText" dxfId="6658" priority="8245" operator="containsText" text="%">
      <formula>NOT(ISERROR(SEARCH("%",J27)))</formula>
    </cfRule>
  </conditionalFormatting>
  <conditionalFormatting sqref="J27:M28">
    <cfRule type="containsText" dxfId="6657" priority="8236" operator="containsText" text="%">
      <formula>NOT(ISERROR(SEARCH("%",J27)))</formula>
    </cfRule>
  </conditionalFormatting>
  <conditionalFormatting sqref="J27:M28">
    <cfRule type="containsText" dxfId="6656" priority="8233" operator="containsText" text="%">
      <formula>NOT(ISERROR(SEARCH("%",J27)))</formula>
    </cfRule>
  </conditionalFormatting>
  <conditionalFormatting sqref="J27:M28">
    <cfRule type="containsText" dxfId="6655" priority="8201" operator="containsText" text="%">
      <formula>NOT(ISERROR(SEARCH("%",J27)))</formula>
    </cfRule>
  </conditionalFormatting>
  <conditionalFormatting sqref="J23:J24">
    <cfRule type="containsText" dxfId="6654" priority="8146" operator="containsText" text="%">
      <formula>NOT(ISERROR(SEARCH("%",J23)))</formula>
    </cfRule>
  </conditionalFormatting>
  <conditionalFormatting sqref="J23:J24">
    <cfRule type="containsText" dxfId="6653" priority="8138" operator="containsText" text="%">
      <formula>NOT(ISERROR(SEARCH("%",J23)))</formula>
    </cfRule>
  </conditionalFormatting>
  <conditionalFormatting sqref="J31:J32">
    <cfRule type="containsText" dxfId="6652" priority="7841" operator="containsText" text="%">
      <formula>NOT(ISERROR(SEARCH("%",J31)))</formula>
    </cfRule>
  </conditionalFormatting>
  <conditionalFormatting sqref="J31:J32">
    <cfRule type="containsText" dxfId="6651" priority="7838" operator="containsText" text="%">
      <formula>NOT(ISERROR(SEARCH("%",J31)))</formula>
    </cfRule>
  </conditionalFormatting>
  <conditionalFormatting sqref="J31:J32">
    <cfRule type="containsText" dxfId="6650" priority="7835" operator="containsText" text="%">
      <formula>NOT(ISERROR(SEARCH("%",J31)))</formula>
    </cfRule>
  </conditionalFormatting>
  <conditionalFormatting sqref="J31:J32">
    <cfRule type="containsText" dxfId="6649" priority="7832" operator="containsText" text="%">
      <formula>NOT(ISERROR(SEARCH("%",J31)))</formula>
    </cfRule>
  </conditionalFormatting>
  <conditionalFormatting sqref="J32">
    <cfRule type="containsText" dxfId="6648" priority="7809" operator="containsText" text="%">
      <formula>NOT(ISERROR(SEARCH("%",J32)))</formula>
    </cfRule>
  </conditionalFormatting>
  <conditionalFormatting sqref="J32">
    <cfRule type="containsText" dxfId="6647" priority="7808" operator="containsText" text="%">
      <formula>NOT(ISERROR(SEARCH("%",J32)))</formula>
    </cfRule>
  </conditionalFormatting>
  <conditionalFormatting sqref="J32">
    <cfRule type="containsText" dxfId="6646" priority="7807" operator="containsText" text="%">
      <formula>NOT(ISERROR(SEARCH("%",J32)))</formula>
    </cfRule>
  </conditionalFormatting>
  <conditionalFormatting sqref="J32">
    <cfRule type="containsText" dxfId="6645" priority="7803" operator="containsText" text="%">
      <formula>NOT(ISERROR(SEARCH("%",J32)))</formula>
    </cfRule>
  </conditionalFormatting>
  <conditionalFormatting sqref="J32">
    <cfRule type="containsText" dxfId="6644" priority="7802" operator="containsText" text="%">
      <formula>NOT(ISERROR(SEARCH("%",J32)))</formula>
    </cfRule>
  </conditionalFormatting>
  <conditionalFormatting sqref="J32">
    <cfRule type="containsText" dxfId="6643" priority="7801" operator="containsText" text="%">
      <formula>NOT(ISERROR(SEARCH("%",J32)))</formula>
    </cfRule>
  </conditionalFormatting>
  <conditionalFormatting sqref="I31:I32">
    <cfRule type="containsText" dxfId="6642" priority="7797" operator="containsText" text="%">
      <formula>NOT(ISERROR(SEARCH("%",I31)))</formula>
    </cfRule>
  </conditionalFormatting>
  <conditionalFormatting sqref="I31:I32">
    <cfRule type="containsText" dxfId="6641" priority="7794" operator="containsText" text="%">
      <formula>NOT(ISERROR(SEARCH("%",I31)))</formula>
    </cfRule>
  </conditionalFormatting>
  <conditionalFormatting sqref="I31:I32">
    <cfRule type="containsText" dxfId="6640" priority="7771" operator="containsText" text="%">
      <formula>NOT(ISERROR(SEARCH("%",I31)))</formula>
    </cfRule>
  </conditionalFormatting>
  <conditionalFormatting sqref="I31:I32">
    <cfRule type="containsText" dxfId="6639" priority="7768" operator="containsText" text="%">
      <formula>NOT(ISERROR(SEARCH("%",I31)))</formula>
    </cfRule>
  </conditionalFormatting>
  <conditionalFormatting sqref="I31:I32">
    <cfRule type="containsText" dxfId="6638" priority="7765" operator="containsText" text="%">
      <formula>NOT(ISERROR(SEARCH("%",I31)))</formula>
    </cfRule>
  </conditionalFormatting>
  <conditionalFormatting sqref="I31:I32">
    <cfRule type="containsText" dxfId="6637" priority="7742" operator="containsText" text="%">
      <formula>NOT(ISERROR(SEARCH("%",I31)))</formula>
    </cfRule>
  </conditionalFormatting>
  <conditionalFormatting sqref="I31:I32">
    <cfRule type="containsText" dxfId="6636" priority="7739" operator="containsText" text="%">
      <formula>NOT(ISERROR(SEARCH("%",I31)))</formula>
    </cfRule>
  </conditionalFormatting>
  <conditionalFormatting sqref="I31:I32">
    <cfRule type="containsText" dxfId="6635" priority="7736" operator="containsText" text="%">
      <formula>NOT(ISERROR(SEARCH("%",I31)))</formula>
    </cfRule>
  </conditionalFormatting>
  <conditionalFormatting sqref="I32">
    <cfRule type="containsText" dxfId="6634" priority="7713" operator="containsText" text="%">
      <formula>NOT(ISERROR(SEARCH("%",I32)))</formula>
    </cfRule>
  </conditionalFormatting>
  <conditionalFormatting sqref="I32">
    <cfRule type="containsText" dxfId="6633" priority="7712" operator="containsText" text="%">
      <formula>NOT(ISERROR(SEARCH("%",I32)))</formula>
    </cfRule>
  </conditionalFormatting>
  <conditionalFormatting sqref="I32">
    <cfRule type="containsText" dxfId="6632" priority="7711" operator="containsText" text="%">
      <formula>NOT(ISERROR(SEARCH("%",I32)))</formula>
    </cfRule>
  </conditionalFormatting>
  <conditionalFormatting sqref="I31:I32">
    <cfRule type="containsText" dxfId="6631" priority="7707" operator="containsText" text="%">
      <formula>NOT(ISERROR(SEARCH("%",I31)))</formula>
    </cfRule>
  </conditionalFormatting>
  <conditionalFormatting sqref="I31:I32">
    <cfRule type="containsText" dxfId="6630" priority="7704" operator="containsText" text="%">
      <formula>NOT(ISERROR(SEARCH("%",I31)))</formula>
    </cfRule>
  </conditionalFormatting>
  <conditionalFormatting sqref="I31:I32">
    <cfRule type="containsText" dxfId="6629" priority="7701" operator="containsText" text="%">
      <formula>NOT(ISERROR(SEARCH("%",I31)))</formula>
    </cfRule>
  </conditionalFormatting>
  <conditionalFormatting sqref="I31:I32">
    <cfRule type="containsText" dxfId="6628" priority="7698" operator="containsText" text="%">
      <formula>NOT(ISERROR(SEARCH("%",I31)))</formula>
    </cfRule>
  </conditionalFormatting>
  <conditionalFormatting sqref="I31:I32">
    <cfRule type="containsText" dxfId="6627" priority="7695" operator="containsText" text="%">
      <formula>NOT(ISERROR(SEARCH("%",I31)))</formula>
    </cfRule>
  </conditionalFormatting>
  <conditionalFormatting sqref="I32">
    <cfRule type="containsText" dxfId="6626" priority="7672" operator="containsText" text="%">
      <formula>NOT(ISERROR(SEARCH("%",I32)))</formula>
    </cfRule>
  </conditionalFormatting>
  <conditionalFormatting sqref="I32">
    <cfRule type="containsText" dxfId="6625" priority="7671" operator="containsText" text="%">
      <formula>NOT(ISERROR(SEARCH("%",I32)))</formula>
    </cfRule>
  </conditionalFormatting>
  <conditionalFormatting sqref="I32">
    <cfRule type="containsText" dxfId="6624" priority="7670" operator="containsText" text="%">
      <formula>NOT(ISERROR(SEARCH("%",I32)))</formula>
    </cfRule>
  </conditionalFormatting>
  <conditionalFormatting sqref="I32">
    <cfRule type="containsText" dxfId="6623" priority="7666" operator="containsText" text="%">
      <formula>NOT(ISERROR(SEARCH("%",I32)))</formula>
    </cfRule>
  </conditionalFormatting>
  <conditionalFormatting sqref="I32">
    <cfRule type="containsText" dxfId="6622" priority="7665" operator="containsText" text="%">
      <formula>NOT(ISERROR(SEARCH("%",I32)))</formula>
    </cfRule>
  </conditionalFormatting>
  <conditionalFormatting sqref="I32">
    <cfRule type="containsText" dxfId="6621" priority="7664" operator="containsText" text="%">
      <formula>NOT(ISERROR(SEARCH("%",I32)))</formula>
    </cfRule>
  </conditionalFormatting>
  <conditionalFormatting sqref="H31:H32">
    <cfRule type="containsText" dxfId="6620" priority="7638" operator="containsText" text="%">
      <formula>NOT(ISERROR(SEARCH("%",H31)))</formula>
    </cfRule>
  </conditionalFormatting>
  <conditionalFormatting sqref="H31:H32">
    <cfRule type="containsText" dxfId="6619" priority="7635" operator="containsText" text="%">
      <formula>NOT(ISERROR(SEARCH("%",H31)))</formula>
    </cfRule>
  </conditionalFormatting>
  <conditionalFormatting sqref="H31:H32">
    <cfRule type="containsText" dxfId="6618" priority="7632" operator="containsText" text="%">
      <formula>NOT(ISERROR(SEARCH("%",H31)))</formula>
    </cfRule>
  </conditionalFormatting>
  <conditionalFormatting sqref="H31:H32">
    <cfRule type="containsText" dxfId="6617" priority="7629" operator="containsText" text="%">
      <formula>NOT(ISERROR(SEARCH("%",H31)))</formula>
    </cfRule>
  </conditionalFormatting>
  <conditionalFormatting sqref="H31:H32">
    <cfRule type="containsText" dxfId="6616" priority="7606" operator="containsText" text="%">
      <formula>NOT(ISERROR(SEARCH("%",H31)))</formula>
    </cfRule>
  </conditionalFormatting>
  <conditionalFormatting sqref="H31:H32">
    <cfRule type="containsText" dxfId="6615" priority="7603" operator="containsText" text="%">
      <formula>NOT(ISERROR(SEARCH("%",H31)))</formula>
    </cfRule>
  </conditionalFormatting>
  <conditionalFormatting sqref="H31:H32">
    <cfRule type="containsText" dxfId="6614" priority="7580" operator="containsText" text="%">
      <formula>NOT(ISERROR(SEARCH("%",H31)))</formula>
    </cfRule>
  </conditionalFormatting>
  <conditionalFormatting sqref="H31:H32">
    <cfRule type="containsText" dxfId="6613" priority="7577" operator="containsText" text="%">
      <formula>NOT(ISERROR(SEARCH("%",H31)))</formula>
    </cfRule>
  </conditionalFormatting>
  <conditionalFormatting sqref="H31:H32">
    <cfRule type="containsText" dxfId="6612" priority="7574" operator="containsText" text="%">
      <formula>NOT(ISERROR(SEARCH("%",H31)))</formula>
    </cfRule>
  </conditionalFormatting>
  <conditionalFormatting sqref="H31:H32">
    <cfRule type="containsText" dxfId="6611" priority="7551" operator="containsText" text="%">
      <formula>NOT(ISERROR(SEARCH("%",H31)))</formula>
    </cfRule>
  </conditionalFormatting>
  <conditionalFormatting sqref="H31:H32">
    <cfRule type="containsText" dxfId="6610" priority="7548" operator="containsText" text="%">
      <formula>NOT(ISERROR(SEARCH("%",H31)))</formula>
    </cfRule>
  </conditionalFormatting>
  <conditionalFormatting sqref="H31:H32">
    <cfRule type="containsText" dxfId="6609" priority="7525" operator="containsText" text="%">
      <formula>NOT(ISERROR(SEARCH("%",H31)))</formula>
    </cfRule>
  </conditionalFormatting>
  <conditionalFormatting sqref="H31:H32">
    <cfRule type="containsText" dxfId="6608" priority="7522" operator="containsText" text="%">
      <formula>NOT(ISERROR(SEARCH("%",H31)))</formula>
    </cfRule>
  </conditionalFormatting>
  <conditionalFormatting sqref="H31:H32">
    <cfRule type="containsText" dxfId="6607" priority="7519" operator="containsText" text="%">
      <formula>NOT(ISERROR(SEARCH("%",H31)))</formula>
    </cfRule>
  </conditionalFormatting>
  <conditionalFormatting sqref="H31:H32">
    <cfRule type="containsText" dxfId="6606" priority="7496" operator="containsText" text="%">
      <formula>NOT(ISERROR(SEARCH("%",H31)))</formula>
    </cfRule>
  </conditionalFormatting>
  <conditionalFormatting sqref="H31:H32">
    <cfRule type="containsText" dxfId="6605" priority="7493" operator="containsText" text="%">
      <formula>NOT(ISERROR(SEARCH("%",H31)))</formula>
    </cfRule>
  </conditionalFormatting>
  <conditionalFormatting sqref="H31:H32">
    <cfRule type="containsText" dxfId="6604" priority="7490" operator="containsText" text="%">
      <formula>NOT(ISERROR(SEARCH("%",H31)))</formula>
    </cfRule>
  </conditionalFormatting>
  <conditionalFormatting sqref="H32">
    <cfRule type="containsText" dxfId="6603" priority="7467" operator="containsText" text="%">
      <formula>NOT(ISERROR(SEARCH("%",H32)))</formula>
    </cfRule>
  </conditionalFormatting>
  <conditionalFormatting sqref="H32">
    <cfRule type="containsText" dxfId="6602" priority="7466" operator="containsText" text="%">
      <formula>NOT(ISERROR(SEARCH("%",H32)))</formula>
    </cfRule>
  </conditionalFormatting>
  <conditionalFormatting sqref="H32">
    <cfRule type="containsText" dxfId="6601" priority="7465" operator="containsText" text="%">
      <formula>NOT(ISERROR(SEARCH("%",H32)))</formula>
    </cfRule>
  </conditionalFormatting>
  <conditionalFormatting sqref="H31:H32">
    <cfRule type="containsText" dxfId="6600" priority="7461" operator="containsText" text="%">
      <formula>NOT(ISERROR(SEARCH("%",H31)))</formula>
    </cfRule>
  </conditionalFormatting>
  <conditionalFormatting sqref="H31:H32">
    <cfRule type="containsText" dxfId="6599" priority="7458" operator="containsText" text="%">
      <formula>NOT(ISERROR(SEARCH("%",H31)))</formula>
    </cfRule>
  </conditionalFormatting>
  <conditionalFormatting sqref="H31:H32">
    <cfRule type="containsText" dxfId="6598" priority="7455" operator="containsText" text="%">
      <formula>NOT(ISERROR(SEARCH("%",H31)))</formula>
    </cfRule>
  </conditionalFormatting>
  <conditionalFormatting sqref="H31:H32">
    <cfRule type="containsText" dxfId="6597" priority="7452" operator="containsText" text="%">
      <formula>NOT(ISERROR(SEARCH("%",H31)))</formula>
    </cfRule>
  </conditionalFormatting>
  <conditionalFormatting sqref="H31:H32">
    <cfRule type="containsText" dxfId="6596" priority="7449" operator="containsText" text="%">
      <formula>NOT(ISERROR(SEARCH("%",H31)))</formula>
    </cfRule>
  </conditionalFormatting>
  <conditionalFormatting sqref="H32">
    <cfRule type="containsText" dxfId="6595" priority="7426" operator="containsText" text="%">
      <formula>NOT(ISERROR(SEARCH("%",H32)))</formula>
    </cfRule>
  </conditionalFormatting>
  <conditionalFormatting sqref="H32">
    <cfRule type="containsText" dxfId="6594" priority="7425" operator="containsText" text="%">
      <formula>NOT(ISERROR(SEARCH("%",H32)))</formula>
    </cfRule>
  </conditionalFormatting>
  <conditionalFormatting sqref="H32">
    <cfRule type="containsText" dxfId="6593" priority="7424" operator="containsText" text="%">
      <formula>NOT(ISERROR(SEARCH("%",H32)))</formula>
    </cfRule>
  </conditionalFormatting>
  <conditionalFormatting sqref="H32">
    <cfRule type="containsText" dxfId="6592" priority="7420" operator="containsText" text="%">
      <formula>NOT(ISERROR(SEARCH("%",H32)))</formula>
    </cfRule>
  </conditionalFormatting>
  <conditionalFormatting sqref="H32">
    <cfRule type="containsText" dxfId="6591" priority="7419" operator="containsText" text="%">
      <formula>NOT(ISERROR(SEARCH("%",H32)))</formula>
    </cfRule>
  </conditionalFormatting>
  <conditionalFormatting sqref="H32">
    <cfRule type="containsText" dxfId="6590" priority="7418" operator="containsText" text="%">
      <formula>NOT(ISERROR(SEARCH("%",H32)))</formula>
    </cfRule>
  </conditionalFormatting>
  <conditionalFormatting sqref="I33:I34">
    <cfRule type="containsText" dxfId="6589" priority="7414" operator="containsText" text="%">
      <formula>NOT(ISERROR(SEARCH("%",I33)))</formula>
    </cfRule>
  </conditionalFormatting>
  <conditionalFormatting sqref="I33:I34">
    <cfRule type="containsText" dxfId="6588" priority="7411" operator="containsText" text="%">
      <formula>NOT(ISERROR(SEARCH("%",I33)))</formula>
    </cfRule>
  </conditionalFormatting>
  <conditionalFormatting sqref="I33:I34">
    <cfRule type="containsText" dxfId="6587" priority="7408" operator="containsText" text="%">
      <formula>NOT(ISERROR(SEARCH("%",I33)))</formula>
    </cfRule>
  </conditionalFormatting>
  <conditionalFormatting sqref="I33:I34">
    <cfRule type="containsText" dxfId="6586" priority="7405" operator="containsText" text="%">
      <formula>NOT(ISERROR(SEARCH("%",I33)))</formula>
    </cfRule>
  </conditionalFormatting>
  <conditionalFormatting sqref="H33:H34">
    <cfRule type="containsText" dxfId="6585" priority="7378" operator="containsText" text="%">
      <formula>NOT(ISERROR(SEARCH("%",H33)))</formula>
    </cfRule>
  </conditionalFormatting>
  <conditionalFormatting sqref="H33:H34">
    <cfRule type="containsText" dxfId="6584" priority="7375" operator="containsText" text="%">
      <formula>NOT(ISERROR(SEARCH("%",H33)))</formula>
    </cfRule>
  </conditionalFormatting>
  <conditionalFormatting sqref="H33:H34">
    <cfRule type="containsText" dxfId="6583" priority="7352" operator="containsText" text="%">
      <formula>NOT(ISERROR(SEARCH("%",H33)))</formula>
    </cfRule>
  </conditionalFormatting>
  <conditionalFormatting sqref="H33:H34">
    <cfRule type="containsText" dxfId="6582" priority="7349" operator="containsText" text="%">
      <formula>NOT(ISERROR(SEARCH("%",H33)))</formula>
    </cfRule>
  </conditionalFormatting>
  <conditionalFormatting sqref="H33:H34">
    <cfRule type="containsText" dxfId="6581" priority="7346" operator="containsText" text="%">
      <formula>NOT(ISERROR(SEARCH("%",H33)))</formula>
    </cfRule>
  </conditionalFormatting>
  <conditionalFormatting sqref="H33:H34">
    <cfRule type="containsText" dxfId="6580" priority="7343" operator="containsText" text="%">
      <formula>NOT(ISERROR(SEARCH("%",H33)))</formula>
    </cfRule>
  </conditionalFormatting>
  <conditionalFormatting sqref="N11:N12">
    <cfRule type="containsText" dxfId="6579" priority="7216" operator="containsText" text="%">
      <formula>NOT(ISERROR(SEARCH("%",N11)))</formula>
    </cfRule>
  </conditionalFormatting>
  <conditionalFormatting sqref="N11:N12">
    <cfRule type="containsText" dxfId="6578" priority="7214" operator="containsText" text="%">
      <formula>NOT(ISERROR(SEARCH("%",N11)))</formula>
    </cfRule>
  </conditionalFormatting>
  <conditionalFormatting sqref="N53">
    <cfRule type="containsText" dxfId="6577" priority="6720" operator="containsText" text="%">
      <formula>NOT(ISERROR(SEARCH("%",N53)))</formula>
    </cfRule>
  </conditionalFormatting>
  <conditionalFormatting sqref="N12">
    <cfRule type="containsText" dxfId="6576" priority="6718" operator="containsText" text="%">
      <formula>NOT(ISERROR(SEARCH("%",N12)))</formula>
    </cfRule>
  </conditionalFormatting>
  <conditionalFormatting sqref="H31:H32">
    <cfRule type="containsText" dxfId="6575" priority="6704" operator="containsText" text="%">
      <formula>NOT(ISERROR(SEARCH("%",H31)))</formula>
    </cfRule>
  </conditionalFormatting>
  <conditionalFormatting sqref="H31:H32">
    <cfRule type="containsText" dxfId="6574" priority="6703" operator="containsText" text="%">
      <formula>NOT(ISERROR(SEARCH("%",H31)))</formula>
    </cfRule>
  </conditionalFormatting>
  <conditionalFormatting sqref="H31:H32">
    <cfRule type="containsText" dxfId="6573" priority="6702" operator="containsText" text="%">
      <formula>NOT(ISERROR(SEARCH("%",H31)))</formula>
    </cfRule>
  </conditionalFormatting>
  <conditionalFormatting sqref="H31:H32">
    <cfRule type="containsText" dxfId="6572" priority="6701" operator="containsText" text="%">
      <formula>NOT(ISERROR(SEARCH("%",H31)))</formula>
    </cfRule>
  </conditionalFormatting>
  <conditionalFormatting sqref="H31:H32">
    <cfRule type="containsText" dxfId="6571" priority="6700" operator="containsText" text="%">
      <formula>NOT(ISERROR(SEARCH("%",H31)))</formula>
    </cfRule>
  </conditionalFormatting>
  <conditionalFormatting sqref="H31:H32">
    <cfRule type="containsText" dxfId="6570" priority="6699" operator="containsText" text="%">
      <formula>NOT(ISERROR(SEARCH("%",H31)))</formula>
    </cfRule>
  </conditionalFormatting>
  <conditionalFormatting sqref="H27:H28">
    <cfRule type="containsText" dxfId="6569" priority="6694" operator="containsText" text="%">
      <formula>NOT(ISERROR(SEARCH("%",H27)))</formula>
    </cfRule>
  </conditionalFormatting>
  <conditionalFormatting sqref="H27:H28">
    <cfRule type="containsText" dxfId="6568" priority="6693" operator="containsText" text="%">
      <formula>NOT(ISERROR(SEARCH("%",H27)))</formula>
    </cfRule>
  </conditionalFormatting>
  <conditionalFormatting sqref="H27:H28">
    <cfRule type="containsText" dxfId="6567" priority="6692" operator="containsText" text="%">
      <formula>NOT(ISERROR(SEARCH("%",H27)))</formula>
    </cfRule>
  </conditionalFormatting>
  <conditionalFormatting sqref="H27:H28">
    <cfRule type="containsText" dxfId="6566" priority="6691" operator="containsText" text="%">
      <formula>NOT(ISERROR(SEARCH("%",H27)))</formula>
    </cfRule>
  </conditionalFormatting>
  <conditionalFormatting sqref="I31:I32">
    <cfRule type="containsText" dxfId="6565" priority="6684" operator="containsText" text="%">
      <formula>NOT(ISERROR(SEARCH("%",I31)))</formula>
    </cfRule>
  </conditionalFormatting>
  <conditionalFormatting sqref="I31:I32">
    <cfRule type="containsText" dxfId="6564" priority="6683" operator="containsText" text="%">
      <formula>NOT(ISERROR(SEARCH("%",I31)))</formula>
    </cfRule>
  </conditionalFormatting>
  <conditionalFormatting sqref="I31:I32">
    <cfRule type="containsText" dxfId="6563" priority="6682" operator="containsText" text="%">
      <formula>NOT(ISERROR(SEARCH("%",I31)))</formula>
    </cfRule>
  </conditionalFormatting>
  <conditionalFormatting sqref="I31:I32">
    <cfRule type="containsText" dxfId="6562" priority="6681" operator="containsText" text="%">
      <formula>NOT(ISERROR(SEARCH("%",I31)))</formula>
    </cfRule>
  </conditionalFormatting>
  <conditionalFormatting sqref="I31:I32">
    <cfRule type="containsText" dxfId="6561" priority="6680" operator="containsText" text="%">
      <formula>NOT(ISERROR(SEARCH("%",I31)))</formula>
    </cfRule>
  </conditionalFormatting>
  <conditionalFormatting sqref="I31:I32">
    <cfRule type="containsText" dxfId="6560" priority="6679" operator="containsText" text="%">
      <formula>NOT(ISERROR(SEARCH("%",I31)))</formula>
    </cfRule>
  </conditionalFormatting>
  <conditionalFormatting sqref="I27:I28">
    <cfRule type="containsText" dxfId="6559" priority="6674" operator="containsText" text="%">
      <formula>NOT(ISERROR(SEARCH("%",I27)))</formula>
    </cfRule>
  </conditionalFormatting>
  <conditionalFormatting sqref="I27:I28">
    <cfRule type="containsText" dxfId="6558" priority="6673" operator="containsText" text="%">
      <formula>NOT(ISERROR(SEARCH("%",I27)))</formula>
    </cfRule>
  </conditionalFormatting>
  <conditionalFormatting sqref="I27:I28">
    <cfRule type="containsText" dxfId="6557" priority="6672" operator="containsText" text="%">
      <formula>NOT(ISERROR(SEARCH("%",I27)))</formula>
    </cfRule>
  </conditionalFormatting>
  <conditionalFormatting sqref="I27:I28">
    <cfRule type="containsText" dxfId="6556" priority="6671" operator="containsText" text="%">
      <formula>NOT(ISERROR(SEARCH("%",I27)))</formula>
    </cfRule>
  </conditionalFormatting>
  <conditionalFormatting sqref="J31:J32">
    <cfRule type="containsText" dxfId="6555" priority="6664" operator="containsText" text="%">
      <formula>NOT(ISERROR(SEARCH("%",J31)))</formula>
    </cfRule>
  </conditionalFormatting>
  <conditionalFormatting sqref="J31:J32">
    <cfRule type="containsText" dxfId="6554" priority="6663" operator="containsText" text="%">
      <formula>NOT(ISERROR(SEARCH("%",J31)))</formula>
    </cfRule>
  </conditionalFormatting>
  <conditionalFormatting sqref="J31:J32">
    <cfRule type="containsText" dxfId="6553" priority="6662" operator="containsText" text="%">
      <formula>NOT(ISERROR(SEARCH("%",J31)))</formula>
    </cfRule>
  </conditionalFormatting>
  <conditionalFormatting sqref="J31:J32">
    <cfRule type="containsText" dxfId="6552" priority="6661" operator="containsText" text="%">
      <formula>NOT(ISERROR(SEARCH("%",J31)))</formula>
    </cfRule>
  </conditionalFormatting>
  <conditionalFormatting sqref="J31:J32">
    <cfRule type="containsText" dxfId="6551" priority="6660" operator="containsText" text="%">
      <formula>NOT(ISERROR(SEARCH("%",J31)))</formula>
    </cfRule>
  </conditionalFormatting>
  <conditionalFormatting sqref="J31:J32">
    <cfRule type="containsText" dxfId="6550" priority="6659" operator="containsText" text="%">
      <formula>NOT(ISERROR(SEARCH("%",J31)))</formula>
    </cfRule>
  </conditionalFormatting>
  <conditionalFormatting sqref="J27:J28">
    <cfRule type="containsText" dxfId="6549" priority="6654" operator="containsText" text="%">
      <formula>NOT(ISERROR(SEARCH("%",J27)))</formula>
    </cfRule>
  </conditionalFormatting>
  <conditionalFormatting sqref="J27:J28">
    <cfRule type="containsText" dxfId="6548" priority="6653" operator="containsText" text="%">
      <formula>NOT(ISERROR(SEARCH("%",J27)))</formula>
    </cfRule>
  </conditionalFormatting>
  <conditionalFormatting sqref="J27:J28">
    <cfRule type="containsText" dxfId="6547" priority="6652" operator="containsText" text="%">
      <formula>NOT(ISERROR(SEARCH("%",J27)))</formula>
    </cfRule>
  </conditionalFormatting>
  <conditionalFormatting sqref="J27:J28">
    <cfRule type="containsText" dxfId="6546" priority="6651" operator="containsText" text="%">
      <formula>NOT(ISERROR(SEARCH("%",J27)))</formula>
    </cfRule>
  </conditionalFormatting>
  <conditionalFormatting sqref="K31:K32">
    <cfRule type="containsText" dxfId="6545" priority="6644" operator="containsText" text="%">
      <formula>NOT(ISERROR(SEARCH("%",K31)))</formula>
    </cfRule>
  </conditionalFormatting>
  <conditionalFormatting sqref="K31:K32">
    <cfRule type="containsText" dxfId="6544" priority="6643" operator="containsText" text="%">
      <formula>NOT(ISERROR(SEARCH("%",K31)))</formula>
    </cfRule>
  </conditionalFormatting>
  <conditionalFormatting sqref="K31:K32">
    <cfRule type="containsText" dxfId="6543" priority="6642" operator="containsText" text="%">
      <formula>NOT(ISERROR(SEARCH("%",K31)))</formula>
    </cfRule>
  </conditionalFormatting>
  <conditionalFormatting sqref="K31:K32">
    <cfRule type="containsText" dxfId="6542" priority="6641" operator="containsText" text="%">
      <formula>NOT(ISERROR(SEARCH("%",K31)))</formula>
    </cfRule>
  </conditionalFormatting>
  <conditionalFormatting sqref="K31:K32">
    <cfRule type="containsText" dxfId="6541" priority="6640" operator="containsText" text="%">
      <formula>NOT(ISERROR(SEARCH("%",K31)))</formula>
    </cfRule>
  </conditionalFormatting>
  <conditionalFormatting sqref="K31:K32">
    <cfRule type="containsText" dxfId="6540" priority="6639" operator="containsText" text="%">
      <formula>NOT(ISERROR(SEARCH("%",K31)))</formula>
    </cfRule>
  </conditionalFormatting>
  <conditionalFormatting sqref="K27:K28">
    <cfRule type="containsText" dxfId="6539" priority="6634" operator="containsText" text="%">
      <formula>NOT(ISERROR(SEARCH("%",K27)))</formula>
    </cfRule>
  </conditionalFormatting>
  <conditionalFormatting sqref="K27:K28">
    <cfRule type="containsText" dxfId="6538" priority="6633" operator="containsText" text="%">
      <formula>NOT(ISERROR(SEARCH("%",K27)))</formula>
    </cfRule>
  </conditionalFormatting>
  <conditionalFormatting sqref="K27:K28">
    <cfRule type="containsText" dxfId="6537" priority="6632" operator="containsText" text="%">
      <formula>NOT(ISERROR(SEARCH("%",K27)))</formula>
    </cfRule>
  </conditionalFormatting>
  <conditionalFormatting sqref="K27:K28">
    <cfRule type="containsText" dxfId="6536" priority="6631" operator="containsText" text="%">
      <formula>NOT(ISERROR(SEARCH("%",K27)))</formula>
    </cfRule>
  </conditionalFormatting>
  <conditionalFormatting sqref="L31:L32">
    <cfRule type="containsText" dxfId="6535" priority="6624" operator="containsText" text="%">
      <formula>NOT(ISERROR(SEARCH("%",L31)))</formula>
    </cfRule>
  </conditionalFormatting>
  <conditionalFormatting sqref="L31:L32">
    <cfRule type="containsText" dxfId="6534" priority="6623" operator="containsText" text="%">
      <formula>NOT(ISERROR(SEARCH("%",L31)))</formula>
    </cfRule>
  </conditionalFormatting>
  <conditionalFormatting sqref="L31:L32">
    <cfRule type="containsText" dxfId="6533" priority="6622" operator="containsText" text="%">
      <formula>NOT(ISERROR(SEARCH("%",L31)))</formula>
    </cfRule>
  </conditionalFormatting>
  <conditionalFormatting sqref="L31:L32">
    <cfRule type="containsText" dxfId="6532" priority="6621" operator="containsText" text="%">
      <formula>NOT(ISERROR(SEARCH("%",L31)))</formula>
    </cfRule>
  </conditionalFormatting>
  <conditionalFormatting sqref="L31:L32">
    <cfRule type="containsText" dxfId="6531" priority="6620" operator="containsText" text="%">
      <formula>NOT(ISERROR(SEARCH("%",L31)))</formula>
    </cfRule>
  </conditionalFormatting>
  <conditionalFormatting sqref="L31:L32">
    <cfRule type="containsText" dxfId="6530" priority="6619" operator="containsText" text="%">
      <formula>NOT(ISERROR(SEARCH("%",L31)))</formula>
    </cfRule>
  </conditionalFormatting>
  <conditionalFormatting sqref="L27:L28">
    <cfRule type="containsText" dxfId="6529" priority="6614" operator="containsText" text="%">
      <formula>NOT(ISERROR(SEARCH("%",L27)))</formula>
    </cfRule>
  </conditionalFormatting>
  <conditionalFormatting sqref="L27:L28">
    <cfRule type="containsText" dxfId="6528" priority="6613" operator="containsText" text="%">
      <formula>NOT(ISERROR(SEARCH("%",L27)))</formula>
    </cfRule>
  </conditionalFormatting>
  <conditionalFormatting sqref="L27:L28">
    <cfRule type="containsText" dxfId="6527" priority="6612" operator="containsText" text="%">
      <formula>NOT(ISERROR(SEARCH("%",L27)))</formula>
    </cfRule>
  </conditionalFormatting>
  <conditionalFormatting sqref="L27:L28">
    <cfRule type="containsText" dxfId="6526" priority="6611" operator="containsText" text="%">
      <formula>NOT(ISERROR(SEARCH("%",L27)))</formula>
    </cfRule>
  </conditionalFormatting>
  <conditionalFormatting sqref="M31:M32">
    <cfRule type="containsText" dxfId="6525" priority="6604" operator="containsText" text="%">
      <formula>NOT(ISERROR(SEARCH("%",M31)))</formula>
    </cfRule>
  </conditionalFormatting>
  <conditionalFormatting sqref="M31:M32">
    <cfRule type="containsText" dxfId="6524" priority="6603" operator="containsText" text="%">
      <formula>NOT(ISERROR(SEARCH("%",M31)))</formula>
    </cfRule>
  </conditionalFormatting>
  <conditionalFormatting sqref="M31:M32">
    <cfRule type="containsText" dxfId="6523" priority="6602" operator="containsText" text="%">
      <formula>NOT(ISERROR(SEARCH("%",M31)))</formula>
    </cfRule>
  </conditionalFormatting>
  <conditionalFormatting sqref="M31:M32">
    <cfRule type="containsText" dxfId="6522" priority="6601" operator="containsText" text="%">
      <formula>NOT(ISERROR(SEARCH("%",M31)))</formula>
    </cfRule>
  </conditionalFormatting>
  <conditionalFormatting sqref="M31:M32">
    <cfRule type="containsText" dxfId="6521" priority="6600" operator="containsText" text="%">
      <formula>NOT(ISERROR(SEARCH("%",M31)))</formula>
    </cfRule>
  </conditionalFormatting>
  <conditionalFormatting sqref="M31:M32">
    <cfRule type="containsText" dxfId="6520" priority="6599" operator="containsText" text="%">
      <formula>NOT(ISERROR(SEARCH("%",M31)))</formula>
    </cfRule>
  </conditionalFormatting>
  <conditionalFormatting sqref="M27:M28">
    <cfRule type="containsText" dxfId="6519" priority="6594" operator="containsText" text="%">
      <formula>NOT(ISERROR(SEARCH("%",M27)))</formula>
    </cfRule>
  </conditionalFormatting>
  <conditionalFormatting sqref="M27:M28">
    <cfRule type="containsText" dxfId="6518" priority="6593" operator="containsText" text="%">
      <formula>NOT(ISERROR(SEARCH("%",M27)))</formula>
    </cfRule>
  </conditionalFormatting>
  <conditionalFormatting sqref="M27:M28">
    <cfRule type="containsText" dxfId="6517" priority="6592" operator="containsText" text="%">
      <formula>NOT(ISERROR(SEARCH("%",M27)))</formula>
    </cfRule>
  </conditionalFormatting>
  <conditionalFormatting sqref="M27:M28">
    <cfRule type="containsText" dxfId="6516" priority="6591" operator="containsText" text="%">
      <formula>NOT(ISERROR(SEARCH("%",M27)))</formula>
    </cfRule>
  </conditionalFormatting>
  <conditionalFormatting sqref="H28">
    <cfRule type="containsText" dxfId="6515" priority="6523" operator="containsText" text="%">
      <formula>NOT(ISERROR(SEARCH("%",H28)))</formula>
    </cfRule>
  </conditionalFormatting>
  <conditionalFormatting sqref="H28">
    <cfRule type="containsText" dxfId="6514" priority="6522" operator="containsText" text="%">
      <formula>NOT(ISERROR(SEARCH("%",H28)))</formula>
    </cfRule>
  </conditionalFormatting>
  <conditionalFormatting sqref="H28">
    <cfRule type="containsText" dxfId="6513" priority="6521" operator="containsText" text="%">
      <formula>NOT(ISERROR(SEARCH("%",H28)))</formula>
    </cfRule>
  </conditionalFormatting>
  <conditionalFormatting sqref="H28">
    <cfRule type="containsText" dxfId="6512" priority="6520" operator="containsText" text="%">
      <formula>NOT(ISERROR(SEARCH("%",H28)))</formula>
    </cfRule>
  </conditionalFormatting>
  <conditionalFormatting sqref="I28">
    <cfRule type="containsText" dxfId="6511" priority="6519" operator="containsText" text="%">
      <formula>NOT(ISERROR(SEARCH("%",I28)))</formula>
    </cfRule>
  </conditionalFormatting>
  <conditionalFormatting sqref="I28">
    <cfRule type="containsText" dxfId="6510" priority="6518" operator="containsText" text="%">
      <formula>NOT(ISERROR(SEARCH("%",I28)))</formula>
    </cfRule>
  </conditionalFormatting>
  <conditionalFormatting sqref="I28">
    <cfRule type="containsText" dxfId="6509" priority="6517" operator="containsText" text="%">
      <formula>NOT(ISERROR(SEARCH("%",I28)))</formula>
    </cfRule>
  </conditionalFormatting>
  <conditionalFormatting sqref="I28">
    <cfRule type="containsText" dxfId="6508" priority="6516" operator="containsText" text="%">
      <formula>NOT(ISERROR(SEARCH("%",I28)))</formula>
    </cfRule>
  </conditionalFormatting>
  <conditionalFormatting sqref="J27:J28">
    <cfRule type="containsText" dxfId="6507" priority="6515" operator="containsText" text="%">
      <formula>NOT(ISERROR(SEARCH("%",J27)))</formula>
    </cfRule>
  </conditionalFormatting>
  <conditionalFormatting sqref="J27:J28">
    <cfRule type="containsText" dxfId="6506" priority="6514" operator="containsText" text="%">
      <formula>NOT(ISERROR(SEARCH("%",J27)))</formula>
    </cfRule>
  </conditionalFormatting>
  <conditionalFormatting sqref="J27:J28">
    <cfRule type="containsText" dxfId="6505" priority="6513" operator="containsText" text="%">
      <formula>NOT(ISERROR(SEARCH("%",J27)))</formula>
    </cfRule>
  </conditionalFormatting>
  <conditionalFormatting sqref="J27:J28">
    <cfRule type="containsText" dxfId="6504" priority="6512" operator="containsText" text="%">
      <formula>NOT(ISERROR(SEARCH("%",J27)))</formula>
    </cfRule>
  </conditionalFormatting>
  <conditionalFormatting sqref="J27:J28">
    <cfRule type="containsText" dxfId="6503" priority="6511" operator="containsText" text="%">
      <formula>NOT(ISERROR(SEARCH("%",J27)))</formula>
    </cfRule>
  </conditionalFormatting>
  <conditionalFormatting sqref="J27:J28">
    <cfRule type="containsText" dxfId="6502" priority="6510" operator="containsText" text="%">
      <formula>NOT(ISERROR(SEARCH("%",J27)))</formula>
    </cfRule>
  </conditionalFormatting>
  <conditionalFormatting sqref="J28">
    <cfRule type="containsText" dxfId="6501" priority="6509" operator="containsText" text="%">
      <formula>NOT(ISERROR(SEARCH("%",J28)))</formula>
    </cfRule>
  </conditionalFormatting>
  <conditionalFormatting sqref="J28">
    <cfRule type="containsText" dxfId="6500" priority="6508" operator="containsText" text="%">
      <formula>NOT(ISERROR(SEARCH("%",J28)))</formula>
    </cfRule>
  </conditionalFormatting>
  <conditionalFormatting sqref="J28">
    <cfRule type="containsText" dxfId="6499" priority="6507" operator="containsText" text="%">
      <formula>NOT(ISERROR(SEARCH("%",J28)))</formula>
    </cfRule>
  </conditionalFormatting>
  <conditionalFormatting sqref="J28">
    <cfRule type="containsText" dxfId="6498" priority="6506" operator="containsText" text="%">
      <formula>NOT(ISERROR(SEARCH("%",J28)))</formula>
    </cfRule>
  </conditionalFormatting>
  <conditionalFormatting sqref="K27:K28">
    <cfRule type="containsText" dxfId="6497" priority="6505" operator="containsText" text="%">
      <formula>NOT(ISERROR(SEARCH("%",K27)))</formula>
    </cfRule>
  </conditionalFormatting>
  <conditionalFormatting sqref="K27:K28">
    <cfRule type="containsText" dxfId="6496" priority="6504" operator="containsText" text="%">
      <formula>NOT(ISERROR(SEARCH("%",K27)))</formula>
    </cfRule>
  </conditionalFormatting>
  <conditionalFormatting sqref="K27:K28">
    <cfRule type="containsText" dxfId="6495" priority="6503" operator="containsText" text="%">
      <formula>NOT(ISERROR(SEARCH("%",K27)))</formula>
    </cfRule>
  </conditionalFormatting>
  <conditionalFormatting sqref="K27:K28">
    <cfRule type="containsText" dxfId="6494" priority="6502" operator="containsText" text="%">
      <formula>NOT(ISERROR(SEARCH("%",K27)))</formula>
    </cfRule>
  </conditionalFormatting>
  <conditionalFormatting sqref="K27:K28">
    <cfRule type="containsText" dxfId="6493" priority="6501" operator="containsText" text="%">
      <formula>NOT(ISERROR(SEARCH("%",K27)))</formula>
    </cfRule>
  </conditionalFormatting>
  <conditionalFormatting sqref="K27:K28">
    <cfRule type="containsText" dxfId="6492" priority="6500" operator="containsText" text="%">
      <formula>NOT(ISERROR(SEARCH("%",K27)))</formula>
    </cfRule>
  </conditionalFormatting>
  <conditionalFormatting sqref="K28">
    <cfRule type="containsText" dxfId="6491" priority="6499" operator="containsText" text="%">
      <formula>NOT(ISERROR(SEARCH("%",K28)))</formula>
    </cfRule>
  </conditionalFormatting>
  <conditionalFormatting sqref="K28">
    <cfRule type="containsText" dxfId="6490" priority="6498" operator="containsText" text="%">
      <formula>NOT(ISERROR(SEARCH("%",K28)))</formula>
    </cfRule>
  </conditionalFormatting>
  <conditionalFormatting sqref="K28">
    <cfRule type="containsText" dxfId="6489" priority="6497" operator="containsText" text="%">
      <formula>NOT(ISERROR(SEARCH("%",K28)))</formula>
    </cfRule>
  </conditionalFormatting>
  <conditionalFormatting sqref="K28">
    <cfRule type="containsText" dxfId="6488" priority="6496" operator="containsText" text="%">
      <formula>NOT(ISERROR(SEARCH("%",K28)))</formula>
    </cfRule>
  </conditionalFormatting>
  <conditionalFormatting sqref="L27:L28">
    <cfRule type="containsText" dxfId="6487" priority="6495" operator="containsText" text="%">
      <formula>NOT(ISERROR(SEARCH("%",L27)))</formula>
    </cfRule>
  </conditionalFormatting>
  <conditionalFormatting sqref="L27:L28">
    <cfRule type="containsText" dxfId="6486" priority="6494" operator="containsText" text="%">
      <formula>NOT(ISERROR(SEARCH("%",L27)))</formula>
    </cfRule>
  </conditionalFormatting>
  <conditionalFormatting sqref="L27:L28">
    <cfRule type="containsText" dxfId="6485" priority="6493" operator="containsText" text="%">
      <formula>NOT(ISERROR(SEARCH("%",L27)))</formula>
    </cfRule>
  </conditionalFormatting>
  <conditionalFormatting sqref="L27:L28">
    <cfRule type="containsText" dxfId="6484" priority="6492" operator="containsText" text="%">
      <formula>NOT(ISERROR(SEARCH("%",L27)))</formula>
    </cfRule>
  </conditionalFormatting>
  <conditionalFormatting sqref="L27:L28">
    <cfRule type="containsText" dxfId="6483" priority="6491" operator="containsText" text="%">
      <formula>NOT(ISERROR(SEARCH("%",L27)))</formula>
    </cfRule>
  </conditionalFormatting>
  <conditionalFormatting sqref="L27:L28">
    <cfRule type="containsText" dxfId="6482" priority="6490" operator="containsText" text="%">
      <formula>NOT(ISERROR(SEARCH("%",L27)))</formula>
    </cfRule>
  </conditionalFormatting>
  <conditionalFormatting sqref="L28">
    <cfRule type="containsText" dxfId="6481" priority="6489" operator="containsText" text="%">
      <formula>NOT(ISERROR(SEARCH("%",L28)))</formula>
    </cfRule>
  </conditionalFormatting>
  <conditionalFormatting sqref="L28">
    <cfRule type="containsText" dxfId="6480" priority="6488" operator="containsText" text="%">
      <formula>NOT(ISERROR(SEARCH("%",L28)))</formula>
    </cfRule>
  </conditionalFormatting>
  <conditionalFormatting sqref="L28">
    <cfRule type="containsText" dxfId="6479" priority="6487" operator="containsText" text="%">
      <formula>NOT(ISERROR(SEARCH("%",L28)))</formula>
    </cfRule>
  </conditionalFormatting>
  <conditionalFormatting sqref="L28">
    <cfRule type="containsText" dxfId="6478" priority="6486" operator="containsText" text="%">
      <formula>NOT(ISERROR(SEARCH("%",L28)))</formula>
    </cfRule>
  </conditionalFormatting>
  <conditionalFormatting sqref="J27:J28">
    <cfRule type="containsText" dxfId="6477" priority="6485" operator="containsText" text="%">
      <formula>NOT(ISERROR(SEARCH("%",J27)))</formula>
    </cfRule>
  </conditionalFormatting>
  <conditionalFormatting sqref="J27:J28">
    <cfRule type="containsText" dxfId="6476" priority="6484" operator="containsText" text="%">
      <formula>NOT(ISERROR(SEARCH("%",J27)))</formula>
    </cfRule>
  </conditionalFormatting>
  <conditionalFormatting sqref="J27:J28">
    <cfRule type="containsText" dxfId="6475" priority="6483" operator="containsText" text="%">
      <formula>NOT(ISERROR(SEARCH("%",J27)))</formula>
    </cfRule>
  </conditionalFormatting>
  <conditionalFormatting sqref="J27:J28">
    <cfRule type="containsText" dxfId="6474" priority="6482" operator="containsText" text="%">
      <formula>NOT(ISERROR(SEARCH("%",J27)))</formula>
    </cfRule>
  </conditionalFormatting>
  <conditionalFormatting sqref="K27:K28">
    <cfRule type="containsText" dxfId="6473" priority="6481" operator="containsText" text="%">
      <formula>NOT(ISERROR(SEARCH("%",K27)))</formula>
    </cfRule>
  </conditionalFormatting>
  <conditionalFormatting sqref="K27:K28">
    <cfRule type="containsText" dxfId="6472" priority="6480" operator="containsText" text="%">
      <formula>NOT(ISERROR(SEARCH("%",K27)))</formula>
    </cfRule>
  </conditionalFormatting>
  <conditionalFormatting sqref="K27:K28">
    <cfRule type="containsText" dxfId="6471" priority="6479" operator="containsText" text="%">
      <formula>NOT(ISERROR(SEARCH("%",K27)))</formula>
    </cfRule>
  </conditionalFormatting>
  <conditionalFormatting sqref="K27:K28">
    <cfRule type="containsText" dxfId="6470" priority="6478" operator="containsText" text="%">
      <formula>NOT(ISERROR(SEARCH("%",K27)))</formula>
    </cfRule>
  </conditionalFormatting>
  <conditionalFormatting sqref="J27:J28">
    <cfRule type="containsText" dxfId="6469" priority="6477" operator="containsText" text="%">
      <formula>NOT(ISERROR(SEARCH("%",J27)))</formula>
    </cfRule>
  </conditionalFormatting>
  <conditionalFormatting sqref="J27:J28">
    <cfRule type="containsText" dxfId="6468" priority="6476" operator="containsText" text="%">
      <formula>NOT(ISERROR(SEARCH("%",J27)))</formula>
    </cfRule>
  </conditionalFormatting>
  <conditionalFormatting sqref="J27:J28">
    <cfRule type="containsText" dxfId="6467" priority="6475" operator="containsText" text="%">
      <formula>NOT(ISERROR(SEARCH("%",J27)))</formula>
    </cfRule>
  </conditionalFormatting>
  <conditionalFormatting sqref="J27:J28">
    <cfRule type="containsText" dxfId="6466" priority="6474" operator="containsText" text="%">
      <formula>NOT(ISERROR(SEARCH("%",J27)))</formula>
    </cfRule>
  </conditionalFormatting>
  <conditionalFormatting sqref="J27:J28">
    <cfRule type="containsText" dxfId="6465" priority="6473" operator="containsText" text="%">
      <formula>NOT(ISERROR(SEARCH("%",J27)))</formula>
    </cfRule>
  </conditionalFormatting>
  <conditionalFormatting sqref="J27:J28">
    <cfRule type="containsText" dxfId="6464" priority="6472" operator="containsText" text="%">
      <formula>NOT(ISERROR(SEARCH("%",J27)))</formula>
    </cfRule>
  </conditionalFormatting>
  <conditionalFormatting sqref="J28">
    <cfRule type="containsText" dxfId="6463" priority="6471" operator="containsText" text="%">
      <formula>NOT(ISERROR(SEARCH("%",J28)))</formula>
    </cfRule>
  </conditionalFormatting>
  <conditionalFormatting sqref="J28">
    <cfRule type="containsText" dxfId="6462" priority="6470" operator="containsText" text="%">
      <formula>NOT(ISERROR(SEARCH("%",J28)))</formula>
    </cfRule>
  </conditionalFormatting>
  <conditionalFormatting sqref="J28">
    <cfRule type="containsText" dxfId="6461" priority="6469" operator="containsText" text="%">
      <formula>NOT(ISERROR(SEARCH("%",J28)))</formula>
    </cfRule>
  </conditionalFormatting>
  <conditionalFormatting sqref="J28">
    <cfRule type="containsText" dxfId="6460" priority="6468" operator="containsText" text="%">
      <formula>NOT(ISERROR(SEARCH("%",J28)))</formula>
    </cfRule>
  </conditionalFormatting>
  <conditionalFormatting sqref="K27:K28">
    <cfRule type="containsText" dxfId="6459" priority="6467" operator="containsText" text="%">
      <formula>NOT(ISERROR(SEARCH("%",K27)))</formula>
    </cfRule>
  </conditionalFormatting>
  <conditionalFormatting sqref="K27:K28">
    <cfRule type="containsText" dxfId="6458" priority="6466" operator="containsText" text="%">
      <formula>NOT(ISERROR(SEARCH("%",K27)))</formula>
    </cfRule>
  </conditionalFormatting>
  <conditionalFormatting sqref="K27:K28">
    <cfRule type="containsText" dxfId="6457" priority="6465" operator="containsText" text="%">
      <formula>NOT(ISERROR(SEARCH("%",K27)))</formula>
    </cfRule>
  </conditionalFormatting>
  <conditionalFormatting sqref="K27:K28">
    <cfRule type="containsText" dxfId="6456" priority="6464" operator="containsText" text="%">
      <formula>NOT(ISERROR(SEARCH("%",K27)))</formula>
    </cfRule>
  </conditionalFormatting>
  <conditionalFormatting sqref="K27:K28">
    <cfRule type="containsText" dxfId="6455" priority="6463" operator="containsText" text="%">
      <formula>NOT(ISERROR(SEARCH("%",K27)))</formula>
    </cfRule>
  </conditionalFormatting>
  <conditionalFormatting sqref="K27:K28">
    <cfRule type="containsText" dxfId="6454" priority="6462" operator="containsText" text="%">
      <formula>NOT(ISERROR(SEARCH("%",K27)))</formula>
    </cfRule>
  </conditionalFormatting>
  <conditionalFormatting sqref="K28">
    <cfRule type="containsText" dxfId="6453" priority="6461" operator="containsText" text="%">
      <formula>NOT(ISERROR(SEARCH("%",K28)))</formula>
    </cfRule>
  </conditionalFormatting>
  <conditionalFormatting sqref="K28">
    <cfRule type="containsText" dxfId="6452" priority="6460" operator="containsText" text="%">
      <formula>NOT(ISERROR(SEARCH("%",K28)))</formula>
    </cfRule>
  </conditionalFormatting>
  <conditionalFormatting sqref="K28">
    <cfRule type="containsText" dxfId="6451" priority="6459" operator="containsText" text="%">
      <formula>NOT(ISERROR(SEARCH("%",K28)))</formula>
    </cfRule>
  </conditionalFormatting>
  <conditionalFormatting sqref="K28">
    <cfRule type="containsText" dxfId="6450" priority="6458" operator="containsText" text="%">
      <formula>NOT(ISERROR(SEARCH("%",K28)))</formula>
    </cfRule>
  </conditionalFormatting>
  <conditionalFormatting sqref="K28">
    <cfRule type="containsText" dxfId="6449" priority="6449" operator="containsText" text="%">
      <formula>NOT(ISERROR(SEARCH("%",K28)))</formula>
    </cfRule>
  </conditionalFormatting>
  <conditionalFormatting sqref="K28">
    <cfRule type="containsText" dxfId="6448" priority="6448" operator="containsText" text="%">
      <formula>NOT(ISERROR(SEARCH("%",K28)))</formula>
    </cfRule>
  </conditionalFormatting>
  <conditionalFormatting sqref="K28">
    <cfRule type="containsText" dxfId="6447" priority="6457" operator="containsText" text="%">
      <formula>NOT(ISERROR(SEARCH("%",K28)))</formula>
    </cfRule>
  </conditionalFormatting>
  <conditionalFormatting sqref="K28">
    <cfRule type="containsText" dxfId="6446" priority="6456" operator="containsText" text="%">
      <formula>NOT(ISERROR(SEARCH("%",K28)))</formula>
    </cfRule>
  </conditionalFormatting>
  <conditionalFormatting sqref="K28">
    <cfRule type="containsText" dxfId="6445" priority="6455" operator="containsText" text="%">
      <formula>NOT(ISERROR(SEARCH("%",K28)))</formula>
    </cfRule>
  </conditionalFormatting>
  <conditionalFormatting sqref="K28">
    <cfRule type="containsText" dxfId="6444" priority="6454" operator="containsText" text="%">
      <formula>NOT(ISERROR(SEARCH("%",K28)))</formula>
    </cfRule>
  </conditionalFormatting>
  <conditionalFormatting sqref="K28">
    <cfRule type="containsText" dxfId="6443" priority="6453" operator="containsText" text="%">
      <formula>NOT(ISERROR(SEARCH("%",K28)))</formula>
    </cfRule>
  </conditionalFormatting>
  <conditionalFormatting sqref="K28">
    <cfRule type="containsText" dxfId="6442" priority="6452" operator="containsText" text="%">
      <formula>NOT(ISERROR(SEARCH("%",K28)))</formula>
    </cfRule>
  </conditionalFormatting>
  <conditionalFormatting sqref="K28">
    <cfRule type="containsText" dxfId="6441" priority="6451" operator="containsText" text="%">
      <formula>NOT(ISERROR(SEARCH("%",K28)))</formula>
    </cfRule>
  </conditionalFormatting>
  <conditionalFormatting sqref="K28">
    <cfRule type="containsText" dxfId="6440" priority="6450" operator="containsText" text="%">
      <formula>NOT(ISERROR(SEARCH("%",K28)))</formula>
    </cfRule>
  </conditionalFormatting>
  <conditionalFormatting sqref="K28">
    <cfRule type="containsText" dxfId="6439" priority="6447" operator="containsText" text="%">
      <formula>NOT(ISERROR(SEARCH("%",K28)))</formula>
    </cfRule>
  </conditionalFormatting>
  <conditionalFormatting sqref="K28">
    <cfRule type="containsText" dxfId="6438" priority="6446" operator="containsText" text="%">
      <formula>NOT(ISERROR(SEARCH("%",K28)))</formula>
    </cfRule>
  </conditionalFormatting>
  <conditionalFormatting sqref="K28">
    <cfRule type="containsText" dxfId="6437" priority="6445" operator="containsText" text="%">
      <formula>NOT(ISERROR(SEARCH("%",K28)))</formula>
    </cfRule>
  </conditionalFormatting>
  <conditionalFormatting sqref="K28">
    <cfRule type="containsText" dxfId="6436" priority="6444" operator="containsText" text="%">
      <formula>NOT(ISERROR(SEARCH("%",K28)))</formula>
    </cfRule>
  </conditionalFormatting>
  <conditionalFormatting sqref="K28">
    <cfRule type="containsText" dxfId="6435" priority="6443" operator="containsText" text="%">
      <formula>NOT(ISERROR(SEARCH("%",K28)))</formula>
    </cfRule>
  </conditionalFormatting>
  <conditionalFormatting sqref="K28">
    <cfRule type="containsText" dxfId="6434" priority="6442" operator="containsText" text="%">
      <formula>NOT(ISERROR(SEARCH("%",K28)))</formula>
    </cfRule>
  </conditionalFormatting>
  <conditionalFormatting sqref="K28">
    <cfRule type="containsText" dxfId="6433" priority="6441" operator="containsText" text="%">
      <formula>NOT(ISERROR(SEARCH("%",K28)))</formula>
    </cfRule>
  </conditionalFormatting>
  <conditionalFormatting sqref="K28">
    <cfRule type="containsText" dxfId="6432" priority="6440" operator="containsText" text="%">
      <formula>NOT(ISERROR(SEARCH("%",K28)))</formula>
    </cfRule>
  </conditionalFormatting>
  <conditionalFormatting sqref="K28">
    <cfRule type="containsText" dxfId="6431" priority="6439" operator="containsText" text="%">
      <formula>NOT(ISERROR(SEARCH("%",K28)))</formula>
    </cfRule>
  </conditionalFormatting>
  <conditionalFormatting sqref="K28">
    <cfRule type="containsText" dxfId="6430" priority="6438" operator="containsText" text="%">
      <formula>NOT(ISERROR(SEARCH("%",K28)))</formula>
    </cfRule>
  </conditionalFormatting>
  <conditionalFormatting sqref="K28">
    <cfRule type="containsText" dxfId="6429" priority="6437" operator="containsText" text="%">
      <formula>NOT(ISERROR(SEARCH("%",K28)))</formula>
    </cfRule>
  </conditionalFormatting>
  <conditionalFormatting sqref="K28">
    <cfRule type="containsText" dxfId="6428" priority="6436" operator="containsText" text="%">
      <formula>NOT(ISERROR(SEARCH("%",K28)))</formula>
    </cfRule>
  </conditionalFormatting>
  <conditionalFormatting sqref="K28">
    <cfRule type="containsText" dxfId="6427" priority="6435" operator="containsText" text="%">
      <formula>NOT(ISERROR(SEARCH("%",K28)))</formula>
    </cfRule>
  </conditionalFormatting>
  <conditionalFormatting sqref="K28">
    <cfRule type="containsText" dxfId="6426" priority="6434" operator="containsText" text="%">
      <formula>NOT(ISERROR(SEARCH("%",K28)))</formula>
    </cfRule>
  </conditionalFormatting>
  <conditionalFormatting sqref="K28">
    <cfRule type="containsText" dxfId="6425" priority="6433" operator="containsText" text="%">
      <formula>NOT(ISERROR(SEARCH("%",K28)))</formula>
    </cfRule>
  </conditionalFormatting>
  <conditionalFormatting sqref="K28">
    <cfRule type="containsText" dxfId="6424" priority="6432" operator="containsText" text="%">
      <formula>NOT(ISERROR(SEARCH("%",K28)))</formula>
    </cfRule>
  </conditionalFormatting>
  <conditionalFormatting sqref="K28">
    <cfRule type="containsText" dxfId="6423" priority="6431" operator="containsText" text="%">
      <formula>NOT(ISERROR(SEARCH("%",K28)))</formula>
    </cfRule>
  </conditionalFormatting>
  <conditionalFormatting sqref="K28">
    <cfRule type="containsText" dxfId="6422" priority="6430" operator="containsText" text="%">
      <formula>NOT(ISERROR(SEARCH("%",K28)))</formula>
    </cfRule>
  </conditionalFormatting>
  <conditionalFormatting sqref="K28">
    <cfRule type="containsText" dxfId="6421" priority="6429" operator="containsText" text="%">
      <formula>NOT(ISERROR(SEARCH("%",K28)))</formula>
    </cfRule>
  </conditionalFormatting>
  <conditionalFormatting sqref="K28">
    <cfRule type="containsText" dxfId="6420" priority="6428" operator="containsText" text="%">
      <formula>NOT(ISERROR(SEARCH("%",K28)))</formula>
    </cfRule>
  </conditionalFormatting>
  <conditionalFormatting sqref="K28">
    <cfRule type="containsText" dxfId="6419" priority="6427" operator="containsText" text="%">
      <formula>NOT(ISERROR(SEARCH("%",K28)))</formula>
    </cfRule>
  </conditionalFormatting>
  <conditionalFormatting sqref="K28">
    <cfRule type="containsText" dxfId="6418" priority="6426" operator="containsText" text="%">
      <formula>NOT(ISERROR(SEARCH("%",K28)))</formula>
    </cfRule>
  </conditionalFormatting>
  <conditionalFormatting sqref="K28">
    <cfRule type="containsText" dxfId="6417" priority="6425" operator="containsText" text="%">
      <formula>NOT(ISERROR(SEARCH("%",K28)))</formula>
    </cfRule>
  </conditionalFormatting>
  <conditionalFormatting sqref="K28">
    <cfRule type="containsText" dxfId="6416" priority="6424" operator="containsText" text="%">
      <formula>NOT(ISERROR(SEARCH("%",K28)))</formula>
    </cfRule>
  </conditionalFormatting>
  <conditionalFormatting sqref="K28">
    <cfRule type="containsText" dxfId="6415" priority="6423" operator="containsText" text="%">
      <formula>NOT(ISERROR(SEARCH("%",K28)))</formula>
    </cfRule>
  </conditionalFormatting>
  <conditionalFormatting sqref="K28">
    <cfRule type="containsText" dxfId="6414" priority="6422" operator="containsText" text="%">
      <formula>NOT(ISERROR(SEARCH("%",K28)))</formula>
    </cfRule>
  </conditionalFormatting>
  <conditionalFormatting sqref="K28">
    <cfRule type="containsText" dxfId="6413" priority="6421" operator="containsText" text="%">
      <formula>NOT(ISERROR(SEARCH("%",K28)))</formula>
    </cfRule>
  </conditionalFormatting>
  <conditionalFormatting sqref="K28">
    <cfRule type="containsText" dxfId="6412" priority="6420" operator="containsText" text="%">
      <formula>NOT(ISERROR(SEARCH("%",K28)))</formula>
    </cfRule>
  </conditionalFormatting>
  <conditionalFormatting sqref="I27:I28">
    <cfRule type="containsText" dxfId="6411" priority="6404" operator="containsText" text="%">
      <formula>NOT(ISERROR(SEARCH("%",I27)))</formula>
    </cfRule>
  </conditionalFormatting>
  <conditionalFormatting sqref="I27:I28">
    <cfRule type="containsText" dxfId="6410" priority="6403" operator="containsText" text="%">
      <formula>NOT(ISERROR(SEARCH("%",I27)))</formula>
    </cfRule>
  </conditionalFormatting>
  <conditionalFormatting sqref="I27:I28">
    <cfRule type="containsText" dxfId="6409" priority="6399" operator="containsText" text="%">
      <formula>NOT(ISERROR(SEARCH("%",I27)))</formula>
    </cfRule>
  </conditionalFormatting>
  <conditionalFormatting sqref="I27:I28">
    <cfRule type="containsText" dxfId="6408" priority="6419" operator="containsText" text="%">
      <formula>NOT(ISERROR(SEARCH("%",I27)))</formula>
    </cfRule>
  </conditionalFormatting>
  <conditionalFormatting sqref="I27">
    <cfRule type="containsText" dxfId="6407" priority="6418" operator="containsText" text="%">
      <formula>NOT(ISERROR(SEARCH("%",I27)))</formula>
    </cfRule>
  </conditionalFormatting>
  <conditionalFormatting sqref="I27">
    <cfRule type="containsText" dxfId="6406" priority="6417" operator="containsText" text="%">
      <formula>NOT(ISERROR(SEARCH("%",I27)))</formula>
    </cfRule>
  </conditionalFormatting>
  <conditionalFormatting sqref="I27:I28">
    <cfRule type="containsText" dxfId="6405" priority="6397" operator="containsText" text="%">
      <formula>NOT(ISERROR(SEARCH("%",I27)))</formula>
    </cfRule>
  </conditionalFormatting>
  <conditionalFormatting sqref="I27:I28">
    <cfRule type="containsText" dxfId="6404" priority="6416" operator="containsText" text="%">
      <formula>NOT(ISERROR(SEARCH("%",I27)))</formula>
    </cfRule>
  </conditionalFormatting>
  <conditionalFormatting sqref="I27:I28">
    <cfRule type="containsText" dxfId="6403" priority="6415" operator="containsText" text="%">
      <formula>NOT(ISERROR(SEARCH("%",I27)))</formula>
    </cfRule>
  </conditionalFormatting>
  <conditionalFormatting sqref="I27:I28">
    <cfRule type="containsText" dxfId="6402" priority="6414" operator="containsText" text="%">
      <formula>NOT(ISERROR(SEARCH("%",I27)))</formula>
    </cfRule>
  </conditionalFormatting>
  <conditionalFormatting sqref="I27:I28">
    <cfRule type="containsText" dxfId="6401" priority="6413" operator="containsText" text="%">
      <formula>NOT(ISERROR(SEARCH("%",I27)))</formula>
    </cfRule>
  </conditionalFormatting>
  <conditionalFormatting sqref="I27:I28">
    <cfRule type="containsText" dxfId="6400" priority="6412" operator="containsText" text="%">
      <formula>NOT(ISERROR(SEARCH("%",I27)))</formula>
    </cfRule>
  </conditionalFormatting>
  <conditionalFormatting sqref="I27:I28">
    <cfRule type="containsText" dxfId="6399" priority="6411" operator="containsText" text="%">
      <formula>NOT(ISERROR(SEARCH("%",I27)))</formula>
    </cfRule>
  </conditionalFormatting>
  <conditionalFormatting sqref="I27:I28">
    <cfRule type="containsText" dxfId="6398" priority="6410" operator="containsText" text="%">
      <formula>NOT(ISERROR(SEARCH("%",I27)))</formula>
    </cfRule>
  </conditionalFormatting>
  <conditionalFormatting sqref="I27:I28">
    <cfRule type="containsText" dxfId="6397" priority="6409" operator="containsText" text="%">
      <formula>NOT(ISERROR(SEARCH("%",I27)))</formula>
    </cfRule>
  </conditionalFormatting>
  <conditionalFormatting sqref="I27:I28">
    <cfRule type="containsText" dxfId="6396" priority="6408" operator="containsText" text="%">
      <formula>NOT(ISERROR(SEARCH("%",I27)))</formula>
    </cfRule>
  </conditionalFormatting>
  <conditionalFormatting sqref="I27:I28">
    <cfRule type="containsText" dxfId="6395" priority="6407" operator="containsText" text="%">
      <formula>NOT(ISERROR(SEARCH("%",I27)))</formula>
    </cfRule>
  </conditionalFormatting>
  <conditionalFormatting sqref="I27:I28">
    <cfRule type="containsText" dxfId="6394" priority="6406" operator="containsText" text="%">
      <formula>NOT(ISERROR(SEARCH("%",I27)))</formula>
    </cfRule>
  </conditionalFormatting>
  <conditionalFormatting sqref="I27:I28">
    <cfRule type="containsText" dxfId="6393" priority="6405" operator="containsText" text="%">
      <formula>NOT(ISERROR(SEARCH("%",I27)))</formula>
    </cfRule>
  </conditionalFormatting>
  <conditionalFormatting sqref="I27:I28">
    <cfRule type="containsText" dxfId="6392" priority="6402" operator="containsText" text="%">
      <formula>NOT(ISERROR(SEARCH("%",I27)))</formula>
    </cfRule>
  </conditionalFormatting>
  <conditionalFormatting sqref="I27:I28">
    <cfRule type="containsText" dxfId="6391" priority="6401" operator="containsText" text="%">
      <formula>NOT(ISERROR(SEARCH("%",I27)))</formula>
    </cfRule>
  </conditionalFormatting>
  <conditionalFormatting sqref="I27:I28">
    <cfRule type="containsText" dxfId="6390" priority="6400" operator="containsText" text="%">
      <formula>NOT(ISERROR(SEARCH("%",I27)))</formula>
    </cfRule>
  </conditionalFormatting>
  <conditionalFormatting sqref="I27:I28">
    <cfRule type="containsText" dxfId="6389" priority="6398" operator="containsText" text="%">
      <formula>NOT(ISERROR(SEARCH("%",I27)))</formula>
    </cfRule>
  </conditionalFormatting>
  <conditionalFormatting sqref="I27:I28">
    <cfRule type="containsText" dxfId="6388" priority="6396" operator="containsText" text="%">
      <formula>NOT(ISERROR(SEARCH("%",I27)))</formula>
    </cfRule>
  </conditionalFormatting>
  <conditionalFormatting sqref="I27:I28">
    <cfRule type="containsText" dxfId="6387" priority="6395" operator="containsText" text="%">
      <formula>NOT(ISERROR(SEARCH("%",I27)))</formula>
    </cfRule>
  </conditionalFormatting>
  <conditionalFormatting sqref="I27:I28">
    <cfRule type="containsText" dxfId="6386" priority="6394" operator="containsText" text="%">
      <formula>NOT(ISERROR(SEARCH("%",I27)))</formula>
    </cfRule>
  </conditionalFormatting>
  <conditionalFormatting sqref="I27:I28">
    <cfRule type="containsText" dxfId="6385" priority="6393" operator="containsText" text="%">
      <formula>NOT(ISERROR(SEARCH("%",I27)))</formula>
    </cfRule>
  </conditionalFormatting>
  <conditionalFormatting sqref="I27:I28">
    <cfRule type="containsText" dxfId="6384" priority="6392" operator="containsText" text="%">
      <formula>NOT(ISERROR(SEARCH("%",I27)))</formula>
    </cfRule>
  </conditionalFormatting>
  <conditionalFormatting sqref="I27:I28">
    <cfRule type="containsText" dxfId="6383" priority="6391" operator="containsText" text="%">
      <formula>NOT(ISERROR(SEARCH("%",I27)))</formula>
    </cfRule>
  </conditionalFormatting>
  <conditionalFormatting sqref="I27:I28">
    <cfRule type="containsText" dxfId="6382" priority="6390" operator="containsText" text="%">
      <formula>NOT(ISERROR(SEARCH("%",I27)))</formula>
    </cfRule>
  </conditionalFormatting>
  <conditionalFormatting sqref="I27:I28">
    <cfRule type="containsText" dxfId="6381" priority="6389" operator="containsText" text="%">
      <formula>NOT(ISERROR(SEARCH("%",I27)))</formula>
    </cfRule>
  </conditionalFormatting>
  <conditionalFormatting sqref="I27:I28">
    <cfRule type="containsText" dxfId="6380" priority="6388" operator="containsText" text="%">
      <formula>NOT(ISERROR(SEARCH("%",I27)))</formula>
    </cfRule>
  </conditionalFormatting>
  <conditionalFormatting sqref="I27:I28">
    <cfRule type="containsText" dxfId="6379" priority="6387" operator="containsText" text="%">
      <formula>NOT(ISERROR(SEARCH("%",I27)))</formula>
    </cfRule>
  </conditionalFormatting>
  <conditionalFormatting sqref="I28">
    <cfRule type="containsText" dxfId="6378" priority="6386" operator="containsText" text="%">
      <formula>NOT(ISERROR(SEARCH("%",I28)))</formula>
    </cfRule>
  </conditionalFormatting>
  <conditionalFormatting sqref="I28">
    <cfRule type="containsText" dxfId="6377" priority="6385" operator="containsText" text="%">
      <formula>NOT(ISERROR(SEARCH("%",I28)))</formula>
    </cfRule>
  </conditionalFormatting>
  <conditionalFormatting sqref="I28">
    <cfRule type="containsText" dxfId="6376" priority="6384" operator="containsText" text="%">
      <formula>NOT(ISERROR(SEARCH("%",I28)))</formula>
    </cfRule>
  </conditionalFormatting>
  <conditionalFormatting sqref="I28">
    <cfRule type="containsText" dxfId="6375" priority="6383" operator="containsText" text="%">
      <formula>NOT(ISERROR(SEARCH("%",I28)))</formula>
    </cfRule>
  </conditionalFormatting>
  <conditionalFormatting sqref="I27:I28">
    <cfRule type="containsText" dxfId="6374" priority="6382" operator="containsText" text="%">
      <formula>NOT(ISERROR(SEARCH("%",I27)))</formula>
    </cfRule>
  </conditionalFormatting>
  <conditionalFormatting sqref="I27:I28">
    <cfRule type="containsText" dxfId="6373" priority="6381" operator="containsText" text="%">
      <formula>NOT(ISERROR(SEARCH("%",I27)))</formula>
    </cfRule>
  </conditionalFormatting>
  <conditionalFormatting sqref="I27:I28">
    <cfRule type="containsText" dxfId="6372" priority="6380" operator="containsText" text="%">
      <formula>NOT(ISERROR(SEARCH("%",I27)))</formula>
    </cfRule>
  </conditionalFormatting>
  <conditionalFormatting sqref="I27:I28">
    <cfRule type="containsText" dxfId="6371" priority="6379" operator="containsText" text="%">
      <formula>NOT(ISERROR(SEARCH("%",I27)))</formula>
    </cfRule>
  </conditionalFormatting>
  <conditionalFormatting sqref="I27:I28">
    <cfRule type="containsText" dxfId="6370" priority="6378" operator="containsText" text="%">
      <formula>NOT(ISERROR(SEARCH("%",I27)))</formula>
    </cfRule>
  </conditionalFormatting>
  <conditionalFormatting sqref="I27:I28">
    <cfRule type="containsText" dxfId="6369" priority="6377" operator="containsText" text="%">
      <formula>NOT(ISERROR(SEARCH("%",I27)))</formula>
    </cfRule>
  </conditionalFormatting>
  <conditionalFormatting sqref="I27:I28">
    <cfRule type="containsText" dxfId="6368" priority="6376" operator="containsText" text="%">
      <formula>NOT(ISERROR(SEARCH("%",I27)))</formula>
    </cfRule>
  </conditionalFormatting>
  <conditionalFormatting sqref="I27:I28">
    <cfRule type="containsText" dxfId="6367" priority="6375" operator="containsText" text="%">
      <formula>NOT(ISERROR(SEARCH("%",I27)))</formula>
    </cfRule>
  </conditionalFormatting>
  <conditionalFormatting sqref="I27:I28">
    <cfRule type="containsText" dxfId="6366" priority="6374" operator="containsText" text="%">
      <formula>NOT(ISERROR(SEARCH("%",I27)))</formula>
    </cfRule>
  </conditionalFormatting>
  <conditionalFormatting sqref="I27:I28">
    <cfRule type="containsText" dxfId="6365" priority="6373" operator="containsText" text="%">
      <formula>NOT(ISERROR(SEARCH("%",I27)))</formula>
    </cfRule>
  </conditionalFormatting>
  <conditionalFormatting sqref="I28">
    <cfRule type="containsText" dxfId="6364" priority="6372" operator="containsText" text="%">
      <formula>NOT(ISERROR(SEARCH("%",I28)))</formula>
    </cfRule>
  </conditionalFormatting>
  <conditionalFormatting sqref="I28">
    <cfRule type="containsText" dxfId="6363" priority="6371" operator="containsText" text="%">
      <formula>NOT(ISERROR(SEARCH("%",I28)))</formula>
    </cfRule>
  </conditionalFormatting>
  <conditionalFormatting sqref="I28">
    <cfRule type="containsText" dxfId="6362" priority="6370" operator="containsText" text="%">
      <formula>NOT(ISERROR(SEARCH("%",I28)))</formula>
    </cfRule>
  </conditionalFormatting>
  <conditionalFormatting sqref="I28">
    <cfRule type="containsText" dxfId="6361" priority="6369" operator="containsText" text="%">
      <formula>NOT(ISERROR(SEARCH("%",I28)))</formula>
    </cfRule>
  </conditionalFormatting>
  <conditionalFormatting sqref="K27:K28">
    <cfRule type="containsText" dxfId="6360" priority="6360" operator="containsText" text="%">
      <formula>NOT(ISERROR(SEARCH("%",K27)))</formula>
    </cfRule>
  </conditionalFormatting>
  <conditionalFormatting sqref="K27:K28">
    <cfRule type="containsText" dxfId="6359" priority="6359" operator="containsText" text="%">
      <formula>NOT(ISERROR(SEARCH("%",K27)))</formula>
    </cfRule>
  </conditionalFormatting>
  <conditionalFormatting sqref="K27:K28">
    <cfRule type="containsText" dxfId="6358" priority="6368" operator="containsText" text="%">
      <formula>NOT(ISERROR(SEARCH("%",K27)))</formula>
    </cfRule>
  </conditionalFormatting>
  <conditionalFormatting sqref="K27:K28">
    <cfRule type="containsText" dxfId="6357" priority="6367" operator="containsText" text="%">
      <formula>NOT(ISERROR(SEARCH("%",K27)))</formula>
    </cfRule>
  </conditionalFormatting>
  <conditionalFormatting sqref="K27:K28">
    <cfRule type="containsText" dxfId="6356" priority="6366" operator="containsText" text="%">
      <formula>NOT(ISERROR(SEARCH("%",K27)))</formula>
    </cfRule>
  </conditionalFormatting>
  <conditionalFormatting sqref="K27:K28">
    <cfRule type="containsText" dxfId="6355" priority="6365" operator="containsText" text="%">
      <formula>NOT(ISERROR(SEARCH("%",K27)))</formula>
    </cfRule>
  </conditionalFormatting>
  <conditionalFormatting sqref="K27:K28">
    <cfRule type="containsText" dxfId="6354" priority="6364" operator="containsText" text="%">
      <formula>NOT(ISERROR(SEARCH("%",K27)))</formula>
    </cfRule>
  </conditionalFormatting>
  <conditionalFormatting sqref="K27:K28">
    <cfRule type="containsText" dxfId="6353" priority="6363" operator="containsText" text="%">
      <formula>NOT(ISERROR(SEARCH("%",K27)))</formula>
    </cfRule>
  </conditionalFormatting>
  <conditionalFormatting sqref="K27:K28">
    <cfRule type="containsText" dxfId="6352" priority="6362" operator="containsText" text="%">
      <formula>NOT(ISERROR(SEARCH("%",K27)))</formula>
    </cfRule>
  </conditionalFormatting>
  <conditionalFormatting sqref="K27:K28">
    <cfRule type="containsText" dxfId="6351" priority="6361" operator="containsText" text="%">
      <formula>NOT(ISERROR(SEARCH("%",K27)))</formula>
    </cfRule>
  </conditionalFormatting>
  <conditionalFormatting sqref="K27:K28">
    <cfRule type="containsText" dxfId="6350" priority="6358" operator="containsText" text="%">
      <formula>NOT(ISERROR(SEARCH("%",K27)))</formula>
    </cfRule>
  </conditionalFormatting>
  <conditionalFormatting sqref="K27:K28">
    <cfRule type="containsText" dxfId="6349" priority="6357" operator="containsText" text="%">
      <formula>NOT(ISERROR(SEARCH("%",K27)))</formula>
    </cfRule>
  </conditionalFormatting>
  <conditionalFormatting sqref="K27:K28">
    <cfRule type="containsText" dxfId="6348" priority="6356" operator="containsText" text="%">
      <formula>NOT(ISERROR(SEARCH("%",K27)))</formula>
    </cfRule>
  </conditionalFormatting>
  <conditionalFormatting sqref="K27:K28">
    <cfRule type="containsText" dxfId="6347" priority="6355" operator="containsText" text="%">
      <formula>NOT(ISERROR(SEARCH("%",K27)))</formula>
    </cfRule>
  </conditionalFormatting>
  <conditionalFormatting sqref="K27:K28">
    <cfRule type="containsText" dxfId="6346" priority="6354" operator="containsText" text="%">
      <formula>NOT(ISERROR(SEARCH("%",K27)))</formula>
    </cfRule>
  </conditionalFormatting>
  <conditionalFormatting sqref="K27:K28">
    <cfRule type="containsText" dxfId="6345" priority="6353" operator="containsText" text="%">
      <formula>NOT(ISERROR(SEARCH("%",K27)))</formula>
    </cfRule>
  </conditionalFormatting>
  <conditionalFormatting sqref="K27:K28">
    <cfRule type="containsText" dxfId="6344" priority="6352" operator="containsText" text="%">
      <formula>NOT(ISERROR(SEARCH("%",K27)))</formula>
    </cfRule>
  </conditionalFormatting>
  <conditionalFormatting sqref="K27:K28">
    <cfRule type="containsText" dxfId="6343" priority="6351" operator="containsText" text="%">
      <formula>NOT(ISERROR(SEARCH("%",K27)))</formula>
    </cfRule>
  </conditionalFormatting>
  <conditionalFormatting sqref="K27:K28">
    <cfRule type="containsText" dxfId="6342" priority="6350" operator="containsText" text="%">
      <formula>NOT(ISERROR(SEARCH("%",K27)))</formula>
    </cfRule>
  </conditionalFormatting>
  <conditionalFormatting sqref="K27:K28">
    <cfRule type="containsText" dxfId="6341" priority="6349" operator="containsText" text="%">
      <formula>NOT(ISERROR(SEARCH("%",K27)))</formula>
    </cfRule>
  </conditionalFormatting>
  <conditionalFormatting sqref="K28">
    <cfRule type="containsText" dxfId="6340" priority="6348" operator="containsText" text="%">
      <formula>NOT(ISERROR(SEARCH("%",K28)))</formula>
    </cfRule>
  </conditionalFormatting>
  <conditionalFormatting sqref="K28">
    <cfRule type="containsText" dxfId="6339" priority="6347" operator="containsText" text="%">
      <formula>NOT(ISERROR(SEARCH("%",K28)))</formula>
    </cfRule>
  </conditionalFormatting>
  <conditionalFormatting sqref="K28">
    <cfRule type="containsText" dxfId="6338" priority="6346" operator="containsText" text="%">
      <formula>NOT(ISERROR(SEARCH("%",K28)))</formula>
    </cfRule>
  </conditionalFormatting>
  <conditionalFormatting sqref="K28">
    <cfRule type="containsText" dxfId="6337" priority="6345" operator="containsText" text="%">
      <formula>NOT(ISERROR(SEARCH("%",K28)))</formula>
    </cfRule>
  </conditionalFormatting>
  <conditionalFormatting sqref="K27:K28">
    <cfRule type="containsText" dxfId="6336" priority="6344" operator="containsText" text="%">
      <formula>NOT(ISERROR(SEARCH("%",K27)))</formula>
    </cfRule>
  </conditionalFormatting>
  <conditionalFormatting sqref="K27:K28">
    <cfRule type="containsText" dxfId="6335" priority="6343" operator="containsText" text="%">
      <formula>NOT(ISERROR(SEARCH("%",K27)))</formula>
    </cfRule>
  </conditionalFormatting>
  <conditionalFormatting sqref="K27:K28">
    <cfRule type="containsText" dxfId="6334" priority="6342" operator="containsText" text="%">
      <formula>NOT(ISERROR(SEARCH("%",K27)))</formula>
    </cfRule>
  </conditionalFormatting>
  <conditionalFormatting sqref="K27:K28">
    <cfRule type="containsText" dxfId="6333" priority="6341" operator="containsText" text="%">
      <formula>NOT(ISERROR(SEARCH("%",K27)))</formula>
    </cfRule>
  </conditionalFormatting>
  <conditionalFormatting sqref="K27:K28">
    <cfRule type="containsText" dxfId="6332" priority="6340" operator="containsText" text="%">
      <formula>NOT(ISERROR(SEARCH("%",K27)))</formula>
    </cfRule>
  </conditionalFormatting>
  <conditionalFormatting sqref="K27:K28">
    <cfRule type="containsText" dxfId="6331" priority="6339" operator="containsText" text="%">
      <formula>NOT(ISERROR(SEARCH("%",K27)))</formula>
    </cfRule>
  </conditionalFormatting>
  <conditionalFormatting sqref="K27:K28">
    <cfRule type="containsText" dxfId="6330" priority="6338" operator="containsText" text="%">
      <formula>NOT(ISERROR(SEARCH("%",K27)))</formula>
    </cfRule>
  </conditionalFormatting>
  <conditionalFormatting sqref="K27:K28">
    <cfRule type="containsText" dxfId="6329" priority="6337" operator="containsText" text="%">
      <formula>NOT(ISERROR(SEARCH("%",K27)))</formula>
    </cfRule>
  </conditionalFormatting>
  <conditionalFormatting sqref="K27:K28">
    <cfRule type="containsText" dxfId="6328" priority="6336" operator="containsText" text="%">
      <formula>NOT(ISERROR(SEARCH("%",K27)))</formula>
    </cfRule>
  </conditionalFormatting>
  <conditionalFormatting sqref="K27:K28">
    <cfRule type="containsText" dxfId="6327" priority="6335" operator="containsText" text="%">
      <formula>NOT(ISERROR(SEARCH("%",K27)))</formula>
    </cfRule>
  </conditionalFormatting>
  <conditionalFormatting sqref="K28">
    <cfRule type="containsText" dxfId="6326" priority="6334" operator="containsText" text="%">
      <formula>NOT(ISERROR(SEARCH("%",K28)))</formula>
    </cfRule>
  </conditionalFormatting>
  <conditionalFormatting sqref="K28">
    <cfRule type="containsText" dxfId="6325" priority="6333" operator="containsText" text="%">
      <formula>NOT(ISERROR(SEARCH("%",K28)))</formula>
    </cfRule>
  </conditionalFormatting>
  <conditionalFormatting sqref="K28">
    <cfRule type="containsText" dxfId="6324" priority="6332" operator="containsText" text="%">
      <formula>NOT(ISERROR(SEARCH("%",K28)))</formula>
    </cfRule>
  </conditionalFormatting>
  <conditionalFormatting sqref="K28">
    <cfRule type="containsText" dxfId="6323" priority="6331" operator="containsText" text="%">
      <formula>NOT(ISERROR(SEARCH("%",K28)))</formula>
    </cfRule>
  </conditionalFormatting>
  <conditionalFormatting sqref="L27:L28">
    <cfRule type="containsText" dxfId="6322" priority="6322" operator="containsText" text="%">
      <formula>NOT(ISERROR(SEARCH("%",L27)))</formula>
    </cfRule>
  </conditionalFormatting>
  <conditionalFormatting sqref="L27:L28">
    <cfRule type="containsText" dxfId="6321" priority="6321" operator="containsText" text="%">
      <formula>NOT(ISERROR(SEARCH("%",L27)))</formula>
    </cfRule>
  </conditionalFormatting>
  <conditionalFormatting sqref="L27:L28">
    <cfRule type="containsText" dxfId="6320" priority="6330" operator="containsText" text="%">
      <formula>NOT(ISERROR(SEARCH("%",L27)))</formula>
    </cfRule>
  </conditionalFormatting>
  <conditionalFormatting sqref="L27:L28">
    <cfRule type="containsText" dxfId="6319" priority="6329" operator="containsText" text="%">
      <formula>NOT(ISERROR(SEARCH("%",L27)))</formula>
    </cfRule>
  </conditionalFormatting>
  <conditionalFormatting sqref="L27:L28">
    <cfRule type="containsText" dxfId="6318" priority="6328" operator="containsText" text="%">
      <formula>NOT(ISERROR(SEARCH("%",L27)))</formula>
    </cfRule>
  </conditionalFormatting>
  <conditionalFormatting sqref="L27:L28">
    <cfRule type="containsText" dxfId="6317" priority="6327" operator="containsText" text="%">
      <formula>NOT(ISERROR(SEARCH("%",L27)))</formula>
    </cfRule>
  </conditionalFormatting>
  <conditionalFormatting sqref="L27:L28">
    <cfRule type="containsText" dxfId="6316" priority="6326" operator="containsText" text="%">
      <formula>NOT(ISERROR(SEARCH("%",L27)))</formula>
    </cfRule>
  </conditionalFormatting>
  <conditionalFormatting sqref="L27:L28">
    <cfRule type="containsText" dxfId="6315" priority="6325" operator="containsText" text="%">
      <formula>NOT(ISERROR(SEARCH("%",L27)))</formula>
    </cfRule>
  </conditionalFormatting>
  <conditionalFormatting sqref="L27:L28">
    <cfRule type="containsText" dxfId="6314" priority="6324" operator="containsText" text="%">
      <formula>NOT(ISERROR(SEARCH("%",L27)))</formula>
    </cfRule>
  </conditionalFormatting>
  <conditionalFormatting sqref="L27:L28">
    <cfRule type="containsText" dxfId="6313" priority="6323" operator="containsText" text="%">
      <formula>NOT(ISERROR(SEARCH("%",L27)))</formula>
    </cfRule>
  </conditionalFormatting>
  <conditionalFormatting sqref="L27:L28">
    <cfRule type="containsText" dxfId="6312" priority="6320" operator="containsText" text="%">
      <formula>NOT(ISERROR(SEARCH("%",L27)))</formula>
    </cfRule>
  </conditionalFormatting>
  <conditionalFormatting sqref="L27:L28">
    <cfRule type="containsText" dxfId="6311" priority="6319" operator="containsText" text="%">
      <formula>NOT(ISERROR(SEARCH("%",L27)))</formula>
    </cfRule>
  </conditionalFormatting>
  <conditionalFormatting sqref="L27:L28">
    <cfRule type="containsText" dxfId="6310" priority="6318" operator="containsText" text="%">
      <formula>NOT(ISERROR(SEARCH("%",L27)))</formula>
    </cfRule>
  </conditionalFormatting>
  <conditionalFormatting sqref="L27:L28">
    <cfRule type="containsText" dxfId="6309" priority="6317" operator="containsText" text="%">
      <formula>NOT(ISERROR(SEARCH("%",L27)))</formula>
    </cfRule>
  </conditionalFormatting>
  <conditionalFormatting sqref="L27:L28">
    <cfRule type="containsText" dxfId="6308" priority="6316" operator="containsText" text="%">
      <formula>NOT(ISERROR(SEARCH("%",L27)))</formula>
    </cfRule>
  </conditionalFormatting>
  <conditionalFormatting sqref="L27:L28">
    <cfRule type="containsText" dxfId="6307" priority="6315" operator="containsText" text="%">
      <formula>NOT(ISERROR(SEARCH("%",L27)))</formula>
    </cfRule>
  </conditionalFormatting>
  <conditionalFormatting sqref="L27:L28">
    <cfRule type="containsText" dxfId="6306" priority="6314" operator="containsText" text="%">
      <formula>NOT(ISERROR(SEARCH("%",L27)))</formula>
    </cfRule>
  </conditionalFormatting>
  <conditionalFormatting sqref="L27:L28">
    <cfRule type="containsText" dxfId="6305" priority="6313" operator="containsText" text="%">
      <formula>NOT(ISERROR(SEARCH("%",L27)))</formula>
    </cfRule>
  </conditionalFormatting>
  <conditionalFormatting sqref="L27:L28">
    <cfRule type="containsText" dxfId="6304" priority="6312" operator="containsText" text="%">
      <formula>NOT(ISERROR(SEARCH("%",L27)))</formula>
    </cfRule>
  </conditionalFormatting>
  <conditionalFormatting sqref="L27:L28">
    <cfRule type="containsText" dxfId="6303" priority="6311" operator="containsText" text="%">
      <formula>NOT(ISERROR(SEARCH("%",L27)))</formula>
    </cfRule>
  </conditionalFormatting>
  <conditionalFormatting sqref="L28">
    <cfRule type="containsText" dxfId="6302" priority="6310" operator="containsText" text="%">
      <formula>NOT(ISERROR(SEARCH("%",L28)))</formula>
    </cfRule>
  </conditionalFormatting>
  <conditionalFormatting sqref="L28">
    <cfRule type="containsText" dxfId="6301" priority="6309" operator="containsText" text="%">
      <formula>NOT(ISERROR(SEARCH("%",L28)))</formula>
    </cfRule>
  </conditionalFormatting>
  <conditionalFormatting sqref="L28">
    <cfRule type="containsText" dxfId="6300" priority="6308" operator="containsText" text="%">
      <formula>NOT(ISERROR(SEARCH("%",L28)))</formula>
    </cfRule>
  </conditionalFormatting>
  <conditionalFormatting sqref="L28">
    <cfRule type="containsText" dxfId="6299" priority="6307" operator="containsText" text="%">
      <formula>NOT(ISERROR(SEARCH("%",L28)))</formula>
    </cfRule>
  </conditionalFormatting>
  <conditionalFormatting sqref="L27:L28">
    <cfRule type="containsText" dxfId="6298" priority="6306" operator="containsText" text="%">
      <formula>NOT(ISERROR(SEARCH("%",L27)))</formula>
    </cfRule>
  </conditionalFormatting>
  <conditionalFormatting sqref="L27:L28">
    <cfRule type="containsText" dxfId="6297" priority="6305" operator="containsText" text="%">
      <formula>NOT(ISERROR(SEARCH("%",L27)))</formula>
    </cfRule>
  </conditionalFormatting>
  <conditionalFormatting sqref="L27:L28">
    <cfRule type="containsText" dxfId="6296" priority="6304" operator="containsText" text="%">
      <formula>NOT(ISERROR(SEARCH("%",L27)))</formula>
    </cfRule>
  </conditionalFormatting>
  <conditionalFormatting sqref="L27:L28">
    <cfRule type="containsText" dxfId="6295" priority="6303" operator="containsText" text="%">
      <formula>NOT(ISERROR(SEARCH("%",L27)))</formula>
    </cfRule>
  </conditionalFormatting>
  <conditionalFormatting sqref="L27:L28">
    <cfRule type="containsText" dxfId="6294" priority="6302" operator="containsText" text="%">
      <formula>NOT(ISERROR(SEARCH("%",L27)))</formula>
    </cfRule>
  </conditionalFormatting>
  <conditionalFormatting sqref="L27:L28">
    <cfRule type="containsText" dxfId="6293" priority="6301" operator="containsText" text="%">
      <formula>NOT(ISERROR(SEARCH("%",L27)))</formula>
    </cfRule>
  </conditionalFormatting>
  <conditionalFormatting sqref="L27:L28">
    <cfRule type="containsText" dxfId="6292" priority="6300" operator="containsText" text="%">
      <formula>NOT(ISERROR(SEARCH("%",L27)))</formula>
    </cfRule>
  </conditionalFormatting>
  <conditionalFormatting sqref="L27:L28">
    <cfRule type="containsText" dxfId="6291" priority="6299" operator="containsText" text="%">
      <formula>NOT(ISERROR(SEARCH("%",L27)))</formula>
    </cfRule>
  </conditionalFormatting>
  <conditionalFormatting sqref="L27:L28">
    <cfRule type="containsText" dxfId="6290" priority="6298" operator="containsText" text="%">
      <formula>NOT(ISERROR(SEARCH("%",L27)))</formula>
    </cfRule>
  </conditionalFormatting>
  <conditionalFormatting sqref="L27:L28">
    <cfRule type="containsText" dxfId="6289" priority="6297" operator="containsText" text="%">
      <formula>NOT(ISERROR(SEARCH("%",L27)))</formula>
    </cfRule>
  </conditionalFormatting>
  <conditionalFormatting sqref="L28">
    <cfRule type="containsText" dxfId="6288" priority="6296" operator="containsText" text="%">
      <formula>NOT(ISERROR(SEARCH("%",L28)))</formula>
    </cfRule>
  </conditionalFormatting>
  <conditionalFormatting sqref="L28">
    <cfRule type="containsText" dxfId="6287" priority="6295" operator="containsText" text="%">
      <formula>NOT(ISERROR(SEARCH("%",L28)))</formula>
    </cfRule>
  </conditionalFormatting>
  <conditionalFormatting sqref="L28">
    <cfRule type="containsText" dxfId="6286" priority="6294" operator="containsText" text="%">
      <formula>NOT(ISERROR(SEARCH("%",L28)))</formula>
    </cfRule>
  </conditionalFormatting>
  <conditionalFormatting sqref="L28">
    <cfRule type="containsText" dxfId="6285" priority="6293" operator="containsText" text="%">
      <formula>NOT(ISERROR(SEARCH("%",L28)))</formula>
    </cfRule>
  </conditionalFormatting>
  <conditionalFormatting sqref="I27">
    <cfRule type="containsText" dxfId="6284" priority="6292" operator="containsText" text="%">
      <formula>NOT(ISERROR(SEARCH("%",I27)))</formula>
    </cfRule>
  </conditionalFormatting>
  <conditionalFormatting sqref="I27">
    <cfRule type="containsText" dxfId="6283" priority="6291" operator="containsText" text="%">
      <formula>NOT(ISERROR(SEARCH("%",I27)))</formula>
    </cfRule>
  </conditionalFormatting>
  <conditionalFormatting sqref="I27">
    <cfRule type="containsText" dxfId="6282" priority="6290" operator="containsText" text="%">
      <formula>NOT(ISERROR(SEARCH("%",I27)))</formula>
    </cfRule>
  </conditionalFormatting>
  <conditionalFormatting sqref="I27">
    <cfRule type="containsText" dxfId="6281" priority="6289" operator="containsText" text="%">
      <formula>NOT(ISERROR(SEARCH("%",I27)))</formula>
    </cfRule>
  </conditionalFormatting>
  <conditionalFormatting sqref="I27">
    <cfRule type="containsText" dxfId="6280" priority="6288" operator="containsText" text="%">
      <formula>NOT(ISERROR(SEARCH("%",I27)))</formula>
    </cfRule>
  </conditionalFormatting>
  <conditionalFormatting sqref="I27">
    <cfRule type="containsText" dxfId="6279" priority="6287" operator="containsText" text="%">
      <formula>NOT(ISERROR(SEARCH("%",I27)))</formula>
    </cfRule>
  </conditionalFormatting>
  <conditionalFormatting sqref="J27:J28">
    <cfRule type="containsText" dxfId="6278" priority="6286" operator="containsText" text="%">
      <formula>NOT(ISERROR(SEARCH("%",J27)))</formula>
    </cfRule>
  </conditionalFormatting>
  <conditionalFormatting sqref="J27:J28">
    <cfRule type="containsText" dxfId="6277" priority="6285" operator="containsText" text="%">
      <formula>NOT(ISERROR(SEARCH("%",J27)))</formula>
    </cfRule>
  </conditionalFormatting>
  <conditionalFormatting sqref="J27:J28">
    <cfRule type="containsText" dxfId="6276" priority="6284" operator="containsText" text="%">
      <formula>NOT(ISERROR(SEARCH("%",J27)))</formula>
    </cfRule>
  </conditionalFormatting>
  <conditionalFormatting sqref="J27:J28">
    <cfRule type="containsText" dxfId="6275" priority="6283" operator="containsText" text="%">
      <formula>NOT(ISERROR(SEARCH("%",J27)))</formula>
    </cfRule>
  </conditionalFormatting>
  <conditionalFormatting sqref="J27:J28">
    <cfRule type="containsText" dxfId="6274" priority="6282" operator="containsText" text="%">
      <formula>NOT(ISERROR(SEARCH("%",J27)))</formula>
    </cfRule>
  </conditionalFormatting>
  <conditionalFormatting sqref="J27:J28">
    <cfRule type="containsText" dxfId="6273" priority="6281" operator="containsText" text="%">
      <formula>NOT(ISERROR(SEARCH("%",J27)))</formula>
    </cfRule>
  </conditionalFormatting>
  <conditionalFormatting sqref="J28">
    <cfRule type="containsText" dxfId="6272" priority="6280" operator="containsText" text="%">
      <formula>NOT(ISERROR(SEARCH("%",J28)))</formula>
    </cfRule>
  </conditionalFormatting>
  <conditionalFormatting sqref="J28">
    <cfRule type="containsText" dxfId="6271" priority="6279" operator="containsText" text="%">
      <formula>NOT(ISERROR(SEARCH("%",J28)))</formula>
    </cfRule>
  </conditionalFormatting>
  <conditionalFormatting sqref="J28">
    <cfRule type="containsText" dxfId="6270" priority="6278" operator="containsText" text="%">
      <formula>NOT(ISERROR(SEARCH("%",J28)))</formula>
    </cfRule>
  </conditionalFormatting>
  <conditionalFormatting sqref="J28">
    <cfRule type="containsText" dxfId="6269" priority="6277" operator="containsText" text="%">
      <formula>NOT(ISERROR(SEARCH("%",J28)))</formula>
    </cfRule>
  </conditionalFormatting>
  <conditionalFormatting sqref="J27:J28">
    <cfRule type="containsText" dxfId="6268" priority="6261" operator="containsText" text="%">
      <formula>NOT(ISERROR(SEARCH("%",J27)))</formula>
    </cfRule>
  </conditionalFormatting>
  <conditionalFormatting sqref="J27:J28">
    <cfRule type="containsText" dxfId="6267" priority="6260" operator="containsText" text="%">
      <formula>NOT(ISERROR(SEARCH("%",J27)))</formula>
    </cfRule>
  </conditionalFormatting>
  <conditionalFormatting sqref="J27:J28">
    <cfRule type="containsText" dxfId="6266" priority="6256" operator="containsText" text="%">
      <formula>NOT(ISERROR(SEARCH("%",J27)))</formula>
    </cfRule>
  </conditionalFormatting>
  <conditionalFormatting sqref="J27:J28">
    <cfRule type="containsText" dxfId="6265" priority="6276" operator="containsText" text="%">
      <formula>NOT(ISERROR(SEARCH("%",J27)))</formula>
    </cfRule>
  </conditionalFormatting>
  <conditionalFormatting sqref="J27">
    <cfRule type="containsText" dxfId="6264" priority="6275" operator="containsText" text="%">
      <formula>NOT(ISERROR(SEARCH("%",J27)))</formula>
    </cfRule>
  </conditionalFormatting>
  <conditionalFormatting sqref="J27">
    <cfRule type="containsText" dxfId="6263" priority="6274" operator="containsText" text="%">
      <formula>NOT(ISERROR(SEARCH("%",J27)))</formula>
    </cfRule>
  </conditionalFormatting>
  <conditionalFormatting sqref="J27:J28">
    <cfRule type="containsText" dxfId="6262" priority="6254" operator="containsText" text="%">
      <formula>NOT(ISERROR(SEARCH("%",J27)))</formula>
    </cfRule>
  </conditionalFormatting>
  <conditionalFormatting sqref="J27:J28">
    <cfRule type="containsText" dxfId="6261" priority="6273" operator="containsText" text="%">
      <formula>NOT(ISERROR(SEARCH("%",J27)))</formula>
    </cfRule>
  </conditionalFormatting>
  <conditionalFormatting sqref="J27:J28">
    <cfRule type="containsText" dxfId="6260" priority="6272" operator="containsText" text="%">
      <formula>NOT(ISERROR(SEARCH("%",J27)))</formula>
    </cfRule>
  </conditionalFormatting>
  <conditionalFormatting sqref="J27:J28">
    <cfRule type="containsText" dxfId="6259" priority="6271" operator="containsText" text="%">
      <formula>NOT(ISERROR(SEARCH("%",J27)))</formula>
    </cfRule>
  </conditionalFormatting>
  <conditionalFormatting sqref="J27:J28">
    <cfRule type="containsText" dxfId="6258" priority="6270" operator="containsText" text="%">
      <formula>NOT(ISERROR(SEARCH("%",J27)))</formula>
    </cfRule>
  </conditionalFormatting>
  <conditionalFormatting sqref="J27:J28">
    <cfRule type="containsText" dxfId="6257" priority="6269" operator="containsText" text="%">
      <formula>NOT(ISERROR(SEARCH("%",J27)))</formula>
    </cfRule>
  </conditionalFormatting>
  <conditionalFormatting sqref="J27:J28">
    <cfRule type="containsText" dxfId="6256" priority="6268" operator="containsText" text="%">
      <formula>NOT(ISERROR(SEARCH("%",J27)))</formula>
    </cfRule>
  </conditionalFormatting>
  <conditionalFormatting sqref="J27:J28">
    <cfRule type="containsText" dxfId="6255" priority="6267" operator="containsText" text="%">
      <formula>NOT(ISERROR(SEARCH("%",J27)))</formula>
    </cfRule>
  </conditionalFormatting>
  <conditionalFormatting sqref="J27:J28">
    <cfRule type="containsText" dxfId="6254" priority="6266" operator="containsText" text="%">
      <formula>NOT(ISERROR(SEARCH("%",J27)))</formula>
    </cfRule>
  </conditionalFormatting>
  <conditionalFormatting sqref="J27:J28">
    <cfRule type="containsText" dxfId="6253" priority="6265" operator="containsText" text="%">
      <formula>NOT(ISERROR(SEARCH("%",J27)))</formula>
    </cfRule>
  </conditionalFormatting>
  <conditionalFormatting sqref="J27:J28">
    <cfRule type="containsText" dxfId="6252" priority="6264" operator="containsText" text="%">
      <formula>NOT(ISERROR(SEARCH("%",J27)))</formula>
    </cfRule>
  </conditionalFormatting>
  <conditionalFormatting sqref="J27:J28">
    <cfRule type="containsText" dxfId="6251" priority="6263" operator="containsText" text="%">
      <formula>NOT(ISERROR(SEARCH("%",J27)))</formula>
    </cfRule>
  </conditionalFormatting>
  <conditionalFormatting sqref="J27:J28">
    <cfRule type="containsText" dxfId="6250" priority="6262" operator="containsText" text="%">
      <formula>NOT(ISERROR(SEARCH("%",J27)))</formula>
    </cfRule>
  </conditionalFormatting>
  <conditionalFormatting sqref="J27:J28">
    <cfRule type="containsText" dxfId="6249" priority="6259" operator="containsText" text="%">
      <formula>NOT(ISERROR(SEARCH("%",J27)))</formula>
    </cfRule>
  </conditionalFormatting>
  <conditionalFormatting sqref="J27:J28">
    <cfRule type="containsText" dxfId="6248" priority="6258" operator="containsText" text="%">
      <formula>NOT(ISERROR(SEARCH("%",J27)))</formula>
    </cfRule>
  </conditionalFormatting>
  <conditionalFormatting sqref="J27:J28">
    <cfRule type="containsText" dxfId="6247" priority="6257" operator="containsText" text="%">
      <formula>NOT(ISERROR(SEARCH("%",J27)))</formula>
    </cfRule>
  </conditionalFormatting>
  <conditionalFormatting sqref="J27:J28">
    <cfRule type="containsText" dxfId="6246" priority="6255" operator="containsText" text="%">
      <formula>NOT(ISERROR(SEARCH("%",J27)))</formula>
    </cfRule>
  </conditionalFormatting>
  <conditionalFormatting sqref="J27:J28">
    <cfRule type="containsText" dxfId="6245" priority="6253" operator="containsText" text="%">
      <formula>NOT(ISERROR(SEARCH("%",J27)))</formula>
    </cfRule>
  </conditionalFormatting>
  <conditionalFormatting sqref="J27:J28">
    <cfRule type="containsText" dxfId="6244" priority="6252" operator="containsText" text="%">
      <formula>NOT(ISERROR(SEARCH("%",J27)))</formula>
    </cfRule>
  </conditionalFormatting>
  <conditionalFormatting sqref="J27:J28">
    <cfRule type="containsText" dxfId="6243" priority="6251" operator="containsText" text="%">
      <formula>NOT(ISERROR(SEARCH("%",J27)))</formula>
    </cfRule>
  </conditionalFormatting>
  <conditionalFormatting sqref="J27:J28">
    <cfRule type="containsText" dxfId="6242" priority="6250" operator="containsText" text="%">
      <formula>NOT(ISERROR(SEARCH("%",J27)))</formula>
    </cfRule>
  </conditionalFormatting>
  <conditionalFormatting sqref="J27:J28">
    <cfRule type="containsText" dxfId="6241" priority="6249" operator="containsText" text="%">
      <formula>NOT(ISERROR(SEARCH("%",J27)))</formula>
    </cfRule>
  </conditionalFormatting>
  <conditionalFormatting sqref="J27:J28">
    <cfRule type="containsText" dxfId="6240" priority="6248" operator="containsText" text="%">
      <formula>NOT(ISERROR(SEARCH("%",J27)))</formula>
    </cfRule>
  </conditionalFormatting>
  <conditionalFormatting sqref="J27:J28">
    <cfRule type="containsText" dxfId="6239" priority="6247" operator="containsText" text="%">
      <formula>NOT(ISERROR(SEARCH("%",J27)))</formula>
    </cfRule>
  </conditionalFormatting>
  <conditionalFormatting sqref="J27:J28">
    <cfRule type="containsText" dxfId="6238" priority="6246" operator="containsText" text="%">
      <formula>NOT(ISERROR(SEARCH("%",J27)))</formula>
    </cfRule>
  </conditionalFormatting>
  <conditionalFormatting sqref="J27:J28">
    <cfRule type="containsText" dxfId="6237" priority="6245" operator="containsText" text="%">
      <formula>NOT(ISERROR(SEARCH("%",J27)))</formula>
    </cfRule>
  </conditionalFormatting>
  <conditionalFormatting sqref="J27:J28">
    <cfRule type="containsText" dxfId="6236" priority="6244" operator="containsText" text="%">
      <formula>NOT(ISERROR(SEARCH("%",J27)))</formula>
    </cfRule>
  </conditionalFormatting>
  <conditionalFormatting sqref="J28">
    <cfRule type="containsText" dxfId="6235" priority="6243" operator="containsText" text="%">
      <formula>NOT(ISERROR(SEARCH("%",J28)))</formula>
    </cfRule>
  </conditionalFormatting>
  <conditionalFormatting sqref="J28">
    <cfRule type="containsText" dxfId="6234" priority="6242" operator="containsText" text="%">
      <formula>NOT(ISERROR(SEARCH("%",J28)))</formula>
    </cfRule>
  </conditionalFormatting>
  <conditionalFormatting sqref="J28">
    <cfRule type="containsText" dxfId="6233" priority="6241" operator="containsText" text="%">
      <formula>NOT(ISERROR(SEARCH("%",J28)))</formula>
    </cfRule>
  </conditionalFormatting>
  <conditionalFormatting sqref="J28">
    <cfRule type="containsText" dxfId="6232" priority="6240" operator="containsText" text="%">
      <formula>NOT(ISERROR(SEARCH("%",J28)))</formula>
    </cfRule>
  </conditionalFormatting>
  <conditionalFormatting sqref="J27:J28">
    <cfRule type="containsText" dxfId="6231" priority="6239" operator="containsText" text="%">
      <formula>NOT(ISERROR(SEARCH("%",J27)))</formula>
    </cfRule>
  </conditionalFormatting>
  <conditionalFormatting sqref="J27:J28">
    <cfRule type="containsText" dxfId="6230" priority="6238" operator="containsText" text="%">
      <formula>NOT(ISERROR(SEARCH("%",J27)))</formula>
    </cfRule>
  </conditionalFormatting>
  <conditionalFormatting sqref="J27:J28">
    <cfRule type="containsText" dxfId="6229" priority="6237" operator="containsText" text="%">
      <formula>NOT(ISERROR(SEARCH("%",J27)))</formula>
    </cfRule>
  </conditionalFormatting>
  <conditionalFormatting sqref="J27:J28">
    <cfRule type="containsText" dxfId="6228" priority="6236" operator="containsText" text="%">
      <formula>NOT(ISERROR(SEARCH("%",J27)))</formula>
    </cfRule>
  </conditionalFormatting>
  <conditionalFormatting sqref="J27:J28">
    <cfRule type="containsText" dxfId="6227" priority="6235" operator="containsText" text="%">
      <formula>NOT(ISERROR(SEARCH("%",J27)))</formula>
    </cfRule>
  </conditionalFormatting>
  <conditionalFormatting sqref="J27:J28">
    <cfRule type="containsText" dxfId="6226" priority="6234" operator="containsText" text="%">
      <formula>NOT(ISERROR(SEARCH("%",J27)))</formula>
    </cfRule>
  </conditionalFormatting>
  <conditionalFormatting sqref="J27:J28">
    <cfRule type="containsText" dxfId="6225" priority="6233" operator="containsText" text="%">
      <formula>NOT(ISERROR(SEARCH("%",J27)))</formula>
    </cfRule>
  </conditionalFormatting>
  <conditionalFormatting sqref="J27:J28">
    <cfRule type="containsText" dxfId="6224" priority="6232" operator="containsText" text="%">
      <formula>NOT(ISERROR(SEARCH("%",J27)))</formula>
    </cfRule>
  </conditionalFormatting>
  <conditionalFormatting sqref="J27:J28">
    <cfRule type="containsText" dxfId="6223" priority="6231" operator="containsText" text="%">
      <formula>NOT(ISERROR(SEARCH("%",J27)))</formula>
    </cfRule>
  </conditionalFormatting>
  <conditionalFormatting sqref="J27:J28">
    <cfRule type="containsText" dxfId="6222" priority="6230" operator="containsText" text="%">
      <formula>NOT(ISERROR(SEARCH("%",J27)))</formula>
    </cfRule>
  </conditionalFormatting>
  <conditionalFormatting sqref="J28">
    <cfRule type="containsText" dxfId="6221" priority="6229" operator="containsText" text="%">
      <formula>NOT(ISERROR(SEARCH("%",J28)))</formula>
    </cfRule>
  </conditionalFormatting>
  <conditionalFormatting sqref="J28">
    <cfRule type="containsText" dxfId="6220" priority="6228" operator="containsText" text="%">
      <formula>NOT(ISERROR(SEARCH("%",J28)))</formula>
    </cfRule>
  </conditionalFormatting>
  <conditionalFormatting sqref="J28">
    <cfRule type="containsText" dxfId="6219" priority="6227" operator="containsText" text="%">
      <formula>NOT(ISERROR(SEARCH("%",J28)))</formula>
    </cfRule>
  </conditionalFormatting>
  <conditionalFormatting sqref="J28">
    <cfRule type="containsText" dxfId="6218" priority="6226" operator="containsText" text="%">
      <formula>NOT(ISERROR(SEARCH("%",J28)))</formula>
    </cfRule>
  </conditionalFormatting>
  <conditionalFormatting sqref="J27">
    <cfRule type="containsText" dxfId="6217" priority="6225" operator="containsText" text="%">
      <formula>NOT(ISERROR(SEARCH("%",J27)))</formula>
    </cfRule>
  </conditionalFormatting>
  <conditionalFormatting sqref="J27">
    <cfRule type="containsText" dxfId="6216" priority="6224" operator="containsText" text="%">
      <formula>NOT(ISERROR(SEARCH("%",J27)))</formula>
    </cfRule>
  </conditionalFormatting>
  <conditionalFormatting sqref="J27">
    <cfRule type="containsText" dxfId="6215" priority="6223" operator="containsText" text="%">
      <formula>NOT(ISERROR(SEARCH("%",J27)))</formula>
    </cfRule>
  </conditionalFormatting>
  <conditionalFormatting sqref="J27">
    <cfRule type="containsText" dxfId="6214" priority="6222" operator="containsText" text="%">
      <formula>NOT(ISERROR(SEARCH("%",J27)))</formula>
    </cfRule>
  </conditionalFormatting>
  <conditionalFormatting sqref="J27">
    <cfRule type="containsText" dxfId="6213" priority="6221" operator="containsText" text="%">
      <formula>NOT(ISERROR(SEARCH("%",J27)))</formula>
    </cfRule>
  </conditionalFormatting>
  <conditionalFormatting sqref="J27">
    <cfRule type="containsText" dxfId="6212" priority="6220" operator="containsText" text="%">
      <formula>NOT(ISERROR(SEARCH("%",J27)))</formula>
    </cfRule>
  </conditionalFormatting>
  <conditionalFormatting sqref="J28">
    <cfRule type="containsText" dxfId="6211" priority="6219" operator="containsText" text="%">
      <formula>NOT(ISERROR(SEARCH("%",J28)))</formula>
    </cfRule>
  </conditionalFormatting>
  <conditionalFormatting sqref="J28">
    <cfRule type="containsText" dxfId="6210" priority="6218" operator="containsText" text="%">
      <formula>NOT(ISERROR(SEARCH("%",J28)))</formula>
    </cfRule>
  </conditionalFormatting>
  <conditionalFormatting sqref="J28">
    <cfRule type="containsText" dxfId="6209" priority="6217" operator="containsText" text="%">
      <formula>NOT(ISERROR(SEARCH("%",J28)))</formula>
    </cfRule>
  </conditionalFormatting>
  <conditionalFormatting sqref="J28">
    <cfRule type="containsText" dxfId="6208" priority="6216" operator="containsText" text="%">
      <formula>NOT(ISERROR(SEARCH("%",J28)))</formula>
    </cfRule>
  </conditionalFormatting>
  <conditionalFormatting sqref="J28">
    <cfRule type="containsText" dxfId="6207" priority="6215" operator="containsText" text="%">
      <formula>NOT(ISERROR(SEARCH("%",J28)))</formula>
    </cfRule>
  </conditionalFormatting>
  <conditionalFormatting sqref="J28">
    <cfRule type="containsText" dxfId="6206" priority="6214" operator="containsText" text="%">
      <formula>NOT(ISERROR(SEARCH("%",J28)))</formula>
    </cfRule>
  </conditionalFormatting>
  <conditionalFormatting sqref="J28">
    <cfRule type="containsText" dxfId="6205" priority="6213" operator="containsText" text="%">
      <formula>NOT(ISERROR(SEARCH("%",J28)))</formula>
    </cfRule>
  </conditionalFormatting>
  <conditionalFormatting sqref="J28">
    <cfRule type="containsText" dxfId="6204" priority="6212" operator="containsText" text="%">
      <formula>NOT(ISERROR(SEARCH("%",J28)))</formula>
    </cfRule>
  </conditionalFormatting>
  <conditionalFormatting sqref="J28">
    <cfRule type="containsText" dxfId="6203" priority="6211" operator="containsText" text="%">
      <formula>NOT(ISERROR(SEARCH("%",J28)))</formula>
    </cfRule>
  </conditionalFormatting>
  <conditionalFormatting sqref="J28">
    <cfRule type="containsText" dxfId="6202" priority="6210" operator="containsText" text="%">
      <formula>NOT(ISERROR(SEARCH("%",J28)))</formula>
    </cfRule>
  </conditionalFormatting>
  <conditionalFormatting sqref="J28">
    <cfRule type="containsText" dxfId="6201" priority="6196" operator="containsText" text="%">
      <formula>NOT(ISERROR(SEARCH("%",J28)))</formula>
    </cfRule>
  </conditionalFormatting>
  <conditionalFormatting sqref="J28">
    <cfRule type="containsText" dxfId="6200" priority="6195" operator="containsText" text="%">
      <formula>NOT(ISERROR(SEARCH("%",J28)))</formula>
    </cfRule>
  </conditionalFormatting>
  <conditionalFormatting sqref="J28">
    <cfRule type="containsText" dxfId="6199" priority="6191" operator="containsText" text="%">
      <formula>NOT(ISERROR(SEARCH("%",J28)))</formula>
    </cfRule>
  </conditionalFormatting>
  <conditionalFormatting sqref="J28">
    <cfRule type="containsText" dxfId="6198" priority="6209" operator="containsText" text="%">
      <formula>NOT(ISERROR(SEARCH("%",J28)))</formula>
    </cfRule>
  </conditionalFormatting>
  <conditionalFormatting sqref="J28">
    <cfRule type="containsText" dxfId="6197" priority="6189" operator="containsText" text="%">
      <formula>NOT(ISERROR(SEARCH("%",J28)))</formula>
    </cfRule>
  </conditionalFormatting>
  <conditionalFormatting sqref="J28">
    <cfRule type="containsText" dxfId="6196" priority="6208" operator="containsText" text="%">
      <formula>NOT(ISERROR(SEARCH("%",J28)))</formula>
    </cfRule>
  </conditionalFormatting>
  <conditionalFormatting sqref="J28">
    <cfRule type="containsText" dxfId="6195" priority="6207" operator="containsText" text="%">
      <formula>NOT(ISERROR(SEARCH("%",J28)))</formula>
    </cfRule>
  </conditionalFormatting>
  <conditionalFormatting sqref="J28">
    <cfRule type="containsText" dxfId="6194" priority="6206" operator="containsText" text="%">
      <formula>NOT(ISERROR(SEARCH("%",J28)))</formula>
    </cfRule>
  </conditionalFormatting>
  <conditionalFormatting sqref="J28">
    <cfRule type="containsText" dxfId="6193" priority="6205" operator="containsText" text="%">
      <formula>NOT(ISERROR(SEARCH("%",J28)))</formula>
    </cfRule>
  </conditionalFormatting>
  <conditionalFormatting sqref="J28">
    <cfRule type="containsText" dxfId="6192" priority="6204" operator="containsText" text="%">
      <formula>NOT(ISERROR(SEARCH("%",J28)))</formula>
    </cfRule>
  </conditionalFormatting>
  <conditionalFormatting sqref="J28">
    <cfRule type="containsText" dxfId="6191" priority="6203" operator="containsText" text="%">
      <formula>NOT(ISERROR(SEARCH("%",J28)))</formula>
    </cfRule>
  </conditionalFormatting>
  <conditionalFormatting sqref="J28">
    <cfRule type="containsText" dxfId="6190" priority="6202" operator="containsText" text="%">
      <formula>NOT(ISERROR(SEARCH("%",J28)))</formula>
    </cfRule>
  </conditionalFormatting>
  <conditionalFormatting sqref="J28">
    <cfRule type="containsText" dxfId="6189" priority="6201" operator="containsText" text="%">
      <formula>NOT(ISERROR(SEARCH("%",J28)))</formula>
    </cfRule>
  </conditionalFormatting>
  <conditionalFormatting sqref="J28">
    <cfRule type="containsText" dxfId="6188" priority="6200" operator="containsText" text="%">
      <formula>NOT(ISERROR(SEARCH("%",J28)))</formula>
    </cfRule>
  </conditionalFormatting>
  <conditionalFormatting sqref="J28">
    <cfRule type="containsText" dxfId="6187" priority="6199" operator="containsText" text="%">
      <formula>NOT(ISERROR(SEARCH("%",J28)))</formula>
    </cfRule>
  </conditionalFormatting>
  <conditionalFormatting sqref="J28">
    <cfRule type="containsText" dxfId="6186" priority="6198" operator="containsText" text="%">
      <formula>NOT(ISERROR(SEARCH("%",J28)))</formula>
    </cfRule>
  </conditionalFormatting>
  <conditionalFormatting sqref="J28">
    <cfRule type="containsText" dxfId="6185" priority="6197" operator="containsText" text="%">
      <formula>NOT(ISERROR(SEARCH("%",J28)))</formula>
    </cfRule>
  </conditionalFormatting>
  <conditionalFormatting sqref="J28">
    <cfRule type="containsText" dxfId="6184" priority="6194" operator="containsText" text="%">
      <formula>NOT(ISERROR(SEARCH("%",J28)))</formula>
    </cfRule>
  </conditionalFormatting>
  <conditionalFormatting sqref="J28">
    <cfRule type="containsText" dxfId="6183" priority="6193" operator="containsText" text="%">
      <formula>NOT(ISERROR(SEARCH("%",J28)))</formula>
    </cfRule>
  </conditionalFormatting>
  <conditionalFormatting sqref="J28">
    <cfRule type="containsText" dxfId="6182" priority="6192" operator="containsText" text="%">
      <formula>NOT(ISERROR(SEARCH("%",J28)))</formula>
    </cfRule>
  </conditionalFormatting>
  <conditionalFormatting sqref="J28">
    <cfRule type="containsText" dxfId="6181" priority="6190" operator="containsText" text="%">
      <formula>NOT(ISERROR(SEARCH("%",J28)))</formula>
    </cfRule>
  </conditionalFormatting>
  <conditionalFormatting sqref="J28">
    <cfRule type="containsText" dxfId="6180" priority="6188" operator="containsText" text="%">
      <formula>NOT(ISERROR(SEARCH("%",J28)))</formula>
    </cfRule>
  </conditionalFormatting>
  <conditionalFormatting sqref="J28">
    <cfRule type="containsText" dxfId="6179" priority="6187" operator="containsText" text="%">
      <formula>NOT(ISERROR(SEARCH("%",J28)))</formula>
    </cfRule>
  </conditionalFormatting>
  <conditionalFormatting sqref="J28">
    <cfRule type="containsText" dxfId="6178" priority="6186" operator="containsText" text="%">
      <formula>NOT(ISERROR(SEARCH("%",J28)))</formula>
    </cfRule>
  </conditionalFormatting>
  <conditionalFormatting sqref="J28">
    <cfRule type="containsText" dxfId="6177" priority="6185" operator="containsText" text="%">
      <formula>NOT(ISERROR(SEARCH("%",J28)))</formula>
    </cfRule>
  </conditionalFormatting>
  <conditionalFormatting sqref="J28">
    <cfRule type="containsText" dxfId="6176" priority="6184" operator="containsText" text="%">
      <formula>NOT(ISERROR(SEARCH("%",J28)))</formula>
    </cfRule>
  </conditionalFormatting>
  <conditionalFormatting sqref="J28">
    <cfRule type="containsText" dxfId="6175" priority="6183" operator="containsText" text="%">
      <formula>NOT(ISERROR(SEARCH("%",J28)))</formula>
    </cfRule>
  </conditionalFormatting>
  <conditionalFormatting sqref="J28">
    <cfRule type="containsText" dxfId="6174" priority="6182" operator="containsText" text="%">
      <formula>NOT(ISERROR(SEARCH("%",J28)))</formula>
    </cfRule>
  </conditionalFormatting>
  <conditionalFormatting sqref="J28">
    <cfRule type="containsText" dxfId="6173" priority="6181" operator="containsText" text="%">
      <formula>NOT(ISERROR(SEARCH("%",J28)))</formula>
    </cfRule>
  </conditionalFormatting>
  <conditionalFormatting sqref="J28">
    <cfRule type="containsText" dxfId="6172" priority="6180" operator="containsText" text="%">
      <formula>NOT(ISERROR(SEARCH("%",J28)))</formula>
    </cfRule>
  </conditionalFormatting>
  <conditionalFormatting sqref="J28">
    <cfRule type="containsText" dxfId="6171" priority="6179" operator="containsText" text="%">
      <formula>NOT(ISERROR(SEARCH("%",J28)))</formula>
    </cfRule>
  </conditionalFormatting>
  <conditionalFormatting sqref="J28">
    <cfRule type="containsText" dxfId="6170" priority="6178" operator="containsText" text="%">
      <formula>NOT(ISERROR(SEARCH("%",J28)))</formula>
    </cfRule>
  </conditionalFormatting>
  <conditionalFormatting sqref="J28">
    <cfRule type="containsText" dxfId="6169" priority="6177" operator="containsText" text="%">
      <formula>NOT(ISERROR(SEARCH("%",J28)))</formula>
    </cfRule>
  </conditionalFormatting>
  <conditionalFormatting sqref="J28">
    <cfRule type="containsText" dxfId="6168" priority="6176" operator="containsText" text="%">
      <formula>NOT(ISERROR(SEARCH("%",J28)))</formula>
    </cfRule>
  </conditionalFormatting>
  <conditionalFormatting sqref="J28">
    <cfRule type="containsText" dxfId="6167" priority="6175" operator="containsText" text="%">
      <formula>NOT(ISERROR(SEARCH("%",J28)))</formula>
    </cfRule>
  </conditionalFormatting>
  <conditionalFormatting sqref="J28">
    <cfRule type="containsText" dxfId="6166" priority="6174" operator="containsText" text="%">
      <formula>NOT(ISERROR(SEARCH("%",J28)))</formula>
    </cfRule>
  </conditionalFormatting>
  <conditionalFormatting sqref="J28">
    <cfRule type="containsText" dxfId="6165" priority="6173" operator="containsText" text="%">
      <formula>NOT(ISERROR(SEARCH("%",J28)))</formula>
    </cfRule>
  </conditionalFormatting>
  <conditionalFormatting sqref="J28">
    <cfRule type="containsText" dxfId="6164" priority="6172" operator="containsText" text="%">
      <formula>NOT(ISERROR(SEARCH("%",J28)))</formula>
    </cfRule>
  </conditionalFormatting>
  <conditionalFormatting sqref="J28">
    <cfRule type="containsText" dxfId="6163" priority="6171" operator="containsText" text="%">
      <formula>NOT(ISERROR(SEARCH("%",J28)))</formula>
    </cfRule>
  </conditionalFormatting>
  <conditionalFormatting sqref="J28">
    <cfRule type="containsText" dxfId="6162" priority="6170" operator="containsText" text="%">
      <formula>NOT(ISERROR(SEARCH("%",J28)))</formula>
    </cfRule>
  </conditionalFormatting>
  <conditionalFormatting sqref="J28">
    <cfRule type="containsText" dxfId="6161" priority="6169" operator="containsText" text="%">
      <formula>NOT(ISERROR(SEARCH("%",J28)))</formula>
    </cfRule>
  </conditionalFormatting>
  <conditionalFormatting sqref="J28">
    <cfRule type="containsText" dxfId="6160" priority="6168" operator="containsText" text="%">
      <formula>NOT(ISERROR(SEARCH("%",J28)))</formula>
    </cfRule>
  </conditionalFormatting>
  <conditionalFormatting sqref="J28">
    <cfRule type="containsText" dxfId="6159" priority="6167" operator="containsText" text="%">
      <formula>NOT(ISERROR(SEARCH("%",J28)))</formula>
    </cfRule>
  </conditionalFormatting>
  <conditionalFormatting sqref="J28">
    <cfRule type="containsText" dxfId="6158" priority="6166" operator="containsText" text="%">
      <formula>NOT(ISERROR(SEARCH("%",J28)))</formula>
    </cfRule>
  </conditionalFormatting>
  <conditionalFormatting sqref="J28">
    <cfRule type="containsText" dxfId="6157" priority="6165" operator="containsText" text="%">
      <formula>NOT(ISERROR(SEARCH("%",J28)))</formula>
    </cfRule>
  </conditionalFormatting>
  <conditionalFormatting sqref="J28">
    <cfRule type="containsText" dxfId="6156" priority="6164" operator="containsText" text="%">
      <formula>NOT(ISERROR(SEARCH("%",J28)))</formula>
    </cfRule>
  </conditionalFormatting>
  <conditionalFormatting sqref="J28">
    <cfRule type="containsText" dxfId="6155" priority="6163" operator="containsText" text="%">
      <formula>NOT(ISERROR(SEARCH("%",J28)))</formula>
    </cfRule>
  </conditionalFormatting>
  <conditionalFormatting sqref="J28">
    <cfRule type="containsText" dxfId="6154" priority="6162" operator="containsText" text="%">
      <formula>NOT(ISERROR(SEARCH("%",J28)))</formula>
    </cfRule>
  </conditionalFormatting>
  <conditionalFormatting sqref="J28">
    <cfRule type="containsText" dxfId="6153" priority="6161" operator="containsText" text="%">
      <formula>NOT(ISERROR(SEARCH("%",J28)))</formula>
    </cfRule>
  </conditionalFormatting>
  <conditionalFormatting sqref="L54">
    <cfRule type="containsText" dxfId="6152" priority="6160" operator="containsText" text="%">
      <formula>NOT(ISERROR(SEARCH("%",L54)))</formula>
    </cfRule>
  </conditionalFormatting>
  <conditionalFormatting sqref="M29:M30">
    <cfRule type="containsText" dxfId="6151" priority="6149" operator="containsText" text="%">
      <formula>NOT(ISERROR(SEARCH("%",M29)))</formula>
    </cfRule>
  </conditionalFormatting>
  <conditionalFormatting sqref="M54">
    <cfRule type="containsText" dxfId="6150" priority="6158" operator="containsText" text="%">
      <formula>NOT(ISERROR(SEARCH("%",M54)))</formula>
    </cfRule>
  </conditionalFormatting>
  <conditionalFormatting sqref="M29:M30">
    <cfRule type="containsText" dxfId="6149" priority="6147" operator="containsText" text="%">
      <formula>NOT(ISERROR(SEARCH("%",M29)))</formula>
    </cfRule>
  </conditionalFormatting>
  <conditionalFormatting sqref="N13:N52">
    <cfRule type="containsText" dxfId="6148" priority="6156" operator="containsText" text="%">
      <formula>NOT(ISERROR(SEARCH("%",N13)))</formula>
    </cfRule>
  </conditionalFormatting>
  <conditionalFormatting sqref="N13:N52">
    <cfRule type="containsText" dxfId="6147" priority="6155" operator="containsText" text="%">
      <formula>NOT(ISERROR(SEARCH("%",N13)))</formula>
    </cfRule>
  </conditionalFormatting>
  <conditionalFormatting sqref="N13:N52">
    <cfRule type="containsText" dxfId="6146" priority="6154" operator="containsText" text="%">
      <formula>NOT(ISERROR(SEARCH("%",N13)))</formula>
    </cfRule>
  </conditionalFormatting>
  <conditionalFormatting sqref="N14 N16 N18 N20 N22 N24 N26 N28 N30 N32 N34 N36 N38 N40 N42 N44 N46 N48 N50 N52">
    <cfRule type="containsText" dxfId="6145" priority="6153" operator="containsText" text="%">
      <formula>NOT(ISERROR(SEARCH("%",N14)))</formula>
    </cfRule>
  </conditionalFormatting>
  <conditionalFormatting sqref="M29:M30">
    <cfRule type="containsText" dxfId="6144" priority="6142" operator="containsText" text="%">
      <formula>NOT(ISERROR(SEARCH("%",M29)))</formula>
    </cfRule>
  </conditionalFormatting>
  <conditionalFormatting sqref="M29">
    <cfRule type="containsText" dxfId="6143" priority="6152" operator="containsText" text="%">
      <formula>NOT(ISERROR(SEARCH("%",M29)))</formula>
    </cfRule>
  </conditionalFormatting>
  <conditionalFormatting sqref="M29">
    <cfRule type="containsText" dxfId="6142" priority="6151" operator="containsText" text="%">
      <formula>NOT(ISERROR(SEARCH("%",M29)))</formula>
    </cfRule>
  </conditionalFormatting>
  <conditionalFormatting sqref="M29:M30">
    <cfRule type="containsText" dxfId="6141" priority="6140" operator="containsText" text="%">
      <formula>NOT(ISERROR(SEARCH("%",M29)))</formula>
    </cfRule>
  </conditionalFormatting>
  <conditionalFormatting sqref="M29:M30">
    <cfRule type="containsText" dxfId="6140" priority="6150" operator="containsText" text="%">
      <formula>NOT(ISERROR(SEARCH("%",M29)))</formula>
    </cfRule>
  </conditionalFormatting>
  <conditionalFormatting sqref="M29:M30">
    <cfRule type="containsText" dxfId="6139" priority="6148" operator="containsText" text="%">
      <formula>NOT(ISERROR(SEARCH("%",M29)))</formula>
    </cfRule>
  </conditionalFormatting>
  <conditionalFormatting sqref="M29:M30">
    <cfRule type="containsText" dxfId="6138" priority="6146" operator="containsText" text="%">
      <formula>NOT(ISERROR(SEARCH("%",M29)))</formula>
    </cfRule>
  </conditionalFormatting>
  <conditionalFormatting sqref="M29:M30">
    <cfRule type="containsText" dxfId="6137" priority="6145" operator="containsText" text="%">
      <formula>NOT(ISERROR(SEARCH("%",M29)))</formula>
    </cfRule>
  </conditionalFormatting>
  <conditionalFormatting sqref="M29:M30">
    <cfRule type="containsText" dxfId="6136" priority="6144" operator="containsText" text="%">
      <formula>NOT(ISERROR(SEARCH("%",M29)))</formula>
    </cfRule>
  </conditionalFormatting>
  <conditionalFormatting sqref="M29:M30">
    <cfRule type="containsText" dxfId="6135" priority="6143" operator="containsText" text="%">
      <formula>NOT(ISERROR(SEARCH("%",M29)))</formula>
    </cfRule>
  </conditionalFormatting>
  <conditionalFormatting sqref="M29:M30">
    <cfRule type="containsText" dxfId="6134" priority="6141" operator="containsText" text="%">
      <formula>NOT(ISERROR(SEARCH("%",M29)))</formula>
    </cfRule>
  </conditionalFormatting>
  <conditionalFormatting sqref="M29:M30">
    <cfRule type="containsText" dxfId="6133" priority="6139" operator="containsText" text="%">
      <formula>NOT(ISERROR(SEARCH("%",M29)))</formula>
    </cfRule>
  </conditionalFormatting>
  <conditionalFormatting sqref="M29:M30">
    <cfRule type="containsText" dxfId="6132" priority="6138" operator="containsText" text="%">
      <formula>NOT(ISERROR(SEARCH("%",M29)))</formula>
    </cfRule>
  </conditionalFormatting>
  <conditionalFormatting sqref="M29:M30">
    <cfRule type="containsText" dxfId="6131" priority="6137" operator="containsText" text="%">
      <formula>NOT(ISERROR(SEARCH("%",M29)))</formula>
    </cfRule>
  </conditionalFormatting>
  <conditionalFormatting sqref="M29:M30">
    <cfRule type="containsText" dxfId="6130" priority="6136" operator="containsText" text="%">
      <formula>NOT(ISERROR(SEARCH("%",M29)))</formula>
    </cfRule>
  </conditionalFormatting>
  <conditionalFormatting sqref="J29:J30">
    <cfRule type="containsText" dxfId="6129" priority="6120" operator="containsText" text="%">
      <formula>NOT(ISERROR(SEARCH("%",J29)))</formula>
    </cfRule>
  </conditionalFormatting>
  <conditionalFormatting sqref="J29:J30">
    <cfRule type="containsText" dxfId="6128" priority="6119" operator="containsText" text="%">
      <formula>NOT(ISERROR(SEARCH("%",J29)))</formula>
    </cfRule>
  </conditionalFormatting>
  <conditionalFormatting sqref="J29:J30">
    <cfRule type="containsText" dxfId="6127" priority="6115" operator="containsText" text="%">
      <formula>NOT(ISERROR(SEARCH("%",J29)))</formula>
    </cfRule>
  </conditionalFormatting>
  <conditionalFormatting sqref="J29:J30">
    <cfRule type="containsText" dxfId="6126" priority="6135" operator="containsText" text="%">
      <formula>NOT(ISERROR(SEARCH("%",J29)))</formula>
    </cfRule>
  </conditionalFormatting>
  <conditionalFormatting sqref="J29">
    <cfRule type="containsText" dxfId="6125" priority="6134" operator="containsText" text="%">
      <formula>NOT(ISERROR(SEARCH("%",J29)))</formula>
    </cfRule>
  </conditionalFormatting>
  <conditionalFormatting sqref="J29">
    <cfRule type="containsText" dxfId="6124" priority="6133" operator="containsText" text="%">
      <formula>NOT(ISERROR(SEARCH("%",J29)))</formula>
    </cfRule>
  </conditionalFormatting>
  <conditionalFormatting sqref="J29:J30">
    <cfRule type="containsText" dxfId="6123" priority="6113" operator="containsText" text="%">
      <formula>NOT(ISERROR(SEARCH("%",J29)))</formula>
    </cfRule>
  </conditionalFormatting>
  <conditionalFormatting sqref="J29:J30">
    <cfRule type="containsText" dxfId="6122" priority="6132" operator="containsText" text="%">
      <formula>NOT(ISERROR(SEARCH("%",J29)))</formula>
    </cfRule>
  </conditionalFormatting>
  <conditionalFormatting sqref="J29:J30">
    <cfRule type="containsText" dxfId="6121" priority="6131" operator="containsText" text="%">
      <formula>NOT(ISERROR(SEARCH("%",J29)))</formula>
    </cfRule>
  </conditionalFormatting>
  <conditionalFormatting sqref="J29:J30">
    <cfRule type="containsText" dxfId="6120" priority="6130" operator="containsText" text="%">
      <formula>NOT(ISERROR(SEARCH("%",J29)))</formula>
    </cfRule>
  </conditionalFormatting>
  <conditionalFormatting sqref="J29:J30">
    <cfRule type="containsText" dxfId="6119" priority="6129" operator="containsText" text="%">
      <formula>NOT(ISERROR(SEARCH("%",J29)))</formula>
    </cfRule>
  </conditionalFormatting>
  <conditionalFormatting sqref="J29:J30">
    <cfRule type="containsText" dxfId="6118" priority="6128" operator="containsText" text="%">
      <formula>NOT(ISERROR(SEARCH("%",J29)))</formula>
    </cfRule>
  </conditionalFormatting>
  <conditionalFormatting sqref="J29:J30">
    <cfRule type="containsText" dxfId="6117" priority="6127" operator="containsText" text="%">
      <formula>NOT(ISERROR(SEARCH("%",J29)))</formula>
    </cfRule>
  </conditionalFormatting>
  <conditionalFormatting sqref="J29:J30">
    <cfRule type="containsText" dxfId="6116" priority="6126" operator="containsText" text="%">
      <formula>NOT(ISERROR(SEARCH("%",J29)))</formula>
    </cfRule>
  </conditionalFormatting>
  <conditionalFormatting sqref="J29:J30">
    <cfRule type="containsText" dxfId="6115" priority="6125" operator="containsText" text="%">
      <formula>NOT(ISERROR(SEARCH("%",J29)))</formula>
    </cfRule>
  </conditionalFormatting>
  <conditionalFormatting sqref="J29:J30">
    <cfRule type="containsText" dxfId="6114" priority="6124" operator="containsText" text="%">
      <formula>NOT(ISERROR(SEARCH("%",J29)))</formula>
    </cfRule>
  </conditionalFormatting>
  <conditionalFormatting sqref="J29:J30">
    <cfRule type="containsText" dxfId="6113" priority="6123" operator="containsText" text="%">
      <formula>NOT(ISERROR(SEARCH("%",J29)))</formula>
    </cfRule>
  </conditionalFormatting>
  <conditionalFormatting sqref="J29:J30">
    <cfRule type="containsText" dxfId="6112" priority="6122" operator="containsText" text="%">
      <formula>NOT(ISERROR(SEARCH("%",J29)))</formula>
    </cfRule>
  </conditionalFormatting>
  <conditionalFormatting sqref="J29:J30">
    <cfRule type="containsText" dxfId="6111" priority="6121" operator="containsText" text="%">
      <formula>NOT(ISERROR(SEARCH("%",J29)))</formula>
    </cfRule>
  </conditionalFormatting>
  <conditionalFormatting sqref="J29:J30">
    <cfRule type="containsText" dxfId="6110" priority="6118" operator="containsText" text="%">
      <formula>NOT(ISERROR(SEARCH("%",J29)))</formula>
    </cfRule>
  </conditionalFormatting>
  <conditionalFormatting sqref="J29:J30">
    <cfRule type="containsText" dxfId="6109" priority="6117" operator="containsText" text="%">
      <formula>NOT(ISERROR(SEARCH("%",J29)))</formula>
    </cfRule>
  </conditionalFormatting>
  <conditionalFormatting sqref="J29:J30">
    <cfRule type="containsText" dxfId="6108" priority="6116" operator="containsText" text="%">
      <formula>NOT(ISERROR(SEARCH("%",J29)))</formula>
    </cfRule>
  </conditionalFormatting>
  <conditionalFormatting sqref="J29:J30">
    <cfRule type="containsText" dxfId="6107" priority="6114" operator="containsText" text="%">
      <formula>NOT(ISERROR(SEARCH("%",J29)))</formula>
    </cfRule>
  </conditionalFormatting>
  <conditionalFormatting sqref="J29:J30">
    <cfRule type="containsText" dxfId="6106" priority="6112" operator="containsText" text="%">
      <formula>NOT(ISERROR(SEARCH("%",J29)))</formula>
    </cfRule>
  </conditionalFormatting>
  <conditionalFormatting sqref="J29:J30">
    <cfRule type="containsText" dxfId="6105" priority="6111" operator="containsText" text="%">
      <formula>NOT(ISERROR(SEARCH("%",J29)))</formula>
    </cfRule>
  </conditionalFormatting>
  <conditionalFormatting sqref="J29:J30">
    <cfRule type="containsText" dxfId="6104" priority="6110" operator="containsText" text="%">
      <formula>NOT(ISERROR(SEARCH("%",J29)))</formula>
    </cfRule>
  </conditionalFormatting>
  <conditionalFormatting sqref="J29:J30">
    <cfRule type="containsText" dxfId="6103" priority="6109" operator="containsText" text="%">
      <formula>NOT(ISERROR(SEARCH("%",J29)))</formula>
    </cfRule>
  </conditionalFormatting>
  <conditionalFormatting sqref="J29:J30">
    <cfRule type="containsText" dxfId="6102" priority="6108" operator="containsText" text="%">
      <formula>NOT(ISERROR(SEARCH("%",J29)))</formula>
    </cfRule>
  </conditionalFormatting>
  <conditionalFormatting sqref="J29:J30">
    <cfRule type="containsText" dxfId="6101" priority="6107" operator="containsText" text="%">
      <formula>NOT(ISERROR(SEARCH("%",J29)))</formula>
    </cfRule>
  </conditionalFormatting>
  <conditionalFormatting sqref="J29:J30">
    <cfRule type="containsText" dxfId="6100" priority="6106" operator="containsText" text="%">
      <formula>NOT(ISERROR(SEARCH("%",J29)))</formula>
    </cfRule>
  </conditionalFormatting>
  <conditionalFormatting sqref="J29:J30">
    <cfRule type="containsText" dxfId="6099" priority="6105" operator="containsText" text="%">
      <formula>NOT(ISERROR(SEARCH("%",J29)))</formula>
    </cfRule>
  </conditionalFormatting>
  <conditionalFormatting sqref="J29:J30">
    <cfRule type="containsText" dxfId="6098" priority="6104" operator="containsText" text="%">
      <formula>NOT(ISERROR(SEARCH("%",J29)))</formula>
    </cfRule>
  </conditionalFormatting>
  <conditionalFormatting sqref="J29:J30">
    <cfRule type="containsText" dxfId="6097" priority="6103" operator="containsText" text="%">
      <formula>NOT(ISERROR(SEARCH("%",J29)))</formula>
    </cfRule>
  </conditionalFormatting>
  <conditionalFormatting sqref="J30">
    <cfRule type="containsText" dxfId="6096" priority="6102" operator="containsText" text="%">
      <formula>NOT(ISERROR(SEARCH("%",J30)))</formula>
    </cfRule>
  </conditionalFormatting>
  <conditionalFormatting sqref="J30">
    <cfRule type="containsText" dxfId="6095" priority="6101" operator="containsText" text="%">
      <formula>NOT(ISERROR(SEARCH("%",J30)))</formula>
    </cfRule>
  </conditionalFormatting>
  <conditionalFormatting sqref="J30">
    <cfRule type="containsText" dxfId="6094" priority="6100" operator="containsText" text="%">
      <formula>NOT(ISERROR(SEARCH("%",J30)))</formula>
    </cfRule>
  </conditionalFormatting>
  <conditionalFormatting sqref="J30">
    <cfRule type="containsText" dxfId="6093" priority="6099" operator="containsText" text="%">
      <formula>NOT(ISERROR(SEARCH("%",J30)))</formula>
    </cfRule>
  </conditionalFormatting>
  <conditionalFormatting sqref="J29:J30">
    <cfRule type="containsText" dxfId="6092" priority="6098" operator="containsText" text="%">
      <formula>NOT(ISERROR(SEARCH("%",J29)))</formula>
    </cfRule>
  </conditionalFormatting>
  <conditionalFormatting sqref="J29:J30">
    <cfRule type="containsText" dxfId="6091" priority="6097" operator="containsText" text="%">
      <formula>NOT(ISERROR(SEARCH("%",J29)))</formula>
    </cfRule>
  </conditionalFormatting>
  <conditionalFormatting sqref="J29:J30">
    <cfRule type="containsText" dxfId="6090" priority="6096" operator="containsText" text="%">
      <formula>NOT(ISERROR(SEARCH("%",J29)))</formula>
    </cfRule>
  </conditionalFormatting>
  <conditionalFormatting sqref="J29:J30">
    <cfRule type="containsText" dxfId="6089" priority="6095" operator="containsText" text="%">
      <formula>NOT(ISERROR(SEARCH("%",J29)))</formula>
    </cfRule>
  </conditionalFormatting>
  <conditionalFormatting sqref="J29:J30">
    <cfRule type="containsText" dxfId="6088" priority="6094" operator="containsText" text="%">
      <formula>NOT(ISERROR(SEARCH("%",J29)))</formula>
    </cfRule>
  </conditionalFormatting>
  <conditionalFormatting sqref="J29:J30">
    <cfRule type="containsText" dxfId="6087" priority="6093" operator="containsText" text="%">
      <formula>NOT(ISERROR(SEARCH("%",J29)))</formula>
    </cfRule>
  </conditionalFormatting>
  <conditionalFormatting sqref="J29:J30">
    <cfRule type="containsText" dxfId="6086" priority="6092" operator="containsText" text="%">
      <formula>NOT(ISERROR(SEARCH("%",J29)))</formula>
    </cfRule>
  </conditionalFormatting>
  <conditionalFormatting sqref="J29:J30">
    <cfRule type="containsText" dxfId="6085" priority="6091" operator="containsText" text="%">
      <formula>NOT(ISERROR(SEARCH("%",J29)))</formula>
    </cfRule>
  </conditionalFormatting>
  <conditionalFormatting sqref="J29:J30">
    <cfRule type="containsText" dxfId="6084" priority="6090" operator="containsText" text="%">
      <formula>NOT(ISERROR(SEARCH("%",J29)))</formula>
    </cfRule>
  </conditionalFormatting>
  <conditionalFormatting sqref="J29:J30">
    <cfRule type="containsText" dxfId="6083" priority="6089" operator="containsText" text="%">
      <formula>NOT(ISERROR(SEARCH("%",J29)))</formula>
    </cfRule>
  </conditionalFormatting>
  <conditionalFormatting sqref="J30">
    <cfRule type="containsText" dxfId="6082" priority="6088" operator="containsText" text="%">
      <formula>NOT(ISERROR(SEARCH("%",J30)))</formula>
    </cfRule>
  </conditionalFormatting>
  <conditionalFormatting sqref="J30">
    <cfRule type="containsText" dxfId="6081" priority="6087" operator="containsText" text="%">
      <formula>NOT(ISERROR(SEARCH("%",J30)))</formula>
    </cfRule>
  </conditionalFormatting>
  <conditionalFormatting sqref="J30">
    <cfRule type="containsText" dxfId="6080" priority="6086" operator="containsText" text="%">
      <formula>NOT(ISERROR(SEARCH("%",J30)))</formula>
    </cfRule>
  </conditionalFormatting>
  <conditionalFormatting sqref="J30">
    <cfRule type="containsText" dxfId="6079" priority="6085" operator="containsText" text="%">
      <formula>NOT(ISERROR(SEARCH("%",J30)))</formula>
    </cfRule>
  </conditionalFormatting>
  <conditionalFormatting sqref="J29:J30">
    <cfRule type="containsText" dxfId="6078" priority="6084" operator="containsText" text="%">
      <formula>NOT(ISERROR(SEARCH("%",J29)))</formula>
    </cfRule>
  </conditionalFormatting>
  <conditionalFormatting sqref="J29:J30">
    <cfRule type="containsText" dxfId="6077" priority="6083" operator="containsText" text="%">
      <formula>NOT(ISERROR(SEARCH("%",J29)))</formula>
    </cfRule>
  </conditionalFormatting>
  <conditionalFormatting sqref="J29:J30">
    <cfRule type="containsText" dxfId="6076" priority="6082" operator="containsText" text="%">
      <formula>NOT(ISERROR(SEARCH("%",J29)))</formula>
    </cfRule>
  </conditionalFormatting>
  <conditionalFormatting sqref="J29:J30">
    <cfRule type="containsText" dxfId="6075" priority="6081" operator="containsText" text="%">
      <formula>NOT(ISERROR(SEARCH("%",J29)))</formula>
    </cfRule>
  </conditionalFormatting>
  <conditionalFormatting sqref="J29:J30">
    <cfRule type="containsText" dxfId="6074" priority="6080" operator="containsText" text="%">
      <formula>NOT(ISERROR(SEARCH("%",J29)))</formula>
    </cfRule>
  </conditionalFormatting>
  <conditionalFormatting sqref="J29:J30">
    <cfRule type="containsText" dxfId="6073" priority="6079" operator="containsText" text="%">
      <formula>NOT(ISERROR(SEARCH("%",J29)))</formula>
    </cfRule>
  </conditionalFormatting>
  <conditionalFormatting sqref="J30">
    <cfRule type="containsText" dxfId="6072" priority="6078" operator="containsText" text="%">
      <formula>NOT(ISERROR(SEARCH("%",J30)))</formula>
    </cfRule>
  </conditionalFormatting>
  <conditionalFormatting sqref="J30">
    <cfRule type="containsText" dxfId="6071" priority="6077" operator="containsText" text="%">
      <formula>NOT(ISERROR(SEARCH("%",J30)))</formula>
    </cfRule>
  </conditionalFormatting>
  <conditionalFormatting sqref="J30">
    <cfRule type="containsText" dxfId="6070" priority="6076" operator="containsText" text="%">
      <formula>NOT(ISERROR(SEARCH("%",J30)))</formula>
    </cfRule>
  </conditionalFormatting>
  <conditionalFormatting sqref="J30">
    <cfRule type="containsText" dxfId="6069" priority="6075" operator="containsText" text="%">
      <formula>NOT(ISERROR(SEARCH("%",J30)))</formula>
    </cfRule>
  </conditionalFormatting>
  <conditionalFormatting sqref="J29:J30">
    <cfRule type="containsText" dxfId="6068" priority="6059" operator="containsText" text="%">
      <formula>NOT(ISERROR(SEARCH("%",J29)))</formula>
    </cfRule>
  </conditionalFormatting>
  <conditionalFormatting sqref="J29:J30">
    <cfRule type="containsText" dxfId="6067" priority="6058" operator="containsText" text="%">
      <formula>NOT(ISERROR(SEARCH("%",J29)))</formula>
    </cfRule>
  </conditionalFormatting>
  <conditionalFormatting sqref="J29:J30">
    <cfRule type="containsText" dxfId="6066" priority="6054" operator="containsText" text="%">
      <formula>NOT(ISERROR(SEARCH("%",J29)))</formula>
    </cfRule>
  </conditionalFormatting>
  <conditionalFormatting sqref="J29:J30">
    <cfRule type="containsText" dxfId="6065" priority="6074" operator="containsText" text="%">
      <formula>NOT(ISERROR(SEARCH("%",J29)))</formula>
    </cfRule>
  </conditionalFormatting>
  <conditionalFormatting sqref="J29">
    <cfRule type="containsText" dxfId="6064" priority="6073" operator="containsText" text="%">
      <formula>NOT(ISERROR(SEARCH("%",J29)))</formula>
    </cfRule>
  </conditionalFormatting>
  <conditionalFormatting sqref="J29">
    <cfRule type="containsText" dxfId="6063" priority="6072" operator="containsText" text="%">
      <formula>NOT(ISERROR(SEARCH("%",J29)))</formula>
    </cfRule>
  </conditionalFormatting>
  <conditionalFormatting sqref="J29:J30">
    <cfRule type="containsText" dxfId="6062" priority="6052" operator="containsText" text="%">
      <formula>NOT(ISERROR(SEARCH("%",J29)))</formula>
    </cfRule>
  </conditionalFormatting>
  <conditionalFormatting sqref="J29:J30">
    <cfRule type="containsText" dxfId="6061" priority="6071" operator="containsText" text="%">
      <formula>NOT(ISERROR(SEARCH("%",J29)))</formula>
    </cfRule>
  </conditionalFormatting>
  <conditionalFormatting sqref="J29:J30">
    <cfRule type="containsText" dxfId="6060" priority="6070" operator="containsText" text="%">
      <formula>NOT(ISERROR(SEARCH("%",J29)))</formula>
    </cfRule>
  </conditionalFormatting>
  <conditionalFormatting sqref="J29:J30">
    <cfRule type="containsText" dxfId="6059" priority="6069" operator="containsText" text="%">
      <formula>NOT(ISERROR(SEARCH("%",J29)))</formula>
    </cfRule>
  </conditionalFormatting>
  <conditionalFormatting sqref="J29:J30">
    <cfRule type="containsText" dxfId="6058" priority="6068" operator="containsText" text="%">
      <formula>NOT(ISERROR(SEARCH("%",J29)))</formula>
    </cfRule>
  </conditionalFormatting>
  <conditionalFormatting sqref="J29:J30">
    <cfRule type="containsText" dxfId="6057" priority="6067" operator="containsText" text="%">
      <formula>NOT(ISERROR(SEARCH("%",J29)))</formula>
    </cfRule>
  </conditionalFormatting>
  <conditionalFormatting sqref="J29:J30">
    <cfRule type="containsText" dxfId="6056" priority="6066" operator="containsText" text="%">
      <formula>NOT(ISERROR(SEARCH("%",J29)))</formula>
    </cfRule>
  </conditionalFormatting>
  <conditionalFormatting sqref="J29:J30">
    <cfRule type="containsText" dxfId="6055" priority="6065" operator="containsText" text="%">
      <formula>NOT(ISERROR(SEARCH("%",J29)))</formula>
    </cfRule>
  </conditionalFormatting>
  <conditionalFormatting sqref="J29:J30">
    <cfRule type="containsText" dxfId="6054" priority="6064" operator="containsText" text="%">
      <formula>NOT(ISERROR(SEARCH("%",J29)))</formula>
    </cfRule>
  </conditionalFormatting>
  <conditionalFormatting sqref="J29:J30">
    <cfRule type="containsText" dxfId="6053" priority="6063" operator="containsText" text="%">
      <formula>NOT(ISERROR(SEARCH("%",J29)))</formula>
    </cfRule>
  </conditionalFormatting>
  <conditionalFormatting sqref="J29:J30">
    <cfRule type="containsText" dxfId="6052" priority="6062" operator="containsText" text="%">
      <formula>NOT(ISERROR(SEARCH("%",J29)))</formula>
    </cfRule>
  </conditionalFormatting>
  <conditionalFormatting sqref="J29:J30">
    <cfRule type="containsText" dxfId="6051" priority="6061" operator="containsText" text="%">
      <formula>NOT(ISERROR(SEARCH("%",J29)))</formula>
    </cfRule>
  </conditionalFormatting>
  <conditionalFormatting sqref="J29:J30">
    <cfRule type="containsText" dxfId="6050" priority="6060" operator="containsText" text="%">
      <formula>NOT(ISERROR(SEARCH("%",J29)))</formula>
    </cfRule>
  </conditionalFormatting>
  <conditionalFormatting sqref="J29:J30">
    <cfRule type="containsText" dxfId="6049" priority="6057" operator="containsText" text="%">
      <formula>NOT(ISERROR(SEARCH("%",J29)))</formula>
    </cfRule>
  </conditionalFormatting>
  <conditionalFormatting sqref="J29:J30">
    <cfRule type="containsText" dxfId="6048" priority="6056" operator="containsText" text="%">
      <formula>NOT(ISERROR(SEARCH("%",J29)))</formula>
    </cfRule>
  </conditionalFormatting>
  <conditionalFormatting sqref="J29:J30">
    <cfRule type="containsText" dxfId="6047" priority="6055" operator="containsText" text="%">
      <formula>NOT(ISERROR(SEARCH("%",J29)))</formula>
    </cfRule>
  </conditionalFormatting>
  <conditionalFormatting sqref="J29:J30">
    <cfRule type="containsText" dxfId="6046" priority="6053" operator="containsText" text="%">
      <formula>NOT(ISERROR(SEARCH("%",J29)))</formula>
    </cfRule>
  </conditionalFormatting>
  <conditionalFormatting sqref="J29:J30">
    <cfRule type="containsText" dxfId="6045" priority="6051" operator="containsText" text="%">
      <formula>NOT(ISERROR(SEARCH("%",J29)))</formula>
    </cfRule>
  </conditionalFormatting>
  <conditionalFormatting sqref="J29:J30">
    <cfRule type="containsText" dxfId="6044" priority="6050" operator="containsText" text="%">
      <formula>NOT(ISERROR(SEARCH("%",J29)))</formula>
    </cfRule>
  </conditionalFormatting>
  <conditionalFormatting sqref="J29:J30">
    <cfRule type="containsText" dxfId="6043" priority="6049" operator="containsText" text="%">
      <formula>NOT(ISERROR(SEARCH("%",J29)))</formula>
    </cfRule>
  </conditionalFormatting>
  <conditionalFormatting sqref="J29:J30">
    <cfRule type="containsText" dxfId="6042" priority="6048" operator="containsText" text="%">
      <formula>NOT(ISERROR(SEARCH("%",J29)))</formula>
    </cfRule>
  </conditionalFormatting>
  <conditionalFormatting sqref="J29:J30">
    <cfRule type="containsText" dxfId="6041" priority="6047" operator="containsText" text="%">
      <formula>NOT(ISERROR(SEARCH("%",J29)))</formula>
    </cfRule>
  </conditionalFormatting>
  <conditionalFormatting sqref="J29:J30">
    <cfRule type="containsText" dxfId="6040" priority="6046" operator="containsText" text="%">
      <formula>NOT(ISERROR(SEARCH("%",J29)))</formula>
    </cfRule>
  </conditionalFormatting>
  <conditionalFormatting sqref="J29:J30">
    <cfRule type="containsText" dxfId="6039" priority="6045" operator="containsText" text="%">
      <formula>NOT(ISERROR(SEARCH("%",J29)))</formula>
    </cfRule>
  </conditionalFormatting>
  <conditionalFormatting sqref="J29:J30">
    <cfRule type="containsText" dxfId="6038" priority="6044" operator="containsText" text="%">
      <formula>NOT(ISERROR(SEARCH("%",J29)))</formula>
    </cfRule>
  </conditionalFormatting>
  <conditionalFormatting sqref="J29:J30">
    <cfRule type="containsText" dxfId="6037" priority="6043" operator="containsText" text="%">
      <formula>NOT(ISERROR(SEARCH("%",J29)))</formula>
    </cfRule>
  </conditionalFormatting>
  <conditionalFormatting sqref="J29:J30">
    <cfRule type="containsText" dxfId="6036" priority="6042" operator="containsText" text="%">
      <formula>NOT(ISERROR(SEARCH("%",J29)))</formula>
    </cfRule>
  </conditionalFormatting>
  <conditionalFormatting sqref="J30">
    <cfRule type="containsText" dxfId="6035" priority="6041" operator="containsText" text="%">
      <formula>NOT(ISERROR(SEARCH("%",J30)))</formula>
    </cfRule>
  </conditionalFormatting>
  <conditionalFormatting sqref="J30">
    <cfRule type="containsText" dxfId="6034" priority="6040" operator="containsText" text="%">
      <formula>NOT(ISERROR(SEARCH("%",J30)))</formula>
    </cfRule>
  </conditionalFormatting>
  <conditionalFormatting sqref="J30">
    <cfRule type="containsText" dxfId="6033" priority="6039" operator="containsText" text="%">
      <formula>NOT(ISERROR(SEARCH("%",J30)))</formula>
    </cfRule>
  </conditionalFormatting>
  <conditionalFormatting sqref="J30">
    <cfRule type="containsText" dxfId="6032" priority="6038" operator="containsText" text="%">
      <formula>NOT(ISERROR(SEARCH("%",J30)))</formula>
    </cfRule>
  </conditionalFormatting>
  <conditionalFormatting sqref="J29:J30">
    <cfRule type="containsText" dxfId="6031" priority="6037" operator="containsText" text="%">
      <formula>NOT(ISERROR(SEARCH("%",J29)))</formula>
    </cfRule>
  </conditionalFormatting>
  <conditionalFormatting sqref="J29:J30">
    <cfRule type="containsText" dxfId="6030" priority="6036" operator="containsText" text="%">
      <formula>NOT(ISERROR(SEARCH("%",J29)))</formula>
    </cfRule>
  </conditionalFormatting>
  <conditionalFormatting sqref="J29:J30">
    <cfRule type="containsText" dxfId="6029" priority="6035" operator="containsText" text="%">
      <formula>NOT(ISERROR(SEARCH("%",J29)))</formula>
    </cfRule>
  </conditionalFormatting>
  <conditionalFormatting sqref="J29:J30">
    <cfRule type="containsText" dxfId="6028" priority="6034" operator="containsText" text="%">
      <formula>NOT(ISERROR(SEARCH("%",J29)))</formula>
    </cfRule>
  </conditionalFormatting>
  <conditionalFormatting sqref="J29:J30">
    <cfRule type="containsText" dxfId="6027" priority="6033" operator="containsText" text="%">
      <formula>NOT(ISERROR(SEARCH("%",J29)))</formula>
    </cfRule>
  </conditionalFormatting>
  <conditionalFormatting sqref="J29:J30">
    <cfRule type="containsText" dxfId="6026" priority="6032" operator="containsText" text="%">
      <formula>NOT(ISERROR(SEARCH("%",J29)))</formula>
    </cfRule>
  </conditionalFormatting>
  <conditionalFormatting sqref="J29:J30">
    <cfRule type="containsText" dxfId="6025" priority="6031" operator="containsText" text="%">
      <formula>NOT(ISERROR(SEARCH("%",J29)))</formula>
    </cfRule>
  </conditionalFormatting>
  <conditionalFormatting sqref="J29:J30">
    <cfRule type="containsText" dxfId="6024" priority="6030" operator="containsText" text="%">
      <formula>NOT(ISERROR(SEARCH("%",J29)))</formula>
    </cfRule>
  </conditionalFormatting>
  <conditionalFormatting sqref="J29:J30">
    <cfRule type="containsText" dxfId="6023" priority="6029" operator="containsText" text="%">
      <formula>NOT(ISERROR(SEARCH("%",J29)))</formula>
    </cfRule>
  </conditionalFormatting>
  <conditionalFormatting sqref="J29:J30">
    <cfRule type="containsText" dxfId="6022" priority="6028" operator="containsText" text="%">
      <formula>NOT(ISERROR(SEARCH("%",J29)))</formula>
    </cfRule>
  </conditionalFormatting>
  <conditionalFormatting sqref="J30">
    <cfRule type="containsText" dxfId="6021" priority="6027" operator="containsText" text="%">
      <formula>NOT(ISERROR(SEARCH("%",J30)))</formula>
    </cfRule>
  </conditionalFormatting>
  <conditionalFormatting sqref="J30">
    <cfRule type="containsText" dxfId="6020" priority="6026" operator="containsText" text="%">
      <formula>NOT(ISERROR(SEARCH("%",J30)))</formula>
    </cfRule>
  </conditionalFormatting>
  <conditionalFormatting sqref="J30">
    <cfRule type="containsText" dxfId="6019" priority="6025" operator="containsText" text="%">
      <formula>NOT(ISERROR(SEARCH("%",J30)))</formula>
    </cfRule>
  </conditionalFormatting>
  <conditionalFormatting sqref="J30">
    <cfRule type="containsText" dxfId="6018" priority="6024" operator="containsText" text="%">
      <formula>NOT(ISERROR(SEARCH("%",J30)))</formula>
    </cfRule>
  </conditionalFormatting>
  <conditionalFormatting sqref="J29">
    <cfRule type="containsText" dxfId="6017" priority="6023" operator="containsText" text="%">
      <formula>NOT(ISERROR(SEARCH("%",J29)))</formula>
    </cfRule>
  </conditionalFormatting>
  <conditionalFormatting sqref="J29">
    <cfRule type="containsText" dxfId="6016" priority="6022" operator="containsText" text="%">
      <formula>NOT(ISERROR(SEARCH("%",J29)))</formula>
    </cfRule>
  </conditionalFormatting>
  <conditionalFormatting sqref="J29">
    <cfRule type="containsText" dxfId="6015" priority="6021" operator="containsText" text="%">
      <formula>NOT(ISERROR(SEARCH("%",J29)))</formula>
    </cfRule>
  </conditionalFormatting>
  <conditionalFormatting sqref="J29">
    <cfRule type="containsText" dxfId="6014" priority="6020" operator="containsText" text="%">
      <formula>NOT(ISERROR(SEARCH("%",J29)))</formula>
    </cfRule>
  </conditionalFormatting>
  <conditionalFormatting sqref="J29">
    <cfRule type="containsText" dxfId="6013" priority="6019" operator="containsText" text="%">
      <formula>NOT(ISERROR(SEARCH("%",J29)))</formula>
    </cfRule>
  </conditionalFormatting>
  <conditionalFormatting sqref="J29">
    <cfRule type="containsText" dxfId="6012" priority="6018" operator="containsText" text="%">
      <formula>NOT(ISERROR(SEARCH("%",J29)))</formula>
    </cfRule>
  </conditionalFormatting>
  <conditionalFormatting sqref="J30">
    <cfRule type="containsText" dxfId="6011" priority="6017" operator="containsText" text="%">
      <formula>NOT(ISERROR(SEARCH("%",J30)))</formula>
    </cfRule>
  </conditionalFormatting>
  <conditionalFormatting sqref="J30">
    <cfRule type="containsText" dxfId="6010" priority="6016" operator="containsText" text="%">
      <formula>NOT(ISERROR(SEARCH("%",J30)))</formula>
    </cfRule>
  </conditionalFormatting>
  <conditionalFormatting sqref="J30">
    <cfRule type="containsText" dxfId="6009" priority="6015" operator="containsText" text="%">
      <formula>NOT(ISERROR(SEARCH("%",J30)))</formula>
    </cfRule>
  </conditionalFormatting>
  <conditionalFormatting sqref="J30">
    <cfRule type="containsText" dxfId="6008" priority="6014" operator="containsText" text="%">
      <formula>NOT(ISERROR(SEARCH("%",J30)))</formula>
    </cfRule>
  </conditionalFormatting>
  <conditionalFormatting sqref="J30">
    <cfRule type="containsText" dxfId="6007" priority="6013" operator="containsText" text="%">
      <formula>NOT(ISERROR(SEARCH("%",J30)))</formula>
    </cfRule>
  </conditionalFormatting>
  <conditionalFormatting sqref="J30">
    <cfRule type="containsText" dxfId="6006" priority="6012" operator="containsText" text="%">
      <formula>NOT(ISERROR(SEARCH("%",J30)))</formula>
    </cfRule>
  </conditionalFormatting>
  <conditionalFormatting sqref="J30">
    <cfRule type="containsText" dxfId="6005" priority="6011" operator="containsText" text="%">
      <formula>NOT(ISERROR(SEARCH("%",J30)))</formula>
    </cfRule>
  </conditionalFormatting>
  <conditionalFormatting sqref="J30">
    <cfRule type="containsText" dxfId="6004" priority="6010" operator="containsText" text="%">
      <formula>NOT(ISERROR(SEARCH("%",J30)))</formula>
    </cfRule>
  </conditionalFormatting>
  <conditionalFormatting sqref="J30">
    <cfRule type="containsText" dxfId="6003" priority="6009" operator="containsText" text="%">
      <formula>NOT(ISERROR(SEARCH("%",J30)))</formula>
    </cfRule>
  </conditionalFormatting>
  <conditionalFormatting sqref="J30">
    <cfRule type="containsText" dxfId="6002" priority="6008" operator="containsText" text="%">
      <formula>NOT(ISERROR(SEARCH("%",J30)))</formula>
    </cfRule>
  </conditionalFormatting>
  <conditionalFormatting sqref="J30">
    <cfRule type="containsText" dxfId="6001" priority="5994" operator="containsText" text="%">
      <formula>NOT(ISERROR(SEARCH("%",J30)))</formula>
    </cfRule>
  </conditionalFormatting>
  <conditionalFormatting sqref="J30">
    <cfRule type="containsText" dxfId="6000" priority="5993" operator="containsText" text="%">
      <formula>NOT(ISERROR(SEARCH("%",J30)))</formula>
    </cfRule>
  </conditionalFormatting>
  <conditionalFormatting sqref="J30">
    <cfRule type="containsText" dxfId="5999" priority="5989" operator="containsText" text="%">
      <formula>NOT(ISERROR(SEARCH("%",J30)))</formula>
    </cfRule>
  </conditionalFormatting>
  <conditionalFormatting sqref="J30">
    <cfRule type="containsText" dxfId="5998" priority="6007" operator="containsText" text="%">
      <formula>NOT(ISERROR(SEARCH("%",J30)))</formula>
    </cfRule>
  </conditionalFormatting>
  <conditionalFormatting sqref="J30">
    <cfRule type="containsText" dxfId="5997" priority="5987" operator="containsText" text="%">
      <formula>NOT(ISERROR(SEARCH("%",J30)))</formula>
    </cfRule>
  </conditionalFormatting>
  <conditionalFormatting sqref="J30">
    <cfRule type="containsText" dxfId="5996" priority="6006" operator="containsText" text="%">
      <formula>NOT(ISERROR(SEARCH("%",J30)))</formula>
    </cfRule>
  </conditionalFormatting>
  <conditionalFormatting sqref="J30">
    <cfRule type="containsText" dxfId="5995" priority="6005" operator="containsText" text="%">
      <formula>NOT(ISERROR(SEARCH("%",J30)))</formula>
    </cfRule>
  </conditionalFormatting>
  <conditionalFormatting sqref="J30">
    <cfRule type="containsText" dxfId="5994" priority="6004" operator="containsText" text="%">
      <formula>NOT(ISERROR(SEARCH("%",J30)))</formula>
    </cfRule>
  </conditionalFormatting>
  <conditionalFormatting sqref="J30">
    <cfRule type="containsText" dxfId="5993" priority="6003" operator="containsText" text="%">
      <formula>NOT(ISERROR(SEARCH("%",J30)))</formula>
    </cfRule>
  </conditionalFormatting>
  <conditionalFormatting sqref="J30">
    <cfRule type="containsText" dxfId="5992" priority="6002" operator="containsText" text="%">
      <formula>NOT(ISERROR(SEARCH("%",J30)))</formula>
    </cfRule>
  </conditionalFormatting>
  <conditionalFormatting sqref="J30">
    <cfRule type="containsText" dxfId="5991" priority="6001" operator="containsText" text="%">
      <formula>NOT(ISERROR(SEARCH("%",J30)))</formula>
    </cfRule>
  </conditionalFormatting>
  <conditionalFormatting sqref="J30">
    <cfRule type="containsText" dxfId="5990" priority="6000" operator="containsText" text="%">
      <formula>NOT(ISERROR(SEARCH("%",J30)))</formula>
    </cfRule>
  </conditionalFormatting>
  <conditionalFormatting sqref="J30">
    <cfRule type="containsText" dxfId="5989" priority="5999" operator="containsText" text="%">
      <formula>NOT(ISERROR(SEARCH("%",J30)))</formula>
    </cfRule>
  </conditionalFormatting>
  <conditionalFormatting sqref="J30">
    <cfRule type="containsText" dxfId="5988" priority="5998" operator="containsText" text="%">
      <formula>NOT(ISERROR(SEARCH("%",J30)))</formula>
    </cfRule>
  </conditionalFormatting>
  <conditionalFormatting sqref="J30">
    <cfRule type="containsText" dxfId="5987" priority="5997" operator="containsText" text="%">
      <formula>NOT(ISERROR(SEARCH("%",J30)))</formula>
    </cfRule>
  </conditionalFormatting>
  <conditionalFormatting sqref="J30">
    <cfRule type="containsText" dxfId="5986" priority="5996" operator="containsText" text="%">
      <formula>NOT(ISERROR(SEARCH("%",J30)))</formula>
    </cfRule>
  </conditionalFormatting>
  <conditionalFormatting sqref="J30">
    <cfRule type="containsText" dxfId="5985" priority="5995" operator="containsText" text="%">
      <formula>NOT(ISERROR(SEARCH("%",J30)))</formula>
    </cfRule>
  </conditionalFormatting>
  <conditionalFormatting sqref="J30">
    <cfRule type="containsText" dxfId="5984" priority="5992" operator="containsText" text="%">
      <formula>NOT(ISERROR(SEARCH("%",J30)))</formula>
    </cfRule>
  </conditionalFormatting>
  <conditionalFormatting sqref="J30">
    <cfRule type="containsText" dxfId="5983" priority="5991" operator="containsText" text="%">
      <formula>NOT(ISERROR(SEARCH("%",J30)))</formula>
    </cfRule>
  </conditionalFormatting>
  <conditionalFormatting sqref="J30">
    <cfRule type="containsText" dxfId="5982" priority="5990" operator="containsText" text="%">
      <formula>NOT(ISERROR(SEARCH("%",J30)))</formula>
    </cfRule>
  </conditionalFormatting>
  <conditionalFormatting sqref="J30">
    <cfRule type="containsText" dxfId="5981" priority="5988" operator="containsText" text="%">
      <formula>NOT(ISERROR(SEARCH("%",J30)))</formula>
    </cfRule>
  </conditionalFormatting>
  <conditionalFormatting sqref="J30">
    <cfRule type="containsText" dxfId="5980" priority="5986" operator="containsText" text="%">
      <formula>NOT(ISERROR(SEARCH("%",J30)))</formula>
    </cfRule>
  </conditionalFormatting>
  <conditionalFormatting sqref="J30">
    <cfRule type="containsText" dxfId="5979" priority="5985" operator="containsText" text="%">
      <formula>NOT(ISERROR(SEARCH("%",J30)))</formula>
    </cfRule>
  </conditionalFormatting>
  <conditionalFormatting sqref="J30">
    <cfRule type="containsText" dxfId="5978" priority="5984" operator="containsText" text="%">
      <formula>NOT(ISERROR(SEARCH("%",J30)))</formula>
    </cfRule>
  </conditionalFormatting>
  <conditionalFormatting sqref="J30">
    <cfRule type="containsText" dxfId="5977" priority="5983" operator="containsText" text="%">
      <formula>NOT(ISERROR(SEARCH("%",J30)))</formula>
    </cfRule>
  </conditionalFormatting>
  <conditionalFormatting sqref="J30">
    <cfRule type="containsText" dxfId="5976" priority="5982" operator="containsText" text="%">
      <formula>NOT(ISERROR(SEARCH("%",J30)))</formula>
    </cfRule>
  </conditionalFormatting>
  <conditionalFormatting sqref="J30">
    <cfRule type="containsText" dxfId="5975" priority="5981" operator="containsText" text="%">
      <formula>NOT(ISERROR(SEARCH("%",J30)))</formula>
    </cfRule>
  </conditionalFormatting>
  <conditionalFormatting sqref="J30">
    <cfRule type="containsText" dxfId="5974" priority="5980" operator="containsText" text="%">
      <formula>NOT(ISERROR(SEARCH("%",J30)))</formula>
    </cfRule>
  </conditionalFormatting>
  <conditionalFormatting sqref="J30">
    <cfRule type="containsText" dxfId="5973" priority="5979" operator="containsText" text="%">
      <formula>NOT(ISERROR(SEARCH("%",J30)))</formula>
    </cfRule>
  </conditionalFormatting>
  <conditionalFormatting sqref="J30">
    <cfRule type="containsText" dxfId="5972" priority="5978" operator="containsText" text="%">
      <formula>NOT(ISERROR(SEARCH("%",J30)))</formula>
    </cfRule>
  </conditionalFormatting>
  <conditionalFormatting sqref="J30">
    <cfRule type="containsText" dxfId="5971" priority="5977" operator="containsText" text="%">
      <formula>NOT(ISERROR(SEARCH("%",J30)))</formula>
    </cfRule>
  </conditionalFormatting>
  <conditionalFormatting sqref="J30">
    <cfRule type="containsText" dxfId="5970" priority="5976" operator="containsText" text="%">
      <formula>NOT(ISERROR(SEARCH("%",J30)))</formula>
    </cfRule>
  </conditionalFormatting>
  <conditionalFormatting sqref="J30">
    <cfRule type="containsText" dxfId="5969" priority="5975" operator="containsText" text="%">
      <formula>NOT(ISERROR(SEARCH("%",J30)))</formula>
    </cfRule>
  </conditionalFormatting>
  <conditionalFormatting sqref="J30">
    <cfRule type="containsText" dxfId="5968" priority="5974" operator="containsText" text="%">
      <formula>NOT(ISERROR(SEARCH("%",J30)))</formula>
    </cfRule>
  </conditionalFormatting>
  <conditionalFormatting sqref="J30">
    <cfRule type="containsText" dxfId="5967" priority="5973" operator="containsText" text="%">
      <formula>NOT(ISERROR(SEARCH("%",J30)))</formula>
    </cfRule>
  </conditionalFormatting>
  <conditionalFormatting sqref="J30">
    <cfRule type="containsText" dxfId="5966" priority="5972" operator="containsText" text="%">
      <formula>NOT(ISERROR(SEARCH("%",J30)))</formula>
    </cfRule>
  </conditionalFormatting>
  <conditionalFormatting sqref="J30">
    <cfRule type="containsText" dxfId="5965" priority="5971" operator="containsText" text="%">
      <formula>NOT(ISERROR(SEARCH("%",J30)))</formula>
    </cfRule>
  </conditionalFormatting>
  <conditionalFormatting sqref="J30">
    <cfRule type="containsText" dxfId="5964" priority="5970" operator="containsText" text="%">
      <formula>NOT(ISERROR(SEARCH("%",J30)))</formula>
    </cfRule>
  </conditionalFormatting>
  <conditionalFormatting sqref="J30">
    <cfRule type="containsText" dxfId="5963" priority="5969" operator="containsText" text="%">
      <formula>NOT(ISERROR(SEARCH("%",J30)))</formula>
    </cfRule>
  </conditionalFormatting>
  <conditionalFormatting sqref="J30">
    <cfRule type="containsText" dxfId="5962" priority="5968" operator="containsText" text="%">
      <formula>NOT(ISERROR(SEARCH("%",J30)))</formula>
    </cfRule>
  </conditionalFormatting>
  <conditionalFormatting sqref="J30">
    <cfRule type="containsText" dxfId="5961" priority="5967" operator="containsText" text="%">
      <formula>NOT(ISERROR(SEARCH("%",J30)))</formula>
    </cfRule>
  </conditionalFormatting>
  <conditionalFormatting sqref="J30">
    <cfRule type="containsText" dxfId="5960" priority="5966" operator="containsText" text="%">
      <formula>NOT(ISERROR(SEARCH("%",J30)))</formula>
    </cfRule>
  </conditionalFormatting>
  <conditionalFormatting sqref="J30">
    <cfRule type="containsText" dxfId="5959" priority="5965" operator="containsText" text="%">
      <formula>NOT(ISERROR(SEARCH("%",J30)))</formula>
    </cfRule>
  </conditionalFormatting>
  <conditionalFormatting sqref="J30">
    <cfRule type="containsText" dxfId="5958" priority="5964" operator="containsText" text="%">
      <formula>NOT(ISERROR(SEARCH("%",J30)))</formula>
    </cfRule>
  </conditionalFormatting>
  <conditionalFormatting sqref="J30">
    <cfRule type="containsText" dxfId="5957" priority="5963" operator="containsText" text="%">
      <formula>NOT(ISERROR(SEARCH("%",J30)))</formula>
    </cfRule>
  </conditionalFormatting>
  <conditionalFormatting sqref="J30">
    <cfRule type="containsText" dxfId="5956" priority="5962" operator="containsText" text="%">
      <formula>NOT(ISERROR(SEARCH("%",J30)))</formula>
    </cfRule>
  </conditionalFormatting>
  <conditionalFormatting sqref="J30">
    <cfRule type="containsText" dxfId="5955" priority="5961" operator="containsText" text="%">
      <formula>NOT(ISERROR(SEARCH("%",J30)))</formula>
    </cfRule>
  </conditionalFormatting>
  <conditionalFormatting sqref="J30">
    <cfRule type="containsText" dxfId="5954" priority="5960" operator="containsText" text="%">
      <formula>NOT(ISERROR(SEARCH("%",J30)))</formula>
    </cfRule>
  </conditionalFormatting>
  <conditionalFormatting sqref="J30">
    <cfRule type="containsText" dxfId="5953" priority="5959" operator="containsText" text="%">
      <formula>NOT(ISERROR(SEARCH("%",J30)))</formula>
    </cfRule>
  </conditionalFormatting>
  <conditionalFormatting sqref="I29:J30">
    <cfRule type="containsText" dxfId="5952" priority="5943" operator="containsText" text="%">
      <formula>NOT(ISERROR(SEARCH("%",I29)))</formula>
    </cfRule>
  </conditionalFormatting>
  <conditionalFormatting sqref="I29:J30">
    <cfRule type="containsText" dxfId="5951" priority="5942" operator="containsText" text="%">
      <formula>NOT(ISERROR(SEARCH("%",I29)))</formula>
    </cfRule>
  </conditionalFormatting>
  <conditionalFormatting sqref="I29:J30">
    <cfRule type="containsText" dxfId="5950" priority="5938" operator="containsText" text="%">
      <formula>NOT(ISERROR(SEARCH("%",I29)))</formula>
    </cfRule>
  </conditionalFormatting>
  <conditionalFormatting sqref="I29:J30">
    <cfRule type="containsText" dxfId="5949" priority="5958" operator="containsText" text="%">
      <formula>NOT(ISERROR(SEARCH("%",I29)))</formula>
    </cfRule>
  </conditionalFormatting>
  <conditionalFormatting sqref="I29:J29">
    <cfRule type="containsText" dxfId="5948" priority="5957" operator="containsText" text="%">
      <formula>NOT(ISERROR(SEARCH("%",I29)))</formula>
    </cfRule>
  </conditionalFormatting>
  <conditionalFormatting sqref="I29:J29">
    <cfRule type="containsText" dxfId="5947" priority="5956" operator="containsText" text="%">
      <formula>NOT(ISERROR(SEARCH("%",I29)))</formula>
    </cfRule>
  </conditionalFormatting>
  <conditionalFormatting sqref="I29:J30">
    <cfRule type="containsText" dxfId="5946" priority="5936" operator="containsText" text="%">
      <formula>NOT(ISERROR(SEARCH("%",I29)))</formula>
    </cfRule>
  </conditionalFormatting>
  <conditionalFormatting sqref="I29:J30">
    <cfRule type="containsText" dxfId="5945" priority="5955" operator="containsText" text="%">
      <formula>NOT(ISERROR(SEARCH("%",I29)))</formula>
    </cfRule>
  </conditionalFormatting>
  <conditionalFormatting sqref="I29:J30">
    <cfRule type="containsText" dxfId="5944" priority="5954" operator="containsText" text="%">
      <formula>NOT(ISERROR(SEARCH("%",I29)))</formula>
    </cfRule>
  </conditionalFormatting>
  <conditionalFormatting sqref="I29:J30">
    <cfRule type="containsText" dxfId="5943" priority="5953" operator="containsText" text="%">
      <formula>NOT(ISERROR(SEARCH("%",I29)))</formula>
    </cfRule>
  </conditionalFormatting>
  <conditionalFormatting sqref="I29:J30">
    <cfRule type="containsText" dxfId="5942" priority="5952" operator="containsText" text="%">
      <formula>NOT(ISERROR(SEARCH("%",I29)))</formula>
    </cfRule>
  </conditionalFormatting>
  <conditionalFormatting sqref="I29:J30">
    <cfRule type="containsText" dxfId="5941" priority="5951" operator="containsText" text="%">
      <formula>NOT(ISERROR(SEARCH("%",I29)))</formula>
    </cfRule>
  </conditionalFormatting>
  <conditionalFormatting sqref="I29:J30">
    <cfRule type="containsText" dxfId="5940" priority="5950" operator="containsText" text="%">
      <formula>NOT(ISERROR(SEARCH("%",I29)))</formula>
    </cfRule>
  </conditionalFormatting>
  <conditionalFormatting sqref="I29:J30">
    <cfRule type="containsText" dxfId="5939" priority="5949" operator="containsText" text="%">
      <formula>NOT(ISERROR(SEARCH("%",I29)))</formula>
    </cfRule>
  </conditionalFormatting>
  <conditionalFormatting sqref="I29:J30">
    <cfRule type="containsText" dxfId="5938" priority="5948" operator="containsText" text="%">
      <formula>NOT(ISERROR(SEARCH("%",I29)))</formula>
    </cfRule>
  </conditionalFormatting>
  <conditionalFormatting sqref="I29:J30">
    <cfRule type="containsText" dxfId="5937" priority="5947" operator="containsText" text="%">
      <formula>NOT(ISERROR(SEARCH("%",I29)))</formula>
    </cfRule>
  </conditionalFormatting>
  <conditionalFormatting sqref="I29:J30">
    <cfRule type="containsText" dxfId="5936" priority="5946" operator="containsText" text="%">
      <formula>NOT(ISERROR(SEARCH("%",I29)))</formula>
    </cfRule>
  </conditionalFormatting>
  <conditionalFormatting sqref="I29:J30">
    <cfRule type="containsText" dxfId="5935" priority="5945" operator="containsText" text="%">
      <formula>NOT(ISERROR(SEARCH("%",I29)))</formula>
    </cfRule>
  </conditionalFormatting>
  <conditionalFormatting sqref="I29:J30">
    <cfRule type="containsText" dxfId="5934" priority="5944" operator="containsText" text="%">
      <formula>NOT(ISERROR(SEARCH("%",I29)))</formula>
    </cfRule>
  </conditionalFormatting>
  <conditionalFormatting sqref="I29:J30">
    <cfRule type="containsText" dxfId="5933" priority="5941" operator="containsText" text="%">
      <formula>NOT(ISERROR(SEARCH("%",I29)))</formula>
    </cfRule>
  </conditionalFormatting>
  <conditionalFormatting sqref="I29:J30">
    <cfRule type="containsText" dxfId="5932" priority="5940" operator="containsText" text="%">
      <formula>NOT(ISERROR(SEARCH("%",I29)))</formula>
    </cfRule>
  </conditionalFormatting>
  <conditionalFormatting sqref="I29:J30">
    <cfRule type="containsText" dxfId="5931" priority="5939" operator="containsText" text="%">
      <formula>NOT(ISERROR(SEARCH("%",I29)))</formula>
    </cfRule>
  </conditionalFormatting>
  <conditionalFormatting sqref="I29:J30">
    <cfRule type="containsText" dxfId="5930" priority="5937" operator="containsText" text="%">
      <formula>NOT(ISERROR(SEARCH("%",I29)))</formula>
    </cfRule>
  </conditionalFormatting>
  <conditionalFormatting sqref="I29:J30">
    <cfRule type="containsText" dxfId="5929" priority="5935" operator="containsText" text="%">
      <formula>NOT(ISERROR(SEARCH("%",I29)))</formula>
    </cfRule>
  </conditionalFormatting>
  <conditionalFormatting sqref="I29:J30">
    <cfRule type="containsText" dxfId="5928" priority="5934" operator="containsText" text="%">
      <formula>NOT(ISERROR(SEARCH("%",I29)))</formula>
    </cfRule>
  </conditionalFormatting>
  <conditionalFormatting sqref="I29:J30">
    <cfRule type="containsText" dxfId="5927" priority="5933" operator="containsText" text="%">
      <formula>NOT(ISERROR(SEARCH("%",I29)))</formula>
    </cfRule>
  </conditionalFormatting>
  <conditionalFormatting sqref="I29:J30">
    <cfRule type="containsText" dxfId="5926" priority="5932" operator="containsText" text="%">
      <formula>NOT(ISERROR(SEARCH("%",I29)))</formula>
    </cfRule>
  </conditionalFormatting>
  <conditionalFormatting sqref="I29:J30">
    <cfRule type="containsText" dxfId="5925" priority="5931" operator="containsText" text="%">
      <formula>NOT(ISERROR(SEARCH("%",I29)))</formula>
    </cfRule>
  </conditionalFormatting>
  <conditionalFormatting sqref="I29:J30">
    <cfRule type="containsText" dxfId="5924" priority="5930" operator="containsText" text="%">
      <formula>NOT(ISERROR(SEARCH("%",I29)))</formula>
    </cfRule>
  </conditionalFormatting>
  <conditionalFormatting sqref="I29:J30">
    <cfRule type="containsText" dxfId="5923" priority="5929" operator="containsText" text="%">
      <formula>NOT(ISERROR(SEARCH("%",I29)))</formula>
    </cfRule>
  </conditionalFormatting>
  <conditionalFormatting sqref="I29:J30">
    <cfRule type="containsText" dxfId="5922" priority="5928" operator="containsText" text="%">
      <formula>NOT(ISERROR(SEARCH("%",I29)))</formula>
    </cfRule>
  </conditionalFormatting>
  <conditionalFormatting sqref="I29:J30">
    <cfRule type="containsText" dxfId="5921" priority="5927" operator="containsText" text="%">
      <formula>NOT(ISERROR(SEARCH("%",I29)))</formula>
    </cfRule>
  </conditionalFormatting>
  <conditionalFormatting sqref="I29:J30">
    <cfRule type="containsText" dxfId="5920" priority="5926" operator="containsText" text="%">
      <formula>NOT(ISERROR(SEARCH("%",I29)))</formula>
    </cfRule>
  </conditionalFormatting>
  <conditionalFormatting sqref="I30:J30">
    <cfRule type="containsText" dxfId="5919" priority="5925" operator="containsText" text="%">
      <formula>NOT(ISERROR(SEARCH("%",I30)))</formula>
    </cfRule>
  </conditionalFormatting>
  <conditionalFormatting sqref="I30:J30">
    <cfRule type="containsText" dxfId="5918" priority="5924" operator="containsText" text="%">
      <formula>NOT(ISERROR(SEARCH("%",I30)))</formula>
    </cfRule>
  </conditionalFormatting>
  <conditionalFormatting sqref="I30:J30">
    <cfRule type="containsText" dxfId="5917" priority="5923" operator="containsText" text="%">
      <formula>NOT(ISERROR(SEARCH("%",I30)))</formula>
    </cfRule>
  </conditionalFormatting>
  <conditionalFormatting sqref="I30:J30">
    <cfRule type="containsText" dxfId="5916" priority="5922" operator="containsText" text="%">
      <formula>NOT(ISERROR(SEARCH("%",I30)))</formula>
    </cfRule>
  </conditionalFormatting>
  <conditionalFormatting sqref="I29:J30">
    <cfRule type="containsText" dxfId="5915" priority="5921" operator="containsText" text="%">
      <formula>NOT(ISERROR(SEARCH("%",I29)))</formula>
    </cfRule>
  </conditionalFormatting>
  <conditionalFormatting sqref="I29:J30">
    <cfRule type="containsText" dxfId="5914" priority="5920" operator="containsText" text="%">
      <formula>NOT(ISERROR(SEARCH("%",I29)))</formula>
    </cfRule>
  </conditionalFormatting>
  <conditionalFormatting sqref="I29:J30">
    <cfRule type="containsText" dxfId="5913" priority="5919" operator="containsText" text="%">
      <formula>NOT(ISERROR(SEARCH("%",I29)))</formula>
    </cfRule>
  </conditionalFormatting>
  <conditionalFormatting sqref="I29:J30">
    <cfRule type="containsText" dxfId="5912" priority="5918" operator="containsText" text="%">
      <formula>NOT(ISERROR(SEARCH("%",I29)))</formula>
    </cfRule>
  </conditionalFormatting>
  <conditionalFormatting sqref="I29:J30">
    <cfRule type="containsText" dxfId="5911" priority="5917" operator="containsText" text="%">
      <formula>NOT(ISERROR(SEARCH("%",I29)))</formula>
    </cfRule>
  </conditionalFormatting>
  <conditionalFormatting sqref="I29:J30">
    <cfRule type="containsText" dxfId="5910" priority="5916" operator="containsText" text="%">
      <formula>NOT(ISERROR(SEARCH("%",I29)))</formula>
    </cfRule>
  </conditionalFormatting>
  <conditionalFormatting sqref="I29:J30">
    <cfRule type="containsText" dxfId="5909" priority="5915" operator="containsText" text="%">
      <formula>NOT(ISERROR(SEARCH("%",I29)))</formula>
    </cfRule>
  </conditionalFormatting>
  <conditionalFormatting sqref="I29:J30">
    <cfRule type="containsText" dxfId="5908" priority="5914" operator="containsText" text="%">
      <formula>NOT(ISERROR(SEARCH("%",I29)))</formula>
    </cfRule>
  </conditionalFormatting>
  <conditionalFormatting sqref="I29:J30">
    <cfRule type="containsText" dxfId="5907" priority="5913" operator="containsText" text="%">
      <formula>NOT(ISERROR(SEARCH("%",I29)))</formula>
    </cfRule>
  </conditionalFormatting>
  <conditionalFormatting sqref="I29:J30">
    <cfRule type="containsText" dxfId="5906" priority="5912" operator="containsText" text="%">
      <formula>NOT(ISERROR(SEARCH("%",I29)))</formula>
    </cfRule>
  </conditionalFormatting>
  <conditionalFormatting sqref="I30:J30">
    <cfRule type="containsText" dxfId="5905" priority="5911" operator="containsText" text="%">
      <formula>NOT(ISERROR(SEARCH("%",I30)))</formula>
    </cfRule>
  </conditionalFormatting>
  <conditionalFormatting sqref="I30:J30">
    <cfRule type="containsText" dxfId="5904" priority="5910" operator="containsText" text="%">
      <formula>NOT(ISERROR(SEARCH("%",I30)))</formula>
    </cfRule>
  </conditionalFormatting>
  <conditionalFormatting sqref="I30:J30">
    <cfRule type="containsText" dxfId="5903" priority="5909" operator="containsText" text="%">
      <formula>NOT(ISERROR(SEARCH("%",I30)))</formula>
    </cfRule>
  </conditionalFormatting>
  <conditionalFormatting sqref="I30:J30">
    <cfRule type="containsText" dxfId="5902" priority="5908" operator="containsText" text="%">
      <formula>NOT(ISERROR(SEARCH("%",I30)))</formula>
    </cfRule>
  </conditionalFormatting>
  <conditionalFormatting sqref="I29:J30">
    <cfRule type="containsText" dxfId="5901" priority="5907" operator="containsText" text="%">
      <formula>NOT(ISERROR(SEARCH("%",I29)))</formula>
    </cfRule>
  </conditionalFormatting>
  <conditionalFormatting sqref="I29:J30">
    <cfRule type="containsText" dxfId="5900" priority="5906" operator="containsText" text="%">
      <formula>NOT(ISERROR(SEARCH("%",I29)))</formula>
    </cfRule>
  </conditionalFormatting>
  <conditionalFormatting sqref="I29:J30">
    <cfRule type="containsText" dxfId="5899" priority="5905" operator="containsText" text="%">
      <formula>NOT(ISERROR(SEARCH("%",I29)))</formula>
    </cfRule>
  </conditionalFormatting>
  <conditionalFormatting sqref="I29:J30">
    <cfRule type="containsText" dxfId="5898" priority="5904" operator="containsText" text="%">
      <formula>NOT(ISERROR(SEARCH("%",I29)))</formula>
    </cfRule>
  </conditionalFormatting>
  <conditionalFormatting sqref="I29:J30">
    <cfRule type="containsText" dxfId="5897" priority="5903" operator="containsText" text="%">
      <formula>NOT(ISERROR(SEARCH("%",I29)))</formula>
    </cfRule>
  </conditionalFormatting>
  <conditionalFormatting sqref="I29:J30">
    <cfRule type="containsText" dxfId="5896" priority="5902" operator="containsText" text="%">
      <formula>NOT(ISERROR(SEARCH("%",I29)))</formula>
    </cfRule>
  </conditionalFormatting>
  <conditionalFormatting sqref="I30:J30">
    <cfRule type="containsText" dxfId="5895" priority="5901" operator="containsText" text="%">
      <formula>NOT(ISERROR(SEARCH("%",I30)))</formula>
    </cfRule>
  </conditionalFormatting>
  <conditionalFormatting sqref="I30:J30">
    <cfRule type="containsText" dxfId="5894" priority="5900" operator="containsText" text="%">
      <formula>NOT(ISERROR(SEARCH("%",I30)))</formula>
    </cfRule>
  </conditionalFormatting>
  <conditionalFormatting sqref="I30:J30">
    <cfRule type="containsText" dxfId="5893" priority="5899" operator="containsText" text="%">
      <formula>NOT(ISERROR(SEARCH("%",I30)))</formula>
    </cfRule>
  </conditionalFormatting>
  <conditionalFormatting sqref="I30:J30">
    <cfRule type="containsText" dxfId="5892" priority="5898" operator="containsText" text="%">
      <formula>NOT(ISERROR(SEARCH("%",I30)))</formula>
    </cfRule>
  </conditionalFormatting>
  <conditionalFormatting sqref="I29:J30">
    <cfRule type="containsText" dxfId="5891" priority="5882" operator="containsText" text="%">
      <formula>NOT(ISERROR(SEARCH("%",I29)))</formula>
    </cfRule>
  </conditionalFormatting>
  <conditionalFormatting sqref="I29:J30">
    <cfRule type="containsText" dxfId="5890" priority="5881" operator="containsText" text="%">
      <formula>NOT(ISERROR(SEARCH("%",I29)))</formula>
    </cfRule>
  </conditionalFormatting>
  <conditionalFormatting sqref="I29:J30">
    <cfRule type="containsText" dxfId="5889" priority="5877" operator="containsText" text="%">
      <formula>NOT(ISERROR(SEARCH("%",I29)))</formula>
    </cfRule>
  </conditionalFormatting>
  <conditionalFormatting sqref="I29:J30">
    <cfRule type="containsText" dxfId="5888" priority="5897" operator="containsText" text="%">
      <formula>NOT(ISERROR(SEARCH("%",I29)))</formula>
    </cfRule>
  </conditionalFormatting>
  <conditionalFormatting sqref="I29:J29">
    <cfRule type="containsText" dxfId="5887" priority="5896" operator="containsText" text="%">
      <formula>NOT(ISERROR(SEARCH("%",I29)))</formula>
    </cfRule>
  </conditionalFormatting>
  <conditionalFormatting sqref="I29:J29">
    <cfRule type="containsText" dxfId="5886" priority="5895" operator="containsText" text="%">
      <formula>NOT(ISERROR(SEARCH("%",I29)))</formula>
    </cfRule>
  </conditionalFormatting>
  <conditionalFormatting sqref="I29:J30">
    <cfRule type="containsText" dxfId="5885" priority="5875" operator="containsText" text="%">
      <formula>NOT(ISERROR(SEARCH("%",I29)))</formula>
    </cfRule>
  </conditionalFormatting>
  <conditionalFormatting sqref="I29:J30">
    <cfRule type="containsText" dxfId="5884" priority="5894" operator="containsText" text="%">
      <formula>NOT(ISERROR(SEARCH("%",I29)))</formula>
    </cfRule>
  </conditionalFormatting>
  <conditionalFormatting sqref="I29:J30">
    <cfRule type="containsText" dxfId="5883" priority="5893" operator="containsText" text="%">
      <formula>NOT(ISERROR(SEARCH("%",I29)))</formula>
    </cfRule>
  </conditionalFormatting>
  <conditionalFormatting sqref="I29:J30">
    <cfRule type="containsText" dxfId="5882" priority="5892" operator="containsText" text="%">
      <formula>NOT(ISERROR(SEARCH("%",I29)))</formula>
    </cfRule>
  </conditionalFormatting>
  <conditionalFormatting sqref="I29:J30">
    <cfRule type="containsText" dxfId="5881" priority="5891" operator="containsText" text="%">
      <formula>NOT(ISERROR(SEARCH("%",I29)))</formula>
    </cfRule>
  </conditionalFormatting>
  <conditionalFormatting sqref="I29:J30">
    <cfRule type="containsText" dxfId="5880" priority="5890" operator="containsText" text="%">
      <formula>NOT(ISERROR(SEARCH("%",I29)))</formula>
    </cfRule>
  </conditionalFormatting>
  <conditionalFormatting sqref="I29:J30">
    <cfRule type="containsText" dxfId="5879" priority="5889" operator="containsText" text="%">
      <formula>NOT(ISERROR(SEARCH("%",I29)))</formula>
    </cfRule>
  </conditionalFormatting>
  <conditionalFormatting sqref="I29:J30">
    <cfRule type="containsText" dxfId="5878" priority="5888" operator="containsText" text="%">
      <formula>NOT(ISERROR(SEARCH("%",I29)))</formula>
    </cfRule>
  </conditionalFormatting>
  <conditionalFormatting sqref="I29:J30">
    <cfRule type="containsText" dxfId="5877" priority="5887" operator="containsText" text="%">
      <formula>NOT(ISERROR(SEARCH("%",I29)))</formula>
    </cfRule>
  </conditionalFormatting>
  <conditionalFormatting sqref="I29:J30">
    <cfRule type="containsText" dxfId="5876" priority="5886" operator="containsText" text="%">
      <formula>NOT(ISERROR(SEARCH("%",I29)))</formula>
    </cfRule>
  </conditionalFormatting>
  <conditionalFormatting sqref="I29:J30">
    <cfRule type="containsText" dxfId="5875" priority="5885" operator="containsText" text="%">
      <formula>NOT(ISERROR(SEARCH("%",I29)))</formula>
    </cfRule>
  </conditionalFormatting>
  <conditionalFormatting sqref="I29:J30">
    <cfRule type="containsText" dxfId="5874" priority="5884" operator="containsText" text="%">
      <formula>NOT(ISERROR(SEARCH("%",I29)))</formula>
    </cfRule>
  </conditionalFormatting>
  <conditionalFormatting sqref="I29:J30">
    <cfRule type="containsText" dxfId="5873" priority="5883" operator="containsText" text="%">
      <formula>NOT(ISERROR(SEARCH("%",I29)))</formula>
    </cfRule>
  </conditionalFormatting>
  <conditionalFormatting sqref="I29:J30">
    <cfRule type="containsText" dxfId="5872" priority="5880" operator="containsText" text="%">
      <formula>NOT(ISERROR(SEARCH("%",I29)))</formula>
    </cfRule>
  </conditionalFormatting>
  <conditionalFormatting sqref="I29:J30">
    <cfRule type="containsText" dxfId="5871" priority="5879" operator="containsText" text="%">
      <formula>NOT(ISERROR(SEARCH("%",I29)))</formula>
    </cfRule>
  </conditionalFormatting>
  <conditionalFormatting sqref="I29:J30">
    <cfRule type="containsText" dxfId="5870" priority="5878" operator="containsText" text="%">
      <formula>NOT(ISERROR(SEARCH("%",I29)))</formula>
    </cfRule>
  </conditionalFormatting>
  <conditionalFormatting sqref="I29:J30">
    <cfRule type="containsText" dxfId="5869" priority="5876" operator="containsText" text="%">
      <formula>NOT(ISERROR(SEARCH("%",I29)))</formula>
    </cfRule>
  </conditionalFormatting>
  <conditionalFormatting sqref="I29:J30">
    <cfRule type="containsText" dxfId="5868" priority="5874" operator="containsText" text="%">
      <formula>NOT(ISERROR(SEARCH("%",I29)))</formula>
    </cfRule>
  </conditionalFormatting>
  <conditionalFormatting sqref="I29:J30">
    <cfRule type="containsText" dxfId="5867" priority="5873" operator="containsText" text="%">
      <formula>NOT(ISERROR(SEARCH("%",I29)))</formula>
    </cfRule>
  </conditionalFormatting>
  <conditionalFormatting sqref="I29:J30">
    <cfRule type="containsText" dxfId="5866" priority="5872" operator="containsText" text="%">
      <formula>NOT(ISERROR(SEARCH("%",I29)))</formula>
    </cfRule>
  </conditionalFormatting>
  <conditionalFormatting sqref="I29:J30">
    <cfRule type="containsText" dxfId="5865" priority="5871" operator="containsText" text="%">
      <formula>NOT(ISERROR(SEARCH("%",I29)))</formula>
    </cfRule>
  </conditionalFormatting>
  <conditionalFormatting sqref="I29:J30">
    <cfRule type="containsText" dxfId="5864" priority="5870" operator="containsText" text="%">
      <formula>NOT(ISERROR(SEARCH("%",I29)))</formula>
    </cfRule>
  </conditionalFormatting>
  <conditionalFormatting sqref="I29:J30">
    <cfRule type="containsText" dxfId="5863" priority="5869" operator="containsText" text="%">
      <formula>NOT(ISERROR(SEARCH("%",I29)))</formula>
    </cfRule>
  </conditionalFormatting>
  <conditionalFormatting sqref="I29:J30">
    <cfRule type="containsText" dxfId="5862" priority="5868" operator="containsText" text="%">
      <formula>NOT(ISERROR(SEARCH("%",I29)))</formula>
    </cfRule>
  </conditionalFormatting>
  <conditionalFormatting sqref="I29:J30">
    <cfRule type="containsText" dxfId="5861" priority="5867" operator="containsText" text="%">
      <formula>NOT(ISERROR(SEARCH("%",I29)))</formula>
    </cfRule>
  </conditionalFormatting>
  <conditionalFormatting sqref="I29:J30">
    <cfRule type="containsText" dxfId="5860" priority="5866" operator="containsText" text="%">
      <formula>NOT(ISERROR(SEARCH("%",I29)))</formula>
    </cfRule>
  </conditionalFormatting>
  <conditionalFormatting sqref="I29:J30">
    <cfRule type="containsText" dxfId="5859" priority="5865" operator="containsText" text="%">
      <formula>NOT(ISERROR(SEARCH("%",I29)))</formula>
    </cfRule>
  </conditionalFormatting>
  <conditionalFormatting sqref="I30:J30">
    <cfRule type="containsText" dxfId="5858" priority="5864" operator="containsText" text="%">
      <formula>NOT(ISERROR(SEARCH("%",I30)))</formula>
    </cfRule>
  </conditionalFormatting>
  <conditionalFormatting sqref="I30:J30">
    <cfRule type="containsText" dxfId="5857" priority="5863" operator="containsText" text="%">
      <formula>NOT(ISERROR(SEARCH("%",I30)))</formula>
    </cfRule>
  </conditionalFormatting>
  <conditionalFormatting sqref="I30:J30">
    <cfRule type="containsText" dxfId="5856" priority="5862" operator="containsText" text="%">
      <formula>NOT(ISERROR(SEARCH("%",I30)))</formula>
    </cfRule>
  </conditionalFormatting>
  <conditionalFormatting sqref="I30:J30">
    <cfRule type="containsText" dxfId="5855" priority="5861" operator="containsText" text="%">
      <formula>NOT(ISERROR(SEARCH("%",I30)))</formula>
    </cfRule>
  </conditionalFormatting>
  <conditionalFormatting sqref="I29:J30">
    <cfRule type="containsText" dxfId="5854" priority="5860" operator="containsText" text="%">
      <formula>NOT(ISERROR(SEARCH("%",I29)))</formula>
    </cfRule>
  </conditionalFormatting>
  <conditionalFormatting sqref="I29:J30">
    <cfRule type="containsText" dxfId="5853" priority="5859" operator="containsText" text="%">
      <formula>NOT(ISERROR(SEARCH("%",I29)))</formula>
    </cfRule>
  </conditionalFormatting>
  <conditionalFormatting sqref="I29:J30">
    <cfRule type="containsText" dxfId="5852" priority="5858" operator="containsText" text="%">
      <formula>NOT(ISERROR(SEARCH("%",I29)))</formula>
    </cfRule>
  </conditionalFormatting>
  <conditionalFormatting sqref="I29:J30">
    <cfRule type="containsText" dxfId="5851" priority="5857" operator="containsText" text="%">
      <formula>NOT(ISERROR(SEARCH("%",I29)))</formula>
    </cfRule>
  </conditionalFormatting>
  <conditionalFormatting sqref="I29:J30">
    <cfRule type="containsText" dxfId="5850" priority="5856" operator="containsText" text="%">
      <formula>NOT(ISERROR(SEARCH("%",I29)))</formula>
    </cfRule>
  </conditionalFormatting>
  <conditionalFormatting sqref="I29:J30">
    <cfRule type="containsText" dxfId="5849" priority="5855" operator="containsText" text="%">
      <formula>NOT(ISERROR(SEARCH("%",I29)))</formula>
    </cfRule>
  </conditionalFormatting>
  <conditionalFormatting sqref="I29:J30">
    <cfRule type="containsText" dxfId="5848" priority="5854" operator="containsText" text="%">
      <formula>NOT(ISERROR(SEARCH("%",I29)))</formula>
    </cfRule>
  </conditionalFormatting>
  <conditionalFormatting sqref="I29:J30">
    <cfRule type="containsText" dxfId="5847" priority="5853" operator="containsText" text="%">
      <formula>NOT(ISERROR(SEARCH("%",I29)))</formula>
    </cfRule>
  </conditionalFormatting>
  <conditionalFormatting sqref="I29:J30">
    <cfRule type="containsText" dxfId="5846" priority="5852" operator="containsText" text="%">
      <formula>NOT(ISERROR(SEARCH("%",I29)))</formula>
    </cfRule>
  </conditionalFormatting>
  <conditionalFormatting sqref="I29:J30">
    <cfRule type="containsText" dxfId="5845" priority="5851" operator="containsText" text="%">
      <formula>NOT(ISERROR(SEARCH("%",I29)))</formula>
    </cfRule>
  </conditionalFormatting>
  <conditionalFormatting sqref="I30:J30">
    <cfRule type="containsText" dxfId="5844" priority="5850" operator="containsText" text="%">
      <formula>NOT(ISERROR(SEARCH("%",I30)))</formula>
    </cfRule>
  </conditionalFormatting>
  <conditionalFormatting sqref="I30:J30">
    <cfRule type="containsText" dxfId="5843" priority="5849" operator="containsText" text="%">
      <formula>NOT(ISERROR(SEARCH("%",I30)))</formula>
    </cfRule>
  </conditionalFormatting>
  <conditionalFormatting sqref="I30:J30">
    <cfRule type="containsText" dxfId="5842" priority="5848" operator="containsText" text="%">
      <formula>NOT(ISERROR(SEARCH("%",I30)))</formula>
    </cfRule>
  </conditionalFormatting>
  <conditionalFormatting sqref="I30:J30">
    <cfRule type="containsText" dxfId="5841" priority="5847" operator="containsText" text="%">
      <formula>NOT(ISERROR(SEARCH("%",I30)))</formula>
    </cfRule>
  </conditionalFormatting>
  <conditionalFormatting sqref="I29:J29">
    <cfRule type="containsText" dxfId="5840" priority="5846" operator="containsText" text="%">
      <formula>NOT(ISERROR(SEARCH("%",I29)))</formula>
    </cfRule>
  </conditionalFormatting>
  <conditionalFormatting sqref="I29:J29">
    <cfRule type="containsText" dxfId="5839" priority="5845" operator="containsText" text="%">
      <formula>NOT(ISERROR(SEARCH("%",I29)))</formula>
    </cfRule>
  </conditionalFormatting>
  <conditionalFormatting sqref="I29:J29">
    <cfRule type="containsText" dxfId="5838" priority="5844" operator="containsText" text="%">
      <formula>NOT(ISERROR(SEARCH("%",I29)))</formula>
    </cfRule>
  </conditionalFormatting>
  <conditionalFormatting sqref="I29:J29">
    <cfRule type="containsText" dxfId="5837" priority="5843" operator="containsText" text="%">
      <formula>NOT(ISERROR(SEARCH("%",I29)))</formula>
    </cfRule>
  </conditionalFormatting>
  <conditionalFormatting sqref="I29:J29">
    <cfRule type="containsText" dxfId="5836" priority="5842" operator="containsText" text="%">
      <formula>NOT(ISERROR(SEARCH("%",I29)))</formula>
    </cfRule>
  </conditionalFormatting>
  <conditionalFormatting sqref="I29:J29">
    <cfRule type="containsText" dxfId="5835" priority="5841" operator="containsText" text="%">
      <formula>NOT(ISERROR(SEARCH("%",I29)))</formula>
    </cfRule>
  </conditionalFormatting>
  <conditionalFormatting sqref="I30:J30">
    <cfRule type="containsText" dxfId="5834" priority="5840" operator="containsText" text="%">
      <formula>NOT(ISERROR(SEARCH("%",I30)))</formula>
    </cfRule>
  </conditionalFormatting>
  <conditionalFormatting sqref="I30:J30">
    <cfRule type="containsText" dxfId="5833" priority="5839" operator="containsText" text="%">
      <formula>NOT(ISERROR(SEARCH("%",I30)))</formula>
    </cfRule>
  </conditionalFormatting>
  <conditionalFormatting sqref="I30:J30">
    <cfRule type="containsText" dxfId="5832" priority="5838" operator="containsText" text="%">
      <formula>NOT(ISERROR(SEARCH("%",I30)))</formula>
    </cfRule>
  </conditionalFormatting>
  <conditionalFormatting sqref="I30:J30">
    <cfRule type="containsText" dxfId="5831" priority="5837" operator="containsText" text="%">
      <formula>NOT(ISERROR(SEARCH("%",I30)))</formula>
    </cfRule>
  </conditionalFormatting>
  <conditionalFormatting sqref="I30:J30">
    <cfRule type="containsText" dxfId="5830" priority="5836" operator="containsText" text="%">
      <formula>NOT(ISERROR(SEARCH("%",I30)))</formula>
    </cfRule>
  </conditionalFormatting>
  <conditionalFormatting sqref="I30:J30">
    <cfRule type="containsText" dxfId="5829" priority="5835" operator="containsText" text="%">
      <formula>NOT(ISERROR(SEARCH("%",I30)))</formula>
    </cfRule>
  </conditionalFormatting>
  <conditionalFormatting sqref="I30:J30">
    <cfRule type="containsText" dxfId="5828" priority="5834" operator="containsText" text="%">
      <formula>NOT(ISERROR(SEARCH("%",I30)))</formula>
    </cfRule>
  </conditionalFormatting>
  <conditionalFormatting sqref="I30:J30">
    <cfRule type="containsText" dxfId="5827" priority="5833" operator="containsText" text="%">
      <formula>NOT(ISERROR(SEARCH("%",I30)))</formula>
    </cfRule>
  </conditionalFormatting>
  <conditionalFormatting sqref="I30:J30">
    <cfRule type="containsText" dxfId="5826" priority="5832" operator="containsText" text="%">
      <formula>NOT(ISERROR(SEARCH("%",I30)))</formula>
    </cfRule>
  </conditionalFormatting>
  <conditionalFormatting sqref="I30:J30">
    <cfRule type="containsText" dxfId="5825" priority="5831" operator="containsText" text="%">
      <formula>NOT(ISERROR(SEARCH("%",I30)))</formula>
    </cfRule>
  </conditionalFormatting>
  <conditionalFormatting sqref="I30:J30">
    <cfRule type="containsText" dxfId="5824" priority="5817" operator="containsText" text="%">
      <formula>NOT(ISERROR(SEARCH("%",I30)))</formula>
    </cfRule>
  </conditionalFormatting>
  <conditionalFormatting sqref="I30:J30">
    <cfRule type="containsText" dxfId="5823" priority="5816" operator="containsText" text="%">
      <formula>NOT(ISERROR(SEARCH("%",I30)))</formula>
    </cfRule>
  </conditionalFormatting>
  <conditionalFormatting sqref="I30:J30">
    <cfRule type="containsText" dxfId="5822" priority="5812" operator="containsText" text="%">
      <formula>NOT(ISERROR(SEARCH("%",I30)))</formula>
    </cfRule>
  </conditionalFormatting>
  <conditionalFormatting sqref="I30:J30">
    <cfRule type="containsText" dxfId="5821" priority="5830" operator="containsText" text="%">
      <formula>NOT(ISERROR(SEARCH("%",I30)))</formula>
    </cfRule>
  </conditionalFormatting>
  <conditionalFormatting sqref="I30:J30">
    <cfRule type="containsText" dxfId="5820" priority="5810" operator="containsText" text="%">
      <formula>NOT(ISERROR(SEARCH("%",I30)))</formula>
    </cfRule>
  </conditionalFormatting>
  <conditionalFormatting sqref="I30:J30">
    <cfRule type="containsText" dxfId="5819" priority="5829" operator="containsText" text="%">
      <formula>NOT(ISERROR(SEARCH("%",I30)))</formula>
    </cfRule>
  </conditionalFormatting>
  <conditionalFormatting sqref="I30:J30">
    <cfRule type="containsText" dxfId="5818" priority="5828" operator="containsText" text="%">
      <formula>NOT(ISERROR(SEARCH("%",I30)))</formula>
    </cfRule>
  </conditionalFormatting>
  <conditionalFormatting sqref="I30:J30">
    <cfRule type="containsText" dxfId="5817" priority="5827" operator="containsText" text="%">
      <formula>NOT(ISERROR(SEARCH("%",I30)))</formula>
    </cfRule>
  </conditionalFormatting>
  <conditionalFormatting sqref="I30:J30">
    <cfRule type="containsText" dxfId="5816" priority="5826" operator="containsText" text="%">
      <formula>NOT(ISERROR(SEARCH("%",I30)))</formula>
    </cfRule>
  </conditionalFormatting>
  <conditionalFormatting sqref="I30:J30">
    <cfRule type="containsText" dxfId="5815" priority="5825" operator="containsText" text="%">
      <formula>NOT(ISERROR(SEARCH("%",I30)))</formula>
    </cfRule>
  </conditionalFormatting>
  <conditionalFormatting sqref="I30:J30">
    <cfRule type="containsText" dxfId="5814" priority="5824" operator="containsText" text="%">
      <formula>NOT(ISERROR(SEARCH("%",I30)))</formula>
    </cfRule>
  </conditionalFormatting>
  <conditionalFormatting sqref="I30:J30">
    <cfRule type="containsText" dxfId="5813" priority="5823" operator="containsText" text="%">
      <formula>NOT(ISERROR(SEARCH("%",I30)))</formula>
    </cfRule>
  </conditionalFormatting>
  <conditionalFormatting sqref="I30:J30">
    <cfRule type="containsText" dxfId="5812" priority="5822" operator="containsText" text="%">
      <formula>NOT(ISERROR(SEARCH("%",I30)))</formula>
    </cfRule>
  </conditionalFormatting>
  <conditionalFormatting sqref="I30:J30">
    <cfRule type="containsText" dxfId="5811" priority="5821" operator="containsText" text="%">
      <formula>NOT(ISERROR(SEARCH("%",I30)))</formula>
    </cfRule>
  </conditionalFormatting>
  <conditionalFormatting sqref="I30:J30">
    <cfRule type="containsText" dxfId="5810" priority="5820" operator="containsText" text="%">
      <formula>NOT(ISERROR(SEARCH("%",I30)))</formula>
    </cfRule>
  </conditionalFormatting>
  <conditionalFormatting sqref="I30:J30">
    <cfRule type="containsText" dxfId="5809" priority="5819" operator="containsText" text="%">
      <formula>NOT(ISERROR(SEARCH("%",I30)))</formula>
    </cfRule>
  </conditionalFormatting>
  <conditionalFormatting sqref="I30:J30">
    <cfRule type="containsText" dxfId="5808" priority="5818" operator="containsText" text="%">
      <formula>NOT(ISERROR(SEARCH("%",I30)))</formula>
    </cfRule>
  </conditionalFormatting>
  <conditionalFormatting sqref="I30:J30">
    <cfRule type="containsText" dxfId="5807" priority="5815" operator="containsText" text="%">
      <formula>NOT(ISERROR(SEARCH("%",I30)))</formula>
    </cfRule>
  </conditionalFormatting>
  <conditionalFormatting sqref="I30:J30">
    <cfRule type="containsText" dxfId="5806" priority="5814" operator="containsText" text="%">
      <formula>NOT(ISERROR(SEARCH("%",I30)))</formula>
    </cfRule>
  </conditionalFormatting>
  <conditionalFormatting sqref="I30:J30">
    <cfRule type="containsText" dxfId="5805" priority="5813" operator="containsText" text="%">
      <formula>NOT(ISERROR(SEARCH("%",I30)))</formula>
    </cfRule>
  </conditionalFormatting>
  <conditionalFormatting sqref="I30:J30">
    <cfRule type="containsText" dxfId="5804" priority="5811" operator="containsText" text="%">
      <formula>NOT(ISERROR(SEARCH("%",I30)))</formula>
    </cfRule>
  </conditionalFormatting>
  <conditionalFormatting sqref="I30:J30">
    <cfRule type="containsText" dxfId="5803" priority="5809" operator="containsText" text="%">
      <formula>NOT(ISERROR(SEARCH("%",I30)))</formula>
    </cfRule>
  </conditionalFormatting>
  <conditionalFormatting sqref="I30:J30">
    <cfRule type="containsText" dxfId="5802" priority="5808" operator="containsText" text="%">
      <formula>NOT(ISERROR(SEARCH("%",I30)))</formula>
    </cfRule>
  </conditionalFormatting>
  <conditionalFormatting sqref="I30:J30">
    <cfRule type="containsText" dxfId="5801" priority="5807" operator="containsText" text="%">
      <formula>NOT(ISERROR(SEARCH("%",I30)))</formula>
    </cfRule>
  </conditionalFormatting>
  <conditionalFormatting sqref="I30:J30">
    <cfRule type="containsText" dxfId="5800" priority="5806" operator="containsText" text="%">
      <formula>NOT(ISERROR(SEARCH("%",I30)))</formula>
    </cfRule>
  </conditionalFormatting>
  <conditionalFormatting sqref="I30:J30">
    <cfRule type="containsText" dxfId="5799" priority="5805" operator="containsText" text="%">
      <formula>NOT(ISERROR(SEARCH("%",I30)))</formula>
    </cfRule>
  </conditionalFormatting>
  <conditionalFormatting sqref="I30:J30">
    <cfRule type="containsText" dxfId="5798" priority="5804" operator="containsText" text="%">
      <formula>NOT(ISERROR(SEARCH("%",I30)))</formula>
    </cfRule>
  </conditionalFormatting>
  <conditionalFormatting sqref="I30:J30">
    <cfRule type="containsText" dxfId="5797" priority="5803" operator="containsText" text="%">
      <formula>NOT(ISERROR(SEARCH("%",I30)))</formula>
    </cfRule>
  </conditionalFormatting>
  <conditionalFormatting sqref="I30:J30">
    <cfRule type="containsText" dxfId="5796" priority="5802" operator="containsText" text="%">
      <formula>NOT(ISERROR(SEARCH("%",I30)))</formula>
    </cfRule>
  </conditionalFormatting>
  <conditionalFormatting sqref="I30:J30">
    <cfRule type="containsText" dxfId="5795" priority="5801" operator="containsText" text="%">
      <formula>NOT(ISERROR(SEARCH("%",I30)))</formula>
    </cfRule>
  </conditionalFormatting>
  <conditionalFormatting sqref="I30:J30">
    <cfRule type="containsText" dxfId="5794" priority="5800" operator="containsText" text="%">
      <formula>NOT(ISERROR(SEARCH("%",I30)))</formula>
    </cfRule>
  </conditionalFormatting>
  <conditionalFormatting sqref="I30:J30">
    <cfRule type="containsText" dxfId="5793" priority="5799" operator="containsText" text="%">
      <formula>NOT(ISERROR(SEARCH("%",I30)))</formula>
    </cfRule>
  </conditionalFormatting>
  <conditionalFormatting sqref="I30:J30">
    <cfRule type="containsText" dxfId="5792" priority="5798" operator="containsText" text="%">
      <formula>NOT(ISERROR(SEARCH("%",I30)))</formula>
    </cfRule>
  </conditionalFormatting>
  <conditionalFormatting sqref="I30:J30">
    <cfRule type="containsText" dxfId="5791" priority="5797" operator="containsText" text="%">
      <formula>NOT(ISERROR(SEARCH("%",I30)))</formula>
    </cfRule>
  </conditionalFormatting>
  <conditionalFormatting sqref="I30:J30">
    <cfRule type="containsText" dxfId="5790" priority="5796" operator="containsText" text="%">
      <formula>NOT(ISERROR(SEARCH("%",I30)))</formula>
    </cfRule>
  </conditionalFormatting>
  <conditionalFormatting sqref="I30:J30">
    <cfRule type="containsText" dxfId="5789" priority="5795" operator="containsText" text="%">
      <formula>NOT(ISERROR(SEARCH("%",I30)))</formula>
    </cfRule>
  </conditionalFormatting>
  <conditionalFormatting sqref="I30:J30">
    <cfRule type="containsText" dxfId="5788" priority="5794" operator="containsText" text="%">
      <formula>NOT(ISERROR(SEARCH("%",I30)))</formula>
    </cfRule>
  </conditionalFormatting>
  <conditionalFormatting sqref="I30:J30">
    <cfRule type="containsText" dxfId="5787" priority="5793" operator="containsText" text="%">
      <formula>NOT(ISERROR(SEARCH("%",I30)))</formula>
    </cfRule>
  </conditionalFormatting>
  <conditionalFormatting sqref="I30:J30">
    <cfRule type="containsText" dxfId="5786" priority="5792" operator="containsText" text="%">
      <formula>NOT(ISERROR(SEARCH("%",I30)))</formula>
    </cfRule>
  </conditionalFormatting>
  <conditionalFormatting sqref="I30:J30">
    <cfRule type="containsText" dxfId="5785" priority="5791" operator="containsText" text="%">
      <formula>NOT(ISERROR(SEARCH("%",I30)))</formula>
    </cfRule>
  </conditionalFormatting>
  <conditionalFormatting sqref="I30:J30">
    <cfRule type="containsText" dxfId="5784" priority="5790" operator="containsText" text="%">
      <formula>NOT(ISERROR(SEARCH("%",I30)))</formula>
    </cfRule>
  </conditionalFormatting>
  <conditionalFormatting sqref="I30:J30">
    <cfRule type="containsText" dxfId="5783" priority="5789" operator="containsText" text="%">
      <formula>NOT(ISERROR(SEARCH("%",I30)))</formula>
    </cfRule>
  </conditionalFormatting>
  <conditionalFormatting sqref="I30:J30">
    <cfRule type="containsText" dxfId="5782" priority="5788" operator="containsText" text="%">
      <formula>NOT(ISERROR(SEARCH("%",I30)))</formula>
    </cfRule>
  </conditionalFormatting>
  <conditionalFormatting sqref="I30:J30">
    <cfRule type="containsText" dxfId="5781" priority="5787" operator="containsText" text="%">
      <formula>NOT(ISERROR(SEARCH("%",I30)))</formula>
    </cfRule>
  </conditionalFormatting>
  <conditionalFormatting sqref="I30:J30">
    <cfRule type="containsText" dxfId="5780" priority="5786" operator="containsText" text="%">
      <formula>NOT(ISERROR(SEARCH("%",I30)))</formula>
    </cfRule>
  </conditionalFormatting>
  <conditionalFormatting sqref="I30:J30">
    <cfRule type="containsText" dxfId="5779" priority="5785" operator="containsText" text="%">
      <formula>NOT(ISERROR(SEARCH("%",I30)))</formula>
    </cfRule>
  </conditionalFormatting>
  <conditionalFormatting sqref="I30:J30">
    <cfRule type="containsText" dxfId="5778" priority="5784" operator="containsText" text="%">
      <formula>NOT(ISERROR(SEARCH("%",I30)))</formula>
    </cfRule>
  </conditionalFormatting>
  <conditionalFormatting sqref="I30:J30">
    <cfRule type="containsText" dxfId="5777" priority="5783" operator="containsText" text="%">
      <formula>NOT(ISERROR(SEARCH("%",I30)))</formula>
    </cfRule>
  </conditionalFormatting>
  <conditionalFormatting sqref="I30:J30">
    <cfRule type="containsText" dxfId="5776" priority="5782" operator="containsText" text="%">
      <formula>NOT(ISERROR(SEARCH("%",I30)))</formula>
    </cfRule>
  </conditionalFormatting>
  <conditionalFormatting sqref="K29:K30">
    <cfRule type="containsText" dxfId="5775" priority="5766" operator="containsText" text="%">
      <formula>NOT(ISERROR(SEARCH("%",K29)))</formula>
    </cfRule>
  </conditionalFormatting>
  <conditionalFormatting sqref="K29:K30">
    <cfRule type="containsText" dxfId="5774" priority="5765" operator="containsText" text="%">
      <formula>NOT(ISERROR(SEARCH("%",K29)))</formula>
    </cfRule>
  </conditionalFormatting>
  <conditionalFormatting sqref="K29:K30">
    <cfRule type="containsText" dxfId="5773" priority="5761" operator="containsText" text="%">
      <formula>NOT(ISERROR(SEARCH("%",K29)))</formula>
    </cfRule>
  </conditionalFormatting>
  <conditionalFormatting sqref="K29:K30">
    <cfRule type="containsText" dxfId="5772" priority="5781" operator="containsText" text="%">
      <formula>NOT(ISERROR(SEARCH("%",K29)))</formula>
    </cfRule>
  </conditionalFormatting>
  <conditionalFormatting sqref="K29">
    <cfRule type="containsText" dxfId="5771" priority="5780" operator="containsText" text="%">
      <formula>NOT(ISERROR(SEARCH("%",K29)))</formula>
    </cfRule>
  </conditionalFormatting>
  <conditionalFormatting sqref="K29">
    <cfRule type="containsText" dxfId="5770" priority="5779" operator="containsText" text="%">
      <formula>NOT(ISERROR(SEARCH("%",K29)))</formula>
    </cfRule>
  </conditionalFormatting>
  <conditionalFormatting sqref="K29:K30">
    <cfRule type="containsText" dxfId="5769" priority="5759" operator="containsText" text="%">
      <formula>NOT(ISERROR(SEARCH("%",K29)))</formula>
    </cfRule>
  </conditionalFormatting>
  <conditionalFormatting sqref="K29:K30">
    <cfRule type="containsText" dxfId="5768" priority="5778" operator="containsText" text="%">
      <formula>NOT(ISERROR(SEARCH("%",K29)))</formula>
    </cfRule>
  </conditionalFormatting>
  <conditionalFormatting sqref="K29:K30">
    <cfRule type="containsText" dxfId="5767" priority="5777" operator="containsText" text="%">
      <formula>NOT(ISERROR(SEARCH("%",K29)))</formula>
    </cfRule>
  </conditionalFormatting>
  <conditionalFormatting sqref="K29:K30">
    <cfRule type="containsText" dxfId="5766" priority="5776" operator="containsText" text="%">
      <formula>NOT(ISERROR(SEARCH("%",K29)))</formula>
    </cfRule>
  </conditionalFormatting>
  <conditionalFormatting sqref="K29:K30">
    <cfRule type="containsText" dxfId="5765" priority="5775" operator="containsText" text="%">
      <formula>NOT(ISERROR(SEARCH("%",K29)))</formula>
    </cfRule>
  </conditionalFormatting>
  <conditionalFormatting sqref="K29:K30">
    <cfRule type="containsText" dxfId="5764" priority="5774" operator="containsText" text="%">
      <formula>NOT(ISERROR(SEARCH("%",K29)))</formula>
    </cfRule>
  </conditionalFormatting>
  <conditionalFormatting sqref="K29:K30">
    <cfRule type="containsText" dxfId="5763" priority="5773" operator="containsText" text="%">
      <formula>NOT(ISERROR(SEARCH("%",K29)))</formula>
    </cfRule>
  </conditionalFormatting>
  <conditionalFormatting sqref="K29:K30">
    <cfRule type="containsText" dxfId="5762" priority="5772" operator="containsText" text="%">
      <formula>NOT(ISERROR(SEARCH("%",K29)))</formula>
    </cfRule>
  </conditionalFormatting>
  <conditionalFormatting sqref="K29:K30">
    <cfRule type="containsText" dxfId="5761" priority="5771" operator="containsText" text="%">
      <formula>NOT(ISERROR(SEARCH("%",K29)))</formula>
    </cfRule>
  </conditionalFormatting>
  <conditionalFormatting sqref="K29:K30">
    <cfRule type="containsText" dxfId="5760" priority="5770" operator="containsText" text="%">
      <formula>NOT(ISERROR(SEARCH("%",K29)))</formula>
    </cfRule>
  </conditionalFormatting>
  <conditionalFormatting sqref="K29:K30">
    <cfRule type="containsText" dxfId="5759" priority="5769" operator="containsText" text="%">
      <formula>NOT(ISERROR(SEARCH("%",K29)))</formula>
    </cfRule>
  </conditionalFormatting>
  <conditionalFormatting sqref="K29:K30">
    <cfRule type="containsText" dxfId="5758" priority="5768" operator="containsText" text="%">
      <formula>NOT(ISERROR(SEARCH("%",K29)))</formula>
    </cfRule>
  </conditionalFormatting>
  <conditionalFormatting sqref="K29:K30">
    <cfRule type="containsText" dxfId="5757" priority="5767" operator="containsText" text="%">
      <formula>NOT(ISERROR(SEARCH("%",K29)))</formula>
    </cfRule>
  </conditionalFormatting>
  <conditionalFormatting sqref="K29:K30">
    <cfRule type="containsText" dxfId="5756" priority="5764" operator="containsText" text="%">
      <formula>NOT(ISERROR(SEARCH("%",K29)))</formula>
    </cfRule>
  </conditionalFormatting>
  <conditionalFormatting sqref="K29:K30">
    <cfRule type="containsText" dxfId="5755" priority="5763" operator="containsText" text="%">
      <formula>NOT(ISERROR(SEARCH("%",K29)))</formula>
    </cfRule>
  </conditionalFormatting>
  <conditionalFormatting sqref="K29:K30">
    <cfRule type="containsText" dxfId="5754" priority="5762" operator="containsText" text="%">
      <formula>NOT(ISERROR(SEARCH("%",K29)))</formula>
    </cfRule>
  </conditionalFormatting>
  <conditionalFormatting sqref="K29:K30">
    <cfRule type="containsText" dxfId="5753" priority="5760" operator="containsText" text="%">
      <formula>NOT(ISERROR(SEARCH("%",K29)))</formula>
    </cfRule>
  </conditionalFormatting>
  <conditionalFormatting sqref="K29:K30">
    <cfRule type="containsText" dxfId="5752" priority="5758" operator="containsText" text="%">
      <formula>NOT(ISERROR(SEARCH("%",K29)))</formula>
    </cfRule>
  </conditionalFormatting>
  <conditionalFormatting sqref="K29:K30">
    <cfRule type="containsText" dxfId="5751" priority="5757" operator="containsText" text="%">
      <formula>NOT(ISERROR(SEARCH("%",K29)))</formula>
    </cfRule>
  </conditionalFormatting>
  <conditionalFormatting sqref="K29:K30">
    <cfRule type="containsText" dxfId="5750" priority="5756" operator="containsText" text="%">
      <formula>NOT(ISERROR(SEARCH("%",K29)))</formula>
    </cfRule>
  </conditionalFormatting>
  <conditionalFormatting sqref="K29:K30">
    <cfRule type="containsText" dxfId="5749" priority="5755" operator="containsText" text="%">
      <formula>NOT(ISERROR(SEARCH("%",K29)))</formula>
    </cfRule>
  </conditionalFormatting>
  <conditionalFormatting sqref="K29:K30">
    <cfRule type="containsText" dxfId="5748" priority="5754" operator="containsText" text="%">
      <formula>NOT(ISERROR(SEARCH("%",K29)))</formula>
    </cfRule>
  </conditionalFormatting>
  <conditionalFormatting sqref="K29:K30">
    <cfRule type="containsText" dxfId="5747" priority="5753" operator="containsText" text="%">
      <formula>NOT(ISERROR(SEARCH("%",K29)))</formula>
    </cfRule>
  </conditionalFormatting>
  <conditionalFormatting sqref="K29:K30">
    <cfRule type="containsText" dxfId="5746" priority="5752" operator="containsText" text="%">
      <formula>NOT(ISERROR(SEARCH("%",K29)))</formula>
    </cfRule>
  </conditionalFormatting>
  <conditionalFormatting sqref="K29:K30">
    <cfRule type="containsText" dxfId="5745" priority="5751" operator="containsText" text="%">
      <formula>NOT(ISERROR(SEARCH("%",K29)))</formula>
    </cfRule>
  </conditionalFormatting>
  <conditionalFormatting sqref="K29:K30">
    <cfRule type="containsText" dxfId="5744" priority="5750" operator="containsText" text="%">
      <formula>NOT(ISERROR(SEARCH("%",K29)))</formula>
    </cfRule>
  </conditionalFormatting>
  <conditionalFormatting sqref="K29:K30">
    <cfRule type="containsText" dxfId="5743" priority="5749" operator="containsText" text="%">
      <formula>NOT(ISERROR(SEARCH("%",K29)))</formula>
    </cfRule>
  </conditionalFormatting>
  <conditionalFormatting sqref="K30">
    <cfRule type="containsText" dxfId="5742" priority="5748" operator="containsText" text="%">
      <formula>NOT(ISERROR(SEARCH("%",K30)))</formula>
    </cfRule>
  </conditionalFormatting>
  <conditionalFormatting sqref="K30">
    <cfRule type="containsText" dxfId="5741" priority="5747" operator="containsText" text="%">
      <formula>NOT(ISERROR(SEARCH("%",K30)))</formula>
    </cfRule>
  </conditionalFormatting>
  <conditionalFormatting sqref="K30">
    <cfRule type="containsText" dxfId="5740" priority="5746" operator="containsText" text="%">
      <formula>NOT(ISERROR(SEARCH("%",K30)))</formula>
    </cfRule>
  </conditionalFormatting>
  <conditionalFormatting sqref="K30">
    <cfRule type="containsText" dxfId="5739" priority="5745" operator="containsText" text="%">
      <formula>NOT(ISERROR(SEARCH("%",K30)))</formula>
    </cfRule>
  </conditionalFormatting>
  <conditionalFormatting sqref="K29:K30">
    <cfRule type="containsText" dxfId="5738" priority="5744" operator="containsText" text="%">
      <formula>NOT(ISERROR(SEARCH("%",K29)))</formula>
    </cfRule>
  </conditionalFormatting>
  <conditionalFormatting sqref="K29:K30">
    <cfRule type="containsText" dxfId="5737" priority="5743" operator="containsText" text="%">
      <formula>NOT(ISERROR(SEARCH("%",K29)))</formula>
    </cfRule>
  </conditionalFormatting>
  <conditionalFormatting sqref="K29:K30">
    <cfRule type="containsText" dxfId="5736" priority="5742" operator="containsText" text="%">
      <formula>NOT(ISERROR(SEARCH("%",K29)))</formula>
    </cfRule>
  </conditionalFormatting>
  <conditionalFormatting sqref="K29:K30">
    <cfRule type="containsText" dxfId="5735" priority="5741" operator="containsText" text="%">
      <formula>NOT(ISERROR(SEARCH("%",K29)))</formula>
    </cfRule>
  </conditionalFormatting>
  <conditionalFormatting sqref="K29:K30">
    <cfRule type="containsText" dxfId="5734" priority="5740" operator="containsText" text="%">
      <formula>NOT(ISERROR(SEARCH("%",K29)))</formula>
    </cfRule>
  </conditionalFormatting>
  <conditionalFormatting sqref="K29:K30">
    <cfRule type="containsText" dxfId="5733" priority="5739" operator="containsText" text="%">
      <formula>NOT(ISERROR(SEARCH("%",K29)))</formula>
    </cfRule>
  </conditionalFormatting>
  <conditionalFormatting sqref="K29:K30">
    <cfRule type="containsText" dxfId="5732" priority="5738" operator="containsText" text="%">
      <formula>NOT(ISERROR(SEARCH("%",K29)))</formula>
    </cfRule>
  </conditionalFormatting>
  <conditionalFormatting sqref="K29:K30">
    <cfRule type="containsText" dxfId="5731" priority="5737" operator="containsText" text="%">
      <formula>NOT(ISERROR(SEARCH("%",K29)))</formula>
    </cfRule>
  </conditionalFormatting>
  <conditionalFormatting sqref="K29:K30">
    <cfRule type="containsText" dxfId="5730" priority="5736" operator="containsText" text="%">
      <formula>NOT(ISERROR(SEARCH("%",K29)))</formula>
    </cfRule>
  </conditionalFormatting>
  <conditionalFormatting sqref="K29:K30">
    <cfRule type="containsText" dxfId="5729" priority="5735" operator="containsText" text="%">
      <formula>NOT(ISERROR(SEARCH("%",K29)))</formula>
    </cfRule>
  </conditionalFormatting>
  <conditionalFormatting sqref="K30">
    <cfRule type="containsText" dxfId="5728" priority="5734" operator="containsText" text="%">
      <formula>NOT(ISERROR(SEARCH("%",K30)))</formula>
    </cfRule>
  </conditionalFormatting>
  <conditionalFormatting sqref="K30">
    <cfRule type="containsText" dxfId="5727" priority="5733" operator="containsText" text="%">
      <formula>NOT(ISERROR(SEARCH("%",K30)))</formula>
    </cfRule>
  </conditionalFormatting>
  <conditionalFormatting sqref="K30">
    <cfRule type="containsText" dxfId="5726" priority="5732" operator="containsText" text="%">
      <formula>NOT(ISERROR(SEARCH("%",K30)))</formula>
    </cfRule>
  </conditionalFormatting>
  <conditionalFormatting sqref="K30">
    <cfRule type="containsText" dxfId="5725" priority="5731" operator="containsText" text="%">
      <formula>NOT(ISERROR(SEARCH("%",K30)))</formula>
    </cfRule>
  </conditionalFormatting>
  <conditionalFormatting sqref="K29:K30">
    <cfRule type="containsText" dxfId="5724" priority="5730" operator="containsText" text="%">
      <formula>NOT(ISERROR(SEARCH("%",K29)))</formula>
    </cfRule>
  </conditionalFormatting>
  <conditionalFormatting sqref="K29:K30">
    <cfRule type="containsText" dxfId="5723" priority="5729" operator="containsText" text="%">
      <formula>NOT(ISERROR(SEARCH("%",K29)))</formula>
    </cfRule>
  </conditionalFormatting>
  <conditionalFormatting sqref="K29:K30">
    <cfRule type="containsText" dxfId="5722" priority="5728" operator="containsText" text="%">
      <formula>NOT(ISERROR(SEARCH("%",K29)))</formula>
    </cfRule>
  </conditionalFormatting>
  <conditionalFormatting sqref="K29:K30">
    <cfRule type="containsText" dxfId="5721" priority="5727" operator="containsText" text="%">
      <formula>NOT(ISERROR(SEARCH("%",K29)))</formula>
    </cfRule>
  </conditionalFormatting>
  <conditionalFormatting sqref="K29:K30">
    <cfRule type="containsText" dxfId="5720" priority="5726" operator="containsText" text="%">
      <formula>NOT(ISERROR(SEARCH("%",K29)))</formula>
    </cfRule>
  </conditionalFormatting>
  <conditionalFormatting sqref="K29:K30">
    <cfRule type="containsText" dxfId="5719" priority="5725" operator="containsText" text="%">
      <formula>NOT(ISERROR(SEARCH("%",K29)))</formula>
    </cfRule>
  </conditionalFormatting>
  <conditionalFormatting sqref="K30">
    <cfRule type="containsText" dxfId="5718" priority="5724" operator="containsText" text="%">
      <formula>NOT(ISERROR(SEARCH("%",K30)))</formula>
    </cfRule>
  </conditionalFormatting>
  <conditionalFormatting sqref="K30">
    <cfRule type="containsText" dxfId="5717" priority="5723" operator="containsText" text="%">
      <formula>NOT(ISERROR(SEARCH("%",K30)))</formula>
    </cfRule>
  </conditionalFormatting>
  <conditionalFormatting sqref="K30">
    <cfRule type="containsText" dxfId="5716" priority="5722" operator="containsText" text="%">
      <formula>NOT(ISERROR(SEARCH("%",K30)))</formula>
    </cfRule>
  </conditionalFormatting>
  <conditionalFormatting sqref="K30">
    <cfRule type="containsText" dxfId="5715" priority="5721" operator="containsText" text="%">
      <formula>NOT(ISERROR(SEARCH("%",K30)))</formula>
    </cfRule>
  </conditionalFormatting>
  <conditionalFormatting sqref="K29:K30">
    <cfRule type="containsText" dxfId="5714" priority="5705" operator="containsText" text="%">
      <formula>NOT(ISERROR(SEARCH("%",K29)))</formula>
    </cfRule>
  </conditionalFormatting>
  <conditionalFormatting sqref="K29:K30">
    <cfRule type="containsText" dxfId="5713" priority="5704" operator="containsText" text="%">
      <formula>NOT(ISERROR(SEARCH("%",K29)))</formula>
    </cfRule>
  </conditionalFormatting>
  <conditionalFormatting sqref="K29:K30">
    <cfRule type="containsText" dxfId="5712" priority="5700" operator="containsText" text="%">
      <formula>NOT(ISERROR(SEARCH("%",K29)))</formula>
    </cfRule>
  </conditionalFormatting>
  <conditionalFormatting sqref="K29:K30">
    <cfRule type="containsText" dxfId="5711" priority="5720" operator="containsText" text="%">
      <formula>NOT(ISERROR(SEARCH("%",K29)))</formula>
    </cfRule>
  </conditionalFormatting>
  <conditionalFormatting sqref="K29">
    <cfRule type="containsText" dxfId="5710" priority="5719" operator="containsText" text="%">
      <formula>NOT(ISERROR(SEARCH("%",K29)))</formula>
    </cfRule>
  </conditionalFormatting>
  <conditionalFormatting sqref="K29">
    <cfRule type="containsText" dxfId="5709" priority="5718" operator="containsText" text="%">
      <formula>NOT(ISERROR(SEARCH("%",K29)))</formula>
    </cfRule>
  </conditionalFormatting>
  <conditionalFormatting sqref="K29:K30">
    <cfRule type="containsText" dxfId="5708" priority="5698" operator="containsText" text="%">
      <formula>NOT(ISERROR(SEARCH("%",K29)))</formula>
    </cfRule>
  </conditionalFormatting>
  <conditionalFormatting sqref="K29:K30">
    <cfRule type="containsText" dxfId="5707" priority="5717" operator="containsText" text="%">
      <formula>NOT(ISERROR(SEARCH("%",K29)))</formula>
    </cfRule>
  </conditionalFormatting>
  <conditionalFormatting sqref="K29:K30">
    <cfRule type="containsText" dxfId="5706" priority="5716" operator="containsText" text="%">
      <formula>NOT(ISERROR(SEARCH("%",K29)))</formula>
    </cfRule>
  </conditionalFormatting>
  <conditionalFormatting sqref="K29:K30">
    <cfRule type="containsText" dxfId="5705" priority="5715" operator="containsText" text="%">
      <formula>NOT(ISERROR(SEARCH("%",K29)))</formula>
    </cfRule>
  </conditionalFormatting>
  <conditionalFormatting sqref="K29:K30">
    <cfRule type="containsText" dxfId="5704" priority="5714" operator="containsText" text="%">
      <formula>NOT(ISERROR(SEARCH("%",K29)))</formula>
    </cfRule>
  </conditionalFormatting>
  <conditionalFormatting sqref="K29:K30">
    <cfRule type="containsText" dxfId="5703" priority="5713" operator="containsText" text="%">
      <formula>NOT(ISERROR(SEARCH("%",K29)))</formula>
    </cfRule>
  </conditionalFormatting>
  <conditionalFormatting sqref="K29:K30">
    <cfRule type="containsText" dxfId="5702" priority="5712" operator="containsText" text="%">
      <formula>NOT(ISERROR(SEARCH("%",K29)))</formula>
    </cfRule>
  </conditionalFormatting>
  <conditionalFormatting sqref="K29:K30">
    <cfRule type="containsText" dxfId="5701" priority="5711" operator="containsText" text="%">
      <formula>NOT(ISERROR(SEARCH("%",K29)))</formula>
    </cfRule>
  </conditionalFormatting>
  <conditionalFormatting sqref="K29:K30">
    <cfRule type="containsText" dxfId="5700" priority="5710" operator="containsText" text="%">
      <formula>NOT(ISERROR(SEARCH("%",K29)))</formula>
    </cfRule>
  </conditionalFormatting>
  <conditionalFormatting sqref="K29:K30">
    <cfRule type="containsText" dxfId="5699" priority="5709" operator="containsText" text="%">
      <formula>NOT(ISERROR(SEARCH("%",K29)))</formula>
    </cfRule>
  </conditionalFormatting>
  <conditionalFormatting sqref="K29:K30">
    <cfRule type="containsText" dxfId="5698" priority="5708" operator="containsText" text="%">
      <formula>NOT(ISERROR(SEARCH("%",K29)))</formula>
    </cfRule>
  </conditionalFormatting>
  <conditionalFormatting sqref="K29:K30">
    <cfRule type="containsText" dxfId="5697" priority="5707" operator="containsText" text="%">
      <formula>NOT(ISERROR(SEARCH("%",K29)))</formula>
    </cfRule>
  </conditionalFormatting>
  <conditionalFormatting sqref="K29:K30">
    <cfRule type="containsText" dxfId="5696" priority="5706" operator="containsText" text="%">
      <formula>NOT(ISERROR(SEARCH("%",K29)))</formula>
    </cfRule>
  </conditionalFormatting>
  <conditionalFormatting sqref="K29:K30">
    <cfRule type="containsText" dxfId="5695" priority="5703" operator="containsText" text="%">
      <formula>NOT(ISERROR(SEARCH("%",K29)))</formula>
    </cfRule>
  </conditionalFormatting>
  <conditionalFormatting sqref="K29:K30">
    <cfRule type="containsText" dxfId="5694" priority="5702" operator="containsText" text="%">
      <formula>NOT(ISERROR(SEARCH("%",K29)))</formula>
    </cfRule>
  </conditionalFormatting>
  <conditionalFormatting sqref="K29:K30">
    <cfRule type="containsText" dxfId="5693" priority="5701" operator="containsText" text="%">
      <formula>NOT(ISERROR(SEARCH("%",K29)))</formula>
    </cfRule>
  </conditionalFormatting>
  <conditionalFormatting sqref="K29:K30">
    <cfRule type="containsText" dxfId="5692" priority="5699" operator="containsText" text="%">
      <formula>NOT(ISERROR(SEARCH("%",K29)))</formula>
    </cfRule>
  </conditionalFormatting>
  <conditionalFormatting sqref="K29:K30">
    <cfRule type="containsText" dxfId="5691" priority="5697" operator="containsText" text="%">
      <formula>NOT(ISERROR(SEARCH("%",K29)))</formula>
    </cfRule>
  </conditionalFormatting>
  <conditionalFormatting sqref="K29:K30">
    <cfRule type="containsText" dxfId="5690" priority="5696" operator="containsText" text="%">
      <formula>NOT(ISERROR(SEARCH("%",K29)))</formula>
    </cfRule>
  </conditionalFormatting>
  <conditionalFormatting sqref="K29:K30">
    <cfRule type="containsText" dxfId="5689" priority="5695" operator="containsText" text="%">
      <formula>NOT(ISERROR(SEARCH("%",K29)))</formula>
    </cfRule>
  </conditionalFormatting>
  <conditionalFormatting sqref="K29:K30">
    <cfRule type="containsText" dxfId="5688" priority="5694" operator="containsText" text="%">
      <formula>NOT(ISERROR(SEARCH("%",K29)))</formula>
    </cfRule>
  </conditionalFormatting>
  <conditionalFormatting sqref="K29:K30">
    <cfRule type="containsText" dxfId="5687" priority="5693" operator="containsText" text="%">
      <formula>NOT(ISERROR(SEARCH("%",K29)))</formula>
    </cfRule>
  </conditionalFormatting>
  <conditionalFormatting sqref="K29:K30">
    <cfRule type="containsText" dxfId="5686" priority="5692" operator="containsText" text="%">
      <formula>NOT(ISERROR(SEARCH("%",K29)))</formula>
    </cfRule>
  </conditionalFormatting>
  <conditionalFormatting sqref="K29:K30">
    <cfRule type="containsText" dxfId="5685" priority="5691" operator="containsText" text="%">
      <formula>NOT(ISERROR(SEARCH("%",K29)))</formula>
    </cfRule>
  </conditionalFormatting>
  <conditionalFormatting sqref="K29:K30">
    <cfRule type="containsText" dxfId="5684" priority="5690" operator="containsText" text="%">
      <formula>NOT(ISERROR(SEARCH("%",K29)))</formula>
    </cfRule>
  </conditionalFormatting>
  <conditionalFormatting sqref="K29:K30">
    <cfRule type="containsText" dxfId="5683" priority="5689" operator="containsText" text="%">
      <formula>NOT(ISERROR(SEARCH("%",K29)))</formula>
    </cfRule>
  </conditionalFormatting>
  <conditionalFormatting sqref="K29:K30">
    <cfRule type="containsText" dxfId="5682" priority="5688" operator="containsText" text="%">
      <formula>NOT(ISERROR(SEARCH("%",K29)))</formula>
    </cfRule>
  </conditionalFormatting>
  <conditionalFormatting sqref="K30">
    <cfRule type="containsText" dxfId="5681" priority="5687" operator="containsText" text="%">
      <formula>NOT(ISERROR(SEARCH("%",K30)))</formula>
    </cfRule>
  </conditionalFormatting>
  <conditionalFormatting sqref="K30">
    <cfRule type="containsText" dxfId="5680" priority="5686" operator="containsText" text="%">
      <formula>NOT(ISERROR(SEARCH("%",K30)))</formula>
    </cfRule>
  </conditionalFormatting>
  <conditionalFormatting sqref="K30">
    <cfRule type="containsText" dxfId="5679" priority="5685" operator="containsText" text="%">
      <formula>NOT(ISERROR(SEARCH("%",K30)))</formula>
    </cfRule>
  </conditionalFormatting>
  <conditionalFormatting sqref="K30">
    <cfRule type="containsText" dxfId="5678" priority="5684" operator="containsText" text="%">
      <formula>NOT(ISERROR(SEARCH("%",K30)))</formula>
    </cfRule>
  </conditionalFormatting>
  <conditionalFormatting sqref="K29:K30">
    <cfRule type="containsText" dxfId="5677" priority="5683" operator="containsText" text="%">
      <formula>NOT(ISERROR(SEARCH("%",K29)))</formula>
    </cfRule>
  </conditionalFormatting>
  <conditionalFormatting sqref="K29:K30">
    <cfRule type="containsText" dxfId="5676" priority="5682" operator="containsText" text="%">
      <formula>NOT(ISERROR(SEARCH("%",K29)))</formula>
    </cfRule>
  </conditionalFormatting>
  <conditionalFormatting sqref="K29:K30">
    <cfRule type="containsText" dxfId="5675" priority="5681" operator="containsText" text="%">
      <formula>NOT(ISERROR(SEARCH("%",K29)))</formula>
    </cfRule>
  </conditionalFormatting>
  <conditionalFormatting sqref="K29:K30">
    <cfRule type="containsText" dxfId="5674" priority="5680" operator="containsText" text="%">
      <formula>NOT(ISERROR(SEARCH("%",K29)))</formula>
    </cfRule>
  </conditionalFormatting>
  <conditionalFormatting sqref="K29:K30">
    <cfRule type="containsText" dxfId="5673" priority="5679" operator="containsText" text="%">
      <formula>NOT(ISERROR(SEARCH("%",K29)))</formula>
    </cfRule>
  </conditionalFormatting>
  <conditionalFormatting sqref="K29:K30">
    <cfRule type="containsText" dxfId="5672" priority="5678" operator="containsText" text="%">
      <formula>NOT(ISERROR(SEARCH("%",K29)))</formula>
    </cfRule>
  </conditionalFormatting>
  <conditionalFormatting sqref="K29:K30">
    <cfRule type="containsText" dxfId="5671" priority="5677" operator="containsText" text="%">
      <formula>NOT(ISERROR(SEARCH("%",K29)))</formula>
    </cfRule>
  </conditionalFormatting>
  <conditionalFormatting sqref="K29:K30">
    <cfRule type="containsText" dxfId="5670" priority="5676" operator="containsText" text="%">
      <formula>NOT(ISERROR(SEARCH("%",K29)))</formula>
    </cfRule>
  </conditionalFormatting>
  <conditionalFormatting sqref="K29:K30">
    <cfRule type="containsText" dxfId="5669" priority="5675" operator="containsText" text="%">
      <formula>NOT(ISERROR(SEARCH("%",K29)))</formula>
    </cfRule>
  </conditionalFormatting>
  <conditionalFormatting sqref="K29:K30">
    <cfRule type="containsText" dxfId="5668" priority="5674" operator="containsText" text="%">
      <formula>NOT(ISERROR(SEARCH("%",K29)))</formula>
    </cfRule>
  </conditionalFormatting>
  <conditionalFormatting sqref="K30">
    <cfRule type="containsText" dxfId="5667" priority="5673" operator="containsText" text="%">
      <formula>NOT(ISERROR(SEARCH("%",K30)))</formula>
    </cfRule>
  </conditionalFormatting>
  <conditionalFormatting sqref="K30">
    <cfRule type="containsText" dxfId="5666" priority="5672" operator="containsText" text="%">
      <formula>NOT(ISERROR(SEARCH("%",K30)))</formula>
    </cfRule>
  </conditionalFormatting>
  <conditionalFormatting sqref="K30">
    <cfRule type="containsText" dxfId="5665" priority="5671" operator="containsText" text="%">
      <formula>NOT(ISERROR(SEARCH("%",K30)))</formula>
    </cfRule>
  </conditionalFormatting>
  <conditionalFormatting sqref="K30">
    <cfRule type="containsText" dxfId="5664" priority="5670" operator="containsText" text="%">
      <formula>NOT(ISERROR(SEARCH("%",K30)))</formula>
    </cfRule>
  </conditionalFormatting>
  <conditionalFormatting sqref="K29">
    <cfRule type="containsText" dxfId="5663" priority="5669" operator="containsText" text="%">
      <formula>NOT(ISERROR(SEARCH("%",K29)))</formula>
    </cfRule>
  </conditionalFormatting>
  <conditionalFormatting sqref="K29">
    <cfRule type="containsText" dxfId="5662" priority="5668" operator="containsText" text="%">
      <formula>NOT(ISERROR(SEARCH("%",K29)))</formula>
    </cfRule>
  </conditionalFormatting>
  <conditionalFormatting sqref="K29">
    <cfRule type="containsText" dxfId="5661" priority="5667" operator="containsText" text="%">
      <formula>NOT(ISERROR(SEARCH("%",K29)))</formula>
    </cfRule>
  </conditionalFormatting>
  <conditionalFormatting sqref="K29">
    <cfRule type="containsText" dxfId="5660" priority="5666" operator="containsText" text="%">
      <formula>NOT(ISERROR(SEARCH("%",K29)))</formula>
    </cfRule>
  </conditionalFormatting>
  <conditionalFormatting sqref="K29">
    <cfRule type="containsText" dxfId="5659" priority="5665" operator="containsText" text="%">
      <formula>NOT(ISERROR(SEARCH("%",K29)))</formula>
    </cfRule>
  </conditionalFormatting>
  <conditionalFormatting sqref="K29">
    <cfRule type="containsText" dxfId="5658" priority="5664" operator="containsText" text="%">
      <formula>NOT(ISERROR(SEARCH("%",K29)))</formula>
    </cfRule>
  </conditionalFormatting>
  <conditionalFormatting sqref="K30">
    <cfRule type="containsText" dxfId="5657" priority="5663" operator="containsText" text="%">
      <formula>NOT(ISERROR(SEARCH("%",K30)))</formula>
    </cfRule>
  </conditionalFormatting>
  <conditionalFormatting sqref="K30">
    <cfRule type="containsText" dxfId="5656" priority="5662" operator="containsText" text="%">
      <formula>NOT(ISERROR(SEARCH("%",K30)))</formula>
    </cfRule>
  </conditionalFormatting>
  <conditionalFormatting sqref="K30">
    <cfRule type="containsText" dxfId="5655" priority="5661" operator="containsText" text="%">
      <formula>NOT(ISERROR(SEARCH("%",K30)))</formula>
    </cfRule>
  </conditionalFormatting>
  <conditionalFormatting sqref="K30">
    <cfRule type="containsText" dxfId="5654" priority="5660" operator="containsText" text="%">
      <formula>NOT(ISERROR(SEARCH("%",K30)))</formula>
    </cfRule>
  </conditionalFormatting>
  <conditionalFormatting sqref="K30">
    <cfRule type="containsText" dxfId="5653" priority="5659" operator="containsText" text="%">
      <formula>NOT(ISERROR(SEARCH("%",K30)))</formula>
    </cfRule>
  </conditionalFormatting>
  <conditionalFormatting sqref="K30">
    <cfRule type="containsText" dxfId="5652" priority="5658" operator="containsText" text="%">
      <formula>NOT(ISERROR(SEARCH("%",K30)))</formula>
    </cfRule>
  </conditionalFormatting>
  <conditionalFormatting sqref="K30">
    <cfRule type="containsText" dxfId="5651" priority="5657" operator="containsText" text="%">
      <formula>NOT(ISERROR(SEARCH("%",K30)))</formula>
    </cfRule>
  </conditionalFormatting>
  <conditionalFormatting sqref="K30">
    <cfRule type="containsText" dxfId="5650" priority="5656" operator="containsText" text="%">
      <formula>NOT(ISERROR(SEARCH("%",K30)))</formula>
    </cfRule>
  </conditionalFormatting>
  <conditionalFormatting sqref="K30">
    <cfRule type="containsText" dxfId="5649" priority="5655" operator="containsText" text="%">
      <formula>NOT(ISERROR(SEARCH("%",K30)))</formula>
    </cfRule>
  </conditionalFormatting>
  <conditionalFormatting sqref="K30">
    <cfRule type="containsText" dxfId="5648" priority="5654" operator="containsText" text="%">
      <formula>NOT(ISERROR(SEARCH("%",K30)))</formula>
    </cfRule>
  </conditionalFormatting>
  <conditionalFormatting sqref="K30">
    <cfRule type="containsText" dxfId="5647" priority="5640" operator="containsText" text="%">
      <formula>NOT(ISERROR(SEARCH("%",K30)))</formula>
    </cfRule>
  </conditionalFormatting>
  <conditionalFormatting sqref="K30">
    <cfRule type="containsText" dxfId="5646" priority="5639" operator="containsText" text="%">
      <formula>NOT(ISERROR(SEARCH("%",K30)))</formula>
    </cfRule>
  </conditionalFormatting>
  <conditionalFormatting sqref="K30">
    <cfRule type="containsText" dxfId="5645" priority="5635" operator="containsText" text="%">
      <formula>NOT(ISERROR(SEARCH("%",K30)))</formula>
    </cfRule>
  </conditionalFormatting>
  <conditionalFormatting sqref="K30">
    <cfRule type="containsText" dxfId="5644" priority="5653" operator="containsText" text="%">
      <formula>NOT(ISERROR(SEARCH("%",K30)))</formula>
    </cfRule>
  </conditionalFormatting>
  <conditionalFormatting sqref="K30">
    <cfRule type="containsText" dxfId="5643" priority="5633" operator="containsText" text="%">
      <formula>NOT(ISERROR(SEARCH("%",K30)))</formula>
    </cfRule>
  </conditionalFormatting>
  <conditionalFormatting sqref="K30">
    <cfRule type="containsText" dxfId="5642" priority="5652" operator="containsText" text="%">
      <formula>NOT(ISERROR(SEARCH("%",K30)))</formula>
    </cfRule>
  </conditionalFormatting>
  <conditionalFormatting sqref="K30">
    <cfRule type="containsText" dxfId="5641" priority="5651" operator="containsText" text="%">
      <formula>NOT(ISERROR(SEARCH("%",K30)))</formula>
    </cfRule>
  </conditionalFormatting>
  <conditionalFormatting sqref="K30">
    <cfRule type="containsText" dxfId="5640" priority="5650" operator="containsText" text="%">
      <formula>NOT(ISERROR(SEARCH("%",K30)))</formula>
    </cfRule>
  </conditionalFormatting>
  <conditionalFormatting sqref="K30">
    <cfRule type="containsText" dxfId="5639" priority="5649" operator="containsText" text="%">
      <formula>NOT(ISERROR(SEARCH("%",K30)))</formula>
    </cfRule>
  </conditionalFormatting>
  <conditionalFormatting sqref="K30">
    <cfRule type="containsText" dxfId="5638" priority="5648" operator="containsText" text="%">
      <formula>NOT(ISERROR(SEARCH("%",K30)))</formula>
    </cfRule>
  </conditionalFormatting>
  <conditionalFormatting sqref="K30">
    <cfRule type="containsText" dxfId="5637" priority="5647" operator="containsText" text="%">
      <formula>NOT(ISERROR(SEARCH("%",K30)))</formula>
    </cfRule>
  </conditionalFormatting>
  <conditionalFormatting sqref="K30">
    <cfRule type="containsText" dxfId="5636" priority="5646" operator="containsText" text="%">
      <formula>NOT(ISERROR(SEARCH("%",K30)))</formula>
    </cfRule>
  </conditionalFormatting>
  <conditionalFormatting sqref="K30">
    <cfRule type="containsText" dxfId="5635" priority="5645" operator="containsText" text="%">
      <formula>NOT(ISERROR(SEARCH("%",K30)))</formula>
    </cfRule>
  </conditionalFormatting>
  <conditionalFormatting sqref="K30">
    <cfRule type="containsText" dxfId="5634" priority="5644" operator="containsText" text="%">
      <formula>NOT(ISERROR(SEARCH("%",K30)))</formula>
    </cfRule>
  </conditionalFormatting>
  <conditionalFormatting sqref="K30">
    <cfRule type="containsText" dxfId="5633" priority="5643" operator="containsText" text="%">
      <formula>NOT(ISERROR(SEARCH("%",K30)))</formula>
    </cfRule>
  </conditionalFormatting>
  <conditionalFormatting sqref="K30">
    <cfRule type="containsText" dxfId="5632" priority="5642" operator="containsText" text="%">
      <formula>NOT(ISERROR(SEARCH("%",K30)))</formula>
    </cfRule>
  </conditionalFormatting>
  <conditionalFormatting sqref="K30">
    <cfRule type="containsText" dxfId="5631" priority="5641" operator="containsText" text="%">
      <formula>NOT(ISERROR(SEARCH("%",K30)))</formula>
    </cfRule>
  </conditionalFormatting>
  <conditionalFormatting sqref="K30">
    <cfRule type="containsText" dxfId="5630" priority="5638" operator="containsText" text="%">
      <formula>NOT(ISERROR(SEARCH("%",K30)))</formula>
    </cfRule>
  </conditionalFormatting>
  <conditionalFormatting sqref="K30">
    <cfRule type="containsText" dxfId="5629" priority="5637" operator="containsText" text="%">
      <formula>NOT(ISERROR(SEARCH("%",K30)))</formula>
    </cfRule>
  </conditionalFormatting>
  <conditionalFormatting sqref="K30">
    <cfRule type="containsText" dxfId="5628" priority="5636" operator="containsText" text="%">
      <formula>NOT(ISERROR(SEARCH("%",K30)))</formula>
    </cfRule>
  </conditionalFormatting>
  <conditionalFormatting sqref="K30">
    <cfRule type="containsText" dxfId="5627" priority="5634" operator="containsText" text="%">
      <formula>NOT(ISERROR(SEARCH("%",K30)))</formula>
    </cfRule>
  </conditionalFormatting>
  <conditionalFormatting sqref="K30">
    <cfRule type="containsText" dxfId="5626" priority="5632" operator="containsText" text="%">
      <formula>NOT(ISERROR(SEARCH("%",K30)))</formula>
    </cfRule>
  </conditionalFormatting>
  <conditionalFormatting sqref="K30">
    <cfRule type="containsText" dxfId="5625" priority="5631" operator="containsText" text="%">
      <formula>NOT(ISERROR(SEARCH("%",K30)))</formula>
    </cfRule>
  </conditionalFormatting>
  <conditionalFormatting sqref="K30">
    <cfRule type="containsText" dxfId="5624" priority="5630" operator="containsText" text="%">
      <formula>NOT(ISERROR(SEARCH("%",K30)))</formula>
    </cfRule>
  </conditionalFormatting>
  <conditionalFormatting sqref="K30">
    <cfRule type="containsText" dxfId="5623" priority="5629" operator="containsText" text="%">
      <formula>NOT(ISERROR(SEARCH("%",K30)))</formula>
    </cfRule>
  </conditionalFormatting>
  <conditionalFormatting sqref="K30">
    <cfRule type="containsText" dxfId="5622" priority="5628" operator="containsText" text="%">
      <formula>NOT(ISERROR(SEARCH("%",K30)))</formula>
    </cfRule>
  </conditionalFormatting>
  <conditionalFormatting sqref="K30">
    <cfRule type="containsText" dxfId="5621" priority="5627" operator="containsText" text="%">
      <formula>NOT(ISERROR(SEARCH("%",K30)))</formula>
    </cfRule>
  </conditionalFormatting>
  <conditionalFormatting sqref="K30">
    <cfRule type="containsText" dxfId="5620" priority="5626" operator="containsText" text="%">
      <formula>NOT(ISERROR(SEARCH("%",K30)))</formula>
    </cfRule>
  </conditionalFormatting>
  <conditionalFormatting sqref="K30">
    <cfRule type="containsText" dxfId="5619" priority="5625" operator="containsText" text="%">
      <formula>NOT(ISERROR(SEARCH("%",K30)))</formula>
    </cfRule>
  </conditionalFormatting>
  <conditionalFormatting sqref="K30">
    <cfRule type="containsText" dxfId="5618" priority="5624" operator="containsText" text="%">
      <formula>NOT(ISERROR(SEARCH("%",K30)))</formula>
    </cfRule>
  </conditionalFormatting>
  <conditionalFormatting sqref="K30">
    <cfRule type="containsText" dxfId="5617" priority="5623" operator="containsText" text="%">
      <formula>NOT(ISERROR(SEARCH("%",K30)))</formula>
    </cfRule>
  </conditionalFormatting>
  <conditionalFormatting sqref="K30">
    <cfRule type="containsText" dxfId="5616" priority="5622" operator="containsText" text="%">
      <formula>NOT(ISERROR(SEARCH("%",K30)))</formula>
    </cfRule>
  </conditionalFormatting>
  <conditionalFormatting sqref="K30">
    <cfRule type="containsText" dxfId="5615" priority="5621" operator="containsText" text="%">
      <formula>NOT(ISERROR(SEARCH("%",K30)))</formula>
    </cfRule>
  </conditionalFormatting>
  <conditionalFormatting sqref="K30">
    <cfRule type="containsText" dxfId="5614" priority="5620" operator="containsText" text="%">
      <formula>NOT(ISERROR(SEARCH("%",K30)))</formula>
    </cfRule>
  </conditionalFormatting>
  <conditionalFormatting sqref="K30">
    <cfRule type="containsText" dxfId="5613" priority="5619" operator="containsText" text="%">
      <formula>NOT(ISERROR(SEARCH("%",K30)))</formula>
    </cfRule>
  </conditionalFormatting>
  <conditionalFormatting sqref="K30">
    <cfRule type="containsText" dxfId="5612" priority="5618" operator="containsText" text="%">
      <formula>NOT(ISERROR(SEARCH("%",K30)))</formula>
    </cfRule>
  </conditionalFormatting>
  <conditionalFormatting sqref="K30">
    <cfRule type="containsText" dxfId="5611" priority="5617" operator="containsText" text="%">
      <formula>NOT(ISERROR(SEARCH("%",K30)))</formula>
    </cfRule>
  </conditionalFormatting>
  <conditionalFormatting sqref="K30">
    <cfRule type="containsText" dxfId="5610" priority="5616" operator="containsText" text="%">
      <formula>NOT(ISERROR(SEARCH("%",K30)))</formula>
    </cfRule>
  </conditionalFormatting>
  <conditionalFormatting sqref="K30">
    <cfRule type="containsText" dxfId="5609" priority="5615" operator="containsText" text="%">
      <formula>NOT(ISERROR(SEARCH("%",K30)))</formula>
    </cfRule>
  </conditionalFormatting>
  <conditionalFormatting sqref="K30">
    <cfRule type="containsText" dxfId="5608" priority="5614" operator="containsText" text="%">
      <formula>NOT(ISERROR(SEARCH("%",K30)))</formula>
    </cfRule>
  </conditionalFormatting>
  <conditionalFormatting sqref="K30">
    <cfRule type="containsText" dxfId="5607" priority="5613" operator="containsText" text="%">
      <formula>NOT(ISERROR(SEARCH("%",K30)))</formula>
    </cfRule>
  </conditionalFormatting>
  <conditionalFormatting sqref="K30">
    <cfRule type="containsText" dxfId="5606" priority="5612" operator="containsText" text="%">
      <formula>NOT(ISERROR(SEARCH("%",K30)))</formula>
    </cfRule>
  </conditionalFormatting>
  <conditionalFormatting sqref="K30">
    <cfRule type="containsText" dxfId="5605" priority="5611" operator="containsText" text="%">
      <formula>NOT(ISERROR(SEARCH("%",K30)))</formula>
    </cfRule>
  </conditionalFormatting>
  <conditionalFormatting sqref="K30">
    <cfRule type="containsText" dxfId="5604" priority="5610" operator="containsText" text="%">
      <formula>NOT(ISERROR(SEARCH("%",K30)))</formula>
    </cfRule>
  </conditionalFormatting>
  <conditionalFormatting sqref="K30">
    <cfRule type="containsText" dxfId="5603" priority="5609" operator="containsText" text="%">
      <formula>NOT(ISERROR(SEARCH("%",K30)))</formula>
    </cfRule>
  </conditionalFormatting>
  <conditionalFormatting sqref="K30">
    <cfRule type="containsText" dxfId="5602" priority="5608" operator="containsText" text="%">
      <formula>NOT(ISERROR(SEARCH("%",K30)))</formula>
    </cfRule>
  </conditionalFormatting>
  <conditionalFormatting sqref="K30">
    <cfRule type="containsText" dxfId="5601" priority="5607" operator="containsText" text="%">
      <formula>NOT(ISERROR(SEARCH("%",K30)))</formula>
    </cfRule>
  </conditionalFormatting>
  <conditionalFormatting sqref="K30">
    <cfRule type="containsText" dxfId="5600" priority="5606" operator="containsText" text="%">
      <formula>NOT(ISERROR(SEARCH("%",K30)))</formula>
    </cfRule>
  </conditionalFormatting>
  <conditionalFormatting sqref="K30">
    <cfRule type="containsText" dxfId="5599" priority="5605" operator="containsText" text="%">
      <formula>NOT(ISERROR(SEARCH("%",K30)))</formula>
    </cfRule>
  </conditionalFormatting>
  <conditionalFormatting sqref="K29:K30">
    <cfRule type="containsText" dxfId="5598" priority="5589" operator="containsText" text="%">
      <formula>NOT(ISERROR(SEARCH("%",K29)))</formula>
    </cfRule>
  </conditionalFormatting>
  <conditionalFormatting sqref="K29:K30">
    <cfRule type="containsText" dxfId="5597" priority="5588" operator="containsText" text="%">
      <formula>NOT(ISERROR(SEARCH("%",K29)))</formula>
    </cfRule>
  </conditionalFormatting>
  <conditionalFormatting sqref="K29:K30">
    <cfRule type="containsText" dxfId="5596" priority="5584" operator="containsText" text="%">
      <formula>NOT(ISERROR(SEARCH("%",K29)))</formula>
    </cfRule>
  </conditionalFormatting>
  <conditionalFormatting sqref="K29:K30">
    <cfRule type="containsText" dxfId="5595" priority="5604" operator="containsText" text="%">
      <formula>NOT(ISERROR(SEARCH("%",K29)))</formula>
    </cfRule>
  </conditionalFormatting>
  <conditionalFormatting sqref="K29">
    <cfRule type="containsText" dxfId="5594" priority="5603" operator="containsText" text="%">
      <formula>NOT(ISERROR(SEARCH("%",K29)))</formula>
    </cfRule>
  </conditionalFormatting>
  <conditionalFormatting sqref="K29">
    <cfRule type="containsText" dxfId="5593" priority="5602" operator="containsText" text="%">
      <formula>NOT(ISERROR(SEARCH("%",K29)))</formula>
    </cfRule>
  </conditionalFormatting>
  <conditionalFormatting sqref="K29:K30">
    <cfRule type="containsText" dxfId="5592" priority="5582" operator="containsText" text="%">
      <formula>NOT(ISERROR(SEARCH("%",K29)))</formula>
    </cfRule>
  </conditionalFormatting>
  <conditionalFormatting sqref="K29:K30">
    <cfRule type="containsText" dxfId="5591" priority="5601" operator="containsText" text="%">
      <formula>NOT(ISERROR(SEARCH("%",K29)))</formula>
    </cfRule>
  </conditionalFormatting>
  <conditionalFormatting sqref="K29:K30">
    <cfRule type="containsText" dxfId="5590" priority="5600" operator="containsText" text="%">
      <formula>NOT(ISERROR(SEARCH("%",K29)))</formula>
    </cfRule>
  </conditionalFormatting>
  <conditionalFormatting sqref="K29:K30">
    <cfRule type="containsText" dxfId="5589" priority="5599" operator="containsText" text="%">
      <formula>NOT(ISERROR(SEARCH("%",K29)))</formula>
    </cfRule>
  </conditionalFormatting>
  <conditionalFormatting sqref="K29:K30">
    <cfRule type="containsText" dxfId="5588" priority="5598" operator="containsText" text="%">
      <formula>NOT(ISERROR(SEARCH("%",K29)))</formula>
    </cfRule>
  </conditionalFormatting>
  <conditionalFormatting sqref="K29:K30">
    <cfRule type="containsText" dxfId="5587" priority="5597" operator="containsText" text="%">
      <formula>NOT(ISERROR(SEARCH("%",K29)))</formula>
    </cfRule>
  </conditionalFormatting>
  <conditionalFormatting sqref="K29:K30">
    <cfRule type="containsText" dxfId="5586" priority="5596" operator="containsText" text="%">
      <formula>NOT(ISERROR(SEARCH("%",K29)))</formula>
    </cfRule>
  </conditionalFormatting>
  <conditionalFormatting sqref="K29:K30">
    <cfRule type="containsText" dxfId="5585" priority="5595" operator="containsText" text="%">
      <formula>NOT(ISERROR(SEARCH("%",K29)))</formula>
    </cfRule>
  </conditionalFormatting>
  <conditionalFormatting sqref="K29:K30">
    <cfRule type="containsText" dxfId="5584" priority="5594" operator="containsText" text="%">
      <formula>NOT(ISERROR(SEARCH("%",K29)))</formula>
    </cfRule>
  </conditionalFormatting>
  <conditionalFormatting sqref="K29:K30">
    <cfRule type="containsText" dxfId="5583" priority="5593" operator="containsText" text="%">
      <formula>NOT(ISERROR(SEARCH("%",K29)))</formula>
    </cfRule>
  </conditionalFormatting>
  <conditionalFormatting sqref="K29:K30">
    <cfRule type="containsText" dxfId="5582" priority="5592" operator="containsText" text="%">
      <formula>NOT(ISERROR(SEARCH("%",K29)))</formula>
    </cfRule>
  </conditionalFormatting>
  <conditionalFormatting sqref="K29:K30">
    <cfRule type="containsText" dxfId="5581" priority="5591" operator="containsText" text="%">
      <formula>NOT(ISERROR(SEARCH("%",K29)))</formula>
    </cfRule>
  </conditionalFormatting>
  <conditionalFormatting sqref="K29:K30">
    <cfRule type="containsText" dxfId="5580" priority="5590" operator="containsText" text="%">
      <formula>NOT(ISERROR(SEARCH("%",K29)))</formula>
    </cfRule>
  </conditionalFormatting>
  <conditionalFormatting sqref="K29:K30">
    <cfRule type="containsText" dxfId="5579" priority="5587" operator="containsText" text="%">
      <formula>NOT(ISERROR(SEARCH("%",K29)))</formula>
    </cfRule>
  </conditionalFormatting>
  <conditionalFormatting sqref="K29:K30">
    <cfRule type="containsText" dxfId="5578" priority="5586" operator="containsText" text="%">
      <formula>NOT(ISERROR(SEARCH("%",K29)))</formula>
    </cfRule>
  </conditionalFormatting>
  <conditionalFormatting sqref="K29:K30">
    <cfRule type="containsText" dxfId="5577" priority="5585" operator="containsText" text="%">
      <formula>NOT(ISERROR(SEARCH("%",K29)))</formula>
    </cfRule>
  </conditionalFormatting>
  <conditionalFormatting sqref="K29:K30">
    <cfRule type="containsText" dxfId="5576" priority="5583" operator="containsText" text="%">
      <formula>NOT(ISERROR(SEARCH("%",K29)))</formula>
    </cfRule>
  </conditionalFormatting>
  <conditionalFormatting sqref="K29:K30">
    <cfRule type="containsText" dxfId="5575" priority="5581" operator="containsText" text="%">
      <formula>NOT(ISERROR(SEARCH("%",K29)))</formula>
    </cfRule>
  </conditionalFormatting>
  <conditionalFormatting sqref="K29:K30">
    <cfRule type="containsText" dxfId="5574" priority="5580" operator="containsText" text="%">
      <formula>NOT(ISERROR(SEARCH("%",K29)))</formula>
    </cfRule>
  </conditionalFormatting>
  <conditionalFormatting sqref="K29:K30">
    <cfRule type="containsText" dxfId="5573" priority="5579" operator="containsText" text="%">
      <formula>NOT(ISERROR(SEARCH("%",K29)))</formula>
    </cfRule>
  </conditionalFormatting>
  <conditionalFormatting sqref="K29:K30">
    <cfRule type="containsText" dxfId="5572" priority="5578" operator="containsText" text="%">
      <formula>NOT(ISERROR(SEARCH("%",K29)))</formula>
    </cfRule>
  </conditionalFormatting>
  <conditionalFormatting sqref="K29:K30">
    <cfRule type="containsText" dxfId="5571" priority="5577" operator="containsText" text="%">
      <formula>NOT(ISERROR(SEARCH("%",K29)))</formula>
    </cfRule>
  </conditionalFormatting>
  <conditionalFormatting sqref="K29:K30">
    <cfRule type="containsText" dxfId="5570" priority="5576" operator="containsText" text="%">
      <formula>NOT(ISERROR(SEARCH("%",K29)))</formula>
    </cfRule>
  </conditionalFormatting>
  <conditionalFormatting sqref="K29:K30">
    <cfRule type="containsText" dxfId="5569" priority="5575" operator="containsText" text="%">
      <formula>NOT(ISERROR(SEARCH("%",K29)))</formula>
    </cfRule>
  </conditionalFormatting>
  <conditionalFormatting sqref="K29:K30">
    <cfRule type="containsText" dxfId="5568" priority="5574" operator="containsText" text="%">
      <formula>NOT(ISERROR(SEARCH("%",K29)))</formula>
    </cfRule>
  </conditionalFormatting>
  <conditionalFormatting sqref="K29:K30">
    <cfRule type="containsText" dxfId="5567" priority="5573" operator="containsText" text="%">
      <formula>NOT(ISERROR(SEARCH("%",K29)))</formula>
    </cfRule>
  </conditionalFormatting>
  <conditionalFormatting sqref="K29:K30">
    <cfRule type="containsText" dxfId="5566" priority="5572" operator="containsText" text="%">
      <formula>NOT(ISERROR(SEARCH("%",K29)))</formula>
    </cfRule>
  </conditionalFormatting>
  <conditionalFormatting sqref="K30">
    <cfRule type="containsText" dxfId="5565" priority="5571" operator="containsText" text="%">
      <formula>NOT(ISERROR(SEARCH("%",K30)))</formula>
    </cfRule>
  </conditionalFormatting>
  <conditionalFormatting sqref="K30">
    <cfRule type="containsText" dxfId="5564" priority="5570" operator="containsText" text="%">
      <formula>NOT(ISERROR(SEARCH("%",K30)))</formula>
    </cfRule>
  </conditionalFormatting>
  <conditionalFormatting sqref="K30">
    <cfRule type="containsText" dxfId="5563" priority="5569" operator="containsText" text="%">
      <formula>NOT(ISERROR(SEARCH("%",K30)))</formula>
    </cfRule>
  </conditionalFormatting>
  <conditionalFormatting sqref="K30">
    <cfRule type="containsText" dxfId="5562" priority="5568" operator="containsText" text="%">
      <formula>NOT(ISERROR(SEARCH("%",K30)))</formula>
    </cfRule>
  </conditionalFormatting>
  <conditionalFormatting sqref="K29:K30">
    <cfRule type="containsText" dxfId="5561" priority="5567" operator="containsText" text="%">
      <formula>NOT(ISERROR(SEARCH("%",K29)))</formula>
    </cfRule>
  </conditionalFormatting>
  <conditionalFormatting sqref="K29:K30">
    <cfRule type="containsText" dxfId="5560" priority="5566" operator="containsText" text="%">
      <formula>NOT(ISERROR(SEARCH("%",K29)))</formula>
    </cfRule>
  </conditionalFormatting>
  <conditionalFormatting sqref="K29:K30">
    <cfRule type="containsText" dxfId="5559" priority="5565" operator="containsText" text="%">
      <formula>NOT(ISERROR(SEARCH("%",K29)))</formula>
    </cfRule>
  </conditionalFormatting>
  <conditionalFormatting sqref="K29:K30">
    <cfRule type="containsText" dxfId="5558" priority="5564" operator="containsText" text="%">
      <formula>NOT(ISERROR(SEARCH("%",K29)))</formula>
    </cfRule>
  </conditionalFormatting>
  <conditionalFormatting sqref="K29:K30">
    <cfRule type="containsText" dxfId="5557" priority="5563" operator="containsText" text="%">
      <formula>NOT(ISERROR(SEARCH("%",K29)))</formula>
    </cfRule>
  </conditionalFormatting>
  <conditionalFormatting sqref="K29:K30">
    <cfRule type="containsText" dxfId="5556" priority="5562" operator="containsText" text="%">
      <formula>NOT(ISERROR(SEARCH("%",K29)))</formula>
    </cfRule>
  </conditionalFormatting>
  <conditionalFormatting sqref="K29:K30">
    <cfRule type="containsText" dxfId="5555" priority="5561" operator="containsText" text="%">
      <formula>NOT(ISERROR(SEARCH("%",K29)))</formula>
    </cfRule>
  </conditionalFormatting>
  <conditionalFormatting sqref="K29:K30">
    <cfRule type="containsText" dxfId="5554" priority="5560" operator="containsText" text="%">
      <formula>NOT(ISERROR(SEARCH("%",K29)))</formula>
    </cfRule>
  </conditionalFormatting>
  <conditionalFormatting sqref="K29:K30">
    <cfRule type="containsText" dxfId="5553" priority="5559" operator="containsText" text="%">
      <formula>NOT(ISERROR(SEARCH("%",K29)))</formula>
    </cfRule>
  </conditionalFormatting>
  <conditionalFormatting sqref="K29:K30">
    <cfRule type="containsText" dxfId="5552" priority="5558" operator="containsText" text="%">
      <formula>NOT(ISERROR(SEARCH("%",K29)))</formula>
    </cfRule>
  </conditionalFormatting>
  <conditionalFormatting sqref="K30">
    <cfRule type="containsText" dxfId="5551" priority="5557" operator="containsText" text="%">
      <formula>NOT(ISERROR(SEARCH("%",K30)))</formula>
    </cfRule>
  </conditionalFormatting>
  <conditionalFormatting sqref="K30">
    <cfRule type="containsText" dxfId="5550" priority="5556" operator="containsText" text="%">
      <formula>NOT(ISERROR(SEARCH("%",K30)))</formula>
    </cfRule>
  </conditionalFormatting>
  <conditionalFormatting sqref="K30">
    <cfRule type="containsText" dxfId="5549" priority="5555" operator="containsText" text="%">
      <formula>NOT(ISERROR(SEARCH("%",K30)))</formula>
    </cfRule>
  </conditionalFormatting>
  <conditionalFormatting sqref="K30">
    <cfRule type="containsText" dxfId="5548" priority="5554" operator="containsText" text="%">
      <formula>NOT(ISERROR(SEARCH("%",K30)))</formula>
    </cfRule>
  </conditionalFormatting>
  <conditionalFormatting sqref="K29:K30">
    <cfRule type="containsText" dxfId="5547" priority="5553" operator="containsText" text="%">
      <formula>NOT(ISERROR(SEARCH("%",K29)))</formula>
    </cfRule>
  </conditionalFormatting>
  <conditionalFormatting sqref="K29:K30">
    <cfRule type="containsText" dxfId="5546" priority="5552" operator="containsText" text="%">
      <formula>NOT(ISERROR(SEARCH("%",K29)))</formula>
    </cfRule>
  </conditionalFormatting>
  <conditionalFormatting sqref="K29:K30">
    <cfRule type="containsText" dxfId="5545" priority="5551" operator="containsText" text="%">
      <formula>NOT(ISERROR(SEARCH("%",K29)))</formula>
    </cfRule>
  </conditionalFormatting>
  <conditionalFormatting sqref="K29:K30">
    <cfRule type="containsText" dxfId="5544" priority="5550" operator="containsText" text="%">
      <formula>NOT(ISERROR(SEARCH("%",K29)))</formula>
    </cfRule>
  </conditionalFormatting>
  <conditionalFormatting sqref="K29:K30">
    <cfRule type="containsText" dxfId="5543" priority="5549" operator="containsText" text="%">
      <formula>NOT(ISERROR(SEARCH("%",K29)))</formula>
    </cfRule>
  </conditionalFormatting>
  <conditionalFormatting sqref="K29:K30">
    <cfRule type="containsText" dxfId="5542" priority="5548" operator="containsText" text="%">
      <formula>NOT(ISERROR(SEARCH("%",K29)))</formula>
    </cfRule>
  </conditionalFormatting>
  <conditionalFormatting sqref="K30">
    <cfRule type="containsText" dxfId="5541" priority="5547" operator="containsText" text="%">
      <formula>NOT(ISERROR(SEARCH("%",K30)))</formula>
    </cfRule>
  </conditionalFormatting>
  <conditionalFormatting sqref="K30">
    <cfRule type="containsText" dxfId="5540" priority="5546" operator="containsText" text="%">
      <formula>NOT(ISERROR(SEARCH("%",K30)))</formula>
    </cfRule>
  </conditionalFormatting>
  <conditionalFormatting sqref="K30">
    <cfRule type="containsText" dxfId="5539" priority="5545" operator="containsText" text="%">
      <formula>NOT(ISERROR(SEARCH("%",K30)))</formula>
    </cfRule>
  </conditionalFormatting>
  <conditionalFormatting sqref="K30">
    <cfRule type="containsText" dxfId="5538" priority="5544" operator="containsText" text="%">
      <formula>NOT(ISERROR(SEARCH("%",K30)))</formula>
    </cfRule>
  </conditionalFormatting>
  <conditionalFormatting sqref="K29:K30">
    <cfRule type="containsText" dxfId="5537" priority="5528" operator="containsText" text="%">
      <formula>NOT(ISERROR(SEARCH("%",K29)))</formula>
    </cfRule>
  </conditionalFormatting>
  <conditionalFormatting sqref="K29:K30">
    <cfRule type="containsText" dxfId="5536" priority="5527" operator="containsText" text="%">
      <formula>NOT(ISERROR(SEARCH("%",K29)))</formula>
    </cfRule>
  </conditionalFormatting>
  <conditionalFormatting sqref="K29:K30">
    <cfRule type="containsText" dxfId="5535" priority="5523" operator="containsText" text="%">
      <formula>NOT(ISERROR(SEARCH("%",K29)))</formula>
    </cfRule>
  </conditionalFormatting>
  <conditionalFormatting sqref="K29:K30">
    <cfRule type="containsText" dxfId="5534" priority="5543" operator="containsText" text="%">
      <formula>NOT(ISERROR(SEARCH("%",K29)))</formula>
    </cfRule>
  </conditionalFormatting>
  <conditionalFormatting sqref="K29">
    <cfRule type="containsText" dxfId="5533" priority="5542" operator="containsText" text="%">
      <formula>NOT(ISERROR(SEARCH("%",K29)))</formula>
    </cfRule>
  </conditionalFormatting>
  <conditionalFormatting sqref="K29">
    <cfRule type="containsText" dxfId="5532" priority="5541" operator="containsText" text="%">
      <formula>NOT(ISERROR(SEARCH("%",K29)))</formula>
    </cfRule>
  </conditionalFormatting>
  <conditionalFormatting sqref="K29:K30">
    <cfRule type="containsText" dxfId="5531" priority="5521" operator="containsText" text="%">
      <formula>NOT(ISERROR(SEARCH("%",K29)))</formula>
    </cfRule>
  </conditionalFormatting>
  <conditionalFormatting sqref="K29:K30">
    <cfRule type="containsText" dxfId="5530" priority="5540" operator="containsText" text="%">
      <formula>NOT(ISERROR(SEARCH("%",K29)))</formula>
    </cfRule>
  </conditionalFormatting>
  <conditionalFormatting sqref="K29:K30">
    <cfRule type="containsText" dxfId="5529" priority="5539" operator="containsText" text="%">
      <formula>NOT(ISERROR(SEARCH("%",K29)))</formula>
    </cfRule>
  </conditionalFormatting>
  <conditionalFormatting sqref="K29:K30">
    <cfRule type="containsText" dxfId="5528" priority="5538" operator="containsText" text="%">
      <formula>NOT(ISERROR(SEARCH("%",K29)))</formula>
    </cfRule>
  </conditionalFormatting>
  <conditionalFormatting sqref="K29:K30">
    <cfRule type="containsText" dxfId="5527" priority="5537" operator="containsText" text="%">
      <formula>NOT(ISERROR(SEARCH("%",K29)))</formula>
    </cfRule>
  </conditionalFormatting>
  <conditionalFormatting sqref="K29:K30">
    <cfRule type="containsText" dxfId="5526" priority="5536" operator="containsText" text="%">
      <formula>NOT(ISERROR(SEARCH("%",K29)))</formula>
    </cfRule>
  </conditionalFormatting>
  <conditionalFormatting sqref="K29:K30">
    <cfRule type="containsText" dxfId="5525" priority="5535" operator="containsText" text="%">
      <formula>NOT(ISERROR(SEARCH("%",K29)))</formula>
    </cfRule>
  </conditionalFormatting>
  <conditionalFormatting sqref="K29:K30">
    <cfRule type="containsText" dxfId="5524" priority="5534" operator="containsText" text="%">
      <formula>NOT(ISERROR(SEARCH("%",K29)))</formula>
    </cfRule>
  </conditionalFormatting>
  <conditionalFormatting sqref="K29:K30">
    <cfRule type="containsText" dxfId="5523" priority="5533" operator="containsText" text="%">
      <formula>NOT(ISERROR(SEARCH("%",K29)))</formula>
    </cfRule>
  </conditionalFormatting>
  <conditionalFormatting sqref="K29:K30">
    <cfRule type="containsText" dxfId="5522" priority="5532" operator="containsText" text="%">
      <formula>NOT(ISERROR(SEARCH("%",K29)))</formula>
    </cfRule>
  </conditionalFormatting>
  <conditionalFormatting sqref="K29:K30">
    <cfRule type="containsText" dxfId="5521" priority="5531" operator="containsText" text="%">
      <formula>NOT(ISERROR(SEARCH("%",K29)))</formula>
    </cfRule>
  </conditionalFormatting>
  <conditionalFormatting sqref="K29:K30">
    <cfRule type="containsText" dxfId="5520" priority="5530" operator="containsText" text="%">
      <formula>NOT(ISERROR(SEARCH("%",K29)))</formula>
    </cfRule>
  </conditionalFormatting>
  <conditionalFormatting sqref="K29:K30">
    <cfRule type="containsText" dxfId="5519" priority="5529" operator="containsText" text="%">
      <formula>NOT(ISERROR(SEARCH("%",K29)))</formula>
    </cfRule>
  </conditionalFormatting>
  <conditionalFormatting sqref="K29:K30">
    <cfRule type="containsText" dxfId="5518" priority="5526" operator="containsText" text="%">
      <formula>NOT(ISERROR(SEARCH("%",K29)))</formula>
    </cfRule>
  </conditionalFormatting>
  <conditionalFormatting sqref="K29:K30">
    <cfRule type="containsText" dxfId="5517" priority="5525" operator="containsText" text="%">
      <formula>NOT(ISERROR(SEARCH("%",K29)))</formula>
    </cfRule>
  </conditionalFormatting>
  <conditionalFormatting sqref="K29:K30">
    <cfRule type="containsText" dxfId="5516" priority="5524" operator="containsText" text="%">
      <formula>NOT(ISERROR(SEARCH("%",K29)))</formula>
    </cfRule>
  </conditionalFormatting>
  <conditionalFormatting sqref="K29:K30">
    <cfRule type="containsText" dxfId="5515" priority="5522" operator="containsText" text="%">
      <formula>NOT(ISERROR(SEARCH("%",K29)))</formula>
    </cfRule>
  </conditionalFormatting>
  <conditionalFormatting sqref="K29:K30">
    <cfRule type="containsText" dxfId="5514" priority="5520" operator="containsText" text="%">
      <formula>NOT(ISERROR(SEARCH("%",K29)))</formula>
    </cfRule>
  </conditionalFormatting>
  <conditionalFormatting sqref="K29:K30">
    <cfRule type="containsText" dxfId="5513" priority="5519" operator="containsText" text="%">
      <formula>NOT(ISERROR(SEARCH("%",K29)))</formula>
    </cfRule>
  </conditionalFormatting>
  <conditionalFormatting sqref="K29:K30">
    <cfRule type="containsText" dxfId="5512" priority="5518" operator="containsText" text="%">
      <formula>NOT(ISERROR(SEARCH("%",K29)))</formula>
    </cfRule>
  </conditionalFormatting>
  <conditionalFormatting sqref="K29:K30">
    <cfRule type="containsText" dxfId="5511" priority="5517" operator="containsText" text="%">
      <formula>NOT(ISERROR(SEARCH("%",K29)))</formula>
    </cfRule>
  </conditionalFormatting>
  <conditionalFormatting sqref="K29:K30">
    <cfRule type="containsText" dxfId="5510" priority="5516" operator="containsText" text="%">
      <formula>NOT(ISERROR(SEARCH("%",K29)))</formula>
    </cfRule>
  </conditionalFormatting>
  <conditionalFormatting sqref="K29:K30">
    <cfRule type="containsText" dxfId="5509" priority="5515" operator="containsText" text="%">
      <formula>NOT(ISERROR(SEARCH("%",K29)))</formula>
    </cfRule>
  </conditionalFormatting>
  <conditionalFormatting sqref="K29:K30">
    <cfRule type="containsText" dxfId="5508" priority="5514" operator="containsText" text="%">
      <formula>NOT(ISERROR(SEARCH("%",K29)))</formula>
    </cfRule>
  </conditionalFormatting>
  <conditionalFormatting sqref="K29:K30">
    <cfRule type="containsText" dxfId="5507" priority="5513" operator="containsText" text="%">
      <formula>NOT(ISERROR(SEARCH("%",K29)))</formula>
    </cfRule>
  </conditionalFormatting>
  <conditionalFormatting sqref="K29:K30">
    <cfRule type="containsText" dxfId="5506" priority="5512" operator="containsText" text="%">
      <formula>NOT(ISERROR(SEARCH("%",K29)))</formula>
    </cfRule>
  </conditionalFormatting>
  <conditionalFormatting sqref="K29:K30">
    <cfRule type="containsText" dxfId="5505" priority="5511" operator="containsText" text="%">
      <formula>NOT(ISERROR(SEARCH("%",K29)))</formula>
    </cfRule>
  </conditionalFormatting>
  <conditionalFormatting sqref="K30">
    <cfRule type="containsText" dxfId="5504" priority="5510" operator="containsText" text="%">
      <formula>NOT(ISERROR(SEARCH("%",K30)))</formula>
    </cfRule>
  </conditionalFormatting>
  <conditionalFormatting sqref="K30">
    <cfRule type="containsText" dxfId="5503" priority="5509" operator="containsText" text="%">
      <formula>NOT(ISERROR(SEARCH("%",K30)))</formula>
    </cfRule>
  </conditionalFormatting>
  <conditionalFormatting sqref="K30">
    <cfRule type="containsText" dxfId="5502" priority="5508" operator="containsText" text="%">
      <formula>NOT(ISERROR(SEARCH("%",K30)))</formula>
    </cfRule>
  </conditionalFormatting>
  <conditionalFormatting sqref="K30">
    <cfRule type="containsText" dxfId="5501" priority="5507" operator="containsText" text="%">
      <formula>NOT(ISERROR(SEARCH("%",K30)))</formula>
    </cfRule>
  </conditionalFormatting>
  <conditionalFormatting sqref="K29:K30">
    <cfRule type="containsText" dxfId="5500" priority="5506" operator="containsText" text="%">
      <formula>NOT(ISERROR(SEARCH("%",K29)))</formula>
    </cfRule>
  </conditionalFormatting>
  <conditionalFormatting sqref="K29:K30">
    <cfRule type="containsText" dxfId="5499" priority="5505" operator="containsText" text="%">
      <formula>NOT(ISERROR(SEARCH("%",K29)))</formula>
    </cfRule>
  </conditionalFormatting>
  <conditionalFormatting sqref="K29:K30">
    <cfRule type="containsText" dxfId="5498" priority="5504" operator="containsText" text="%">
      <formula>NOT(ISERROR(SEARCH("%",K29)))</formula>
    </cfRule>
  </conditionalFormatting>
  <conditionalFormatting sqref="K29:K30">
    <cfRule type="containsText" dxfId="5497" priority="5503" operator="containsText" text="%">
      <formula>NOT(ISERROR(SEARCH("%",K29)))</formula>
    </cfRule>
  </conditionalFormatting>
  <conditionalFormatting sqref="K29:K30">
    <cfRule type="containsText" dxfId="5496" priority="5502" operator="containsText" text="%">
      <formula>NOT(ISERROR(SEARCH("%",K29)))</formula>
    </cfRule>
  </conditionalFormatting>
  <conditionalFormatting sqref="K29:K30">
    <cfRule type="containsText" dxfId="5495" priority="5501" operator="containsText" text="%">
      <formula>NOT(ISERROR(SEARCH("%",K29)))</formula>
    </cfRule>
  </conditionalFormatting>
  <conditionalFormatting sqref="K29:K30">
    <cfRule type="containsText" dxfId="5494" priority="5500" operator="containsText" text="%">
      <formula>NOT(ISERROR(SEARCH("%",K29)))</formula>
    </cfRule>
  </conditionalFormatting>
  <conditionalFormatting sqref="K29:K30">
    <cfRule type="containsText" dxfId="5493" priority="5499" operator="containsText" text="%">
      <formula>NOT(ISERROR(SEARCH("%",K29)))</formula>
    </cfRule>
  </conditionalFormatting>
  <conditionalFormatting sqref="K29:K30">
    <cfRule type="containsText" dxfId="5492" priority="5498" operator="containsText" text="%">
      <formula>NOT(ISERROR(SEARCH("%",K29)))</formula>
    </cfRule>
  </conditionalFormatting>
  <conditionalFormatting sqref="K29:K30">
    <cfRule type="containsText" dxfId="5491" priority="5497" operator="containsText" text="%">
      <formula>NOT(ISERROR(SEARCH("%",K29)))</formula>
    </cfRule>
  </conditionalFormatting>
  <conditionalFormatting sqref="K30">
    <cfRule type="containsText" dxfId="5490" priority="5496" operator="containsText" text="%">
      <formula>NOT(ISERROR(SEARCH("%",K30)))</formula>
    </cfRule>
  </conditionalFormatting>
  <conditionalFormatting sqref="K30">
    <cfRule type="containsText" dxfId="5489" priority="5495" operator="containsText" text="%">
      <formula>NOT(ISERROR(SEARCH("%",K30)))</formula>
    </cfRule>
  </conditionalFormatting>
  <conditionalFormatting sqref="K30">
    <cfRule type="containsText" dxfId="5488" priority="5494" operator="containsText" text="%">
      <formula>NOT(ISERROR(SEARCH("%",K30)))</formula>
    </cfRule>
  </conditionalFormatting>
  <conditionalFormatting sqref="K30">
    <cfRule type="containsText" dxfId="5487" priority="5493" operator="containsText" text="%">
      <formula>NOT(ISERROR(SEARCH("%",K30)))</formula>
    </cfRule>
  </conditionalFormatting>
  <conditionalFormatting sqref="K29">
    <cfRule type="containsText" dxfId="5486" priority="5492" operator="containsText" text="%">
      <formula>NOT(ISERROR(SEARCH("%",K29)))</formula>
    </cfRule>
  </conditionalFormatting>
  <conditionalFormatting sqref="K29">
    <cfRule type="containsText" dxfId="5485" priority="5491" operator="containsText" text="%">
      <formula>NOT(ISERROR(SEARCH("%",K29)))</formula>
    </cfRule>
  </conditionalFormatting>
  <conditionalFormatting sqref="K29">
    <cfRule type="containsText" dxfId="5484" priority="5490" operator="containsText" text="%">
      <formula>NOT(ISERROR(SEARCH("%",K29)))</formula>
    </cfRule>
  </conditionalFormatting>
  <conditionalFormatting sqref="K29">
    <cfRule type="containsText" dxfId="5483" priority="5489" operator="containsText" text="%">
      <formula>NOT(ISERROR(SEARCH("%",K29)))</formula>
    </cfRule>
  </conditionalFormatting>
  <conditionalFormatting sqref="K29">
    <cfRule type="containsText" dxfId="5482" priority="5488" operator="containsText" text="%">
      <formula>NOT(ISERROR(SEARCH("%",K29)))</formula>
    </cfRule>
  </conditionalFormatting>
  <conditionalFormatting sqref="K29">
    <cfRule type="containsText" dxfId="5481" priority="5487" operator="containsText" text="%">
      <formula>NOT(ISERROR(SEARCH("%",K29)))</formula>
    </cfRule>
  </conditionalFormatting>
  <conditionalFormatting sqref="K30">
    <cfRule type="containsText" dxfId="5480" priority="5486" operator="containsText" text="%">
      <formula>NOT(ISERROR(SEARCH("%",K30)))</formula>
    </cfRule>
  </conditionalFormatting>
  <conditionalFormatting sqref="K30">
    <cfRule type="containsText" dxfId="5479" priority="5485" operator="containsText" text="%">
      <formula>NOT(ISERROR(SEARCH("%",K30)))</formula>
    </cfRule>
  </conditionalFormatting>
  <conditionalFormatting sqref="K30">
    <cfRule type="containsText" dxfId="5478" priority="5484" operator="containsText" text="%">
      <formula>NOT(ISERROR(SEARCH("%",K30)))</formula>
    </cfRule>
  </conditionalFormatting>
  <conditionalFormatting sqref="K30">
    <cfRule type="containsText" dxfId="5477" priority="5483" operator="containsText" text="%">
      <formula>NOT(ISERROR(SEARCH("%",K30)))</formula>
    </cfRule>
  </conditionalFormatting>
  <conditionalFormatting sqref="K30">
    <cfRule type="containsText" dxfId="5476" priority="5482" operator="containsText" text="%">
      <formula>NOT(ISERROR(SEARCH("%",K30)))</formula>
    </cfRule>
  </conditionalFormatting>
  <conditionalFormatting sqref="K30">
    <cfRule type="containsText" dxfId="5475" priority="5481" operator="containsText" text="%">
      <formula>NOT(ISERROR(SEARCH("%",K30)))</formula>
    </cfRule>
  </conditionalFormatting>
  <conditionalFormatting sqref="K30">
    <cfRule type="containsText" dxfId="5474" priority="5480" operator="containsText" text="%">
      <formula>NOT(ISERROR(SEARCH("%",K30)))</formula>
    </cfRule>
  </conditionalFormatting>
  <conditionalFormatting sqref="K30">
    <cfRule type="containsText" dxfId="5473" priority="5479" operator="containsText" text="%">
      <formula>NOT(ISERROR(SEARCH("%",K30)))</formula>
    </cfRule>
  </conditionalFormatting>
  <conditionalFormatting sqref="K30">
    <cfRule type="containsText" dxfId="5472" priority="5478" operator="containsText" text="%">
      <formula>NOT(ISERROR(SEARCH("%",K30)))</formula>
    </cfRule>
  </conditionalFormatting>
  <conditionalFormatting sqref="K30">
    <cfRule type="containsText" dxfId="5471" priority="5477" operator="containsText" text="%">
      <formula>NOT(ISERROR(SEARCH("%",K30)))</formula>
    </cfRule>
  </conditionalFormatting>
  <conditionalFormatting sqref="K30">
    <cfRule type="containsText" dxfId="5470" priority="5463" operator="containsText" text="%">
      <formula>NOT(ISERROR(SEARCH("%",K30)))</formula>
    </cfRule>
  </conditionalFormatting>
  <conditionalFormatting sqref="K30">
    <cfRule type="containsText" dxfId="5469" priority="5462" operator="containsText" text="%">
      <formula>NOT(ISERROR(SEARCH("%",K30)))</formula>
    </cfRule>
  </conditionalFormatting>
  <conditionalFormatting sqref="K30">
    <cfRule type="containsText" dxfId="5468" priority="5458" operator="containsText" text="%">
      <formula>NOT(ISERROR(SEARCH("%",K30)))</formula>
    </cfRule>
  </conditionalFormatting>
  <conditionalFormatting sqref="K30">
    <cfRule type="containsText" dxfId="5467" priority="5476" operator="containsText" text="%">
      <formula>NOT(ISERROR(SEARCH("%",K30)))</formula>
    </cfRule>
  </conditionalFormatting>
  <conditionalFormatting sqref="K30">
    <cfRule type="containsText" dxfId="5466" priority="5456" operator="containsText" text="%">
      <formula>NOT(ISERROR(SEARCH("%",K30)))</formula>
    </cfRule>
  </conditionalFormatting>
  <conditionalFormatting sqref="K30">
    <cfRule type="containsText" dxfId="5465" priority="5475" operator="containsText" text="%">
      <formula>NOT(ISERROR(SEARCH("%",K30)))</formula>
    </cfRule>
  </conditionalFormatting>
  <conditionalFormatting sqref="K30">
    <cfRule type="containsText" dxfId="5464" priority="5474" operator="containsText" text="%">
      <formula>NOT(ISERROR(SEARCH("%",K30)))</formula>
    </cfRule>
  </conditionalFormatting>
  <conditionalFormatting sqref="K30">
    <cfRule type="containsText" dxfId="5463" priority="5473" operator="containsText" text="%">
      <formula>NOT(ISERROR(SEARCH("%",K30)))</formula>
    </cfRule>
  </conditionalFormatting>
  <conditionalFormatting sqref="K30">
    <cfRule type="containsText" dxfId="5462" priority="5472" operator="containsText" text="%">
      <formula>NOT(ISERROR(SEARCH("%",K30)))</formula>
    </cfRule>
  </conditionalFormatting>
  <conditionalFormatting sqref="K30">
    <cfRule type="containsText" dxfId="5461" priority="5471" operator="containsText" text="%">
      <formula>NOT(ISERROR(SEARCH("%",K30)))</formula>
    </cfRule>
  </conditionalFormatting>
  <conditionalFormatting sqref="K30">
    <cfRule type="containsText" dxfId="5460" priority="5470" operator="containsText" text="%">
      <formula>NOT(ISERROR(SEARCH("%",K30)))</formula>
    </cfRule>
  </conditionalFormatting>
  <conditionalFormatting sqref="K30">
    <cfRule type="containsText" dxfId="5459" priority="5469" operator="containsText" text="%">
      <formula>NOT(ISERROR(SEARCH("%",K30)))</formula>
    </cfRule>
  </conditionalFormatting>
  <conditionalFormatting sqref="K30">
    <cfRule type="containsText" dxfId="5458" priority="5468" operator="containsText" text="%">
      <formula>NOT(ISERROR(SEARCH("%",K30)))</formula>
    </cfRule>
  </conditionalFormatting>
  <conditionalFormatting sqref="K30">
    <cfRule type="containsText" dxfId="5457" priority="5467" operator="containsText" text="%">
      <formula>NOT(ISERROR(SEARCH("%",K30)))</formula>
    </cfRule>
  </conditionalFormatting>
  <conditionalFormatting sqref="K30">
    <cfRule type="containsText" dxfId="5456" priority="5466" operator="containsText" text="%">
      <formula>NOT(ISERROR(SEARCH("%",K30)))</formula>
    </cfRule>
  </conditionalFormatting>
  <conditionalFormatting sqref="K30">
    <cfRule type="containsText" dxfId="5455" priority="5465" operator="containsText" text="%">
      <formula>NOT(ISERROR(SEARCH("%",K30)))</formula>
    </cfRule>
  </conditionalFormatting>
  <conditionalFormatting sqref="K30">
    <cfRule type="containsText" dxfId="5454" priority="5464" operator="containsText" text="%">
      <formula>NOT(ISERROR(SEARCH("%",K30)))</formula>
    </cfRule>
  </conditionalFormatting>
  <conditionalFormatting sqref="K30">
    <cfRule type="containsText" dxfId="5453" priority="5461" operator="containsText" text="%">
      <formula>NOT(ISERROR(SEARCH("%",K30)))</formula>
    </cfRule>
  </conditionalFormatting>
  <conditionalFormatting sqref="K30">
    <cfRule type="containsText" dxfId="5452" priority="5460" operator="containsText" text="%">
      <formula>NOT(ISERROR(SEARCH("%",K30)))</formula>
    </cfRule>
  </conditionalFormatting>
  <conditionalFormatting sqref="K30">
    <cfRule type="containsText" dxfId="5451" priority="5459" operator="containsText" text="%">
      <formula>NOT(ISERROR(SEARCH("%",K30)))</formula>
    </cfRule>
  </conditionalFormatting>
  <conditionalFormatting sqref="K30">
    <cfRule type="containsText" dxfId="5450" priority="5457" operator="containsText" text="%">
      <formula>NOT(ISERROR(SEARCH("%",K30)))</formula>
    </cfRule>
  </conditionalFormatting>
  <conditionalFormatting sqref="K30">
    <cfRule type="containsText" dxfId="5449" priority="5455" operator="containsText" text="%">
      <formula>NOT(ISERROR(SEARCH("%",K30)))</formula>
    </cfRule>
  </conditionalFormatting>
  <conditionalFormatting sqref="K30">
    <cfRule type="containsText" dxfId="5448" priority="5454" operator="containsText" text="%">
      <formula>NOT(ISERROR(SEARCH("%",K30)))</formula>
    </cfRule>
  </conditionalFormatting>
  <conditionalFormatting sqref="K30">
    <cfRule type="containsText" dxfId="5447" priority="5453" operator="containsText" text="%">
      <formula>NOT(ISERROR(SEARCH("%",K30)))</formula>
    </cfRule>
  </conditionalFormatting>
  <conditionalFormatting sqref="K30">
    <cfRule type="containsText" dxfId="5446" priority="5452" operator="containsText" text="%">
      <formula>NOT(ISERROR(SEARCH("%",K30)))</formula>
    </cfRule>
  </conditionalFormatting>
  <conditionalFormatting sqref="K30">
    <cfRule type="containsText" dxfId="5445" priority="5451" operator="containsText" text="%">
      <formula>NOT(ISERROR(SEARCH("%",K30)))</formula>
    </cfRule>
  </conditionalFormatting>
  <conditionalFormatting sqref="K30">
    <cfRule type="containsText" dxfId="5444" priority="5450" operator="containsText" text="%">
      <formula>NOT(ISERROR(SEARCH("%",K30)))</formula>
    </cfRule>
  </conditionalFormatting>
  <conditionalFormatting sqref="K30">
    <cfRule type="containsText" dxfId="5443" priority="5449" operator="containsText" text="%">
      <formula>NOT(ISERROR(SEARCH("%",K30)))</formula>
    </cfRule>
  </conditionalFormatting>
  <conditionalFormatting sqref="K30">
    <cfRule type="containsText" dxfId="5442" priority="5448" operator="containsText" text="%">
      <formula>NOT(ISERROR(SEARCH("%",K30)))</formula>
    </cfRule>
  </conditionalFormatting>
  <conditionalFormatting sqref="K30">
    <cfRule type="containsText" dxfId="5441" priority="5447" operator="containsText" text="%">
      <formula>NOT(ISERROR(SEARCH("%",K30)))</formula>
    </cfRule>
  </conditionalFormatting>
  <conditionalFormatting sqref="K30">
    <cfRule type="containsText" dxfId="5440" priority="5446" operator="containsText" text="%">
      <formula>NOT(ISERROR(SEARCH("%",K30)))</formula>
    </cfRule>
  </conditionalFormatting>
  <conditionalFormatting sqref="K30">
    <cfRule type="containsText" dxfId="5439" priority="5445" operator="containsText" text="%">
      <formula>NOT(ISERROR(SEARCH("%",K30)))</formula>
    </cfRule>
  </conditionalFormatting>
  <conditionalFormatting sqref="K30">
    <cfRule type="containsText" dxfId="5438" priority="5444" operator="containsText" text="%">
      <formula>NOT(ISERROR(SEARCH("%",K30)))</formula>
    </cfRule>
  </conditionalFormatting>
  <conditionalFormatting sqref="K30">
    <cfRule type="containsText" dxfId="5437" priority="5443" operator="containsText" text="%">
      <formula>NOT(ISERROR(SEARCH("%",K30)))</formula>
    </cfRule>
  </conditionalFormatting>
  <conditionalFormatting sqref="K30">
    <cfRule type="containsText" dxfId="5436" priority="5442" operator="containsText" text="%">
      <formula>NOT(ISERROR(SEARCH("%",K30)))</formula>
    </cfRule>
  </conditionalFormatting>
  <conditionalFormatting sqref="K30">
    <cfRule type="containsText" dxfId="5435" priority="5441" operator="containsText" text="%">
      <formula>NOT(ISERROR(SEARCH("%",K30)))</formula>
    </cfRule>
  </conditionalFormatting>
  <conditionalFormatting sqref="K30">
    <cfRule type="containsText" dxfId="5434" priority="5440" operator="containsText" text="%">
      <formula>NOT(ISERROR(SEARCH("%",K30)))</formula>
    </cfRule>
  </conditionalFormatting>
  <conditionalFormatting sqref="K30">
    <cfRule type="containsText" dxfId="5433" priority="5439" operator="containsText" text="%">
      <formula>NOT(ISERROR(SEARCH("%",K30)))</formula>
    </cfRule>
  </conditionalFormatting>
  <conditionalFormatting sqref="K30">
    <cfRule type="containsText" dxfId="5432" priority="5438" operator="containsText" text="%">
      <formula>NOT(ISERROR(SEARCH("%",K30)))</formula>
    </cfRule>
  </conditionalFormatting>
  <conditionalFormatting sqref="K30">
    <cfRule type="containsText" dxfId="5431" priority="5437" operator="containsText" text="%">
      <formula>NOT(ISERROR(SEARCH("%",K30)))</formula>
    </cfRule>
  </conditionalFormatting>
  <conditionalFormatting sqref="K30">
    <cfRule type="containsText" dxfId="5430" priority="5436" operator="containsText" text="%">
      <formula>NOT(ISERROR(SEARCH("%",K30)))</formula>
    </cfRule>
  </conditionalFormatting>
  <conditionalFormatting sqref="K30">
    <cfRule type="containsText" dxfId="5429" priority="5435" operator="containsText" text="%">
      <formula>NOT(ISERROR(SEARCH("%",K30)))</formula>
    </cfRule>
  </conditionalFormatting>
  <conditionalFormatting sqref="K30">
    <cfRule type="containsText" dxfId="5428" priority="5434" operator="containsText" text="%">
      <formula>NOT(ISERROR(SEARCH("%",K30)))</formula>
    </cfRule>
  </conditionalFormatting>
  <conditionalFormatting sqref="K30">
    <cfRule type="containsText" dxfId="5427" priority="5433" operator="containsText" text="%">
      <formula>NOT(ISERROR(SEARCH("%",K30)))</formula>
    </cfRule>
  </conditionalFormatting>
  <conditionalFormatting sqref="K30">
    <cfRule type="containsText" dxfId="5426" priority="5432" operator="containsText" text="%">
      <formula>NOT(ISERROR(SEARCH("%",K30)))</formula>
    </cfRule>
  </conditionalFormatting>
  <conditionalFormatting sqref="K30">
    <cfRule type="containsText" dxfId="5425" priority="5431" operator="containsText" text="%">
      <formula>NOT(ISERROR(SEARCH("%",K30)))</formula>
    </cfRule>
  </conditionalFormatting>
  <conditionalFormatting sqref="K30">
    <cfRule type="containsText" dxfId="5424" priority="5430" operator="containsText" text="%">
      <formula>NOT(ISERROR(SEARCH("%",K30)))</formula>
    </cfRule>
  </conditionalFormatting>
  <conditionalFormatting sqref="K30">
    <cfRule type="containsText" dxfId="5423" priority="5429" operator="containsText" text="%">
      <formula>NOT(ISERROR(SEARCH("%",K30)))</formula>
    </cfRule>
  </conditionalFormatting>
  <conditionalFormatting sqref="K30">
    <cfRule type="containsText" dxfId="5422" priority="5428" operator="containsText" text="%">
      <formula>NOT(ISERROR(SEARCH("%",K30)))</formula>
    </cfRule>
  </conditionalFormatting>
  <conditionalFormatting sqref="L29:L30">
    <cfRule type="containsText" dxfId="5421" priority="5412" operator="containsText" text="%">
      <formula>NOT(ISERROR(SEARCH("%",L29)))</formula>
    </cfRule>
  </conditionalFormatting>
  <conditionalFormatting sqref="L29:L30">
    <cfRule type="containsText" dxfId="5420" priority="5411" operator="containsText" text="%">
      <formula>NOT(ISERROR(SEARCH("%",L29)))</formula>
    </cfRule>
  </conditionalFormatting>
  <conditionalFormatting sqref="L29:L30">
    <cfRule type="containsText" dxfId="5419" priority="5407" operator="containsText" text="%">
      <formula>NOT(ISERROR(SEARCH("%",L29)))</formula>
    </cfRule>
  </conditionalFormatting>
  <conditionalFormatting sqref="L29:L30">
    <cfRule type="containsText" dxfId="5418" priority="5427" operator="containsText" text="%">
      <formula>NOT(ISERROR(SEARCH("%",L29)))</formula>
    </cfRule>
  </conditionalFormatting>
  <conditionalFormatting sqref="L29">
    <cfRule type="containsText" dxfId="5417" priority="5426" operator="containsText" text="%">
      <formula>NOT(ISERROR(SEARCH("%",L29)))</formula>
    </cfRule>
  </conditionalFormatting>
  <conditionalFormatting sqref="L29">
    <cfRule type="containsText" dxfId="5416" priority="5425" operator="containsText" text="%">
      <formula>NOT(ISERROR(SEARCH("%",L29)))</formula>
    </cfRule>
  </conditionalFormatting>
  <conditionalFormatting sqref="L29:L30">
    <cfRule type="containsText" dxfId="5415" priority="5405" operator="containsText" text="%">
      <formula>NOT(ISERROR(SEARCH("%",L29)))</formula>
    </cfRule>
  </conditionalFormatting>
  <conditionalFormatting sqref="L29:L30">
    <cfRule type="containsText" dxfId="5414" priority="5424" operator="containsText" text="%">
      <formula>NOT(ISERROR(SEARCH("%",L29)))</formula>
    </cfRule>
  </conditionalFormatting>
  <conditionalFormatting sqref="L29:L30">
    <cfRule type="containsText" dxfId="5413" priority="5423" operator="containsText" text="%">
      <formula>NOT(ISERROR(SEARCH("%",L29)))</formula>
    </cfRule>
  </conditionalFormatting>
  <conditionalFormatting sqref="L29:L30">
    <cfRule type="containsText" dxfId="5412" priority="5422" operator="containsText" text="%">
      <formula>NOT(ISERROR(SEARCH("%",L29)))</formula>
    </cfRule>
  </conditionalFormatting>
  <conditionalFormatting sqref="L29:L30">
    <cfRule type="containsText" dxfId="5411" priority="5421" operator="containsText" text="%">
      <formula>NOT(ISERROR(SEARCH("%",L29)))</formula>
    </cfRule>
  </conditionalFormatting>
  <conditionalFormatting sqref="L29:L30">
    <cfRule type="containsText" dxfId="5410" priority="5420" operator="containsText" text="%">
      <formula>NOT(ISERROR(SEARCH("%",L29)))</formula>
    </cfRule>
  </conditionalFormatting>
  <conditionalFormatting sqref="L29:L30">
    <cfRule type="containsText" dxfId="5409" priority="5419" operator="containsText" text="%">
      <formula>NOT(ISERROR(SEARCH("%",L29)))</formula>
    </cfRule>
  </conditionalFormatting>
  <conditionalFormatting sqref="L29:L30">
    <cfRule type="containsText" dxfId="5408" priority="5418" operator="containsText" text="%">
      <formula>NOT(ISERROR(SEARCH("%",L29)))</formula>
    </cfRule>
  </conditionalFormatting>
  <conditionalFormatting sqref="L29:L30">
    <cfRule type="containsText" dxfId="5407" priority="5417" operator="containsText" text="%">
      <formula>NOT(ISERROR(SEARCH("%",L29)))</formula>
    </cfRule>
  </conditionalFormatting>
  <conditionalFormatting sqref="L29:L30">
    <cfRule type="containsText" dxfId="5406" priority="5416" operator="containsText" text="%">
      <formula>NOT(ISERROR(SEARCH("%",L29)))</formula>
    </cfRule>
  </conditionalFormatting>
  <conditionalFormatting sqref="L29:L30">
    <cfRule type="containsText" dxfId="5405" priority="5415" operator="containsText" text="%">
      <formula>NOT(ISERROR(SEARCH("%",L29)))</formula>
    </cfRule>
  </conditionalFormatting>
  <conditionalFormatting sqref="L29:L30">
    <cfRule type="containsText" dxfId="5404" priority="5414" operator="containsText" text="%">
      <formula>NOT(ISERROR(SEARCH("%",L29)))</formula>
    </cfRule>
  </conditionalFormatting>
  <conditionalFormatting sqref="L29:L30">
    <cfRule type="containsText" dxfId="5403" priority="5413" operator="containsText" text="%">
      <formula>NOT(ISERROR(SEARCH("%",L29)))</formula>
    </cfRule>
  </conditionalFormatting>
  <conditionalFormatting sqref="L29:L30">
    <cfRule type="containsText" dxfId="5402" priority="5410" operator="containsText" text="%">
      <formula>NOT(ISERROR(SEARCH("%",L29)))</formula>
    </cfRule>
  </conditionalFormatting>
  <conditionalFormatting sqref="L29:L30">
    <cfRule type="containsText" dxfId="5401" priority="5409" operator="containsText" text="%">
      <formula>NOT(ISERROR(SEARCH("%",L29)))</formula>
    </cfRule>
  </conditionalFormatting>
  <conditionalFormatting sqref="L29:L30">
    <cfRule type="containsText" dxfId="5400" priority="5408" operator="containsText" text="%">
      <formula>NOT(ISERROR(SEARCH("%",L29)))</formula>
    </cfRule>
  </conditionalFormatting>
  <conditionalFormatting sqref="L29:L30">
    <cfRule type="containsText" dxfId="5399" priority="5406" operator="containsText" text="%">
      <formula>NOT(ISERROR(SEARCH("%",L29)))</formula>
    </cfRule>
  </conditionalFormatting>
  <conditionalFormatting sqref="L29:L30">
    <cfRule type="containsText" dxfId="5398" priority="5404" operator="containsText" text="%">
      <formula>NOT(ISERROR(SEARCH("%",L29)))</formula>
    </cfRule>
  </conditionalFormatting>
  <conditionalFormatting sqref="L29:L30">
    <cfRule type="containsText" dxfId="5397" priority="5403" operator="containsText" text="%">
      <formula>NOT(ISERROR(SEARCH("%",L29)))</formula>
    </cfRule>
  </conditionalFormatting>
  <conditionalFormatting sqref="L29:L30">
    <cfRule type="containsText" dxfId="5396" priority="5402" operator="containsText" text="%">
      <formula>NOT(ISERROR(SEARCH("%",L29)))</formula>
    </cfRule>
  </conditionalFormatting>
  <conditionalFormatting sqref="L29:L30">
    <cfRule type="containsText" dxfId="5395" priority="5401" operator="containsText" text="%">
      <formula>NOT(ISERROR(SEARCH("%",L29)))</formula>
    </cfRule>
  </conditionalFormatting>
  <conditionalFormatting sqref="L29:L30">
    <cfRule type="containsText" dxfId="5394" priority="5400" operator="containsText" text="%">
      <formula>NOT(ISERROR(SEARCH("%",L29)))</formula>
    </cfRule>
  </conditionalFormatting>
  <conditionalFormatting sqref="L29:L30">
    <cfRule type="containsText" dxfId="5393" priority="5399" operator="containsText" text="%">
      <formula>NOT(ISERROR(SEARCH("%",L29)))</formula>
    </cfRule>
  </conditionalFormatting>
  <conditionalFormatting sqref="L29:L30">
    <cfRule type="containsText" dxfId="5392" priority="5398" operator="containsText" text="%">
      <formula>NOT(ISERROR(SEARCH("%",L29)))</formula>
    </cfRule>
  </conditionalFormatting>
  <conditionalFormatting sqref="L29:L30">
    <cfRule type="containsText" dxfId="5391" priority="5397" operator="containsText" text="%">
      <formula>NOT(ISERROR(SEARCH("%",L29)))</formula>
    </cfRule>
  </conditionalFormatting>
  <conditionalFormatting sqref="L29:L30">
    <cfRule type="containsText" dxfId="5390" priority="5396" operator="containsText" text="%">
      <formula>NOT(ISERROR(SEARCH("%",L29)))</formula>
    </cfRule>
  </conditionalFormatting>
  <conditionalFormatting sqref="L29:L30">
    <cfRule type="containsText" dxfId="5389" priority="5395" operator="containsText" text="%">
      <formula>NOT(ISERROR(SEARCH("%",L29)))</formula>
    </cfRule>
  </conditionalFormatting>
  <conditionalFormatting sqref="L30">
    <cfRule type="containsText" dxfId="5388" priority="5394" operator="containsText" text="%">
      <formula>NOT(ISERROR(SEARCH("%",L30)))</formula>
    </cfRule>
  </conditionalFormatting>
  <conditionalFormatting sqref="L30">
    <cfRule type="containsText" dxfId="5387" priority="5393" operator="containsText" text="%">
      <formula>NOT(ISERROR(SEARCH("%",L30)))</formula>
    </cfRule>
  </conditionalFormatting>
  <conditionalFormatting sqref="L30">
    <cfRule type="containsText" dxfId="5386" priority="5392" operator="containsText" text="%">
      <formula>NOT(ISERROR(SEARCH("%",L30)))</formula>
    </cfRule>
  </conditionalFormatting>
  <conditionalFormatting sqref="L30">
    <cfRule type="containsText" dxfId="5385" priority="5391" operator="containsText" text="%">
      <formula>NOT(ISERROR(SEARCH("%",L30)))</formula>
    </cfRule>
  </conditionalFormatting>
  <conditionalFormatting sqref="L29:L30">
    <cfRule type="containsText" dxfId="5384" priority="5390" operator="containsText" text="%">
      <formula>NOT(ISERROR(SEARCH("%",L29)))</formula>
    </cfRule>
  </conditionalFormatting>
  <conditionalFormatting sqref="L29:L30">
    <cfRule type="containsText" dxfId="5383" priority="5389" operator="containsText" text="%">
      <formula>NOT(ISERROR(SEARCH("%",L29)))</formula>
    </cfRule>
  </conditionalFormatting>
  <conditionalFormatting sqref="L29:L30">
    <cfRule type="containsText" dxfId="5382" priority="5388" operator="containsText" text="%">
      <formula>NOT(ISERROR(SEARCH("%",L29)))</formula>
    </cfRule>
  </conditionalFormatting>
  <conditionalFormatting sqref="L29:L30">
    <cfRule type="containsText" dxfId="5381" priority="5387" operator="containsText" text="%">
      <formula>NOT(ISERROR(SEARCH("%",L29)))</formula>
    </cfRule>
  </conditionalFormatting>
  <conditionalFormatting sqref="L29:L30">
    <cfRule type="containsText" dxfId="5380" priority="5386" operator="containsText" text="%">
      <formula>NOT(ISERROR(SEARCH("%",L29)))</formula>
    </cfRule>
  </conditionalFormatting>
  <conditionalFormatting sqref="L29:L30">
    <cfRule type="containsText" dxfId="5379" priority="5385" operator="containsText" text="%">
      <formula>NOT(ISERROR(SEARCH("%",L29)))</formula>
    </cfRule>
  </conditionalFormatting>
  <conditionalFormatting sqref="L29:L30">
    <cfRule type="containsText" dxfId="5378" priority="5384" operator="containsText" text="%">
      <formula>NOT(ISERROR(SEARCH("%",L29)))</formula>
    </cfRule>
  </conditionalFormatting>
  <conditionalFormatting sqref="L29:L30">
    <cfRule type="containsText" dxfId="5377" priority="5383" operator="containsText" text="%">
      <formula>NOT(ISERROR(SEARCH("%",L29)))</formula>
    </cfRule>
  </conditionalFormatting>
  <conditionalFormatting sqref="L29:L30">
    <cfRule type="containsText" dxfId="5376" priority="5382" operator="containsText" text="%">
      <formula>NOT(ISERROR(SEARCH("%",L29)))</formula>
    </cfRule>
  </conditionalFormatting>
  <conditionalFormatting sqref="L29:L30">
    <cfRule type="containsText" dxfId="5375" priority="5381" operator="containsText" text="%">
      <formula>NOT(ISERROR(SEARCH("%",L29)))</formula>
    </cfRule>
  </conditionalFormatting>
  <conditionalFormatting sqref="L30">
    <cfRule type="containsText" dxfId="5374" priority="5380" operator="containsText" text="%">
      <formula>NOT(ISERROR(SEARCH("%",L30)))</formula>
    </cfRule>
  </conditionalFormatting>
  <conditionalFormatting sqref="L30">
    <cfRule type="containsText" dxfId="5373" priority="5379" operator="containsText" text="%">
      <formula>NOT(ISERROR(SEARCH("%",L30)))</formula>
    </cfRule>
  </conditionalFormatting>
  <conditionalFormatting sqref="L30">
    <cfRule type="containsText" dxfId="5372" priority="5378" operator="containsText" text="%">
      <formula>NOT(ISERROR(SEARCH("%",L30)))</formula>
    </cfRule>
  </conditionalFormatting>
  <conditionalFormatting sqref="L30">
    <cfRule type="containsText" dxfId="5371" priority="5377" operator="containsText" text="%">
      <formula>NOT(ISERROR(SEARCH("%",L30)))</formula>
    </cfRule>
  </conditionalFormatting>
  <conditionalFormatting sqref="L29:L30">
    <cfRule type="containsText" dxfId="5370" priority="5376" operator="containsText" text="%">
      <formula>NOT(ISERROR(SEARCH("%",L29)))</formula>
    </cfRule>
  </conditionalFormatting>
  <conditionalFormatting sqref="L29:L30">
    <cfRule type="containsText" dxfId="5369" priority="5375" operator="containsText" text="%">
      <formula>NOT(ISERROR(SEARCH("%",L29)))</formula>
    </cfRule>
  </conditionalFormatting>
  <conditionalFormatting sqref="L29:L30">
    <cfRule type="containsText" dxfId="5368" priority="5374" operator="containsText" text="%">
      <formula>NOT(ISERROR(SEARCH("%",L29)))</formula>
    </cfRule>
  </conditionalFormatting>
  <conditionalFormatting sqref="L29:L30">
    <cfRule type="containsText" dxfId="5367" priority="5373" operator="containsText" text="%">
      <formula>NOT(ISERROR(SEARCH("%",L29)))</formula>
    </cfRule>
  </conditionalFormatting>
  <conditionalFormatting sqref="L29:L30">
    <cfRule type="containsText" dxfId="5366" priority="5372" operator="containsText" text="%">
      <formula>NOT(ISERROR(SEARCH("%",L29)))</formula>
    </cfRule>
  </conditionalFormatting>
  <conditionalFormatting sqref="L29:L30">
    <cfRule type="containsText" dxfId="5365" priority="5371" operator="containsText" text="%">
      <formula>NOT(ISERROR(SEARCH("%",L29)))</formula>
    </cfRule>
  </conditionalFormatting>
  <conditionalFormatting sqref="L30">
    <cfRule type="containsText" dxfId="5364" priority="5370" operator="containsText" text="%">
      <formula>NOT(ISERROR(SEARCH("%",L30)))</formula>
    </cfRule>
  </conditionalFormatting>
  <conditionalFormatting sqref="L30">
    <cfRule type="containsText" dxfId="5363" priority="5369" operator="containsText" text="%">
      <formula>NOT(ISERROR(SEARCH("%",L30)))</formula>
    </cfRule>
  </conditionalFormatting>
  <conditionalFormatting sqref="L30">
    <cfRule type="containsText" dxfId="5362" priority="5368" operator="containsText" text="%">
      <formula>NOT(ISERROR(SEARCH("%",L30)))</formula>
    </cfRule>
  </conditionalFormatting>
  <conditionalFormatting sqref="L30">
    <cfRule type="containsText" dxfId="5361" priority="5367" operator="containsText" text="%">
      <formula>NOT(ISERROR(SEARCH("%",L30)))</formula>
    </cfRule>
  </conditionalFormatting>
  <conditionalFormatting sqref="L29:L30">
    <cfRule type="containsText" dxfId="5360" priority="5351" operator="containsText" text="%">
      <formula>NOT(ISERROR(SEARCH("%",L29)))</formula>
    </cfRule>
  </conditionalFormatting>
  <conditionalFormatting sqref="L29:L30">
    <cfRule type="containsText" dxfId="5359" priority="5350" operator="containsText" text="%">
      <formula>NOT(ISERROR(SEARCH("%",L29)))</formula>
    </cfRule>
  </conditionalFormatting>
  <conditionalFormatting sqref="L29:L30">
    <cfRule type="containsText" dxfId="5358" priority="5346" operator="containsText" text="%">
      <formula>NOT(ISERROR(SEARCH("%",L29)))</formula>
    </cfRule>
  </conditionalFormatting>
  <conditionalFormatting sqref="L29:L30">
    <cfRule type="containsText" dxfId="5357" priority="5366" operator="containsText" text="%">
      <formula>NOT(ISERROR(SEARCH("%",L29)))</formula>
    </cfRule>
  </conditionalFormatting>
  <conditionalFormatting sqref="L29">
    <cfRule type="containsText" dxfId="5356" priority="5365" operator="containsText" text="%">
      <formula>NOT(ISERROR(SEARCH("%",L29)))</formula>
    </cfRule>
  </conditionalFormatting>
  <conditionalFormatting sqref="L29">
    <cfRule type="containsText" dxfId="5355" priority="5364" operator="containsText" text="%">
      <formula>NOT(ISERROR(SEARCH("%",L29)))</formula>
    </cfRule>
  </conditionalFormatting>
  <conditionalFormatting sqref="L29:L30">
    <cfRule type="containsText" dxfId="5354" priority="5344" operator="containsText" text="%">
      <formula>NOT(ISERROR(SEARCH("%",L29)))</formula>
    </cfRule>
  </conditionalFormatting>
  <conditionalFormatting sqref="L29:L30">
    <cfRule type="containsText" dxfId="5353" priority="5363" operator="containsText" text="%">
      <formula>NOT(ISERROR(SEARCH("%",L29)))</formula>
    </cfRule>
  </conditionalFormatting>
  <conditionalFormatting sqref="L29:L30">
    <cfRule type="containsText" dxfId="5352" priority="5362" operator="containsText" text="%">
      <formula>NOT(ISERROR(SEARCH("%",L29)))</formula>
    </cfRule>
  </conditionalFormatting>
  <conditionalFormatting sqref="L29:L30">
    <cfRule type="containsText" dxfId="5351" priority="5361" operator="containsText" text="%">
      <formula>NOT(ISERROR(SEARCH("%",L29)))</formula>
    </cfRule>
  </conditionalFormatting>
  <conditionalFormatting sqref="L29:L30">
    <cfRule type="containsText" dxfId="5350" priority="5360" operator="containsText" text="%">
      <formula>NOT(ISERROR(SEARCH("%",L29)))</formula>
    </cfRule>
  </conditionalFormatting>
  <conditionalFormatting sqref="L29:L30">
    <cfRule type="containsText" dxfId="5349" priority="5359" operator="containsText" text="%">
      <formula>NOT(ISERROR(SEARCH("%",L29)))</formula>
    </cfRule>
  </conditionalFormatting>
  <conditionalFormatting sqref="L29:L30">
    <cfRule type="containsText" dxfId="5348" priority="5358" operator="containsText" text="%">
      <formula>NOT(ISERROR(SEARCH("%",L29)))</formula>
    </cfRule>
  </conditionalFormatting>
  <conditionalFormatting sqref="L29:L30">
    <cfRule type="containsText" dxfId="5347" priority="5357" operator="containsText" text="%">
      <formula>NOT(ISERROR(SEARCH("%",L29)))</formula>
    </cfRule>
  </conditionalFormatting>
  <conditionalFormatting sqref="L29:L30">
    <cfRule type="containsText" dxfId="5346" priority="5356" operator="containsText" text="%">
      <formula>NOT(ISERROR(SEARCH("%",L29)))</formula>
    </cfRule>
  </conditionalFormatting>
  <conditionalFormatting sqref="L29:L30">
    <cfRule type="containsText" dxfId="5345" priority="5355" operator="containsText" text="%">
      <formula>NOT(ISERROR(SEARCH("%",L29)))</formula>
    </cfRule>
  </conditionalFormatting>
  <conditionalFormatting sqref="L29:L30">
    <cfRule type="containsText" dxfId="5344" priority="5354" operator="containsText" text="%">
      <formula>NOT(ISERROR(SEARCH("%",L29)))</formula>
    </cfRule>
  </conditionalFormatting>
  <conditionalFormatting sqref="L29:L30">
    <cfRule type="containsText" dxfId="5343" priority="5353" operator="containsText" text="%">
      <formula>NOT(ISERROR(SEARCH("%",L29)))</formula>
    </cfRule>
  </conditionalFormatting>
  <conditionalFormatting sqref="L29:L30">
    <cfRule type="containsText" dxfId="5342" priority="5352" operator="containsText" text="%">
      <formula>NOT(ISERROR(SEARCH("%",L29)))</formula>
    </cfRule>
  </conditionalFormatting>
  <conditionalFormatting sqref="L29:L30">
    <cfRule type="containsText" dxfId="5341" priority="5349" operator="containsText" text="%">
      <formula>NOT(ISERROR(SEARCH("%",L29)))</formula>
    </cfRule>
  </conditionalFormatting>
  <conditionalFormatting sqref="L29:L30">
    <cfRule type="containsText" dxfId="5340" priority="5348" operator="containsText" text="%">
      <formula>NOT(ISERROR(SEARCH("%",L29)))</formula>
    </cfRule>
  </conditionalFormatting>
  <conditionalFormatting sqref="L29:L30">
    <cfRule type="containsText" dxfId="5339" priority="5347" operator="containsText" text="%">
      <formula>NOT(ISERROR(SEARCH("%",L29)))</formula>
    </cfRule>
  </conditionalFormatting>
  <conditionalFormatting sqref="L29:L30">
    <cfRule type="containsText" dxfId="5338" priority="5345" operator="containsText" text="%">
      <formula>NOT(ISERROR(SEARCH("%",L29)))</formula>
    </cfRule>
  </conditionalFormatting>
  <conditionalFormatting sqref="L29:L30">
    <cfRule type="containsText" dxfId="5337" priority="5343" operator="containsText" text="%">
      <formula>NOT(ISERROR(SEARCH("%",L29)))</formula>
    </cfRule>
  </conditionalFormatting>
  <conditionalFormatting sqref="L29:L30">
    <cfRule type="containsText" dxfId="5336" priority="5342" operator="containsText" text="%">
      <formula>NOT(ISERROR(SEARCH("%",L29)))</formula>
    </cfRule>
  </conditionalFormatting>
  <conditionalFormatting sqref="L29:L30">
    <cfRule type="containsText" dxfId="5335" priority="5341" operator="containsText" text="%">
      <formula>NOT(ISERROR(SEARCH("%",L29)))</formula>
    </cfRule>
  </conditionalFormatting>
  <conditionalFormatting sqref="L29:L30">
    <cfRule type="containsText" dxfId="5334" priority="5340" operator="containsText" text="%">
      <formula>NOT(ISERROR(SEARCH("%",L29)))</formula>
    </cfRule>
  </conditionalFormatting>
  <conditionalFormatting sqref="L29:L30">
    <cfRule type="containsText" dxfId="5333" priority="5339" operator="containsText" text="%">
      <formula>NOT(ISERROR(SEARCH("%",L29)))</formula>
    </cfRule>
  </conditionalFormatting>
  <conditionalFormatting sqref="L29:L30">
    <cfRule type="containsText" dxfId="5332" priority="5338" operator="containsText" text="%">
      <formula>NOT(ISERROR(SEARCH("%",L29)))</formula>
    </cfRule>
  </conditionalFormatting>
  <conditionalFormatting sqref="L29:L30">
    <cfRule type="containsText" dxfId="5331" priority="5337" operator="containsText" text="%">
      <formula>NOT(ISERROR(SEARCH("%",L29)))</formula>
    </cfRule>
  </conditionalFormatting>
  <conditionalFormatting sqref="L29:L30">
    <cfRule type="containsText" dxfId="5330" priority="5336" operator="containsText" text="%">
      <formula>NOT(ISERROR(SEARCH("%",L29)))</formula>
    </cfRule>
  </conditionalFormatting>
  <conditionalFormatting sqref="L29:L30">
    <cfRule type="containsText" dxfId="5329" priority="5335" operator="containsText" text="%">
      <formula>NOT(ISERROR(SEARCH("%",L29)))</formula>
    </cfRule>
  </conditionalFormatting>
  <conditionalFormatting sqref="L29:L30">
    <cfRule type="containsText" dxfId="5328" priority="5334" operator="containsText" text="%">
      <formula>NOT(ISERROR(SEARCH("%",L29)))</formula>
    </cfRule>
  </conditionalFormatting>
  <conditionalFormatting sqref="L30">
    <cfRule type="containsText" dxfId="5327" priority="5333" operator="containsText" text="%">
      <formula>NOT(ISERROR(SEARCH("%",L30)))</formula>
    </cfRule>
  </conditionalFormatting>
  <conditionalFormatting sqref="L30">
    <cfRule type="containsText" dxfId="5326" priority="5332" operator="containsText" text="%">
      <formula>NOT(ISERROR(SEARCH("%",L30)))</formula>
    </cfRule>
  </conditionalFormatting>
  <conditionalFormatting sqref="L30">
    <cfRule type="containsText" dxfId="5325" priority="5331" operator="containsText" text="%">
      <formula>NOT(ISERROR(SEARCH("%",L30)))</formula>
    </cfRule>
  </conditionalFormatting>
  <conditionalFormatting sqref="L30">
    <cfRule type="containsText" dxfId="5324" priority="5330" operator="containsText" text="%">
      <formula>NOT(ISERROR(SEARCH("%",L30)))</formula>
    </cfRule>
  </conditionalFormatting>
  <conditionalFormatting sqref="L29:L30">
    <cfRule type="containsText" dxfId="5323" priority="5329" operator="containsText" text="%">
      <formula>NOT(ISERROR(SEARCH("%",L29)))</formula>
    </cfRule>
  </conditionalFormatting>
  <conditionalFormatting sqref="L29:L30">
    <cfRule type="containsText" dxfId="5322" priority="5328" operator="containsText" text="%">
      <formula>NOT(ISERROR(SEARCH("%",L29)))</formula>
    </cfRule>
  </conditionalFormatting>
  <conditionalFormatting sqref="L29:L30">
    <cfRule type="containsText" dxfId="5321" priority="5327" operator="containsText" text="%">
      <formula>NOT(ISERROR(SEARCH("%",L29)))</formula>
    </cfRule>
  </conditionalFormatting>
  <conditionalFormatting sqref="L29:L30">
    <cfRule type="containsText" dxfId="5320" priority="5326" operator="containsText" text="%">
      <formula>NOT(ISERROR(SEARCH("%",L29)))</formula>
    </cfRule>
  </conditionalFormatting>
  <conditionalFormatting sqref="L29:L30">
    <cfRule type="containsText" dxfId="5319" priority="5325" operator="containsText" text="%">
      <formula>NOT(ISERROR(SEARCH("%",L29)))</formula>
    </cfRule>
  </conditionalFormatting>
  <conditionalFormatting sqref="L29:L30">
    <cfRule type="containsText" dxfId="5318" priority="5324" operator="containsText" text="%">
      <formula>NOT(ISERROR(SEARCH("%",L29)))</formula>
    </cfRule>
  </conditionalFormatting>
  <conditionalFormatting sqref="L29:L30">
    <cfRule type="containsText" dxfId="5317" priority="5323" operator="containsText" text="%">
      <formula>NOT(ISERROR(SEARCH("%",L29)))</formula>
    </cfRule>
  </conditionalFormatting>
  <conditionalFormatting sqref="L29:L30">
    <cfRule type="containsText" dxfId="5316" priority="5322" operator="containsText" text="%">
      <formula>NOT(ISERROR(SEARCH("%",L29)))</formula>
    </cfRule>
  </conditionalFormatting>
  <conditionalFormatting sqref="L29:L30">
    <cfRule type="containsText" dxfId="5315" priority="5321" operator="containsText" text="%">
      <formula>NOT(ISERROR(SEARCH("%",L29)))</formula>
    </cfRule>
  </conditionalFormatting>
  <conditionalFormatting sqref="L29:L30">
    <cfRule type="containsText" dxfId="5314" priority="5320" operator="containsText" text="%">
      <formula>NOT(ISERROR(SEARCH("%",L29)))</formula>
    </cfRule>
  </conditionalFormatting>
  <conditionalFormatting sqref="L30">
    <cfRule type="containsText" dxfId="5313" priority="5319" operator="containsText" text="%">
      <formula>NOT(ISERROR(SEARCH("%",L30)))</formula>
    </cfRule>
  </conditionalFormatting>
  <conditionalFormatting sqref="L30">
    <cfRule type="containsText" dxfId="5312" priority="5318" operator="containsText" text="%">
      <formula>NOT(ISERROR(SEARCH("%",L30)))</formula>
    </cfRule>
  </conditionalFormatting>
  <conditionalFormatting sqref="L30">
    <cfRule type="containsText" dxfId="5311" priority="5317" operator="containsText" text="%">
      <formula>NOT(ISERROR(SEARCH("%",L30)))</formula>
    </cfRule>
  </conditionalFormatting>
  <conditionalFormatting sqref="L30">
    <cfRule type="containsText" dxfId="5310" priority="5316" operator="containsText" text="%">
      <formula>NOT(ISERROR(SEARCH("%",L30)))</formula>
    </cfRule>
  </conditionalFormatting>
  <conditionalFormatting sqref="L29">
    <cfRule type="containsText" dxfId="5309" priority="5315" operator="containsText" text="%">
      <formula>NOT(ISERROR(SEARCH("%",L29)))</formula>
    </cfRule>
  </conditionalFormatting>
  <conditionalFormatting sqref="L29">
    <cfRule type="containsText" dxfId="5308" priority="5314" operator="containsText" text="%">
      <formula>NOT(ISERROR(SEARCH("%",L29)))</formula>
    </cfRule>
  </conditionalFormatting>
  <conditionalFormatting sqref="L29">
    <cfRule type="containsText" dxfId="5307" priority="5313" operator="containsText" text="%">
      <formula>NOT(ISERROR(SEARCH("%",L29)))</formula>
    </cfRule>
  </conditionalFormatting>
  <conditionalFormatting sqref="L29">
    <cfRule type="containsText" dxfId="5306" priority="5312" operator="containsText" text="%">
      <formula>NOT(ISERROR(SEARCH("%",L29)))</formula>
    </cfRule>
  </conditionalFormatting>
  <conditionalFormatting sqref="L29">
    <cfRule type="containsText" dxfId="5305" priority="5311" operator="containsText" text="%">
      <formula>NOT(ISERROR(SEARCH("%",L29)))</formula>
    </cfRule>
  </conditionalFormatting>
  <conditionalFormatting sqref="L29">
    <cfRule type="containsText" dxfId="5304" priority="5310" operator="containsText" text="%">
      <formula>NOT(ISERROR(SEARCH("%",L29)))</formula>
    </cfRule>
  </conditionalFormatting>
  <conditionalFormatting sqref="L30">
    <cfRule type="containsText" dxfId="5303" priority="5309" operator="containsText" text="%">
      <formula>NOT(ISERROR(SEARCH("%",L30)))</formula>
    </cfRule>
  </conditionalFormatting>
  <conditionalFormatting sqref="L30">
    <cfRule type="containsText" dxfId="5302" priority="5308" operator="containsText" text="%">
      <formula>NOT(ISERROR(SEARCH("%",L30)))</formula>
    </cfRule>
  </conditionalFormatting>
  <conditionalFormatting sqref="L30">
    <cfRule type="containsText" dxfId="5301" priority="5307" operator="containsText" text="%">
      <formula>NOT(ISERROR(SEARCH("%",L30)))</formula>
    </cfRule>
  </conditionalFormatting>
  <conditionalFormatting sqref="L30">
    <cfRule type="containsText" dxfId="5300" priority="5306" operator="containsText" text="%">
      <formula>NOT(ISERROR(SEARCH("%",L30)))</formula>
    </cfRule>
  </conditionalFormatting>
  <conditionalFormatting sqref="L30">
    <cfRule type="containsText" dxfId="5299" priority="5305" operator="containsText" text="%">
      <formula>NOT(ISERROR(SEARCH("%",L30)))</formula>
    </cfRule>
  </conditionalFormatting>
  <conditionalFormatting sqref="L30">
    <cfRule type="containsText" dxfId="5298" priority="5304" operator="containsText" text="%">
      <formula>NOT(ISERROR(SEARCH("%",L30)))</formula>
    </cfRule>
  </conditionalFormatting>
  <conditionalFormatting sqref="L30">
    <cfRule type="containsText" dxfId="5297" priority="5303" operator="containsText" text="%">
      <formula>NOT(ISERROR(SEARCH("%",L30)))</formula>
    </cfRule>
  </conditionalFormatting>
  <conditionalFormatting sqref="L30">
    <cfRule type="containsText" dxfId="5296" priority="5302" operator="containsText" text="%">
      <formula>NOT(ISERROR(SEARCH("%",L30)))</formula>
    </cfRule>
  </conditionalFormatting>
  <conditionalFormatting sqref="L30">
    <cfRule type="containsText" dxfId="5295" priority="5301" operator="containsText" text="%">
      <formula>NOT(ISERROR(SEARCH("%",L30)))</formula>
    </cfRule>
  </conditionalFormatting>
  <conditionalFormatting sqref="L30">
    <cfRule type="containsText" dxfId="5294" priority="5300" operator="containsText" text="%">
      <formula>NOT(ISERROR(SEARCH("%",L30)))</formula>
    </cfRule>
  </conditionalFormatting>
  <conditionalFormatting sqref="L30">
    <cfRule type="containsText" dxfId="5293" priority="5286" operator="containsText" text="%">
      <formula>NOT(ISERROR(SEARCH("%",L30)))</formula>
    </cfRule>
  </conditionalFormatting>
  <conditionalFormatting sqref="L30">
    <cfRule type="containsText" dxfId="5292" priority="5285" operator="containsText" text="%">
      <formula>NOT(ISERROR(SEARCH("%",L30)))</formula>
    </cfRule>
  </conditionalFormatting>
  <conditionalFormatting sqref="L30">
    <cfRule type="containsText" dxfId="5291" priority="5281" operator="containsText" text="%">
      <formula>NOT(ISERROR(SEARCH("%",L30)))</formula>
    </cfRule>
  </conditionalFormatting>
  <conditionalFormatting sqref="L30">
    <cfRule type="containsText" dxfId="5290" priority="5299" operator="containsText" text="%">
      <formula>NOT(ISERROR(SEARCH("%",L30)))</formula>
    </cfRule>
  </conditionalFormatting>
  <conditionalFormatting sqref="L30">
    <cfRule type="containsText" dxfId="5289" priority="5279" operator="containsText" text="%">
      <formula>NOT(ISERROR(SEARCH("%",L30)))</formula>
    </cfRule>
  </conditionalFormatting>
  <conditionalFormatting sqref="L30">
    <cfRule type="containsText" dxfId="5288" priority="5298" operator="containsText" text="%">
      <formula>NOT(ISERROR(SEARCH("%",L30)))</formula>
    </cfRule>
  </conditionalFormatting>
  <conditionalFormatting sqref="L30">
    <cfRule type="containsText" dxfId="5287" priority="5297" operator="containsText" text="%">
      <formula>NOT(ISERROR(SEARCH("%",L30)))</formula>
    </cfRule>
  </conditionalFormatting>
  <conditionalFormatting sqref="L30">
    <cfRule type="containsText" dxfId="5286" priority="5296" operator="containsText" text="%">
      <formula>NOT(ISERROR(SEARCH("%",L30)))</formula>
    </cfRule>
  </conditionalFormatting>
  <conditionalFormatting sqref="L30">
    <cfRule type="containsText" dxfId="5285" priority="5295" operator="containsText" text="%">
      <formula>NOT(ISERROR(SEARCH("%",L30)))</formula>
    </cfRule>
  </conditionalFormatting>
  <conditionalFormatting sqref="L30">
    <cfRule type="containsText" dxfId="5284" priority="5294" operator="containsText" text="%">
      <formula>NOT(ISERROR(SEARCH("%",L30)))</formula>
    </cfRule>
  </conditionalFormatting>
  <conditionalFormatting sqref="L30">
    <cfRule type="containsText" dxfId="5283" priority="5293" operator="containsText" text="%">
      <formula>NOT(ISERROR(SEARCH("%",L30)))</formula>
    </cfRule>
  </conditionalFormatting>
  <conditionalFormatting sqref="L30">
    <cfRule type="containsText" dxfId="5282" priority="5292" operator="containsText" text="%">
      <formula>NOT(ISERROR(SEARCH("%",L30)))</formula>
    </cfRule>
  </conditionalFormatting>
  <conditionalFormatting sqref="L30">
    <cfRule type="containsText" dxfId="5281" priority="5291" operator="containsText" text="%">
      <formula>NOT(ISERROR(SEARCH("%",L30)))</formula>
    </cfRule>
  </conditionalFormatting>
  <conditionalFormatting sqref="L30">
    <cfRule type="containsText" dxfId="5280" priority="5290" operator="containsText" text="%">
      <formula>NOT(ISERROR(SEARCH("%",L30)))</formula>
    </cfRule>
  </conditionalFormatting>
  <conditionalFormatting sqref="L30">
    <cfRule type="containsText" dxfId="5279" priority="5289" operator="containsText" text="%">
      <formula>NOT(ISERROR(SEARCH("%",L30)))</formula>
    </cfRule>
  </conditionalFormatting>
  <conditionalFormatting sqref="L30">
    <cfRule type="containsText" dxfId="5278" priority="5288" operator="containsText" text="%">
      <formula>NOT(ISERROR(SEARCH("%",L30)))</formula>
    </cfRule>
  </conditionalFormatting>
  <conditionalFormatting sqref="L30">
    <cfRule type="containsText" dxfId="5277" priority="5287" operator="containsText" text="%">
      <formula>NOT(ISERROR(SEARCH("%",L30)))</formula>
    </cfRule>
  </conditionalFormatting>
  <conditionalFormatting sqref="L30">
    <cfRule type="containsText" dxfId="5276" priority="5284" operator="containsText" text="%">
      <formula>NOT(ISERROR(SEARCH("%",L30)))</formula>
    </cfRule>
  </conditionalFormatting>
  <conditionalFormatting sqref="L30">
    <cfRule type="containsText" dxfId="5275" priority="5283" operator="containsText" text="%">
      <formula>NOT(ISERROR(SEARCH("%",L30)))</formula>
    </cfRule>
  </conditionalFormatting>
  <conditionalFormatting sqref="L30">
    <cfRule type="containsText" dxfId="5274" priority="5282" operator="containsText" text="%">
      <formula>NOT(ISERROR(SEARCH("%",L30)))</formula>
    </cfRule>
  </conditionalFormatting>
  <conditionalFormatting sqref="L30">
    <cfRule type="containsText" dxfId="5273" priority="5280" operator="containsText" text="%">
      <formula>NOT(ISERROR(SEARCH("%",L30)))</formula>
    </cfRule>
  </conditionalFormatting>
  <conditionalFormatting sqref="L30">
    <cfRule type="containsText" dxfId="5272" priority="5278" operator="containsText" text="%">
      <formula>NOT(ISERROR(SEARCH("%",L30)))</formula>
    </cfRule>
  </conditionalFormatting>
  <conditionalFormatting sqref="L30">
    <cfRule type="containsText" dxfId="5271" priority="5277" operator="containsText" text="%">
      <formula>NOT(ISERROR(SEARCH("%",L30)))</formula>
    </cfRule>
  </conditionalFormatting>
  <conditionalFormatting sqref="L30">
    <cfRule type="containsText" dxfId="5270" priority="5276" operator="containsText" text="%">
      <formula>NOT(ISERROR(SEARCH("%",L30)))</formula>
    </cfRule>
  </conditionalFormatting>
  <conditionalFormatting sqref="L30">
    <cfRule type="containsText" dxfId="5269" priority="5275" operator="containsText" text="%">
      <formula>NOT(ISERROR(SEARCH("%",L30)))</formula>
    </cfRule>
  </conditionalFormatting>
  <conditionalFormatting sqref="L30">
    <cfRule type="containsText" dxfId="5268" priority="5274" operator="containsText" text="%">
      <formula>NOT(ISERROR(SEARCH("%",L30)))</formula>
    </cfRule>
  </conditionalFormatting>
  <conditionalFormatting sqref="L30">
    <cfRule type="containsText" dxfId="5267" priority="5273" operator="containsText" text="%">
      <formula>NOT(ISERROR(SEARCH("%",L30)))</formula>
    </cfRule>
  </conditionalFormatting>
  <conditionalFormatting sqref="L30">
    <cfRule type="containsText" dxfId="5266" priority="5272" operator="containsText" text="%">
      <formula>NOT(ISERROR(SEARCH("%",L30)))</formula>
    </cfRule>
  </conditionalFormatting>
  <conditionalFormatting sqref="L30">
    <cfRule type="containsText" dxfId="5265" priority="5271" operator="containsText" text="%">
      <formula>NOT(ISERROR(SEARCH("%",L30)))</formula>
    </cfRule>
  </conditionalFormatting>
  <conditionalFormatting sqref="L30">
    <cfRule type="containsText" dxfId="5264" priority="5270" operator="containsText" text="%">
      <formula>NOT(ISERROR(SEARCH("%",L30)))</formula>
    </cfRule>
  </conditionalFormatting>
  <conditionalFormatting sqref="L30">
    <cfRule type="containsText" dxfId="5263" priority="5269" operator="containsText" text="%">
      <formula>NOT(ISERROR(SEARCH("%",L30)))</formula>
    </cfRule>
  </conditionalFormatting>
  <conditionalFormatting sqref="L30">
    <cfRule type="containsText" dxfId="5262" priority="5268" operator="containsText" text="%">
      <formula>NOT(ISERROR(SEARCH("%",L30)))</formula>
    </cfRule>
  </conditionalFormatting>
  <conditionalFormatting sqref="L30">
    <cfRule type="containsText" dxfId="5261" priority="5267" operator="containsText" text="%">
      <formula>NOT(ISERROR(SEARCH("%",L30)))</formula>
    </cfRule>
  </conditionalFormatting>
  <conditionalFormatting sqref="L30">
    <cfRule type="containsText" dxfId="5260" priority="5266" operator="containsText" text="%">
      <formula>NOT(ISERROR(SEARCH("%",L30)))</formula>
    </cfRule>
  </conditionalFormatting>
  <conditionalFormatting sqref="L30">
    <cfRule type="containsText" dxfId="5259" priority="5265" operator="containsText" text="%">
      <formula>NOT(ISERROR(SEARCH("%",L30)))</formula>
    </cfRule>
  </conditionalFormatting>
  <conditionalFormatting sqref="L30">
    <cfRule type="containsText" dxfId="5258" priority="5264" operator="containsText" text="%">
      <formula>NOT(ISERROR(SEARCH("%",L30)))</formula>
    </cfRule>
  </conditionalFormatting>
  <conditionalFormatting sqref="L30">
    <cfRule type="containsText" dxfId="5257" priority="5263" operator="containsText" text="%">
      <formula>NOT(ISERROR(SEARCH("%",L30)))</formula>
    </cfRule>
  </conditionalFormatting>
  <conditionalFormatting sqref="L30">
    <cfRule type="containsText" dxfId="5256" priority="5262" operator="containsText" text="%">
      <formula>NOT(ISERROR(SEARCH("%",L30)))</formula>
    </cfRule>
  </conditionalFormatting>
  <conditionalFormatting sqref="L30">
    <cfRule type="containsText" dxfId="5255" priority="5261" operator="containsText" text="%">
      <formula>NOT(ISERROR(SEARCH("%",L30)))</formula>
    </cfRule>
  </conditionalFormatting>
  <conditionalFormatting sqref="L30">
    <cfRule type="containsText" dxfId="5254" priority="5260" operator="containsText" text="%">
      <formula>NOT(ISERROR(SEARCH("%",L30)))</formula>
    </cfRule>
  </conditionalFormatting>
  <conditionalFormatting sqref="L30">
    <cfRule type="containsText" dxfId="5253" priority="5259" operator="containsText" text="%">
      <formula>NOT(ISERROR(SEARCH("%",L30)))</formula>
    </cfRule>
  </conditionalFormatting>
  <conditionalFormatting sqref="L30">
    <cfRule type="containsText" dxfId="5252" priority="5258" operator="containsText" text="%">
      <formula>NOT(ISERROR(SEARCH("%",L30)))</formula>
    </cfRule>
  </conditionalFormatting>
  <conditionalFormatting sqref="L30">
    <cfRule type="containsText" dxfId="5251" priority="5257" operator="containsText" text="%">
      <formula>NOT(ISERROR(SEARCH("%",L30)))</formula>
    </cfRule>
  </conditionalFormatting>
  <conditionalFormatting sqref="L30">
    <cfRule type="containsText" dxfId="5250" priority="5256" operator="containsText" text="%">
      <formula>NOT(ISERROR(SEARCH("%",L30)))</formula>
    </cfRule>
  </conditionalFormatting>
  <conditionalFormatting sqref="L30">
    <cfRule type="containsText" dxfId="5249" priority="5255" operator="containsText" text="%">
      <formula>NOT(ISERROR(SEARCH("%",L30)))</formula>
    </cfRule>
  </conditionalFormatting>
  <conditionalFormatting sqref="L30">
    <cfRule type="containsText" dxfId="5248" priority="5254" operator="containsText" text="%">
      <formula>NOT(ISERROR(SEARCH("%",L30)))</formula>
    </cfRule>
  </conditionalFormatting>
  <conditionalFormatting sqref="L30">
    <cfRule type="containsText" dxfId="5247" priority="5253" operator="containsText" text="%">
      <formula>NOT(ISERROR(SEARCH("%",L30)))</formula>
    </cfRule>
  </conditionalFormatting>
  <conditionalFormatting sqref="L30">
    <cfRule type="containsText" dxfId="5246" priority="5252" operator="containsText" text="%">
      <formula>NOT(ISERROR(SEARCH("%",L30)))</formula>
    </cfRule>
  </conditionalFormatting>
  <conditionalFormatting sqref="L30">
    <cfRule type="containsText" dxfId="5245" priority="5251" operator="containsText" text="%">
      <formula>NOT(ISERROR(SEARCH("%",L30)))</formula>
    </cfRule>
  </conditionalFormatting>
  <conditionalFormatting sqref="L29:L30">
    <cfRule type="containsText" dxfId="5244" priority="5235" operator="containsText" text="%">
      <formula>NOT(ISERROR(SEARCH("%",L29)))</formula>
    </cfRule>
  </conditionalFormatting>
  <conditionalFormatting sqref="L29:L30">
    <cfRule type="containsText" dxfId="5243" priority="5234" operator="containsText" text="%">
      <formula>NOT(ISERROR(SEARCH("%",L29)))</formula>
    </cfRule>
  </conditionalFormatting>
  <conditionalFormatting sqref="L29:L30">
    <cfRule type="containsText" dxfId="5242" priority="5230" operator="containsText" text="%">
      <formula>NOT(ISERROR(SEARCH("%",L29)))</formula>
    </cfRule>
  </conditionalFormatting>
  <conditionalFormatting sqref="L29:L30">
    <cfRule type="containsText" dxfId="5241" priority="5250" operator="containsText" text="%">
      <formula>NOT(ISERROR(SEARCH("%",L29)))</formula>
    </cfRule>
  </conditionalFormatting>
  <conditionalFormatting sqref="L29">
    <cfRule type="containsText" dxfId="5240" priority="5249" operator="containsText" text="%">
      <formula>NOT(ISERROR(SEARCH("%",L29)))</formula>
    </cfRule>
  </conditionalFormatting>
  <conditionalFormatting sqref="L29">
    <cfRule type="containsText" dxfId="5239" priority="5248" operator="containsText" text="%">
      <formula>NOT(ISERROR(SEARCH("%",L29)))</formula>
    </cfRule>
  </conditionalFormatting>
  <conditionalFormatting sqref="L29:L30">
    <cfRule type="containsText" dxfId="5238" priority="5228" operator="containsText" text="%">
      <formula>NOT(ISERROR(SEARCH("%",L29)))</formula>
    </cfRule>
  </conditionalFormatting>
  <conditionalFormatting sqref="L29:L30">
    <cfRule type="containsText" dxfId="5237" priority="5247" operator="containsText" text="%">
      <formula>NOT(ISERROR(SEARCH("%",L29)))</formula>
    </cfRule>
  </conditionalFormatting>
  <conditionalFormatting sqref="L29:L30">
    <cfRule type="containsText" dxfId="5236" priority="5246" operator="containsText" text="%">
      <formula>NOT(ISERROR(SEARCH("%",L29)))</formula>
    </cfRule>
  </conditionalFormatting>
  <conditionalFormatting sqref="L29:L30">
    <cfRule type="containsText" dxfId="5235" priority="5245" operator="containsText" text="%">
      <formula>NOT(ISERROR(SEARCH("%",L29)))</formula>
    </cfRule>
  </conditionalFormatting>
  <conditionalFormatting sqref="L29:L30">
    <cfRule type="containsText" dxfId="5234" priority="5244" operator="containsText" text="%">
      <formula>NOT(ISERROR(SEARCH("%",L29)))</formula>
    </cfRule>
  </conditionalFormatting>
  <conditionalFormatting sqref="L29:L30">
    <cfRule type="containsText" dxfId="5233" priority="5243" operator="containsText" text="%">
      <formula>NOT(ISERROR(SEARCH("%",L29)))</formula>
    </cfRule>
  </conditionalFormatting>
  <conditionalFormatting sqref="L29:L30">
    <cfRule type="containsText" dxfId="5232" priority="5242" operator="containsText" text="%">
      <formula>NOT(ISERROR(SEARCH("%",L29)))</formula>
    </cfRule>
  </conditionalFormatting>
  <conditionalFormatting sqref="L29:L30">
    <cfRule type="containsText" dxfId="5231" priority="5241" operator="containsText" text="%">
      <formula>NOT(ISERROR(SEARCH("%",L29)))</formula>
    </cfRule>
  </conditionalFormatting>
  <conditionalFormatting sqref="L29:L30">
    <cfRule type="containsText" dxfId="5230" priority="5240" operator="containsText" text="%">
      <formula>NOT(ISERROR(SEARCH("%",L29)))</formula>
    </cfRule>
  </conditionalFormatting>
  <conditionalFormatting sqref="L29:L30">
    <cfRule type="containsText" dxfId="5229" priority="5239" operator="containsText" text="%">
      <formula>NOT(ISERROR(SEARCH("%",L29)))</formula>
    </cfRule>
  </conditionalFormatting>
  <conditionalFormatting sqref="L29:L30">
    <cfRule type="containsText" dxfId="5228" priority="5238" operator="containsText" text="%">
      <formula>NOT(ISERROR(SEARCH("%",L29)))</formula>
    </cfRule>
  </conditionalFormatting>
  <conditionalFormatting sqref="L29:L30">
    <cfRule type="containsText" dxfId="5227" priority="5237" operator="containsText" text="%">
      <formula>NOT(ISERROR(SEARCH("%",L29)))</formula>
    </cfRule>
  </conditionalFormatting>
  <conditionalFormatting sqref="L29:L30">
    <cfRule type="containsText" dxfId="5226" priority="5236" operator="containsText" text="%">
      <formula>NOT(ISERROR(SEARCH("%",L29)))</formula>
    </cfRule>
  </conditionalFormatting>
  <conditionalFormatting sqref="L29:L30">
    <cfRule type="containsText" dxfId="5225" priority="5233" operator="containsText" text="%">
      <formula>NOT(ISERROR(SEARCH("%",L29)))</formula>
    </cfRule>
  </conditionalFormatting>
  <conditionalFormatting sqref="L29:L30">
    <cfRule type="containsText" dxfId="5224" priority="5232" operator="containsText" text="%">
      <formula>NOT(ISERROR(SEARCH("%",L29)))</formula>
    </cfRule>
  </conditionalFormatting>
  <conditionalFormatting sqref="L29:L30">
    <cfRule type="containsText" dxfId="5223" priority="5231" operator="containsText" text="%">
      <formula>NOT(ISERROR(SEARCH("%",L29)))</formula>
    </cfRule>
  </conditionalFormatting>
  <conditionalFormatting sqref="L29:L30">
    <cfRule type="containsText" dxfId="5222" priority="5229" operator="containsText" text="%">
      <formula>NOT(ISERROR(SEARCH("%",L29)))</formula>
    </cfRule>
  </conditionalFormatting>
  <conditionalFormatting sqref="L29:L30">
    <cfRule type="containsText" dxfId="5221" priority="5227" operator="containsText" text="%">
      <formula>NOT(ISERROR(SEARCH("%",L29)))</formula>
    </cfRule>
  </conditionalFormatting>
  <conditionalFormatting sqref="L29:L30">
    <cfRule type="containsText" dxfId="5220" priority="5226" operator="containsText" text="%">
      <formula>NOT(ISERROR(SEARCH("%",L29)))</formula>
    </cfRule>
  </conditionalFormatting>
  <conditionalFormatting sqref="L29:L30">
    <cfRule type="containsText" dxfId="5219" priority="5225" operator="containsText" text="%">
      <formula>NOT(ISERROR(SEARCH("%",L29)))</formula>
    </cfRule>
  </conditionalFormatting>
  <conditionalFormatting sqref="L29:L30">
    <cfRule type="containsText" dxfId="5218" priority="5224" operator="containsText" text="%">
      <formula>NOT(ISERROR(SEARCH("%",L29)))</formula>
    </cfRule>
  </conditionalFormatting>
  <conditionalFormatting sqref="L29:L30">
    <cfRule type="containsText" dxfId="5217" priority="5223" operator="containsText" text="%">
      <formula>NOT(ISERROR(SEARCH("%",L29)))</formula>
    </cfRule>
  </conditionalFormatting>
  <conditionalFormatting sqref="L29:L30">
    <cfRule type="containsText" dxfId="5216" priority="5222" operator="containsText" text="%">
      <formula>NOT(ISERROR(SEARCH("%",L29)))</formula>
    </cfRule>
  </conditionalFormatting>
  <conditionalFormatting sqref="L29:L30">
    <cfRule type="containsText" dxfId="5215" priority="5221" operator="containsText" text="%">
      <formula>NOT(ISERROR(SEARCH("%",L29)))</formula>
    </cfRule>
  </conditionalFormatting>
  <conditionalFormatting sqref="L29:L30">
    <cfRule type="containsText" dxfId="5214" priority="5220" operator="containsText" text="%">
      <formula>NOT(ISERROR(SEARCH("%",L29)))</formula>
    </cfRule>
  </conditionalFormatting>
  <conditionalFormatting sqref="L29:L30">
    <cfRule type="containsText" dxfId="5213" priority="5219" operator="containsText" text="%">
      <formula>NOT(ISERROR(SEARCH("%",L29)))</formula>
    </cfRule>
  </conditionalFormatting>
  <conditionalFormatting sqref="L29:L30">
    <cfRule type="containsText" dxfId="5212" priority="5218" operator="containsText" text="%">
      <formula>NOT(ISERROR(SEARCH("%",L29)))</formula>
    </cfRule>
  </conditionalFormatting>
  <conditionalFormatting sqref="L30">
    <cfRule type="containsText" dxfId="5211" priority="5217" operator="containsText" text="%">
      <formula>NOT(ISERROR(SEARCH("%",L30)))</formula>
    </cfRule>
  </conditionalFormatting>
  <conditionalFormatting sqref="L30">
    <cfRule type="containsText" dxfId="5210" priority="5216" operator="containsText" text="%">
      <formula>NOT(ISERROR(SEARCH("%",L30)))</formula>
    </cfRule>
  </conditionalFormatting>
  <conditionalFormatting sqref="L30">
    <cfRule type="containsText" dxfId="5209" priority="5215" operator="containsText" text="%">
      <formula>NOT(ISERROR(SEARCH("%",L30)))</formula>
    </cfRule>
  </conditionalFormatting>
  <conditionalFormatting sqref="L30">
    <cfRule type="containsText" dxfId="5208" priority="5214" operator="containsText" text="%">
      <formula>NOT(ISERROR(SEARCH("%",L30)))</formula>
    </cfRule>
  </conditionalFormatting>
  <conditionalFormatting sqref="L29:L30">
    <cfRule type="containsText" dxfId="5207" priority="5213" operator="containsText" text="%">
      <formula>NOT(ISERROR(SEARCH("%",L29)))</formula>
    </cfRule>
  </conditionalFormatting>
  <conditionalFormatting sqref="L29:L30">
    <cfRule type="containsText" dxfId="5206" priority="5212" operator="containsText" text="%">
      <formula>NOT(ISERROR(SEARCH("%",L29)))</formula>
    </cfRule>
  </conditionalFormatting>
  <conditionalFormatting sqref="L29:L30">
    <cfRule type="containsText" dxfId="5205" priority="5211" operator="containsText" text="%">
      <formula>NOT(ISERROR(SEARCH("%",L29)))</formula>
    </cfRule>
  </conditionalFormatting>
  <conditionalFormatting sqref="L29:L30">
    <cfRule type="containsText" dxfId="5204" priority="5210" operator="containsText" text="%">
      <formula>NOT(ISERROR(SEARCH("%",L29)))</formula>
    </cfRule>
  </conditionalFormatting>
  <conditionalFormatting sqref="L29:L30">
    <cfRule type="containsText" dxfId="5203" priority="5209" operator="containsText" text="%">
      <formula>NOT(ISERROR(SEARCH("%",L29)))</formula>
    </cfRule>
  </conditionalFormatting>
  <conditionalFormatting sqref="L29:L30">
    <cfRule type="containsText" dxfId="5202" priority="5208" operator="containsText" text="%">
      <formula>NOT(ISERROR(SEARCH("%",L29)))</formula>
    </cfRule>
  </conditionalFormatting>
  <conditionalFormatting sqref="L29:L30">
    <cfRule type="containsText" dxfId="5201" priority="5207" operator="containsText" text="%">
      <formula>NOT(ISERROR(SEARCH("%",L29)))</formula>
    </cfRule>
  </conditionalFormatting>
  <conditionalFormatting sqref="L29:L30">
    <cfRule type="containsText" dxfId="5200" priority="5206" operator="containsText" text="%">
      <formula>NOT(ISERROR(SEARCH("%",L29)))</formula>
    </cfRule>
  </conditionalFormatting>
  <conditionalFormatting sqref="L29:L30">
    <cfRule type="containsText" dxfId="5199" priority="5205" operator="containsText" text="%">
      <formula>NOT(ISERROR(SEARCH("%",L29)))</formula>
    </cfRule>
  </conditionalFormatting>
  <conditionalFormatting sqref="L29:L30">
    <cfRule type="containsText" dxfId="5198" priority="5204" operator="containsText" text="%">
      <formula>NOT(ISERROR(SEARCH("%",L29)))</formula>
    </cfRule>
  </conditionalFormatting>
  <conditionalFormatting sqref="L30">
    <cfRule type="containsText" dxfId="5197" priority="5203" operator="containsText" text="%">
      <formula>NOT(ISERROR(SEARCH("%",L30)))</formula>
    </cfRule>
  </conditionalFormatting>
  <conditionalFormatting sqref="L30">
    <cfRule type="containsText" dxfId="5196" priority="5202" operator="containsText" text="%">
      <formula>NOT(ISERROR(SEARCH("%",L30)))</formula>
    </cfRule>
  </conditionalFormatting>
  <conditionalFormatting sqref="L30">
    <cfRule type="containsText" dxfId="5195" priority="5201" operator="containsText" text="%">
      <formula>NOT(ISERROR(SEARCH("%",L30)))</formula>
    </cfRule>
  </conditionalFormatting>
  <conditionalFormatting sqref="L30">
    <cfRule type="containsText" dxfId="5194" priority="5200" operator="containsText" text="%">
      <formula>NOT(ISERROR(SEARCH("%",L30)))</formula>
    </cfRule>
  </conditionalFormatting>
  <conditionalFormatting sqref="L29:L30">
    <cfRule type="containsText" dxfId="5193" priority="5199" operator="containsText" text="%">
      <formula>NOT(ISERROR(SEARCH("%",L29)))</formula>
    </cfRule>
  </conditionalFormatting>
  <conditionalFormatting sqref="L29:L30">
    <cfRule type="containsText" dxfId="5192" priority="5198" operator="containsText" text="%">
      <formula>NOT(ISERROR(SEARCH("%",L29)))</formula>
    </cfRule>
  </conditionalFormatting>
  <conditionalFormatting sqref="L29:L30">
    <cfRule type="containsText" dxfId="5191" priority="5197" operator="containsText" text="%">
      <formula>NOT(ISERROR(SEARCH("%",L29)))</formula>
    </cfRule>
  </conditionalFormatting>
  <conditionalFormatting sqref="L29:L30">
    <cfRule type="containsText" dxfId="5190" priority="5196" operator="containsText" text="%">
      <formula>NOT(ISERROR(SEARCH("%",L29)))</formula>
    </cfRule>
  </conditionalFormatting>
  <conditionalFormatting sqref="L29:L30">
    <cfRule type="containsText" dxfId="5189" priority="5195" operator="containsText" text="%">
      <formula>NOT(ISERROR(SEARCH("%",L29)))</formula>
    </cfRule>
  </conditionalFormatting>
  <conditionalFormatting sqref="L29:L30">
    <cfRule type="containsText" dxfId="5188" priority="5194" operator="containsText" text="%">
      <formula>NOT(ISERROR(SEARCH("%",L29)))</formula>
    </cfRule>
  </conditionalFormatting>
  <conditionalFormatting sqref="L30">
    <cfRule type="containsText" dxfId="5187" priority="5193" operator="containsText" text="%">
      <formula>NOT(ISERROR(SEARCH("%",L30)))</formula>
    </cfRule>
  </conditionalFormatting>
  <conditionalFormatting sqref="L30">
    <cfRule type="containsText" dxfId="5186" priority="5192" operator="containsText" text="%">
      <formula>NOT(ISERROR(SEARCH("%",L30)))</formula>
    </cfRule>
  </conditionalFormatting>
  <conditionalFormatting sqref="L30">
    <cfRule type="containsText" dxfId="5185" priority="5191" operator="containsText" text="%">
      <formula>NOT(ISERROR(SEARCH("%",L30)))</formula>
    </cfRule>
  </conditionalFormatting>
  <conditionalFormatting sqref="L30">
    <cfRule type="containsText" dxfId="5184" priority="5190" operator="containsText" text="%">
      <formula>NOT(ISERROR(SEARCH("%",L30)))</formula>
    </cfRule>
  </conditionalFormatting>
  <conditionalFormatting sqref="L29:L30">
    <cfRule type="containsText" dxfId="5183" priority="5174" operator="containsText" text="%">
      <formula>NOT(ISERROR(SEARCH("%",L29)))</formula>
    </cfRule>
  </conditionalFormatting>
  <conditionalFormatting sqref="L29:L30">
    <cfRule type="containsText" dxfId="5182" priority="5173" operator="containsText" text="%">
      <formula>NOT(ISERROR(SEARCH("%",L29)))</formula>
    </cfRule>
  </conditionalFormatting>
  <conditionalFormatting sqref="L29:L30">
    <cfRule type="containsText" dxfId="5181" priority="5169" operator="containsText" text="%">
      <formula>NOT(ISERROR(SEARCH("%",L29)))</formula>
    </cfRule>
  </conditionalFormatting>
  <conditionalFormatting sqref="L29:L30">
    <cfRule type="containsText" dxfId="5180" priority="5189" operator="containsText" text="%">
      <formula>NOT(ISERROR(SEARCH("%",L29)))</formula>
    </cfRule>
  </conditionalFormatting>
  <conditionalFormatting sqref="L29">
    <cfRule type="containsText" dxfId="5179" priority="5188" operator="containsText" text="%">
      <formula>NOT(ISERROR(SEARCH("%",L29)))</formula>
    </cfRule>
  </conditionalFormatting>
  <conditionalFormatting sqref="L29">
    <cfRule type="containsText" dxfId="5178" priority="5187" operator="containsText" text="%">
      <formula>NOT(ISERROR(SEARCH("%",L29)))</formula>
    </cfRule>
  </conditionalFormatting>
  <conditionalFormatting sqref="L29:L30">
    <cfRule type="containsText" dxfId="5177" priority="5167" operator="containsText" text="%">
      <formula>NOT(ISERROR(SEARCH("%",L29)))</formula>
    </cfRule>
  </conditionalFormatting>
  <conditionalFormatting sqref="L29:L30">
    <cfRule type="containsText" dxfId="5176" priority="5186" operator="containsText" text="%">
      <formula>NOT(ISERROR(SEARCH("%",L29)))</formula>
    </cfRule>
  </conditionalFormatting>
  <conditionalFormatting sqref="L29:L30">
    <cfRule type="containsText" dxfId="5175" priority="5185" operator="containsText" text="%">
      <formula>NOT(ISERROR(SEARCH("%",L29)))</formula>
    </cfRule>
  </conditionalFormatting>
  <conditionalFormatting sqref="L29:L30">
    <cfRule type="containsText" dxfId="5174" priority="5184" operator="containsText" text="%">
      <formula>NOT(ISERROR(SEARCH("%",L29)))</formula>
    </cfRule>
  </conditionalFormatting>
  <conditionalFormatting sqref="L29:L30">
    <cfRule type="containsText" dxfId="5173" priority="5183" operator="containsText" text="%">
      <formula>NOT(ISERROR(SEARCH("%",L29)))</formula>
    </cfRule>
  </conditionalFormatting>
  <conditionalFormatting sqref="L29:L30">
    <cfRule type="containsText" dxfId="5172" priority="5182" operator="containsText" text="%">
      <formula>NOT(ISERROR(SEARCH("%",L29)))</formula>
    </cfRule>
  </conditionalFormatting>
  <conditionalFormatting sqref="L29:L30">
    <cfRule type="containsText" dxfId="5171" priority="5181" operator="containsText" text="%">
      <formula>NOT(ISERROR(SEARCH("%",L29)))</formula>
    </cfRule>
  </conditionalFormatting>
  <conditionalFormatting sqref="L29:L30">
    <cfRule type="containsText" dxfId="5170" priority="5180" operator="containsText" text="%">
      <formula>NOT(ISERROR(SEARCH("%",L29)))</formula>
    </cfRule>
  </conditionalFormatting>
  <conditionalFormatting sqref="L29:L30">
    <cfRule type="containsText" dxfId="5169" priority="5179" operator="containsText" text="%">
      <formula>NOT(ISERROR(SEARCH("%",L29)))</formula>
    </cfRule>
  </conditionalFormatting>
  <conditionalFormatting sqref="L29:L30">
    <cfRule type="containsText" dxfId="5168" priority="5178" operator="containsText" text="%">
      <formula>NOT(ISERROR(SEARCH("%",L29)))</formula>
    </cfRule>
  </conditionalFormatting>
  <conditionalFormatting sqref="L29:L30">
    <cfRule type="containsText" dxfId="5167" priority="5177" operator="containsText" text="%">
      <formula>NOT(ISERROR(SEARCH("%",L29)))</formula>
    </cfRule>
  </conditionalFormatting>
  <conditionalFormatting sqref="L29:L30">
    <cfRule type="containsText" dxfId="5166" priority="5176" operator="containsText" text="%">
      <formula>NOT(ISERROR(SEARCH("%",L29)))</formula>
    </cfRule>
  </conditionalFormatting>
  <conditionalFormatting sqref="L29:L30">
    <cfRule type="containsText" dxfId="5165" priority="5175" operator="containsText" text="%">
      <formula>NOT(ISERROR(SEARCH("%",L29)))</formula>
    </cfRule>
  </conditionalFormatting>
  <conditionalFormatting sqref="L29:L30">
    <cfRule type="containsText" dxfId="5164" priority="5172" operator="containsText" text="%">
      <formula>NOT(ISERROR(SEARCH("%",L29)))</formula>
    </cfRule>
  </conditionalFormatting>
  <conditionalFormatting sqref="L29:L30">
    <cfRule type="containsText" dxfId="5163" priority="5171" operator="containsText" text="%">
      <formula>NOT(ISERROR(SEARCH("%",L29)))</formula>
    </cfRule>
  </conditionalFormatting>
  <conditionalFormatting sqref="L29:L30">
    <cfRule type="containsText" dxfId="5162" priority="5170" operator="containsText" text="%">
      <formula>NOT(ISERROR(SEARCH("%",L29)))</formula>
    </cfRule>
  </conditionalFormatting>
  <conditionalFormatting sqref="L29:L30">
    <cfRule type="containsText" dxfId="5161" priority="5168" operator="containsText" text="%">
      <formula>NOT(ISERROR(SEARCH("%",L29)))</formula>
    </cfRule>
  </conditionalFormatting>
  <conditionalFormatting sqref="L29:L30">
    <cfRule type="containsText" dxfId="5160" priority="5166" operator="containsText" text="%">
      <formula>NOT(ISERROR(SEARCH("%",L29)))</formula>
    </cfRule>
  </conditionalFormatting>
  <conditionalFormatting sqref="L29:L30">
    <cfRule type="containsText" dxfId="5159" priority="5165" operator="containsText" text="%">
      <formula>NOT(ISERROR(SEARCH("%",L29)))</formula>
    </cfRule>
  </conditionalFormatting>
  <conditionalFormatting sqref="L29:L30">
    <cfRule type="containsText" dxfId="5158" priority="5164" operator="containsText" text="%">
      <formula>NOT(ISERROR(SEARCH("%",L29)))</formula>
    </cfRule>
  </conditionalFormatting>
  <conditionalFormatting sqref="L29:L30">
    <cfRule type="containsText" dxfId="5157" priority="5163" operator="containsText" text="%">
      <formula>NOT(ISERROR(SEARCH("%",L29)))</formula>
    </cfRule>
  </conditionalFormatting>
  <conditionalFormatting sqref="L29:L30">
    <cfRule type="containsText" dxfId="5156" priority="5162" operator="containsText" text="%">
      <formula>NOT(ISERROR(SEARCH("%",L29)))</formula>
    </cfRule>
  </conditionalFormatting>
  <conditionalFormatting sqref="L29:L30">
    <cfRule type="containsText" dxfId="5155" priority="5161" operator="containsText" text="%">
      <formula>NOT(ISERROR(SEARCH("%",L29)))</formula>
    </cfRule>
  </conditionalFormatting>
  <conditionalFormatting sqref="L29:L30">
    <cfRule type="containsText" dxfId="5154" priority="5160" operator="containsText" text="%">
      <formula>NOT(ISERROR(SEARCH("%",L29)))</formula>
    </cfRule>
  </conditionalFormatting>
  <conditionalFormatting sqref="L29:L30">
    <cfRule type="containsText" dxfId="5153" priority="5159" operator="containsText" text="%">
      <formula>NOT(ISERROR(SEARCH("%",L29)))</formula>
    </cfRule>
  </conditionalFormatting>
  <conditionalFormatting sqref="L29:L30">
    <cfRule type="containsText" dxfId="5152" priority="5158" operator="containsText" text="%">
      <formula>NOT(ISERROR(SEARCH("%",L29)))</formula>
    </cfRule>
  </conditionalFormatting>
  <conditionalFormatting sqref="L29:L30">
    <cfRule type="containsText" dxfId="5151" priority="5157" operator="containsText" text="%">
      <formula>NOT(ISERROR(SEARCH("%",L29)))</formula>
    </cfRule>
  </conditionalFormatting>
  <conditionalFormatting sqref="L30">
    <cfRule type="containsText" dxfId="5150" priority="5156" operator="containsText" text="%">
      <formula>NOT(ISERROR(SEARCH("%",L30)))</formula>
    </cfRule>
  </conditionalFormatting>
  <conditionalFormatting sqref="L30">
    <cfRule type="containsText" dxfId="5149" priority="5155" operator="containsText" text="%">
      <formula>NOT(ISERROR(SEARCH("%",L30)))</formula>
    </cfRule>
  </conditionalFormatting>
  <conditionalFormatting sqref="L30">
    <cfRule type="containsText" dxfId="5148" priority="5154" operator="containsText" text="%">
      <formula>NOT(ISERROR(SEARCH("%",L30)))</formula>
    </cfRule>
  </conditionalFormatting>
  <conditionalFormatting sqref="L30">
    <cfRule type="containsText" dxfId="5147" priority="5153" operator="containsText" text="%">
      <formula>NOT(ISERROR(SEARCH("%",L30)))</formula>
    </cfRule>
  </conditionalFormatting>
  <conditionalFormatting sqref="L29:L30">
    <cfRule type="containsText" dxfId="5146" priority="5152" operator="containsText" text="%">
      <formula>NOT(ISERROR(SEARCH("%",L29)))</formula>
    </cfRule>
  </conditionalFormatting>
  <conditionalFormatting sqref="L29:L30">
    <cfRule type="containsText" dxfId="5145" priority="5151" operator="containsText" text="%">
      <formula>NOT(ISERROR(SEARCH("%",L29)))</formula>
    </cfRule>
  </conditionalFormatting>
  <conditionalFormatting sqref="L29:L30">
    <cfRule type="containsText" dxfId="5144" priority="5150" operator="containsText" text="%">
      <formula>NOT(ISERROR(SEARCH("%",L29)))</formula>
    </cfRule>
  </conditionalFormatting>
  <conditionalFormatting sqref="L29:L30">
    <cfRule type="containsText" dxfId="5143" priority="5149" operator="containsText" text="%">
      <formula>NOT(ISERROR(SEARCH("%",L29)))</formula>
    </cfRule>
  </conditionalFormatting>
  <conditionalFormatting sqref="L29:L30">
    <cfRule type="containsText" dxfId="5142" priority="5148" operator="containsText" text="%">
      <formula>NOT(ISERROR(SEARCH("%",L29)))</formula>
    </cfRule>
  </conditionalFormatting>
  <conditionalFormatting sqref="L29:L30">
    <cfRule type="containsText" dxfId="5141" priority="5147" operator="containsText" text="%">
      <formula>NOT(ISERROR(SEARCH("%",L29)))</formula>
    </cfRule>
  </conditionalFormatting>
  <conditionalFormatting sqref="L29:L30">
    <cfRule type="containsText" dxfId="5140" priority="5146" operator="containsText" text="%">
      <formula>NOT(ISERROR(SEARCH("%",L29)))</formula>
    </cfRule>
  </conditionalFormatting>
  <conditionalFormatting sqref="L29:L30">
    <cfRule type="containsText" dxfId="5139" priority="5145" operator="containsText" text="%">
      <formula>NOT(ISERROR(SEARCH("%",L29)))</formula>
    </cfRule>
  </conditionalFormatting>
  <conditionalFormatting sqref="L29:L30">
    <cfRule type="containsText" dxfId="5138" priority="5144" operator="containsText" text="%">
      <formula>NOT(ISERROR(SEARCH("%",L29)))</formula>
    </cfRule>
  </conditionalFormatting>
  <conditionalFormatting sqref="L29:L30">
    <cfRule type="containsText" dxfId="5137" priority="5143" operator="containsText" text="%">
      <formula>NOT(ISERROR(SEARCH("%",L29)))</formula>
    </cfRule>
  </conditionalFormatting>
  <conditionalFormatting sqref="L30">
    <cfRule type="containsText" dxfId="5136" priority="5142" operator="containsText" text="%">
      <formula>NOT(ISERROR(SEARCH("%",L30)))</formula>
    </cfRule>
  </conditionalFormatting>
  <conditionalFormatting sqref="L30">
    <cfRule type="containsText" dxfId="5135" priority="5141" operator="containsText" text="%">
      <formula>NOT(ISERROR(SEARCH("%",L30)))</formula>
    </cfRule>
  </conditionalFormatting>
  <conditionalFormatting sqref="L30">
    <cfRule type="containsText" dxfId="5134" priority="5140" operator="containsText" text="%">
      <formula>NOT(ISERROR(SEARCH("%",L30)))</formula>
    </cfRule>
  </conditionalFormatting>
  <conditionalFormatting sqref="L30">
    <cfRule type="containsText" dxfId="5133" priority="5139" operator="containsText" text="%">
      <formula>NOT(ISERROR(SEARCH("%",L30)))</formula>
    </cfRule>
  </conditionalFormatting>
  <conditionalFormatting sqref="L29">
    <cfRule type="containsText" dxfId="5132" priority="5138" operator="containsText" text="%">
      <formula>NOT(ISERROR(SEARCH("%",L29)))</formula>
    </cfRule>
  </conditionalFormatting>
  <conditionalFormatting sqref="L29">
    <cfRule type="containsText" dxfId="5131" priority="5137" operator="containsText" text="%">
      <formula>NOT(ISERROR(SEARCH("%",L29)))</formula>
    </cfRule>
  </conditionalFormatting>
  <conditionalFormatting sqref="L29">
    <cfRule type="containsText" dxfId="5130" priority="5136" operator="containsText" text="%">
      <formula>NOT(ISERROR(SEARCH("%",L29)))</formula>
    </cfRule>
  </conditionalFormatting>
  <conditionalFormatting sqref="L29">
    <cfRule type="containsText" dxfId="5129" priority="5135" operator="containsText" text="%">
      <formula>NOT(ISERROR(SEARCH("%",L29)))</formula>
    </cfRule>
  </conditionalFormatting>
  <conditionalFormatting sqref="L29">
    <cfRule type="containsText" dxfId="5128" priority="5134" operator="containsText" text="%">
      <formula>NOT(ISERROR(SEARCH("%",L29)))</formula>
    </cfRule>
  </conditionalFormatting>
  <conditionalFormatting sqref="L29">
    <cfRule type="containsText" dxfId="5127" priority="5133" operator="containsText" text="%">
      <formula>NOT(ISERROR(SEARCH("%",L29)))</formula>
    </cfRule>
  </conditionalFormatting>
  <conditionalFormatting sqref="L30">
    <cfRule type="containsText" dxfId="5126" priority="5132" operator="containsText" text="%">
      <formula>NOT(ISERROR(SEARCH("%",L30)))</formula>
    </cfRule>
  </conditionalFormatting>
  <conditionalFormatting sqref="L30">
    <cfRule type="containsText" dxfId="5125" priority="5131" operator="containsText" text="%">
      <formula>NOT(ISERROR(SEARCH("%",L30)))</formula>
    </cfRule>
  </conditionalFormatting>
  <conditionalFormatting sqref="L30">
    <cfRule type="containsText" dxfId="5124" priority="5130" operator="containsText" text="%">
      <formula>NOT(ISERROR(SEARCH("%",L30)))</formula>
    </cfRule>
  </conditionalFormatting>
  <conditionalFormatting sqref="L30">
    <cfRule type="containsText" dxfId="5123" priority="5129" operator="containsText" text="%">
      <formula>NOT(ISERROR(SEARCH("%",L30)))</formula>
    </cfRule>
  </conditionalFormatting>
  <conditionalFormatting sqref="L30">
    <cfRule type="containsText" dxfId="5122" priority="5128" operator="containsText" text="%">
      <formula>NOT(ISERROR(SEARCH("%",L30)))</formula>
    </cfRule>
  </conditionalFormatting>
  <conditionalFormatting sqref="L30">
    <cfRule type="containsText" dxfId="5121" priority="5127" operator="containsText" text="%">
      <formula>NOT(ISERROR(SEARCH("%",L30)))</formula>
    </cfRule>
  </conditionalFormatting>
  <conditionalFormatting sqref="L30">
    <cfRule type="containsText" dxfId="5120" priority="5126" operator="containsText" text="%">
      <formula>NOT(ISERROR(SEARCH("%",L30)))</formula>
    </cfRule>
  </conditionalFormatting>
  <conditionalFormatting sqref="L30">
    <cfRule type="containsText" dxfId="5119" priority="5125" operator="containsText" text="%">
      <formula>NOT(ISERROR(SEARCH("%",L30)))</formula>
    </cfRule>
  </conditionalFormatting>
  <conditionalFormatting sqref="L30">
    <cfRule type="containsText" dxfId="5118" priority="5124" operator="containsText" text="%">
      <formula>NOT(ISERROR(SEARCH("%",L30)))</formula>
    </cfRule>
  </conditionalFormatting>
  <conditionalFormatting sqref="L30">
    <cfRule type="containsText" dxfId="5117" priority="5123" operator="containsText" text="%">
      <formula>NOT(ISERROR(SEARCH("%",L30)))</formula>
    </cfRule>
  </conditionalFormatting>
  <conditionalFormatting sqref="L30">
    <cfRule type="containsText" dxfId="5116" priority="5109" operator="containsText" text="%">
      <formula>NOT(ISERROR(SEARCH("%",L30)))</formula>
    </cfRule>
  </conditionalFormatting>
  <conditionalFormatting sqref="L30">
    <cfRule type="containsText" dxfId="5115" priority="5108" operator="containsText" text="%">
      <formula>NOT(ISERROR(SEARCH("%",L30)))</formula>
    </cfRule>
  </conditionalFormatting>
  <conditionalFormatting sqref="L30">
    <cfRule type="containsText" dxfId="5114" priority="5104" operator="containsText" text="%">
      <formula>NOT(ISERROR(SEARCH("%",L30)))</formula>
    </cfRule>
  </conditionalFormatting>
  <conditionalFormatting sqref="L30">
    <cfRule type="containsText" dxfId="5113" priority="5122" operator="containsText" text="%">
      <formula>NOT(ISERROR(SEARCH("%",L30)))</formula>
    </cfRule>
  </conditionalFormatting>
  <conditionalFormatting sqref="L30">
    <cfRule type="containsText" dxfId="5112" priority="5102" operator="containsText" text="%">
      <formula>NOT(ISERROR(SEARCH("%",L30)))</formula>
    </cfRule>
  </conditionalFormatting>
  <conditionalFormatting sqref="L30">
    <cfRule type="containsText" dxfId="5111" priority="5121" operator="containsText" text="%">
      <formula>NOT(ISERROR(SEARCH("%",L30)))</formula>
    </cfRule>
  </conditionalFormatting>
  <conditionalFormatting sqref="L30">
    <cfRule type="containsText" dxfId="5110" priority="5120" operator="containsText" text="%">
      <formula>NOT(ISERROR(SEARCH("%",L30)))</formula>
    </cfRule>
  </conditionalFormatting>
  <conditionalFormatting sqref="L30">
    <cfRule type="containsText" dxfId="5109" priority="5119" operator="containsText" text="%">
      <formula>NOT(ISERROR(SEARCH("%",L30)))</formula>
    </cfRule>
  </conditionalFormatting>
  <conditionalFormatting sqref="L30">
    <cfRule type="containsText" dxfId="5108" priority="5118" operator="containsText" text="%">
      <formula>NOT(ISERROR(SEARCH("%",L30)))</formula>
    </cfRule>
  </conditionalFormatting>
  <conditionalFormatting sqref="L30">
    <cfRule type="containsText" dxfId="5107" priority="5117" operator="containsText" text="%">
      <formula>NOT(ISERROR(SEARCH("%",L30)))</formula>
    </cfRule>
  </conditionalFormatting>
  <conditionalFormatting sqref="L30">
    <cfRule type="containsText" dxfId="5106" priority="5116" operator="containsText" text="%">
      <formula>NOT(ISERROR(SEARCH("%",L30)))</formula>
    </cfRule>
  </conditionalFormatting>
  <conditionalFormatting sqref="L30">
    <cfRule type="containsText" dxfId="5105" priority="5115" operator="containsText" text="%">
      <formula>NOT(ISERROR(SEARCH("%",L30)))</formula>
    </cfRule>
  </conditionalFormatting>
  <conditionalFormatting sqref="L30">
    <cfRule type="containsText" dxfId="5104" priority="5114" operator="containsText" text="%">
      <formula>NOT(ISERROR(SEARCH("%",L30)))</formula>
    </cfRule>
  </conditionalFormatting>
  <conditionalFormatting sqref="L30">
    <cfRule type="containsText" dxfId="5103" priority="5113" operator="containsText" text="%">
      <formula>NOT(ISERROR(SEARCH("%",L30)))</formula>
    </cfRule>
  </conditionalFormatting>
  <conditionalFormatting sqref="L30">
    <cfRule type="containsText" dxfId="5102" priority="5112" operator="containsText" text="%">
      <formula>NOT(ISERROR(SEARCH("%",L30)))</formula>
    </cfRule>
  </conditionalFormatting>
  <conditionalFormatting sqref="L30">
    <cfRule type="containsText" dxfId="5101" priority="5111" operator="containsText" text="%">
      <formula>NOT(ISERROR(SEARCH("%",L30)))</formula>
    </cfRule>
  </conditionalFormatting>
  <conditionalFormatting sqref="L30">
    <cfRule type="containsText" dxfId="5100" priority="5110" operator="containsText" text="%">
      <formula>NOT(ISERROR(SEARCH("%",L30)))</formula>
    </cfRule>
  </conditionalFormatting>
  <conditionalFormatting sqref="L30">
    <cfRule type="containsText" dxfId="5099" priority="5107" operator="containsText" text="%">
      <formula>NOT(ISERROR(SEARCH("%",L30)))</formula>
    </cfRule>
  </conditionalFormatting>
  <conditionalFormatting sqref="L30">
    <cfRule type="containsText" dxfId="5098" priority="5106" operator="containsText" text="%">
      <formula>NOT(ISERROR(SEARCH("%",L30)))</formula>
    </cfRule>
  </conditionalFormatting>
  <conditionalFormatting sqref="L30">
    <cfRule type="containsText" dxfId="5097" priority="5105" operator="containsText" text="%">
      <formula>NOT(ISERROR(SEARCH("%",L30)))</formula>
    </cfRule>
  </conditionalFormatting>
  <conditionalFormatting sqref="L30">
    <cfRule type="containsText" dxfId="5096" priority="5103" operator="containsText" text="%">
      <formula>NOT(ISERROR(SEARCH("%",L30)))</formula>
    </cfRule>
  </conditionalFormatting>
  <conditionalFormatting sqref="L30">
    <cfRule type="containsText" dxfId="5095" priority="5101" operator="containsText" text="%">
      <formula>NOT(ISERROR(SEARCH("%",L30)))</formula>
    </cfRule>
  </conditionalFormatting>
  <conditionalFormatting sqref="L30">
    <cfRule type="containsText" dxfId="5094" priority="5100" operator="containsText" text="%">
      <formula>NOT(ISERROR(SEARCH("%",L30)))</formula>
    </cfRule>
  </conditionalFormatting>
  <conditionalFormatting sqref="L30">
    <cfRule type="containsText" dxfId="5093" priority="5099" operator="containsText" text="%">
      <formula>NOT(ISERROR(SEARCH("%",L30)))</formula>
    </cfRule>
  </conditionalFormatting>
  <conditionalFormatting sqref="L30">
    <cfRule type="containsText" dxfId="5092" priority="5098" operator="containsText" text="%">
      <formula>NOT(ISERROR(SEARCH("%",L30)))</formula>
    </cfRule>
  </conditionalFormatting>
  <conditionalFormatting sqref="L30">
    <cfRule type="containsText" dxfId="5091" priority="5097" operator="containsText" text="%">
      <formula>NOT(ISERROR(SEARCH("%",L30)))</formula>
    </cfRule>
  </conditionalFormatting>
  <conditionalFormatting sqref="L30">
    <cfRule type="containsText" dxfId="5090" priority="5096" operator="containsText" text="%">
      <formula>NOT(ISERROR(SEARCH("%",L30)))</formula>
    </cfRule>
  </conditionalFormatting>
  <conditionalFormatting sqref="L30">
    <cfRule type="containsText" dxfId="5089" priority="5095" operator="containsText" text="%">
      <formula>NOT(ISERROR(SEARCH("%",L30)))</formula>
    </cfRule>
  </conditionalFormatting>
  <conditionalFormatting sqref="L30">
    <cfRule type="containsText" dxfId="5088" priority="5094" operator="containsText" text="%">
      <formula>NOT(ISERROR(SEARCH("%",L30)))</formula>
    </cfRule>
  </conditionalFormatting>
  <conditionalFormatting sqref="L30">
    <cfRule type="containsText" dxfId="5087" priority="5093" operator="containsText" text="%">
      <formula>NOT(ISERROR(SEARCH("%",L30)))</formula>
    </cfRule>
  </conditionalFormatting>
  <conditionalFormatting sqref="L30">
    <cfRule type="containsText" dxfId="5086" priority="5092" operator="containsText" text="%">
      <formula>NOT(ISERROR(SEARCH("%",L30)))</formula>
    </cfRule>
  </conditionalFormatting>
  <conditionalFormatting sqref="L30">
    <cfRule type="containsText" dxfId="5085" priority="5091" operator="containsText" text="%">
      <formula>NOT(ISERROR(SEARCH("%",L30)))</formula>
    </cfRule>
  </conditionalFormatting>
  <conditionalFormatting sqref="L30">
    <cfRule type="containsText" dxfId="5084" priority="5090" operator="containsText" text="%">
      <formula>NOT(ISERROR(SEARCH("%",L30)))</formula>
    </cfRule>
  </conditionalFormatting>
  <conditionalFormatting sqref="L30">
    <cfRule type="containsText" dxfId="5083" priority="5089" operator="containsText" text="%">
      <formula>NOT(ISERROR(SEARCH("%",L30)))</formula>
    </cfRule>
  </conditionalFormatting>
  <conditionalFormatting sqref="L30">
    <cfRule type="containsText" dxfId="5082" priority="5088" operator="containsText" text="%">
      <formula>NOT(ISERROR(SEARCH("%",L30)))</formula>
    </cfRule>
  </conditionalFormatting>
  <conditionalFormatting sqref="L30">
    <cfRule type="containsText" dxfId="5081" priority="5087" operator="containsText" text="%">
      <formula>NOT(ISERROR(SEARCH("%",L30)))</formula>
    </cfRule>
  </conditionalFormatting>
  <conditionalFormatting sqref="L30">
    <cfRule type="containsText" dxfId="5080" priority="5086" operator="containsText" text="%">
      <formula>NOT(ISERROR(SEARCH("%",L30)))</formula>
    </cfRule>
  </conditionalFormatting>
  <conditionalFormatting sqref="L30">
    <cfRule type="containsText" dxfId="5079" priority="5085" operator="containsText" text="%">
      <formula>NOT(ISERROR(SEARCH("%",L30)))</formula>
    </cfRule>
  </conditionalFormatting>
  <conditionalFormatting sqref="L30">
    <cfRule type="containsText" dxfId="5078" priority="5084" operator="containsText" text="%">
      <formula>NOT(ISERROR(SEARCH("%",L30)))</formula>
    </cfRule>
  </conditionalFormatting>
  <conditionalFormatting sqref="L30">
    <cfRule type="containsText" dxfId="5077" priority="5083" operator="containsText" text="%">
      <formula>NOT(ISERROR(SEARCH("%",L30)))</formula>
    </cfRule>
  </conditionalFormatting>
  <conditionalFormatting sqref="L30">
    <cfRule type="containsText" dxfId="5076" priority="5082" operator="containsText" text="%">
      <formula>NOT(ISERROR(SEARCH("%",L30)))</formula>
    </cfRule>
  </conditionalFormatting>
  <conditionalFormatting sqref="L30">
    <cfRule type="containsText" dxfId="5075" priority="5081" operator="containsText" text="%">
      <formula>NOT(ISERROR(SEARCH("%",L30)))</formula>
    </cfRule>
  </conditionalFormatting>
  <conditionalFormatting sqref="L30">
    <cfRule type="containsText" dxfId="5074" priority="5080" operator="containsText" text="%">
      <formula>NOT(ISERROR(SEARCH("%",L30)))</formula>
    </cfRule>
  </conditionalFormatting>
  <conditionalFormatting sqref="L30">
    <cfRule type="containsText" dxfId="5073" priority="5079" operator="containsText" text="%">
      <formula>NOT(ISERROR(SEARCH("%",L30)))</formula>
    </cfRule>
  </conditionalFormatting>
  <conditionalFormatting sqref="L30">
    <cfRule type="containsText" dxfId="5072" priority="5078" operator="containsText" text="%">
      <formula>NOT(ISERROR(SEARCH("%",L30)))</formula>
    </cfRule>
  </conditionalFormatting>
  <conditionalFormatting sqref="L30">
    <cfRule type="containsText" dxfId="5071" priority="5077" operator="containsText" text="%">
      <formula>NOT(ISERROR(SEARCH("%",L30)))</formula>
    </cfRule>
  </conditionalFormatting>
  <conditionalFormatting sqref="L30">
    <cfRule type="containsText" dxfId="5070" priority="5076" operator="containsText" text="%">
      <formula>NOT(ISERROR(SEARCH("%",L30)))</formula>
    </cfRule>
  </conditionalFormatting>
  <conditionalFormatting sqref="L30">
    <cfRule type="containsText" dxfId="5069" priority="5075" operator="containsText" text="%">
      <formula>NOT(ISERROR(SEARCH("%",L30)))</formula>
    </cfRule>
  </conditionalFormatting>
  <conditionalFormatting sqref="L30">
    <cfRule type="containsText" dxfId="5068" priority="5074" operator="containsText" text="%">
      <formula>NOT(ISERROR(SEARCH("%",L30)))</formula>
    </cfRule>
  </conditionalFormatting>
  <conditionalFormatting sqref="K31:K32">
    <cfRule type="containsText" dxfId="5067" priority="5058" operator="containsText" text="%">
      <formula>NOT(ISERROR(SEARCH("%",K31)))</formula>
    </cfRule>
  </conditionalFormatting>
  <conditionalFormatting sqref="K31:K32">
    <cfRule type="containsText" dxfId="5066" priority="5057" operator="containsText" text="%">
      <formula>NOT(ISERROR(SEARCH("%",K31)))</formula>
    </cfRule>
  </conditionalFormatting>
  <conditionalFormatting sqref="K31:K32">
    <cfRule type="containsText" dxfId="5065" priority="5053" operator="containsText" text="%">
      <formula>NOT(ISERROR(SEARCH("%",K31)))</formula>
    </cfRule>
  </conditionalFormatting>
  <conditionalFormatting sqref="K31:K32">
    <cfRule type="containsText" dxfId="5064" priority="5073" operator="containsText" text="%">
      <formula>NOT(ISERROR(SEARCH("%",K31)))</formula>
    </cfRule>
  </conditionalFormatting>
  <conditionalFormatting sqref="K31">
    <cfRule type="containsText" dxfId="5063" priority="5072" operator="containsText" text="%">
      <formula>NOT(ISERROR(SEARCH("%",K31)))</formula>
    </cfRule>
  </conditionalFormatting>
  <conditionalFormatting sqref="K31">
    <cfRule type="containsText" dxfId="5062" priority="5071" operator="containsText" text="%">
      <formula>NOT(ISERROR(SEARCH("%",K31)))</formula>
    </cfRule>
  </conditionalFormatting>
  <conditionalFormatting sqref="K31:K32">
    <cfRule type="containsText" dxfId="5061" priority="5051" operator="containsText" text="%">
      <formula>NOT(ISERROR(SEARCH("%",K31)))</formula>
    </cfRule>
  </conditionalFormatting>
  <conditionalFormatting sqref="K31:K32">
    <cfRule type="containsText" dxfId="5060" priority="5070" operator="containsText" text="%">
      <formula>NOT(ISERROR(SEARCH("%",K31)))</formula>
    </cfRule>
  </conditionalFormatting>
  <conditionalFormatting sqref="K31:K32">
    <cfRule type="containsText" dxfId="5059" priority="5069" operator="containsText" text="%">
      <formula>NOT(ISERROR(SEARCH("%",K31)))</formula>
    </cfRule>
  </conditionalFormatting>
  <conditionalFormatting sqref="K31:K32">
    <cfRule type="containsText" dxfId="5058" priority="5068" operator="containsText" text="%">
      <formula>NOT(ISERROR(SEARCH("%",K31)))</formula>
    </cfRule>
  </conditionalFormatting>
  <conditionalFormatting sqref="K31:K32">
    <cfRule type="containsText" dxfId="5057" priority="5067" operator="containsText" text="%">
      <formula>NOT(ISERROR(SEARCH("%",K31)))</formula>
    </cfRule>
  </conditionalFormatting>
  <conditionalFormatting sqref="K31:K32">
    <cfRule type="containsText" dxfId="5056" priority="5066" operator="containsText" text="%">
      <formula>NOT(ISERROR(SEARCH("%",K31)))</formula>
    </cfRule>
  </conditionalFormatting>
  <conditionalFormatting sqref="K31:K32">
    <cfRule type="containsText" dxfId="5055" priority="5065" operator="containsText" text="%">
      <formula>NOT(ISERROR(SEARCH("%",K31)))</formula>
    </cfRule>
  </conditionalFormatting>
  <conditionalFormatting sqref="K31:K32">
    <cfRule type="containsText" dxfId="5054" priority="5064" operator="containsText" text="%">
      <formula>NOT(ISERROR(SEARCH("%",K31)))</formula>
    </cfRule>
  </conditionalFormatting>
  <conditionalFormatting sqref="K31:K32">
    <cfRule type="containsText" dxfId="5053" priority="5063" operator="containsText" text="%">
      <formula>NOT(ISERROR(SEARCH("%",K31)))</formula>
    </cfRule>
  </conditionalFormatting>
  <conditionalFormatting sqref="K31:K32">
    <cfRule type="containsText" dxfId="5052" priority="5062" operator="containsText" text="%">
      <formula>NOT(ISERROR(SEARCH("%",K31)))</formula>
    </cfRule>
  </conditionalFormatting>
  <conditionalFormatting sqref="K31:K32">
    <cfRule type="containsText" dxfId="5051" priority="5061" operator="containsText" text="%">
      <formula>NOT(ISERROR(SEARCH("%",K31)))</formula>
    </cfRule>
  </conditionalFormatting>
  <conditionalFormatting sqref="K31:K32">
    <cfRule type="containsText" dxfId="5050" priority="5060" operator="containsText" text="%">
      <formula>NOT(ISERROR(SEARCH("%",K31)))</formula>
    </cfRule>
  </conditionalFormatting>
  <conditionalFormatting sqref="K31:K32">
    <cfRule type="containsText" dxfId="5049" priority="5059" operator="containsText" text="%">
      <formula>NOT(ISERROR(SEARCH("%",K31)))</formula>
    </cfRule>
  </conditionalFormatting>
  <conditionalFormatting sqref="K31:K32">
    <cfRule type="containsText" dxfId="5048" priority="5056" operator="containsText" text="%">
      <formula>NOT(ISERROR(SEARCH("%",K31)))</formula>
    </cfRule>
  </conditionalFormatting>
  <conditionalFormatting sqref="K31:K32">
    <cfRule type="containsText" dxfId="5047" priority="5055" operator="containsText" text="%">
      <formula>NOT(ISERROR(SEARCH("%",K31)))</formula>
    </cfRule>
  </conditionalFormatting>
  <conditionalFormatting sqref="K31:K32">
    <cfRule type="containsText" dxfId="5046" priority="5054" operator="containsText" text="%">
      <formula>NOT(ISERROR(SEARCH("%",K31)))</formula>
    </cfRule>
  </conditionalFormatting>
  <conditionalFormatting sqref="K31:K32">
    <cfRule type="containsText" dxfId="5045" priority="5052" operator="containsText" text="%">
      <formula>NOT(ISERROR(SEARCH("%",K31)))</formula>
    </cfRule>
  </conditionalFormatting>
  <conditionalFormatting sqref="K31:K32">
    <cfRule type="containsText" dxfId="5044" priority="5050" operator="containsText" text="%">
      <formula>NOT(ISERROR(SEARCH("%",K31)))</formula>
    </cfRule>
  </conditionalFormatting>
  <conditionalFormatting sqref="K31:K32">
    <cfRule type="containsText" dxfId="5043" priority="5049" operator="containsText" text="%">
      <formula>NOT(ISERROR(SEARCH("%",K31)))</formula>
    </cfRule>
  </conditionalFormatting>
  <conditionalFormatting sqref="K31:K32">
    <cfRule type="containsText" dxfId="5042" priority="5048" operator="containsText" text="%">
      <formula>NOT(ISERROR(SEARCH("%",K31)))</formula>
    </cfRule>
  </conditionalFormatting>
  <conditionalFormatting sqref="K31:K32">
    <cfRule type="containsText" dxfId="5041" priority="5047" operator="containsText" text="%">
      <formula>NOT(ISERROR(SEARCH("%",K31)))</formula>
    </cfRule>
  </conditionalFormatting>
  <conditionalFormatting sqref="K31:K32">
    <cfRule type="containsText" dxfId="5040" priority="5046" operator="containsText" text="%">
      <formula>NOT(ISERROR(SEARCH("%",K31)))</formula>
    </cfRule>
  </conditionalFormatting>
  <conditionalFormatting sqref="K31:K32">
    <cfRule type="containsText" dxfId="5039" priority="5045" operator="containsText" text="%">
      <formula>NOT(ISERROR(SEARCH("%",K31)))</formula>
    </cfRule>
  </conditionalFormatting>
  <conditionalFormatting sqref="K31:K32">
    <cfRule type="containsText" dxfId="5038" priority="5044" operator="containsText" text="%">
      <formula>NOT(ISERROR(SEARCH("%",K31)))</formula>
    </cfRule>
  </conditionalFormatting>
  <conditionalFormatting sqref="K31:K32">
    <cfRule type="containsText" dxfId="5037" priority="5043" operator="containsText" text="%">
      <formula>NOT(ISERROR(SEARCH("%",K31)))</formula>
    </cfRule>
  </conditionalFormatting>
  <conditionalFormatting sqref="K31:K32">
    <cfRule type="containsText" dxfId="5036" priority="5042" operator="containsText" text="%">
      <formula>NOT(ISERROR(SEARCH("%",K31)))</formula>
    </cfRule>
  </conditionalFormatting>
  <conditionalFormatting sqref="K31:K32">
    <cfRule type="containsText" dxfId="5035" priority="5041" operator="containsText" text="%">
      <formula>NOT(ISERROR(SEARCH("%",K31)))</formula>
    </cfRule>
  </conditionalFormatting>
  <conditionalFormatting sqref="K32">
    <cfRule type="containsText" dxfId="5034" priority="5040" operator="containsText" text="%">
      <formula>NOT(ISERROR(SEARCH("%",K32)))</formula>
    </cfRule>
  </conditionalFormatting>
  <conditionalFormatting sqref="K32">
    <cfRule type="containsText" dxfId="5033" priority="5039" operator="containsText" text="%">
      <formula>NOT(ISERROR(SEARCH("%",K32)))</formula>
    </cfRule>
  </conditionalFormatting>
  <conditionalFormatting sqref="K32">
    <cfRule type="containsText" dxfId="5032" priority="5038" operator="containsText" text="%">
      <formula>NOT(ISERROR(SEARCH("%",K32)))</formula>
    </cfRule>
  </conditionalFormatting>
  <conditionalFormatting sqref="K32">
    <cfRule type="containsText" dxfId="5031" priority="5037" operator="containsText" text="%">
      <formula>NOT(ISERROR(SEARCH("%",K32)))</formula>
    </cfRule>
  </conditionalFormatting>
  <conditionalFormatting sqref="K31:K32">
    <cfRule type="containsText" dxfId="5030" priority="5036" operator="containsText" text="%">
      <formula>NOT(ISERROR(SEARCH("%",K31)))</formula>
    </cfRule>
  </conditionalFormatting>
  <conditionalFormatting sqref="K31:K32">
    <cfRule type="containsText" dxfId="5029" priority="5035" operator="containsText" text="%">
      <formula>NOT(ISERROR(SEARCH("%",K31)))</formula>
    </cfRule>
  </conditionalFormatting>
  <conditionalFormatting sqref="K31:K32">
    <cfRule type="containsText" dxfId="5028" priority="5034" operator="containsText" text="%">
      <formula>NOT(ISERROR(SEARCH("%",K31)))</formula>
    </cfRule>
  </conditionalFormatting>
  <conditionalFormatting sqref="K31:K32">
    <cfRule type="containsText" dxfId="5027" priority="5033" operator="containsText" text="%">
      <formula>NOT(ISERROR(SEARCH("%",K31)))</formula>
    </cfRule>
  </conditionalFormatting>
  <conditionalFormatting sqref="K31:K32">
    <cfRule type="containsText" dxfId="5026" priority="5032" operator="containsText" text="%">
      <formula>NOT(ISERROR(SEARCH("%",K31)))</formula>
    </cfRule>
  </conditionalFormatting>
  <conditionalFormatting sqref="K31:K32">
    <cfRule type="containsText" dxfId="5025" priority="5031" operator="containsText" text="%">
      <formula>NOT(ISERROR(SEARCH("%",K31)))</formula>
    </cfRule>
  </conditionalFormatting>
  <conditionalFormatting sqref="K31:K32">
    <cfRule type="containsText" dxfId="5024" priority="5030" operator="containsText" text="%">
      <formula>NOT(ISERROR(SEARCH("%",K31)))</formula>
    </cfRule>
  </conditionalFormatting>
  <conditionalFormatting sqref="K31:K32">
    <cfRule type="containsText" dxfId="5023" priority="5029" operator="containsText" text="%">
      <formula>NOT(ISERROR(SEARCH("%",K31)))</formula>
    </cfRule>
  </conditionalFormatting>
  <conditionalFormatting sqref="K31:K32">
    <cfRule type="containsText" dxfId="5022" priority="5028" operator="containsText" text="%">
      <formula>NOT(ISERROR(SEARCH("%",K31)))</formula>
    </cfRule>
  </conditionalFormatting>
  <conditionalFormatting sqref="K31:K32">
    <cfRule type="containsText" dxfId="5021" priority="5027" operator="containsText" text="%">
      <formula>NOT(ISERROR(SEARCH("%",K31)))</formula>
    </cfRule>
  </conditionalFormatting>
  <conditionalFormatting sqref="K32">
    <cfRule type="containsText" dxfId="5020" priority="5026" operator="containsText" text="%">
      <formula>NOT(ISERROR(SEARCH("%",K32)))</formula>
    </cfRule>
  </conditionalFormatting>
  <conditionalFormatting sqref="K32">
    <cfRule type="containsText" dxfId="5019" priority="5025" operator="containsText" text="%">
      <formula>NOT(ISERROR(SEARCH("%",K32)))</formula>
    </cfRule>
  </conditionalFormatting>
  <conditionalFormatting sqref="K32">
    <cfRule type="containsText" dxfId="5018" priority="5024" operator="containsText" text="%">
      <formula>NOT(ISERROR(SEARCH("%",K32)))</formula>
    </cfRule>
  </conditionalFormatting>
  <conditionalFormatting sqref="K32">
    <cfRule type="containsText" dxfId="5017" priority="5023" operator="containsText" text="%">
      <formula>NOT(ISERROR(SEARCH("%",K32)))</formula>
    </cfRule>
  </conditionalFormatting>
  <conditionalFormatting sqref="K31:K32">
    <cfRule type="containsText" dxfId="5016" priority="5022" operator="containsText" text="%">
      <formula>NOT(ISERROR(SEARCH("%",K31)))</formula>
    </cfRule>
  </conditionalFormatting>
  <conditionalFormatting sqref="K31:K32">
    <cfRule type="containsText" dxfId="5015" priority="5021" operator="containsText" text="%">
      <formula>NOT(ISERROR(SEARCH("%",K31)))</formula>
    </cfRule>
  </conditionalFormatting>
  <conditionalFormatting sqref="K31:K32">
    <cfRule type="containsText" dxfId="5014" priority="5020" operator="containsText" text="%">
      <formula>NOT(ISERROR(SEARCH("%",K31)))</formula>
    </cfRule>
  </conditionalFormatting>
  <conditionalFormatting sqref="K31:K32">
    <cfRule type="containsText" dxfId="5013" priority="5019" operator="containsText" text="%">
      <formula>NOT(ISERROR(SEARCH("%",K31)))</formula>
    </cfRule>
  </conditionalFormatting>
  <conditionalFormatting sqref="K31:K32">
    <cfRule type="containsText" dxfId="5012" priority="5018" operator="containsText" text="%">
      <formula>NOT(ISERROR(SEARCH("%",K31)))</formula>
    </cfRule>
  </conditionalFormatting>
  <conditionalFormatting sqref="K31:K32">
    <cfRule type="containsText" dxfId="5011" priority="5017" operator="containsText" text="%">
      <formula>NOT(ISERROR(SEARCH("%",K31)))</formula>
    </cfRule>
  </conditionalFormatting>
  <conditionalFormatting sqref="K32">
    <cfRule type="containsText" dxfId="5010" priority="5016" operator="containsText" text="%">
      <formula>NOT(ISERROR(SEARCH("%",K32)))</formula>
    </cfRule>
  </conditionalFormatting>
  <conditionalFormatting sqref="K32">
    <cfRule type="containsText" dxfId="5009" priority="5015" operator="containsText" text="%">
      <formula>NOT(ISERROR(SEARCH("%",K32)))</formula>
    </cfRule>
  </conditionalFormatting>
  <conditionalFormatting sqref="K32">
    <cfRule type="containsText" dxfId="5008" priority="5014" operator="containsText" text="%">
      <formula>NOT(ISERROR(SEARCH("%",K32)))</formula>
    </cfRule>
  </conditionalFormatting>
  <conditionalFormatting sqref="K32">
    <cfRule type="containsText" dxfId="5007" priority="5013" operator="containsText" text="%">
      <formula>NOT(ISERROR(SEARCH("%",K32)))</formula>
    </cfRule>
  </conditionalFormatting>
  <conditionalFormatting sqref="K31:K32">
    <cfRule type="containsText" dxfId="5006" priority="4997" operator="containsText" text="%">
      <formula>NOT(ISERROR(SEARCH("%",K31)))</formula>
    </cfRule>
  </conditionalFormatting>
  <conditionalFormatting sqref="K31:K32">
    <cfRule type="containsText" dxfId="5005" priority="4996" operator="containsText" text="%">
      <formula>NOT(ISERROR(SEARCH("%",K31)))</formula>
    </cfRule>
  </conditionalFormatting>
  <conditionalFormatting sqref="K31:K32">
    <cfRule type="containsText" dxfId="5004" priority="4992" operator="containsText" text="%">
      <formula>NOT(ISERROR(SEARCH("%",K31)))</formula>
    </cfRule>
  </conditionalFormatting>
  <conditionalFormatting sqref="K31:K32">
    <cfRule type="containsText" dxfId="5003" priority="5012" operator="containsText" text="%">
      <formula>NOT(ISERROR(SEARCH("%",K31)))</formula>
    </cfRule>
  </conditionalFormatting>
  <conditionalFormatting sqref="K31">
    <cfRule type="containsText" dxfId="5002" priority="5011" operator="containsText" text="%">
      <formula>NOT(ISERROR(SEARCH("%",K31)))</formula>
    </cfRule>
  </conditionalFormatting>
  <conditionalFormatting sqref="K31">
    <cfRule type="containsText" dxfId="5001" priority="5010" operator="containsText" text="%">
      <formula>NOT(ISERROR(SEARCH("%",K31)))</formula>
    </cfRule>
  </conditionalFormatting>
  <conditionalFormatting sqref="K31:K32">
    <cfRule type="containsText" dxfId="5000" priority="4990" operator="containsText" text="%">
      <formula>NOT(ISERROR(SEARCH("%",K31)))</formula>
    </cfRule>
  </conditionalFormatting>
  <conditionalFormatting sqref="K31:K32">
    <cfRule type="containsText" dxfId="4999" priority="5009" operator="containsText" text="%">
      <formula>NOT(ISERROR(SEARCH("%",K31)))</formula>
    </cfRule>
  </conditionalFormatting>
  <conditionalFormatting sqref="K31:K32">
    <cfRule type="containsText" dxfId="4998" priority="5008" operator="containsText" text="%">
      <formula>NOT(ISERROR(SEARCH("%",K31)))</formula>
    </cfRule>
  </conditionalFormatting>
  <conditionalFormatting sqref="K31:K32">
    <cfRule type="containsText" dxfId="4997" priority="5007" operator="containsText" text="%">
      <formula>NOT(ISERROR(SEARCH("%",K31)))</formula>
    </cfRule>
  </conditionalFormatting>
  <conditionalFormatting sqref="K31:K32">
    <cfRule type="containsText" dxfId="4996" priority="5006" operator="containsText" text="%">
      <formula>NOT(ISERROR(SEARCH("%",K31)))</formula>
    </cfRule>
  </conditionalFormatting>
  <conditionalFormatting sqref="K31:K32">
    <cfRule type="containsText" dxfId="4995" priority="5005" operator="containsText" text="%">
      <formula>NOT(ISERROR(SEARCH("%",K31)))</formula>
    </cfRule>
  </conditionalFormatting>
  <conditionalFormatting sqref="K31:K32">
    <cfRule type="containsText" dxfId="4994" priority="5004" operator="containsText" text="%">
      <formula>NOT(ISERROR(SEARCH("%",K31)))</formula>
    </cfRule>
  </conditionalFormatting>
  <conditionalFormatting sqref="K31:K32">
    <cfRule type="containsText" dxfId="4993" priority="5003" operator="containsText" text="%">
      <formula>NOT(ISERROR(SEARCH("%",K31)))</formula>
    </cfRule>
  </conditionalFormatting>
  <conditionalFormatting sqref="K31:K32">
    <cfRule type="containsText" dxfId="4992" priority="5002" operator="containsText" text="%">
      <formula>NOT(ISERROR(SEARCH("%",K31)))</formula>
    </cfRule>
  </conditionalFormatting>
  <conditionalFormatting sqref="K31:K32">
    <cfRule type="containsText" dxfId="4991" priority="5001" operator="containsText" text="%">
      <formula>NOT(ISERROR(SEARCH("%",K31)))</formula>
    </cfRule>
  </conditionalFormatting>
  <conditionalFormatting sqref="K31:K32">
    <cfRule type="containsText" dxfId="4990" priority="5000" operator="containsText" text="%">
      <formula>NOT(ISERROR(SEARCH("%",K31)))</formula>
    </cfRule>
  </conditionalFormatting>
  <conditionalFormatting sqref="K31:K32">
    <cfRule type="containsText" dxfId="4989" priority="4999" operator="containsText" text="%">
      <formula>NOT(ISERROR(SEARCH("%",K31)))</formula>
    </cfRule>
  </conditionalFormatting>
  <conditionalFormatting sqref="K31:K32">
    <cfRule type="containsText" dxfId="4988" priority="4998" operator="containsText" text="%">
      <formula>NOT(ISERROR(SEARCH("%",K31)))</formula>
    </cfRule>
  </conditionalFormatting>
  <conditionalFormatting sqref="K31:K32">
    <cfRule type="containsText" dxfId="4987" priority="4995" operator="containsText" text="%">
      <formula>NOT(ISERROR(SEARCH("%",K31)))</formula>
    </cfRule>
  </conditionalFormatting>
  <conditionalFormatting sqref="K31:K32">
    <cfRule type="containsText" dxfId="4986" priority="4994" operator="containsText" text="%">
      <formula>NOT(ISERROR(SEARCH("%",K31)))</formula>
    </cfRule>
  </conditionalFormatting>
  <conditionalFormatting sqref="K31:K32">
    <cfRule type="containsText" dxfId="4985" priority="4993" operator="containsText" text="%">
      <formula>NOT(ISERROR(SEARCH("%",K31)))</formula>
    </cfRule>
  </conditionalFormatting>
  <conditionalFormatting sqref="K31:K32">
    <cfRule type="containsText" dxfId="4984" priority="4991" operator="containsText" text="%">
      <formula>NOT(ISERROR(SEARCH("%",K31)))</formula>
    </cfRule>
  </conditionalFormatting>
  <conditionalFormatting sqref="K31:K32">
    <cfRule type="containsText" dxfId="4983" priority="4989" operator="containsText" text="%">
      <formula>NOT(ISERROR(SEARCH("%",K31)))</formula>
    </cfRule>
  </conditionalFormatting>
  <conditionalFormatting sqref="K31:K32">
    <cfRule type="containsText" dxfId="4982" priority="4988" operator="containsText" text="%">
      <formula>NOT(ISERROR(SEARCH("%",K31)))</formula>
    </cfRule>
  </conditionalFormatting>
  <conditionalFormatting sqref="K31:K32">
    <cfRule type="containsText" dxfId="4981" priority="4987" operator="containsText" text="%">
      <formula>NOT(ISERROR(SEARCH("%",K31)))</formula>
    </cfRule>
  </conditionalFormatting>
  <conditionalFormatting sqref="K31:K32">
    <cfRule type="containsText" dxfId="4980" priority="4986" operator="containsText" text="%">
      <formula>NOT(ISERROR(SEARCH("%",K31)))</formula>
    </cfRule>
  </conditionalFormatting>
  <conditionalFormatting sqref="K31:K32">
    <cfRule type="containsText" dxfId="4979" priority="4985" operator="containsText" text="%">
      <formula>NOT(ISERROR(SEARCH("%",K31)))</formula>
    </cfRule>
  </conditionalFormatting>
  <conditionalFormatting sqref="K31:K32">
    <cfRule type="containsText" dxfId="4978" priority="4984" operator="containsText" text="%">
      <formula>NOT(ISERROR(SEARCH("%",K31)))</formula>
    </cfRule>
  </conditionalFormatting>
  <conditionalFormatting sqref="K31:K32">
    <cfRule type="containsText" dxfId="4977" priority="4983" operator="containsText" text="%">
      <formula>NOT(ISERROR(SEARCH("%",K31)))</formula>
    </cfRule>
  </conditionalFormatting>
  <conditionalFormatting sqref="K31:K32">
    <cfRule type="containsText" dxfId="4976" priority="4982" operator="containsText" text="%">
      <formula>NOT(ISERROR(SEARCH("%",K31)))</formula>
    </cfRule>
  </conditionalFormatting>
  <conditionalFormatting sqref="K31:K32">
    <cfRule type="containsText" dxfId="4975" priority="4981" operator="containsText" text="%">
      <formula>NOT(ISERROR(SEARCH("%",K31)))</formula>
    </cfRule>
  </conditionalFormatting>
  <conditionalFormatting sqref="K31:K32">
    <cfRule type="containsText" dxfId="4974" priority="4980" operator="containsText" text="%">
      <formula>NOT(ISERROR(SEARCH("%",K31)))</formula>
    </cfRule>
  </conditionalFormatting>
  <conditionalFormatting sqref="K32">
    <cfRule type="containsText" dxfId="4973" priority="4979" operator="containsText" text="%">
      <formula>NOT(ISERROR(SEARCH("%",K32)))</formula>
    </cfRule>
  </conditionalFormatting>
  <conditionalFormatting sqref="K32">
    <cfRule type="containsText" dxfId="4972" priority="4978" operator="containsText" text="%">
      <formula>NOT(ISERROR(SEARCH("%",K32)))</formula>
    </cfRule>
  </conditionalFormatting>
  <conditionalFormatting sqref="K32">
    <cfRule type="containsText" dxfId="4971" priority="4977" operator="containsText" text="%">
      <formula>NOT(ISERROR(SEARCH("%",K32)))</formula>
    </cfRule>
  </conditionalFormatting>
  <conditionalFormatting sqref="K32">
    <cfRule type="containsText" dxfId="4970" priority="4976" operator="containsText" text="%">
      <formula>NOT(ISERROR(SEARCH("%",K32)))</formula>
    </cfRule>
  </conditionalFormatting>
  <conditionalFormatting sqref="K31:K32">
    <cfRule type="containsText" dxfId="4969" priority="4975" operator="containsText" text="%">
      <formula>NOT(ISERROR(SEARCH("%",K31)))</formula>
    </cfRule>
  </conditionalFormatting>
  <conditionalFormatting sqref="K31:K32">
    <cfRule type="containsText" dxfId="4968" priority="4974" operator="containsText" text="%">
      <formula>NOT(ISERROR(SEARCH("%",K31)))</formula>
    </cfRule>
  </conditionalFormatting>
  <conditionalFormatting sqref="K31:K32">
    <cfRule type="containsText" dxfId="4967" priority="4973" operator="containsText" text="%">
      <formula>NOT(ISERROR(SEARCH("%",K31)))</formula>
    </cfRule>
  </conditionalFormatting>
  <conditionalFormatting sqref="K31:K32">
    <cfRule type="containsText" dxfId="4966" priority="4972" operator="containsText" text="%">
      <formula>NOT(ISERROR(SEARCH("%",K31)))</formula>
    </cfRule>
  </conditionalFormatting>
  <conditionalFormatting sqref="K31:K32">
    <cfRule type="containsText" dxfId="4965" priority="4971" operator="containsText" text="%">
      <formula>NOT(ISERROR(SEARCH("%",K31)))</formula>
    </cfRule>
  </conditionalFormatting>
  <conditionalFormatting sqref="K31:K32">
    <cfRule type="containsText" dxfId="4964" priority="4970" operator="containsText" text="%">
      <formula>NOT(ISERROR(SEARCH("%",K31)))</formula>
    </cfRule>
  </conditionalFormatting>
  <conditionalFormatting sqref="K31:K32">
    <cfRule type="containsText" dxfId="4963" priority="4969" operator="containsText" text="%">
      <formula>NOT(ISERROR(SEARCH("%",K31)))</formula>
    </cfRule>
  </conditionalFormatting>
  <conditionalFormatting sqref="K31:K32">
    <cfRule type="containsText" dxfId="4962" priority="4968" operator="containsText" text="%">
      <formula>NOT(ISERROR(SEARCH("%",K31)))</formula>
    </cfRule>
  </conditionalFormatting>
  <conditionalFormatting sqref="K31:K32">
    <cfRule type="containsText" dxfId="4961" priority="4967" operator="containsText" text="%">
      <formula>NOT(ISERROR(SEARCH("%",K31)))</formula>
    </cfRule>
  </conditionalFormatting>
  <conditionalFormatting sqref="K31:K32">
    <cfRule type="containsText" dxfId="4960" priority="4966" operator="containsText" text="%">
      <formula>NOT(ISERROR(SEARCH("%",K31)))</formula>
    </cfRule>
  </conditionalFormatting>
  <conditionalFormatting sqref="K32">
    <cfRule type="containsText" dxfId="4959" priority="4965" operator="containsText" text="%">
      <formula>NOT(ISERROR(SEARCH("%",K32)))</formula>
    </cfRule>
  </conditionalFormatting>
  <conditionalFormatting sqref="K32">
    <cfRule type="containsText" dxfId="4958" priority="4964" operator="containsText" text="%">
      <formula>NOT(ISERROR(SEARCH("%",K32)))</formula>
    </cfRule>
  </conditionalFormatting>
  <conditionalFormatting sqref="K32">
    <cfRule type="containsText" dxfId="4957" priority="4963" operator="containsText" text="%">
      <formula>NOT(ISERROR(SEARCH("%",K32)))</formula>
    </cfRule>
  </conditionalFormatting>
  <conditionalFormatting sqref="K32">
    <cfRule type="containsText" dxfId="4956" priority="4962" operator="containsText" text="%">
      <formula>NOT(ISERROR(SEARCH("%",K32)))</formula>
    </cfRule>
  </conditionalFormatting>
  <conditionalFormatting sqref="K31">
    <cfRule type="containsText" dxfId="4955" priority="4961" operator="containsText" text="%">
      <formula>NOT(ISERROR(SEARCH("%",K31)))</formula>
    </cfRule>
  </conditionalFormatting>
  <conditionalFormatting sqref="K31">
    <cfRule type="containsText" dxfId="4954" priority="4960" operator="containsText" text="%">
      <formula>NOT(ISERROR(SEARCH("%",K31)))</formula>
    </cfRule>
  </conditionalFormatting>
  <conditionalFormatting sqref="K31">
    <cfRule type="containsText" dxfId="4953" priority="4959" operator="containsText" text="%">
      <formula>NOT(ISERROR(SEARCH("%",K31)))</formula>
    </cfRule>
  </conditionalFormatting>
  <conditionalFormatting sqref="K31">
    <cfRule type="containsText" dxfId="4952" priority="4958" operator="containsText" text="%">
      <formula>NOT(ISERROR(SEARCH("%",K31)))</formula>
    </cfRule>
  </conditionalFormatting>
  <conditionalFormatting sqref="K31">
    <cfRule type="containsText" dxfId="4951" priority="4957" operator="containsText" text="%">
      <formula>NOT(ISERROR(SEARCH("%",K31)))</formula>
    </cfRule>
  </conditionalFormatting>
  <conditionalFormatting sqref="K31">
    <cfRule type="containsText" dxfId="4950" priority="4956" operator="containsText" text="%">
      <formula>NOT(ISERROR(SEARCH("%",K31)))</formula>
    </cfRule>
  </conditionalFormatting>
  <conditionalFormatting sqref="K32">
    <cfRule type="containsText" dxfId="4949" priority="4955" operator="containsText" text="%">
      <formula>NOT(ISERROR(SEARCH("%",K32)))</formula>
    </cfRule>
  </conditionalFormatting>
  <conditionalFormatting sqref="K32">
    <cfRule type="containsText" dxfId="4948" priority="4954" operator="containsText" text="%">
      <formula>NOT(ISERROR(SEARCH("%",K32)))</formula>
    </cfRule>
  </conditionalFormatting>
  <conditionalFormatting sqref="K32">
    <cfRule type="containsText" dxfId="4947" priority="4953" operator="containsText" text="%">
      <formula>NOT(ISERROR(SEARCH("%",K32)))</formula>
    </cfRule>
  </conditionalFormatting>
  <conditionalFormatting sqref="K32">
    <cfRule type="containsText" dxfId="4946" priority="4952" operator="containsText" text="%">
      <formula>NOT(ISERROR(SEARCH("%",K32)))</formula>
    </cfRule>
  </conditionalFormatting>
  <conditionalFormatting sqref="K32">
    <cfRule type="containsText" dxfId="4945" priority="4951" operator="containsText" text="%">
      <formula>NOT(ISERROR(SEARCH("%",K32)))</formula>
    </cfRule>
  </conditionalFormatting>
  <conditionalFormatting sqref="K32">
    <cfRule type="containsText" dxfId="4944" priority="4950" operator="containsText" text="%">
      <formula>NOT(ISERROR(SEARCH("%",K32)))</formula>
    </cfRule>
  </conditionalFormatting>
  <conditionalFormatting sqref="K32">
    <cfRule type="containsText" dxfId="4943" priority="4949" operator="containsText" text="%">
      <formula>NOT(ISERROR(SEARCH("%",K32)))</formula>
    </cfRule>
  </conditionalFormatting>
  <conditionalFormatting sqref="K32">
    <cfRule type="containsText" dxfId="4942" priority="4948" operator="containsText" text="%">
      <formula>NOT(ISERROR(SEARCH("%",K32)))</formula>
    </cfRule>
  </conditionalFormatting>
  <conditionalFormatting sqref="K32">
    <cfRule type="containsText" dxfId="4941" priority="4947" operator="containsText" text="%">
      <formula>NOT(ISERROR(SEARCH("%",K32)))</formula>
    </cfRule>
  </conditionalFormatting>
  <conditionalFormatting sqref="K32">
    <cfRule type="containsText" dxfId="4940" priority="4946" operator="containsText" text="%">
      <formula>NOT(ISERROR(SEARCH("%",K32)))</formula>
    </cfRule>
  </conditionalFormatting>
  <conditionalFormatting sqref="K32">
    <cfRule type="containsText" dxfId="4939" priority="4932" operator="containsText" text="%">
      <formula>NOT(ISERROR(SEARCH("%",K32)))</formula>
    </cfRule>
  </conditionalFormatting>
  <conditionalFormatting sqref="K32">
    <cfRule type="containsText" dxfId="4938" priority="4931" operator="containsText" text="%">
      <formula>NOT(ISERROR(SEARCH("%",K32)))</formula>
    </cfRule>
  </conditionalFormatting>
  <conditionalFormatting sqref="K32">
    <cfRule type="containsText" dxfId="4937" priority="4927" operator="containsText" text="%">
      <formula>NOT(ISERROR(SEARCH("%",K32)))</formula>
    </cfRule>
  </conditionalFormatting>
  <conditionalFormatting sqref="K32">
    <cfRule type="containsText" dxfId="4936" priority="4945" operator="containsText" text="%">
      <formula>NOT(ISERROR(SEARCH("%",K32)))</formula>
    </cfRule>
  </conditionalFormatting>
  <conditionalFormatting sqref="K32">
    <cfRule type="containsText" dxfId="4935" priority="4925" operator="containsText" text="%">
      <formula>NOT(ISERROR(SEARCH("%",K32)))</formula>
    </cfRule>
  </conditionalFormatting>
  <conditionalFormatting sqref="K32">
    <cfRule type="containsText" dxfId="4934" priority="4944" operator="containsText" text="%">
      <formula>NOT(ISERROR(SEARCH("%",K32)))</formula>
    </cfRule>
  </conditionalFormatting>
  <conditionalFormatting sqref="K32">
    <cfRule type="containsText" dxfId="4933" priority="4943" operator="containsText" text="%">
      <formula>NOT(ISERROR(SEARCH("%",K32)))</formula>
    </cfRule>
  </conditionalFormatting>
  <conditionalFormatting sqref="K32">
    <cfRule type="containsText" dxfId="4932" priority="4942" operator="containsText" text="%">
      <formula>NOT(ISERROR(SEARCH("%",K32)))</formula>
    </cfRule>
  </conditionalFormatting>
  <conditionalFormatting sqref="K32">
    <cfRule type="containsText" dxfId="4931" priority="4941" operator="containsText" text="%">
      <formula>NOT(ISERROR(SEARCH("%",K32)))</formula>
    </cfRule>
  </conditionalFormatting>
  <conditionalFormatting sqref="K32">
    <cfRule type="containsText" dxfId="4930" priority="4940" operator="containsText" text="%">
      <formula>NOT(ISERROR(SEARCH("%",K32)))</formula>
    </cfRule>
  </conditionalFormatting>
  <conditionalFormatting sqref="K32">
    <cfRule type="containsText" dxfId="4929" priority="4939" operator="containsText" text="%">
      <formula>NOT(ISERROR(SEARCH("%",K32)))</formula>
    </cfRule>
  </conditionalFormatting>
  <conditionalFormatting sqref="K32">
    <cfRule type="containsText" dxfId="4928" priority="4938" operator="containsText" text="%">
      <formula>NOT(ISERROR(SEARCH("%",K32)))</formula>
    </cfRule>
  </conditionalFormatting>
  <conditionalFormatting sqref="K32">
    <cfRule type="containsText" dxfId="4927" priority="4937" operator="containsText" text="%">
      <formula>NOT(ISERROR(SEARCH("%",K32)))</formula>
    </cfRule>
  </conditionalFormatting>
  <conditionalFormatting sqref="K32">
    <cfRule type="containsText" dxfId="4926" priority="4936" operator="containsText" text="%">
      <formula>NOT(ISERROR(SEARCH("%",K32)))</formula>
    </cfRule>
  </conditionalFormatting>
  <conditionalFormatting sqref="K32">
    <cfRule type="containsText" dxfId="4925" priority="4935" operator="containsText" text="%">
      <formula>NOT(ISERROR(SEARCH("%",K32)))</formula>
    </cfRule>
  </conditionalFormatting>
  <conditionalFormatting sqref="K32">
    <cfRule type="containsText" dxfId="4924" priority="4934" operator="containsText" text="%">
      <formula>NOT(ISERROR(SEARCH("%",K32)))</formula>
    </cfRule>
  </conditionalFormatting>
  <conditionalFormatting sqref="K32">
    <cfRule type="containsText" dxfId="4923" priority="4933" operator="containsText" text="%">
      <formula>NOT(ISERROR(SEARCH("%",K32)))</formula>
    </cfRule>
  </conditionalFormatting>
  <conditionalFormatting sqref="K32">
    <cfRule type="containsText" dxfId="4922" priority="4930" operator="containsText" text="%">
      <formula>NOT(ISERROR(SEARCH("%",K32)))</formula>
    </cfRule>
  </conditionalFormatting>
  <conditionalFormatting sqref="K32">
    <cfRule type="containsText" dxfId="4921" priority="4929" operator="containsText" text="%">
      <formula>NOT(ISERROR(SEARCH("%",K32)))</formula>
    </cfRule>
  </conditionalFormatting>
  <conditionalFormatting sqref="K32">
    <cfRule type="containsText" dxfId="4920" priority="4928" operator="containsText" text="%">
      <formula>NOT(ISERROR(SEARCH("%",K32)))</formula>
    </cfRule>
  </conditionalFormatting>
  <conditionalFormatting sqref="K32">
    <cfRule type="containsText" dxfId="4919" priority="4926" operator="containsText" text="%">
      <formula>NOT(ISERROR(SEARCH("%",K32)))</formula>
    </cfRule>
  </conditionalFormatting>
  <conditionalFormatting sqref="K32">
    <cfRule type="containsText" dxfId="4918" priority="4924" operator="containsText" text="%">
      <formula>NOT(ISERROR(SEARCH("%",K32)))</formula>
    </cfRule>
  </conditionalFormatting>
  <conditionalFormatting sqref="K32">
    <cfRule type="containsText" dxfId="4917" priority="4923" operator="containsText" text="%">
      <formula>NOT(ISERROR(SEARCH("%",K32)))</formula>
    </cfRule>
  </conditionalFormatting>
  <conditionalFormatting sqref="K32">
    <cfRule type="containsText" dxfId="4916" priority="4922" operator="containsText" text="%">
      <formula>NOT(ISERROR(SEARCH("%",K32)))</formula>
    </cfRule>
  </conditionalFormatting>
  <conditionalFormatting sqref="K32">
    <cfRule type="containsText" dxfId="4915" priority="4921" operator="containsText" text="%">
      <formula>NOT(ISERROR(SEARCH("%",K32)))</formula>
    </cfRule>
  </conditionalFormatting>
  <conditionalFormatting sqref="K32">
    <cfRule type="containsText" dxfId="4914" priority="4920" operator="containsText" text="%">
      <formula>NOT(ISERROR(SEARCH("%",K32)))</formula>
    </cfRule>
  </conditionalFormatting>
  <conditionalFormatting sqref="K32">
    <cfRule type="containsText" dxfId="4913" priority="4919" operator="containsText" text="%">
      <formula>NOT(ISERROR(SEARCH("%",K32)))</formula>
    </cfRule>
  </conditionalFormatting>
  <conditionalFormatting sqref="K32">
    <cfRule type="containsText" dxfId="4912" priority="4918" operator="containsText" text="%">
      <formula>NOT(ISERROR(SEARCH("%",K32)))</formula>
    </cfRule>
  </conditionalFormatting>
  <conditionalFormatting sqref="K32">
    <cfRule type="containsText" dxfId="4911" priority="4917" operator="containsText" text="%">
      <formula>NOT(ISERROR(SEARCH("%",K32)))</formula>
    </cfRule>
  </conditionalFormatting>
  <conditionalFormatting sqref="K32">
    <cfRule type="containsText" dxfId="4910" priority="4916" operator="containsText" text="%">
      <formula>NOT(ISERROR(SEARCH("%",K32)))</formula>
    </cfRule>
  </conditionalFormatting>
  <conditionalFormatting sqref="K32">
    <cfRule type="containsText" dxfId="4909" priority="4915" operator="containsText" text="%">
      <formula>NOT(ISERROR(SEARCH("%",K32)))</formula>
    </cfRule>
  </conditionalFormatting>
  <conditionalFormatting sqref="K32">
    <cfRule type="containsText" dxfId="4908" priority="4914" operator="containsText" text="%">
      <formula>NOT(ISERROR(SEARCH("%",K32)))</formula>
    </cfRule>
  </conditionalFormatting>
  <conditionalFormatting sqref="K32">
    <cfRule type="containsText" dxfId="4907" priority="4913" operator="containsText" text="%">
      <formula>NOT(ISERROR(SEARCH("%",K32)))</formula>
    </cfRule>
  </conditionalFormatting>
  <conditionalFormatting sqref="K32">
    <cfRule type="containsText" dxfId="4906" priority="4912" operator="containsText" text="%">
      <formula>NOT(ISERROR(SEARCH("%",K32)))</formula>
    </cfRule>
  </conditionalFormatting>
  <conditionalFormatting sqref="K32">
    <cfRule type="containsText" dxfId="4905" priority="4911" operator="containsText" text="%">
      <formula>NOT(ISERROR(SEARCH("%",K32)))</formula>
    </cfRule>
  </conditionalFormatting>
  <conditionalFormatting sqref="K32">
    <cfRule type="containsText" dxfId="4904" priority="4910" operator="containsText" text="%">
      <formula>NOT(ISERROR(SEARCH("%",K32)))</formula>
    </cfRule>
  </conditionalFormatting>
  <conditionalFormatting sqref="K32">
    <cfRule type="containsText" dxfId="4903" priority="4909" operator="containsText" text="%">
      <formula>NOT(ISERROR(SEARCH("%",K32)))</formula>
    </cfRule>
  </conditionalFormatting>
  <conditionalFormatting sqref="K32">
    <cfRule type="containsText" dxfId="4902" priority="4908" operator="containsText" text="%">
      <formula>NOT(ISERROR(SEARCH("%",K32)))</formula>
    </cfRule>
  </conditionalFormatting>
  <conditionalFormatting sqref="K32">
    <cfRule type="containsText" dxfId="4901" priority="4907" operator="containsText" text="%">
      <formula>NOT(ISERROR(SEARCH("%",K32)))</formula>
    </cfRule>
  </conditionalFormatting>
  <conditionalFormatting sqref="K32">
    <cfRule type="containsText" dxfId="4900" priority="4906" operator="containsText" text="%">
      <formula>NOT(ISERROR(SEARCH("%",K32)))</formula>
    </cfRule>
  </conditionalFormatting>
  <conditionalFormatting sqref="K32">
    <cfRule type="containsText" dxfId="4899" priority="4905" operator="containsText" text="%">
      <formula>NOT(ISERROR(SEARCH("%",K32)))</formula>
    </cfRule>
  </conditionalFormatting>
  <conditionalFormatting sqref="K32">
    <cfRule type="containsText" dxfId="4898" priority="4904" operator="containsText" text="%">
      <formula>NOT(ISERROR(SEARCH("%",K32)))</formula>
    </cfRule>
  </conditionalFormatting>
  <conditionalFormatting sqref="K32">
    <cfRule type="containsText" dxfId="4897" priority="4903" operator="containsText" text="%">
      <formula>NOT(ISERROR(SEARCH("%",K32)))</formula>
    </cfRule>
  </conditionalFormatting>
  <conditionalFormatting sqref="K32">
    <cfRule type="containsText" dxfId="4896" priority="4902" operator="containsText" text="%">
      <formula>NOT(ISERROR(SEARCH("%",K32)))</formula>
    </cfRule>
  </conditionalFormatting>
  <conditionalFormatting sqref="K32">
    <cfRule type="containsText" dxfId="4895" priority="4901" operator="containsText" text="%">
      <formula>NOT(ISERROR(SEARCH("%",K32)))</formula>
    </cfRule>
  </conditionalFormatting>
  <conditionalFormatting sqref="K32">
    <cfRule type="containsText" dxfId="4894" priority="4900" operator="containsText" text="%">
      <formula>NOT(ISERROR(SEARCH("%",K32)))</formula>
    </cfRule>
  </conditionalFormatting>
  <conditionalFormatting sqref="K32">
    <cfRule type="containsText" dxfId="4893" priority="4899" operator="containsText" text="%">
      <formula>NOT(ISERROR(SEARCH("%",K32)))</formula>
    </cfRule>
  </conditionalFormatting>
  <conditionalFormatting sqref="K32">
    <cfRule type="containsText" dxfId="4892" priority="4898" operator="containsText" text="%">
      <formula>NOT(ISERROR(SEARCH("%",K32)))</formula>
    </cfRule>
  </conditionalFormatting>
  <conditionalFormatting sqref="K32">
    <cfRule type="containsText" dxfId="4891" priority="4897" operator="containsText" text="%">
      <formula>NOT(ISERROR(SEARCH("%",K32)))</formula>
    </cfRule>
  </conditionalFormatting>
  <conditionalFormatting sqref="K31:K32">
    <cfRule type="containsText" dxfId="4890" priority="4881" operator="containsText" text="%">
      <formula>NOT(ISERROR(SEARCH("%",K31)))</formula>
    </cfRule>
  </conditionalFormatting>
  <conditionalFormatting sqref="K31:K32">
    <cfRule type="containsText" dxfId="4889" priority="4880" operator="containsText" text="%">
      <formula>NOT(ISERROR(SEARCH("%",K31)))</formula>
    </cfRule>
  </conditionalFormatting>
  <conditionalFormatting sqref="K31:K32">
    <cfRule type="containsText" dxfId="4888" priority="4876" operator="containsText" text="%">
      <formula>NOT(ISERROR(SEARCH("%",K31)))</formula>
    </cfRule>
  </conditionalFormatting>
  <conditionalFormatting sqref="K31:K32">
    <cfRule type="containsText" dxfId="4887" priority="4896" operator="containsText" text="%">
      <formula>NOT(ISERROR(SEARCH("%",K31)))</formula>
    </cfRule>
  </conditionalFormatting>
  <conditionalFormatting sqref="K31">
    <cfRule type="containsText" dxfId="4886" priority="4895" operator="containsText" text="%">
      <formula>NOT(ISERROR(SEARCH("%",K31)))</formula>
    </cfRule>
  </conditionalFormatting>
  <conditionalFormatting sqref="K31">
    <cfRule type="containsText" dxfId="4885" priority="4894" operator="containsText" text="%">
      <formula>NOT(ISERROR(SEARCH("%",K31)))</formula>
    </cfRule>
  </conditionalFormatting>
  <conditionalFormatting sqref="K31:K32">
    <cfRule type="containsText" dxfId="4884" priority="4874" operator="containsText" text="%">
      <formula>NOT(ISERROR(SEARCH("%",K31)))</formula>
    </cfRule>
  </conditionalFormatting>
  <conditionalFormatting sqref="K31:K32">
    <cfRule type="containsText" dxfId="4883" priority="4893" operator="containsText" text="%">
      <formula>NOT(ISERROR(SEARCH("%",K31)))</formula>
    </cfRule>
  </conditionalFormatting>
  <conditionalFormatting sqref="K31:K32">
    <cfRule type="containsText" dxfId="4882" priority="4892" operator="containsText" text="%">
      <formula>NOT(ISERROR(SEARCH("%",K31)))</formula>
    </cfRule>
  </conditionalFormatting>
  <conditionalFormatting sqref="K31:K32">
    <cfRule type="containsText" dxfId="4881" priority="4891" operator="containsText" text="%">
      <formula>NOT(ISERROR(SEARCH("%",K31)))</formula>
    </cfRule>
  </conditionalFormatting>
  <conditionalFormatting sqref="K31:K32">
    <cfRule type="containsText" dxfId="4880" priority="4890" operator="containsText" text="%">
      <formula>NOT(ISERROR(SEARCH("%",K31)))</formula>
    </cfRule>
  </conditionalFormatting>
  <conditionalFormatting sqref="K31:K32">
    <cfRule type="containsText" dxfId="4879" priority="4889" operator="containsText" text="%">
      <formula>NOT(ISERROR(SEARCH("%",K31)))</formula>
    </cfRule>
  </conditionalFormatting>
  <conditionalFormatting sqref="K31:K32">
    <cfRule type="containsText" dxfId="4878" priority="4888" operator="containsText" text="%">
      <formula>NOT(ISERROR(SEARCH("%",K31)))</formula>
    </cfRule>
  </conditionalFormatting>
  <conditionalFormatting sqref="K31:K32">
    <cfRule type="containsText" dxfId="4877" priority="4887" operator="containsText" text="%">
      <formula>NOT(ISERROR(SEARCH("%",K31)))</formula>
    </cfRule>
  </conditionalFormatting>
  <conditionalFormatting sqref="K31:K32">
    <cfRule type="containsText" dxfId="4876" priority="4886" operator="containsText" text="%">
      <formula>NOT(ISERROR(SEARCH("%",K31)))</formula>
    </cfRule>
  </conditionalFormatting>
  <conditionalFormatting sqref="K31:K32">
    <cfRule type="containsText" dxfId="4875" priority="4885" operator="containsText" text="%">
      <formula>NOT(ISERROR(SEARCH("%",K31)))</formula>
    </cfRule>
  </conditionalFormatting>
  <conditionalFormatting sqref="K31:K32">
    <cfRule type="containsText" dxfId="4874" priority="4884" operator="containsText" text="%">
      <formula>NOT(ISERROR(SEARCH("%",K31)))</formula>
    </cfRule>
  </conditionalFormatting>
  <conditionalFormatting sqref="K31:K32">
    <cfRule type="containsText" dxfId="4873" priority="4883" operator="containsText" text="%">
      <formula>NOT(ISERROR(SEARCH("%",K31)))</formula>
    </cfRule>
  </conditionalFormatting>
  <conditionalFormatting sqref="K31:K32">
    <cfRule type="containsText" dxfId="4872" priority="4882" operator="containsText" text="%">
      <formula>NOT(ISERROR(SEARCH("%",K31)))</formula>
    </cfRule>
  </conditionalFormatting>
  <conditionalFormatting sqref="K31:K32">
    <cfRule type="containsText" dxfId="4871" priority="4879" operator="containsText" text="%">
      <formula>NOT(ISERROR(SEARCH("%",K31)))</formula>
    </cfRule>
  </conditionalFormatting>
  <conditionalFormatting sqref="K31:K32">
    <cfRule type="containsText" dxfId="4870" priority="4878" operator="containsText" text="%">
      <formula>NOT(ISERROR(SEARCH("%",K31)))</formula>
    </cfRule>
  </conditionalFormatting>
  <conditionalFormatting sqref="K31:K32">
    <cfRule type="containsText" dxfId="4869" priority="4877" operator="containsText" text="%">
      <formula>NOT(ISERROR(SEARCH("%",K31)))</formula>
    </cfRule>
  </conditionalFormatting>
  <conditionalFormatting sqref="K31:K32">
    <cfRule type="containsText" dxfId="4868" priority="4875" operator="containsText" text="%">
      <formula>NOT(ISERROR(SEARCH("%",K31)))</formula>
    </cfRule>
  </conditionalFormatting>
  <conditionalFormatting sqref="K31:K32">
    <cfRule type="containsText" dxfId="4867" priority="4873" operator="containsText" text="%">
      <formula>NOT(ISERROR(SEARCH("%",K31)))</formula>
    </cfRule>
  </conditionalFormatting>
  <conditionalFormatting sqref="K31:K32">
    <cfRule type="containsText" dxfId="4866" priority="4872" operator="containsText" text="%">
      <formula>NOT(ISERROR(SEARCH("%",K31)))</formula>
    </cfRule>
  </conditionalFormatting>
  <conditionalFormatting sqref="K31:K32">
    <cfRule type="containsText" dxfId="4865" priority="4871" operator="containsText" text="%">
      <formula>NOT(ISERROR(SEARCH("%",K31)))</formula>
    </cfRule>
  </conditionalFormatting>
  <conditionalFormatting sqref="K31:K32">
    <cfRule type="containsText" dxfId="4864" priority="4870" operator="containsText" text="%">
      <formula>NOT(ISERROR(SEARCH("%",K31)))</formula>
    </cfRule>
  </conditionalFormatting>
  <conditionalFormatting sqref="K31:K32">
    <cfRule type="containsText" dxfId="4863" priority="4869" operator="containsText" text="%">
      <formula>NOT(ISERROR(SEARCH("%",K31)))</formula>
    </cfRule>
  </conditionalFormatting>
  <conditionalFormatting sqref="K31:K32">
    <cfRule type="containsText" dxfId="4862" priority="4868" operator="containsText" text="%">
      <formula>NOT(ISERROR(SEARCH("%",K31)))</formula>
    </cfRule>
  </conditionalFormatting>
  <conditionalFormatting sqref="K31:K32">
    <cfRule type="containsText" dxfId="4861" priority="4867" operator="containsText" text="%">
      <formula>NOT(ISERROR(SEARCH("%",K31)))</formula>
    </cfRule>
  </conditionalFormatting>
  <conditionalFormatting sqref="K31:K32">
    <cfRule type="containsText" dxfId="4860" priority="4866" operator="containsText" text="%">
      <formula>NOT(ISERROR(SEARCH("%",K31)))</formula>
    </cfRule>
  </conditionalFormatting>
  <conditionalFormatting sqref="K31:K32">
    <cfRule type="containsText" dxfId="4859" priority="4865" operator="containsText" text="%">
      <formula>NOT(ISERROR(SEARCH("%",K31)))</formula>
    </cfRule>
  </conditionalFormatting>
  <conditionalFormatting sqref="K31:K32">
    <cfRule type="containsText" dxfId="4858" priority="4864" operator="containsText" text="%">
      <formula>NOT(ISERROR(SEARCH("%",K31)))</formula>
    </cfRule>
  </conditionalFormatting>
  <conditionalFormatting sqref="K32">
    <cfRule type="containsText" dxfId="4857" priority="4863" operator="containsText" text="%">
      <formula>NOT(ISERROR(SEARCH("%",K32)))</formula>
    </cfRule>
  </conditionalFormatting>
  <conditionalFormatting sqref="K32">
    <cfRule type="containsText" dxfId="4856" priority="4862" operator="containsText" text="%">
      <formula>NOT(ISERROR(SEARCH("%",K32)))</formula>
    </cfRule>
  </conditionalFormatting>
  <conditionalFormatting sqref="K32">
    <cfRule type="containsText" dxfId="4855" priority="4861" operator="containsText" text="%">
      <formula>NOT(ISERROR(SEARCH("%",K32)))</formula>
    </cfRule>
  </conditionalFormatting>
  <conditionalFormatting sqref="K32">
    <cfRule type="containsText" dxfId="4854" priority="4860" operator="containsText" text="%">
      <formula>NOT(ISERROR(SEARCH("%",K32)))</formula>
    </cfRule>
  </conditionalFormatting>
  <conditionalFormatting sqref="K31:K32">
    <cfRule type="containsText" dxfId="4853" priority="4859" operator="containsText" text="%">
      <formula>NOT(ISERROR(SEARCH("%",K31)))</formula>
    </cfRule>
  </conditionalFormatting>
  <conditionalFormatting sqref="K31:K32">
    <cfRule type="containsText" dxfId="4852" priority="4858" operator="containsText" text="%">
      <formula>NOT(ISERROR(SEARCH("%",K31)))</formula>
    </cfRule>
  </conditionalFormatting>
  <conditionalFormatting sqref="K31:K32">
    <cfRule type="containsText" dxfId="4851" priority="4857" operator="containsText" text="%">
      <formula>NOT(ISERROR(SEARCH("%",K31)))</formula>
    </cfRule>
  </conditionalFormatting>
  <conditionalFormatting sqref="K31:K32">
    <cfRule type="containsText" dxfId="4850" priority="4856" operator="containsText" text="%">
      <formula>NOT(ISERROR(SEARCH("%",K31)))</formula>
    </cfRule>
  </conditionalFormatting>
  <conditionalFormatting sqref="K31:K32">
    <cfRule type="containsText" dxfId="4849" priority="4855" operator="containsText" text="%">
      <formula>NOT(ISERROR(SEARCH("%",K31)))</formula>
    </cfRule>
  </conditionalFormatting>
  <conditionalFormatting sqref="K31:K32">
    <cfRule type="containsText" dxfId="4848" priority="4854" operator="containsText" text="%">
      <formula>NOT(ISERROR(SEARCH("%",K31)))</formula>
    </cfRule>
  </conditionalFormatting>
  <conditionalFormatting sqref="K31:K32">
    <cfRule type="containsText" dxfId="4847" priority="4853" operator="containsText" text="%">
      <formula>NOT(ISERROR(SEARCH("%",K31)))</formula>
    </cfRule>
  </conditionalFormatting>
  <conditionalFormatting sqref="K31:K32">
    <cfRule type="containsText" dxfId="4846" priority="4852" operator="containsText" text="%">
      <formula>NOT(ISERROR(SEARCH("%",K31)))</formula>
    </cfRule>
  </conditionalFormatting>
  <conditionalFormatting sqref="K31:K32">
    <cfRule type="containsText" dxfId="4845" priority="4851" operator="containsText" text="%">
      <formula>NOT(ISERROR(SEARCH("%",K31)))</formula>
    </cfRule>
  </conditionalFormatting>
  <conditionalFormatting sqref="K31:K32">
    <cfRule type="containsText" dxfId="4844" priority="4850" operator="containsText" text="%">
      <formula>NOT(ISERROR(SEARCH("%",K31)))</formula>
    </cfRule>
  </conditionalFormatting>
  <conditionalFormatting sqref="K32">
    <cfRule type="containsText" dxfId="4843" priority="4849" operator="containsText" text="%">
      <formula>NOT(ISERROR(SEARCH("%",K32)))</formula>
    </cfRule>
  </conditionalFormatting>
  <conditionalFormatting sqref="K32">
    <cfRule type="containsText" dxfId="4842" priority="4848" operator="containsText" text="%">
      <formula>NOT(ISERROR(SEARCH("%",K32)))</formula>
    </cfRule>
  </conditionalFormatting>
  <conditionalFormatting sqref="K32">
    <cfRule type="containsText" dxfId="4841" priority="4847" operator="containsText" text="%">
      <formula>NOT(ISERROR(SEARCH("%",K32)))</formula>
    </cfRule>
  </conditionalFormatting>
  <conditionalFormatting sqref="K32">
    <cfRule type="containsText" dxfId="4840" priority="4846" operator="containsText" text="%">
      <formula>NOT(ISERROR(SEARCH("%",K32)))</formula>
    </cfRule>
  </conditionalFormatting>
  <conditionalFormatting sqref="K31:K32">
    <cfRule type="containsText" dxfId="4839" priority="4845" operator="containsText" text="%">
      <formula>NOT(ISERROR(SEARCH("%",K31)))</formula>
    </cfRule>
  </conditionalFormatting>
  <conditionalFormatting sqref="K31:K32">
    <cfRule type="containsText" dxfId="4838" priority="4844" operator="containsText" text="%">
      <formula>NOT(ISERROR(SEARCH("%",K31)))</formula>
    </cfRule>
  </conditionalFormatting>
  <conditionalFormatting sqref="K31:K32">
    <cfRule type="containsText" dxfId="4837" priority="4843" operator="containsText" text="%">
      <formula>NOT(ISERROR(SEARCH("%",K31)))</formula>
    </cfRule>
  </conditionalFormatting>
  <conditionalFormatting sqref="K31:K32">
    <cfRule type="containsText" dxfId="4836" priority="4842" operator="containsText" text="%">
      <formula>NOT(ISERROR(SEARCH("%",K31)))</formula>
    </cfRule>
  </conditionalFormatting>
  <conditionalFormatting sqref="K31:K32">
    <cfRule type="containsText" dxfId="4835" priority="4841" operator="containsText" text="%">
      <formula>NOT(ISERROR(SEARCH("%",K31)))</formula>
    </cfRule>
  </conditionalFormatting>
  <conditionalFormatting sqref="K31:K32">
    <cfRule type="containsText" dxfId="4834" priority="4840" operator="containsText" text="%">
      <formula>NOT(ISERROR(SEARCH("%",K31)))</formula>
    </cfRule>
  </conditionalFormatting>
  <conditionalFormatting sqref="K32">
    <cfRule type="containsText" dxfId="4833" priority="4839" operator="containsText" text="%">
      <formula>NOT(ISERROR(SEARCH("%",K32)))</formula>
    </cfRule>
  </conditionalFormatting>
  <conditionalFormatting sqref="K32">
    <cfRule type="containsText" dxfId="4832" priority="4838" operator="containsText" text="%">
      <formula>NOT(ISERROR(SEARCH("%",K32)))</formula>
    </cfRule>
  </conditionalFormatting>
  <conditionalFormatting sqref="K32">
    <cfRule type="containsText" dxfId="4831" priority="4837" operator="containsText" text="%">
      <formula>NOT(ISERROR(SEARCH("%",K32)))</formula>
    </cfRule>
  </conditionalFormatting>
  <conditionalFormatting sqref="K32">
    <cfRule type="containsText" dxfId="4830" priority="4836" operator="containsText" text="%">
      <formula>NOT(ISERROR(SEARCH("%",K32)))</formula>
    </cfRule>
  </conditionalFormatting>
  <conditionalFormatting sqref="K31:K32">
    <cfRule type="containsText" dxfId="4829" priority="4820" operator="containsText" text="%">
      <formula>NOT(ISERROR(SEARCH("%",K31)))</formula>
    </cfRule>
  </conditionalFormatting>
  <conditionalFormatting sqref="K31:K32">
    <cfRule type="containsText" dxfId="4828" priority="4819" operator="containsText" text="%">
      <formula>NOT(ISERROR(SEARCH("%",K31)))</formula>
    </cfRule>
  </conditionalFormatting>
  <conditionalFormatting sqref="K31:K32">
    <cfRule type="containsText" dxfId="4827" priority="4815" operator="containsText" text="%">
      <formula>NOT(ISERROR(SEARCH("%",K31)))</formula>
    </cfRule>
  </conditionalFormatting>
  <conditionalFormatting sqref="K31:K32">
    <cfRule type="containsText" dxfId="4826" priority="4835" operator="containsText" text="%">
      <formula>NOT(ISERROR(SEARCH("%",K31)))</formula>
    </cfRule>
  </conditionalFormatting>
  <conditionalFormatting sqref="K31">
    <cfRule type="containsText" dxfId="4825" priority="4834" operator="containsText" text="%">
      <formula>NOT(ISERROR(SEARCH("%",K31)))</formula>
    </cfRule>
  </conditionalFormatting>
  <conditionalFormatting sqref="K31">
    <cfRule type="containsText" dxfId="4824" priority="4833" operator="containsText" text="%">
      <formula>NOT(ISERROR(SEARCH("%",K31)))</formula>
    </cfRule>
  </conditionalFormatting>
  <conditionalFormatting sqref="K31:K32">
    <cfRule type="containsText" dxfId="4823" priority="4813" operator="containsText" text="%">
      <formula>NOT(ISERROR(SEARCH("%",K31)))</formula>
    </cfRule>
  </conditionalFormatting>
  <conditionalFormatting sqref="K31:K32">
    <cfRule type="containsText" dxfId="4822" priority="4832" operator="containsText" text="%">
      <formula>NOT(ISERROR(SEARCH("%",K31)))</formula>
    </cfRule>
  </conditionalFormatting>
  <conditionalFormatting sqref="K31:K32">
    <cfRule type="containsText" dxfId="4821" priority="4831" operator="containsText" text="%">
      <formula>NOT(ISERROR(SEARCH("%",K31)))</formula>
    </cfRule>
  </conditionalFormatting>
  <conditionalFormatting sqref="K31:K32">
    <cfRule type="containsText" dxfId="4820" priority="4830" operator="containsText" text="%">
      <formula>NOT(ISERROR(SEARCH("%",K31)))</formula>
    </cfRule>
  </conditionalFormatting>
  <conditionalFormatting sqref="K31:K32">
    <cfRule type="containsText" dxfId="4819" priority="4829" operator="containsText" text="%">
      <formula>NOT(ISERROR(SEARCH("%",K31)))</formula>
    </cfRule>
  </conditionalFormatting>
  <conditionalFormatting sqref="K31:K32">
    <cfRule type="containsText" dxfId="4818" priority="4828" operator="containsText" text="%">
      <formula>NOT(ISERROR(SEARCH("%",K31)))</formula>
    </cfRule>
  </conditionalFormatting>
  <conditionalFormatting sqref="K31:K32">
    <cfRule type="containsText" dxfId="4817" priority="4827" operator="containsText" text="%">
      <formula>NOT(ISERROR(SEARCH("%",K31)))</formula>
    </cfRule>
  </conditionalFormatting>
  <conditionalFormatting sqref="K31:K32">
    <cfRule type="containsText" dxfId="4816" priority="4826" operator="containsText" text="%">
      <formula>NOT(ISERROR(SEARCH("%",K31)))</formula>
    </cfRule>
  </conditionalFormatting>
  <conditionalFormatting sqref="K31:K32">
    <cfRule type="containsText" dxfId="4815" priority="4825" operator="containsText" text="%">
      <formula>NOT(ISERROR(SEARCH("%",K31)))</formula>
    </cfRule>
  </conditionalFormatting>
  <conditionalFormatting sqref="K31:K32">
    <cfRule type="containsText" dxfId="4814" priority="4824" operator="containsText" text="%">
      <formula>NOT(ISERROR(SEARCH("%",K31)))</formula>
    </cfRule>
  </conditionalFormatting>
  <conditionalFormatting sqref="K31:K32">
    <cfRule type="containsText" dxfId="4813" priority="4823" operator="containsText" text="%">
      <formula>NOT(ISERROR(SEARCH("%",K31)))</formula>
    </cfRule>
  </conditionalFormatting>
  <conditionalFormatting sqref="K31:K32">
    <cfRule type="containsText" dxfId="4812" priority="4822" operator="containsText" text="%">
      <formula>NOT(ISERROR(SEARCH("%",K31)))</formula>
    </cfRule>
  </conditionalFormatting>
  <conditionalFormatting sqref="K31:K32">
    <cfRule type="containsText" dxfId="4811" priority="4821" operator="containsText" text="%">
      <formula>NOT(ISERROR(SEARCH("%",K31)))</formula>
    </cfRule>
  </conditionalFormatting>
  <conditionalFormatting sqref="K31:K32">
    <cfRule type="containsText" dxfId="4810" priority="4818" operator="containsText" text="%">
      <formula>NOT(ISERROR(SEARCH("%",K31)))</formula>
    </cfRule>
  </conditionalFormatting>
  <conditionalFormatting sqref="K31:K32">
    <cfRule type="containsText" dxfId="4809" priority="4817" operator="containsText" text="%">
      <formula>NOT(ISERROR(SEARCH("%",K31)))</formula>
    </cfRule>
  </conditionalFormatting>
  <conditionalFormatting sqref="K31:K32">
    <cfRule type="containsText" dxfId="4808" priority="4816" operator="containsText" text="%">
      <formula>NOT(ISERROR(SEARCH("%",K31)))</formula>
    </cfRule>
  </conditionalFormatting>
  <conditionalFormatting sqref="K31:K32">
    <cfRule type="containsText" dxfId="4807" priority="4814" operator="containsText" text="%">
      <formula>NOT(ISERROR(SEARCH("%",K31)))</formula>
    </cfRule>
  </conditionalFormatting>
  <conditionalFormatting sqref="K31:K32">
    <cfRule type="containsText" dxfId="4806" priority="4812" operator="containsText" text="%">
      <formula>NOT(ISERROR(SEARCH("%",K31)))</formula>
    </cfRule>
  </conditionalFormatting>
  <conditionalFormatting sqref="K31:K32">
    <cfRule type="containsText" dxfId="4805" priority="4811" operator="containsText" text="%">
      <formula>NOT(ISERROR(SEARCH("%",K31)))</formula>
    </cfRule>
  </conditionalFormatting>
  <conditionalFormatting sqref="K31:K32">
    <cfRule type="containsText" dxfId="4804" priority="4810" operator="containsText" text="%">
      <formula>NOT(ISERROR(SEARCH("%",K31)))</formula>
    </cfRule>
  </conditionalFormatting>
  <conditionalFormatting sqref="K31:K32">
    <cfRule type="containsText" dxfId="4803" priority="4809" operator="containsText" text="%">
      <formula>NOT(ISERROR(SEARCH("%",K31)))</formula>
    </cfRule>
  </conditionalFormatting>
  <conditionalFormatting sqref="K31:K32">
    <cfRule type="containsText" dxfId="4802" priority="4808" operator="containsText" text="%">
      <formula>NOT(ISERROR(SEARCH("%",K31)))</formula>
    </cfRule>
  </conditionalFormatting>
  <conditionalFormatting sqref="K31:K32">
    <cfRule type="containsText" dxfId="4801" priority="4807" operator="containsText" text="%">
      <formula>NOT(ISERROR(SEARCH("%",K31)))</formula>
    </cfRule>
  </conditionalFormatting>
  <conditionalFormatting sqref="K31:K32">
    <cfRule type="containsText" dxfId="4800" priority="4806" operator="containsText" text="%">
      <formula>NOT(ISERROR(SEARCH("%",K31)))</formula>
    </cfRule>
  </conditionalFormatting>
  <conditionalFormatting sqref="K31:K32">
    <cfRule type="containsText" dxfId="4799" priority="4805" operator="containsText" text="%">
      <formula>NOT(ISERROR(SEARCH("%",K31)))</formula>
    </cfRule>
  </conditionalFormatting>
  <conditionalFormatting sqref="K31:K32">
    <cfRule type="containsText" dxfId="4798" priority="4804" operator="containsText" text="%">
      <formula>NOT(ISERROR(SEARCH("%",K31)))</formula>
    </cfRule>
  </conditionalFormatting>
  <conditionalFormatting sqref="K31:K32">
    <cfRule type="containsText" dxfId="4797" priority="4803" operator="containsText" text="%">
      <formula>NOT(ISERROR(SEARCH("%",K31)))</formula>
    </cfRule>
  </conditionalFormatting>
  <conditionalFormatting sqref="K32">
    <cfRule type="containsText" dxfId="4796" priority="4802" operator="containsText" text="%">
      <formula>NOT(ISERROR(SEARCH("%",K32)))</formula>
    </cfRule>
  </conditionalFormatting>
  <conditionalFormatting sqref="K32">
    <cfRule type="containsText" dxfId="4795" priority="4801" operator="containsText" text="%">
      <formula>NOT(ISERROR(SEARCH("%",K32)))</formula>
    </cfRule>
  </conditionalFormatting>
  <conditionalFormatting sqref="K32">
    <cfRule type="containsText" dxfId="4794" priority="4800" operator="containsText" text="%">
      <formula>NOT(ISERROR(SEARCH("%",K32)))</formula>
    </cfRule>
  </conditionalFormatting>
  <conditionalFormatting sqref="K32">
    <cfRule type="containsText" dxfId="4793" priority="4799" operator="containsText" text="%">
      <formula>NOT(ISERROR(SEARCH("%",K32)))</formula>
    </cfRule>
  </conditionalFormatting>
  <conditionalFormatting sqref="K31:K32">
    <cfRule type="containsText" dxfId="4792" priority="4798" operator="containsText" text="%">
      <formula>NOT(ISERROR(SEARCH("%",K31)))</formula>
    </cfRule>
  </conditionalFormatting>
  <conditionalFormatting sqref="K31:K32">
    <cfRule type="containsText" dxfId="4791" priority="4797" operator="containsText" text="%">
      <formula>NOT(ISERROR(SEARCH("%",K31)))</formula>
    </cfRule>
  </conditionalFormatting>
  <conditionalFormatting sqref="K31:K32">
    <cfRule type="containsText" dxfId="4790" priority="4796" operator="containsText" text="%">
      <formula>NOT(ISERROR(SEARCH("%",K31)))</formula>
    </cfRule>
  </conditionalFormatting>
  <conditionalFormatting sqref="K31:K32">
    <cfRule type="containsText" dxfId="4789" priority="4795" operator="containsText" text="%">
      <formula>NOT(ISERROR(SEARCH("%",K31)))</formula>
    </cfRule>
  </conditionalFormatting>
  <conditionalFormatting sqref="K31:K32">
    <cfRule type="containsText" dxfId="4788" priority="4794" operator="containsText" text="%">
      <formula>NOT(ISERROR(SEARCH("%",K31)))</formula>
    </cfRule>
  </conditionalFormatting>
  <conditionalFormatting sqref="K31:K32">
    <cfRule type="containsText" dxfId="4787" priority="4793" operator="containsText" text="%">
      <formula>NOT(ISERROR(SEARCH("%",K31)))</formula>
    </cfRule>
  </conditionalFormatting>
  <conditionalFormatting sqref="K31:K32">
    <cfRule type="containsText" dxfId="4786" priority="4792" operator="containsText" text="%">
      <formula>NOT(ISERROR(SEARCH("%",K31)))</formula>
    </cfRule>
  </conditionalFormatting>
  <conditionalFormatting sqref="K31:K32">
    <cfRule type="containsText" dxfId="4785" priority="4791" operator="containsText" text="%">
      <formula>NOT(ISERROR(SEARCH("%",K31)))</formula>
    </cfRule>
  </conditionalFormatting>
  <conditionalFormatting sqref="K31:K32">
    <cfRule type="containsText" dxfId="4784" priority="4790" operator="containsText" text="%">
      <formula>NOT(ISERROR(SEARCH("%",K31)))</formula>
    </cfRule>
  </conditionalFormatting>
  <conditionalFormatting sqref="K31:K32">
    <cfRule type="containsText" dxfId="4783" priority="4789" operator="containsText" text="%">
      <formula>NOT(ISERROR(SEARCH("%",K31)))</formula>
    </cfRule>
  </conditionalFormatting>
  <conditionalFormatting sqref="K32">
    <cfRule type="containsText" dxfId="4782" priority="4788" operator="containsText" text="%">
      <formula>NOT(ISERROR(SEARCH("%",K32)))</formula>
    </cfRule>
  </conditionalFormatting>
  <conditionalFormatting sqref="K32">
    <cfRule type="containsText" dxfId="4781" priority="4787" operator="containsText" text="%">
      <formula>NOT(ISERROR(SEARCH("%",K32)))</formula>
    </cfRule>
  </conditionalFormatting>
  <conditionalFormatting sqref="K32">
    <cfRule type="containsText" dxfId="4780" priority="4786" operator="containsText" text="%">
      <formula>NOT(ISERROR(SEARCH("%",K32)))</formula>
    </cfRule>
  </conditionalFormatting>
  <conditionalFormatting sqref="K32">
    <cfRule type="containsText" dxfId="4779" priority="4785" operator="containsText" text="%">
      <formula>NOT(ISERROR(SEARCH("%",K32)))</formula>
    </cfRule>
  </conditionalFormatting>
  <conditionalFormatting sqref="K31">
    <cfRule type="containsText" dxfId="4778" priority="4784" operator="containsText" text="%">
      <formula>NOT(ISERROR(SEARCH("%",K31)))</formula>
    </cfRule>
  </conditionalFormatting>
  <conditionalFormatting sqref="K31">
    <cfRule type="containsText" dxfId="4777" priority="4783" operator="containsText" text="%">
      <formula>NOT(ISERROR(SEARCH("%",K31)))</formula>
    </cfRule>
  </conditionalFormatting>
  <conditionalFormatting sqref="K31">
    <cfRule type="containsText" dxfId="4776" priority="4782" operator="containsText" text="%">
      <formula>NOT(ISERROR(SEARCH("%",K31)))</formula>
    </cfRule>
  </conditionalFormatting>
  <conditionalFormatting sqref="K31">
    <cfRule type="containsText" dxfId="4775" priority="4781" operator="containsText" text="%">
      <formula>NOT(ISERROR(SEARCH("%",K31)))</formula>
    </cfRule>
  </conditionalFormatting>
  <conditionalFormatting sqref="K31">
    <cfRule type="containsText" dxfId="4774" priority="4780" operator="containsText" text="%">
      <formula>NOT(ISERROR(SEARCH("%",K31)))</formula>
    </cfRule>
  </conditionalFormatting>
  <conditionalFormatting sqref="K31">
    <cfRule type="containsText" dxfId="4773" priority="4779" operator="containsText" text="%">
      <formula>NOT(ISERROR(SEARCH("%",K31)))</formula>
    </cfRule>
  </conditionalFormatting>
  <conditionalFormatting sqref="K32">
    <cfRule type="containsText" dxfId="4772" priority="4778" operator="containsText" text="%">
      <formula>NOT(ISERROR(SEARCH("%",K32)))</formula>
    </cfRule>
  </conditionalFormatting>
  <conditionalFormatting sqref="K32">
    <cfRule type="containsText" dxfId="4771" priority="4777" operator="containsText" text="%">
      <formula>NOT(ISERROR(SEARCH("%",K32)))</formula>
    </cfRule>
  </conditionalFormatting>
  <conditionalFormatting sqref="K32">
    <cfRule type="containsText" dxfId="4770" priority="4776" operator="containsText" text="%">
      <formula>NOT(ISERROR(SEARCH("%",K32)))</formula>
    </cfRule>
  </conditionalFormatting>
  <conditionalFormatting sqref="K32">
    <cfRule type="containsText" dxfId="4769" priority="4775" operator="containsText" text="%">
      <formula>NOT(ISERROR(SEARCH("%",K32)))</formula>
    </cfRule>
  </conditionalFormatting>
  <conditionalFormatting sqref="K32">
    <cfRule type="containsText" dxfId="4768" priority="4774" operator="containsText" text="%">
      <formula>NOT(ISERROR(SEARCH("%",K32)))</formula>
    </cfRule>
  </conditionalFormatting>
  <conditionalFormatting sqref="K32">
    <cfRule type="containsText" dxfId="4767" priority="4773" operator="containsText" text="%">
      <formula>NOT(ISERROR(SEARCH("%",K32)))</formula>
    </cfRule>
  </conditionalFormatting>
  <conditionalFormatting sqref="K32">
    <cfRule type="containsText" dxfId="4766" priority="4772" operator="containsText" text="%">
      <formula>NOT(ISERROR(SEARCH("%",K32)))</formula>
    </cfRule>
  </conditionalFormatting>
  <conditionalFormatting sqref="K32">
    <cfRule type="containsText" dxfId="4765" priority="4771" operator="containsText" text="%">
      <formula>NOT(ISERROR(SEARCH("%",K32)))</formula>
    </cfRule>
  </conditionalFormatting>
  <conditionalFormatting sqref="K32">
    <cfRule type="containsText" dxfId="4764" priority="4770" operator="containsText" text="%">
      <formula>NOT(ISERROR(SEARCH("%",K32)))</formula>
    </cfRule>
  </conditionalFormatting>
  <conditionalFormatting sqref="K32">
    <cfRule type="containsText" dxfId="4763" priority="4769" operator="containsText" text="%">
      <formula>NOT(ISERROR(SEARCH("%",K32)))</formula>
    </cfRule>
  </conditionalFormatting>
  <conditionalFormatting sqref="K32">
    <cfRule type="containsText" dxfId="4762" priority="4755" operator="containsText" text="%">
      <formula>NOT(ISERROR(SEARCH("%",K32)))</formula>
    </cfRule>
  </conditionalFormatting>
  <conditionalFormatting sqref="K32">
    <cfRule type="containsText" dxfId="4761" priority="4754" operator="containsText" text="%">
      <formula>NOT(ISERROR(SEARCH("%",K32)))</formula>
    </cfRule>
  </conditionalFormatting>
  <conditionalFormatting sqref="K32">
    <cfRule type="containsText" dxfId="4760" priority="4750" operator="containsText" text="%">
      <formula>NOT(ISERROR(SEARCH("%",K32)))</formula>
    </cfRule>
  </conditionalFormatting>
  <conditionalFormatting sqref="K32">
    <cfRule type="containsText" dxfId="4759" priority="4768" operator="containsText" text="%">
      <formula>NOT(ISERROR(SEARCH("%",K32)))</formula>
    </cfRule>
  </conditionalFormatting>
  <conditionalFormatting sqref="K32">
    <cfRule type="containsText" dxfId="4758" priority="4748" operator="containsText" text="%">
      <formula>NOT(ISERROR(SEARCH("%",K32)))</formula>
    </cfRule>
  </conditionalFormatting>
  <conditionalFormatting sqref="K32">
    <cfRule type="containsText" dxfId="4757" priority="4767" operator="containsText" text="%">
      <formula>NOT(ISERROR(SEARCH("%",K32)))</formula>
    </cfRule>
  </conditionalFormatting>
  <conditionalFormatting sqref="K32">
    <cfRule type="containsText" dxfId="4756" priority="4766" operator="containsText" text="%">
      <formula>NOT(ISERROR(SEARCH("%",K32)))</formula>
    </cfRule>
  </conditionalFormatting>
  <conditionalFormatting sqref="K32">
    <cfRule type="containsText" dxfId="4755" priority="4765" operator="containsText" text="%">
      <formula>NOT(ISERROR(SEARCH("%",K32)))</formula>
    </cfRule>
  </conditionalFormatting>
  <conditionalFormatting sqref="K32">
    <cfRule type="containsText" dxfId="4754" priority="4764" operator="containsText" text="%">
      <formula>NOT(ISERROR(SEARCH("%",K32)))</formula>
    </cfRule>
  </conditionalFormatting>
  <conditionalFormatting sqref="K32">
    <cfRule type="containsText" dxfId="4753" priority="4763" operator="containsText" text="%">
      <formula>NOT(ISERROR(SEARCH("%",K32)))</formula>
    </cfRule>
  </conditionalFormatting>
  <conditionalFormatting sqref="K32">
    <cfRule type="containsText" dxfId="4752" priority="4762" operator="containsText" text="%">
      <formula>NOT(ISERROR(SEARCH("%",K32)))</formula>
    </cfRule>
  </conditionalFormatting>
  <conditionalFormatting sqref="K32">
    <cfRule type="containsText" dxfId="4751" priority="4761" operator="containsText" text="%">
      <formula>NOT(ISERROR(SEARCH("%",K32)))</formula>
    </cfRule>
  </conditionalFormatting>
  <conditionalFormatting sqref="K32">
    <cfRule type="containsText" dxfId="4750" priority="4760" operator="containsText" text="%">
      <formula>NOT(ISERROR(SEARCH("%",K32)))</formula>
    </cfRule>
  </conditionalFormatting>
  <conditionalFormatting sqref="K32">
    <cfRule type="containsText" dxfId="4749" priority="4759" operator="containsText" text="%">
      <formula>NOT(ISERROR(SEARCH("%",K32)))</formula>
    </cfRule>
  </conditionalFormatting>
  <conditionalFormatting sqref="K32">
    <cfRule type="containsText" dxfId="4748" priority="4758" operator="containsText" text="%">
      <formula>NOT(ISERROR(SEARCH("%",K32)))</formula>
    </cfRule>
  </conditionalFormatting>
  <conditionalFormatting sqref="K32">
    <cfRule type="containsText" dxfId="4747" priority="4757" operator="containsText" text="%">
      <formula>NOT(ISERROR(SEARCH("%",K32)))</formula>
    </cfRule>
  </conditionalFormatting>
  <conditionalFormatting sqref="K32">
    <cfRule type="containsText" dxfId="4746" priority="4756" operator="containsText" text="%">
      <formula>NOT(ISERROR(SEARCH("%",K32)))</formula>
    </cfRule>
  </conditionalFormatting>
  <conditionalFormatting sqref="K32">
    <cfRule type="containsText" dxfId="4745" priority="4753" operator="containsText" text="%">
      <formula>NOT(ISERROR(SEARCH("%",K32)))</formula>
    </cfRule>
  </conditionalFormatting>
  <conditionalFormatting sqref="K32">
    <cfRule type="containsText" dxfId="4744" priority="4752" operator="containsText" text="%">
      <formula>NOT(ISERROR(SEARCH("%",K32)))</formula>
    </cfRule>
  </conditionalFormatting>
  <conditionalFormatting sqref="K32">
    <cfRule type="containsText" dxfId="4743" priority="4751" operator="containsText" text="%">
      <formula>NOT(ISERROR(SEARCH("%",K32)))</formula>
    </cfRule>
  </conditionalFormatting>
  <conditionalFormatting sqref="K32">
    <cfRule type="containsText" dxfId="4742" priority="4749" operator="containsText" text="%">
      <formula>NOT(ISERROR(SEARCH("%",K32)))</formula>
    </cfRule>
  </conditionalFormatting>
  <conditionalFormatting sqref="K32">
    <cfRule type="containsText" dxfId="4741" priority="4747" operator="containsText" text="%">
      <formula>NOT(ISERROR(SEARCH("%",K32)))</formula>
    </cfRule>
  </conditionalFormatting>
  <conditionalFormatting sqref="K32">
    <cfRule type="containsText" dxfId="4740" priority="4746" operator="containsText" text="%">
      <formula>NOT(ISERROR(SEARCH("%",K32)))</formula>
    </cfRule>
  </conditionalFormatting>
  <conditionalFormatting sqref="K32">
    <cfRule type="containsText" dxfId="4739" priority="4745" operator="containsText" text="%">
      <formula>NOT(ISERROR(SEARCH("%",K32)))</formula>
    </cfRule>
  </conditionalFormatting>
  <conditionalFormatting sqref="K32">
    <cfRule type="containsText" dxfId="4738" priority="4744" operator="containsText" text="%">
      <formula>NOT(ISERROR(SEARCH("%",K32)))</formula>
    </cfRule>
  </conditionalFormatting>
  <conditionalFormatting sqref="K32">
    <cfRule type="containsText" dxfId="4737" priority="4743" operator="containsText" text="%">
      <formula>NOT(ISERROR(SEARCH("%",K32)))</formula>
    </cfRule>
  </conditionalFormatting>
  <conditionalFormatting sqref="K32">
    <cfRule type="containsText" dxfId="4736" priority="4742" operator="containsText" text="%">
      <formula>NOT(ISERROR(SEARCH("%",K32)))</formula>
    </cfRule>
  </conditionalFormatting>
  <conditionalFormatting sqref="K32">
    <cfRule type="containsText" dxfId="4735" priority="4741" operator="containsText" text="%">
      <formula>NOT(ISERROR(SEARCH("%",K32)))</formula>
    </cfRule>
  </conditionalFormatting>
  <conditionalFormatting sqref="K32">
    <cfRule type="containsText" dxfId="4734" priority="4740" operator="containsText" text="%">
      <formula>NOT(ISERROR(SEARCH("%",K32)))</formula>
    </cfRule>
  </conditionalFormatting>
  <conditionalFormatting sqref="K32">
    <cfRule type="containsText" dxfId="4733" priority="4739" operator="containsText" text="%">
      <formula>NOT(ISERROR(SEARCH("%",K32)))</formula>
    </cfRule>
  </conditionalFormatting>
  <conditionalFormatting sqref="K32">
    <cfRule type="containsText" dxfId="4732" priority="4738" operator="containsText" text="%">
      <formula>NOT(ISERROR(SEARCH("%",K32)))</formula>
    </cfRule>
  </conditionalFormatting>
  <conditionalFormatting sqref="K32">
    <cfRule type="containsText" dxfId="4731" priority="4737" operator="containsText" text="%">
      <formula>NOT(ISERROR(SEARCH("%",K32)))</formula>
    </cfRule>
  </conditionalFormatting>
  <conditionalFormatting sqref="K32">
    <cfRule type="containsText" dxfId="4730" priority="4736" operator="containsText" text="%">
      <formula>NOT(ISERROR(SEARCH("%",K32)))</formula>
    </cfRule>
  </conditionalFormatting>
  <conditionalFormatting sqref="K32">
    <cfRule type="containsText" dxfId="4729" priority="4735" operator="containsText" text="%">
      <formula>NOT(ISERROR(SEARCH("%",K32)))</formula>
    </cfRule>
  </conditionalFormatting>
  <conditionalFormatting sqref="K32">
    <cfRule type="containsText" dxfId="4728" priority="4734" operator="containsText" text="%">
      <formula>NOT(ISERROR(SEARCH("%",K32)))</formula>
    </cfRule>
  </conditionalFormatting>
  <conditionalFormatting sqref="K32">
    <cfRule type="containsText" dxfId="4727" priority="4733" operator="containsText" text="%">
      <formula>NOT(ISERROR(SEARCH("%",K32)))</formula>
    </cfRule>
  </conditionalFormatting>
  <conditionalFormatting sqref="K32">
    <cfRule type="containsText" dxfId="4726" priority="4732" operator="containsText" text="%">
      <formula>NOT(ISERROR(SEARCH("%",K32)))</formula>
    </cfRule>
  </conditionalFormatting>
  <conditionalFormatting sqref="K32">
    <cfRule type="containsText" dxfId="4725" priority="4731" operator="containsText" text="%">
      <formula>NOT(ISERROR(SEARCH("%",K32)))</formula>
    </cfRule>
  </conditionalFormatting>
  <conditionalFormatting sqref="K32">
    <cfRule type="containsText" dxfId="4724" priority="4730" operator="containsText" text="%">
      <formula>NOT(ISERROR(SEARCH("%",K32)))</formula>
    </cfRule>
  </conditionalFormatting>
  <conditionalFormatting sqref="K32">
    <cfRule type="containsText" dxfId="4723" priority="4729" operator="containsText" text="%">
      <formula>NOT(ISERROR(SEARCH("%",K32)))</formula>
    </cfRule>
  </conditionalFormatting>
  <conditionalFormatting sqref="K32">
    <cfRule type="containsText" dxfId="4722" priority="4728" operator="containsText" text="%">
      <formula>NOT(ISERROR(SEARCH("%",K32)))</formula>
    </cfRule>
  </conditionalFormatting>
  <conditionalFormatting sqref="K32">
    <cfRule type="containsText" dxfId="4721" priority="4727" operator="containsText" text="%">
      <formula>NOT(ISERROR(SEARCH("%",K32)))</formula>
    </cfRule>
  </conditionalFormatting>
  <conditionalFormatting sqref="K32">
    <cfRule type="containsText" dxfId="4720" priority="4726" operator="containsText" text="%">
      <formula>NOT(ISERROR(SEARCH("%",K32)))</formula>
    </cfRule>
  </conditionalFormatting>
  <conditionalFormatting sqref="K32">
    <cfRule type="containsText" dxfId="4719" priority="4725" operator="containsText" text="%">
      <formula>NOT(ISERROR(SEARCH("%",K32)))</formula>
    </cfRule>
  </conditionalFormatting>
  <conditionalFormatting sqref="K32">
    <cfRule type="containsText" dxfId="4718" priority="4724" operator="containsText" text="%">
      <formula>NOT(ISERROR(SEARCH("%",K32)))</formula>
    </cfRule>
  </conditionalFormatting>
  <conditionalFormatting sqref="K32">
    <cfRule type="containsText" dxfId="4717" priority="4723" operator="containsText" text="%">
      <formula>NOT(ISERROR(SEARCH("%",K32)))</formula>
    </cfRule>
  </conditionalFormatting>
  <conditionalFormatting sqref="K32">
    <cfRule type="containsText" dxfId="4716" priority="4722" operator="containsText" text="%">
      <formula>NOT(ISERROR(SEARCH("%",K32)))</formula>
    </cfRule>
  </conditionalFormatting>
  <conditionalFormatting sqref="K32">
    <cfRule type="containsText" dxfId="4715" priority="4721" operator="containsText" text="%">
      <formula>NOT(ISERROR(SEARCH("%",K32)))</formula>
    </cfRule>
  </conditionalFormatting>
  <conditionalFormatting sqref="K32">
    <cfRule type="containsText" dxfId="4714" priority="4720" operator="containsText" text="%">
      <formula>NOT(ISERROR(SEARCH("%",K32)))</formula>
    </cfRule>
  </conditionalFormatting>
  <conditionalFormatting sqref="L31:L32">
    <cfRule type="containsText" dxfId="4713" priority="4704" operator="containsText" text="%">
      <formula>NOT(ISERROR(SEARCH("%",L31)))</formula>
    </cfRule>
  </conditionalFormatting>
  <conditionalFormatting sqref="L31:L32">
    <cfRule type="containsText" dxfId="4712" priority="4703" operator="containsText" text="%">
      <formula>NOT(ISERROR(SEARCH("%",L31)))</formula>
    </cfRule>
  </conditionalFormatting>
  <conditionalFormatting sqref="L31:L32">
    <cfRule type="containsText" dxfId="4711" priority="4699" operator="containsText" text="%">
      <formula>NOT(ISERROR(SEARCH("%",L31)))</formula>
    </cfRule>
  </conditionalFormatting>
  <conditionalFormatting sqref="L31:L32">
    <cfRule type="containsText" dxfId="4710" priority="4719" operator="containsText" text="%">
      <formula>NOT(ISERROR(SEARCH("%",L31)))</formula>
    </cfRule>
  </conditionalFormatting>
  <conditionalFormatting sqref="L31">
    <cfRule type="containsText" dxfId="4709" priority="4718" operator="containsText" text="%">
      <formula>NOT(ISERROR(SEARCH("%",L31)))</formula>
    </cfRule>
  </conditionalFormatting>
  <conditionalFormatting sqref="L31">
    <cfRule type="containsText" dxfId="4708" priority="4717" operator="containsText" text="%">
      <formula>NOT(ISERROR(SEARCH("%",L31)))</formula>
    </cfRule>
  </conditionalFormatting>
  <conditionalFormatting sqref="L31:L32">
    <cfRule type="containsText" dxfId="4707" priority="4697" operator="containsText" text="%">
      <formula>NOT(ISERROR(SEARCH("%",L31)))</formula>
    </cfRule>
  </conditionalFormatting>
  <conditionalFormatting sqref="L31:L32">
    <cfRule type="containsText" dxfId="4706" priority="4716" operator="containsText" text="%">
      <formula>NOT(ISERROR(SEARCH("%",L31)))</formula>
    </cfRule>
  </conditionalFormatting>
  <conditionalFormatting sqref="L31:L32">
    <cfRule type="containsText" dxfId="4705" priority="4715" operator="containsText" text="%">
      <formula>NOT(ISERROR(SEARCH("%",L31)))</formula>
    </cfRule>
  </conditionalFormatting>
  <conditionalFormatting sqref="L31:L32">
    <cfRule type="containsText" dxfId="4704" priority="4714" operator="containsText" text="%">
      <formula>NOT(ISERROR(SEARCH("%",L31)))</formula>
    </cfRule>
  </conditionalFormatting>
  <conditionalFormatting sqref="L31:L32">
    <cfRule type="containsText" dxfId="4703" priority="4713" operator="containsText" text="%">
      <formula>NOT(ISERROR(SEARCH("%",L31)))</formula>
    </cfRule>
  </conditionalFormatting>
  <conditionalFormatting sqref="L31:L32">
    <cfRule type="containsText" dxfId="4702" priority="4712" operator="containsText" text="%">
      <formula>NOT(ISERROR(SEARCH("%",L31)))</formula>
    </cfRule>
  </conditionalFormatting>
  <conditionalFormatting sqref="L31:L32">
    <cfRule type="containsText" dxfId="4701" priority="4711" operator="containsText" text="%">
      <formula>NOT(ISERROR(SEARCH("%",L31)))</formula>
    </cfRule>
  </conditionalFormatting>
  <conditionalFormatting sqref="L31:L32">
    <cfRule type="containsText" dxfId="4700" priority="4710" operator="containsText" text="%">
      <formula>NOT(ISERROR(SEARCH("%",L31)))</formula>
    </cfRule>
  </conditionalFormatting>
  <conditionalFormatting sqref="L31:L32">
    <cfRule type="containsText" dxfId="4699" priority="4709" operator="containsText" text="%">
      <formula>NOT(ISERROR(SEARCH("%",L31)))</formula>
    </cfRule>
  </conditionalFormatting>
  <conditionalFormatting sqref="L31:L32">
    <cfRule type="containsText" dxfId="4698" priority="4708" operator="containsText" text="%">
      <formula>NOT(ISERROR(SEARCH("%",L31)))</formula>
    </cfRule>
  </conditionalFormatting>
  <conditionalFormatting sqref="L31:L32">
    <cfRule type="containsText" dxfId="4697" priority="4707" operator="containsText" text="%">
      <formula>NOT(ISERROR(SEARCH("%",L31)))</formula>
    </cfRule>
  </conditionalFormatting>
  <conditionalFormatting sqref="L31:L32">
    <cfRule type="containsText" dxfId="4696" priority="4706" operator="containsText" text="%">
      <formula>NOT(ISERROR(SEARCH("%",L31)))</formula>
    </cfRule>
  </conditionalFormatting>
  <conditionalFormatting sqref="L31:L32">
    <cfRule type="containsText" dxfId="4695" priority="4705" operator="containsText" text="%">
      <formula>NOT(ISERROR(SEARCH("%",L31)))</formula>
    </cfRule>
  </conditionalFormatting>
  <conditionalFormatting sqref="L31:L32">
    <cfRule type="containsText" dxfId="4694" priority="4702" operator="containsText" text="%">
      <formula>NOT(ISERROR(SEARCH("%",L31)))</formula>
    </cfRule>
  </conditionalFormatting>
  <conditionalFormatting sqref="L31:L32">
    <cfRule type="containsText" dxfId="4693" priority="4701" operator="containsText" text="%">
      <formula>NOT(ISERROR(SEARCH("%",L31)))</formula>
    </cfRule>
  </conditionalFormatting>
  <conditionalFormatting sqref="L31:L32">
    <cfRule type="containsText" dxfId="4692" priority="4700" operator="containsText" text="%">
      <formula>NOT(ISERROR(SEARCH("%",L31)))</formula>
    </cfRule>
  </conditionalFormatting>
  <conditionalFormatting sqref="L31:L32">
    <cfRule type="containsText" dxfId="4691" priority="4698" operator="containsText" text="%">
      <formula>NOT(ISERROR(SEARCH("%",L31)))</formula>
    </cfRule>
  </conditionalFormatting>
  <conditionalFormatting sqref="L31:L32">
    <cfRule type="containsText" dxfId="4690" priority="4696" operator="containsText" text="%">
      <formula>NOT(ISERROR(SEARCH("%",L31)))</formula>
    </cfRule>
  </conditionalFormatting>
  <conditionalFormatting sqref="L31:L32">
    <cfRule type="containsText" dxfId="4689" priority="4695" operator="containsText" text="%">
      <formula>NOT(ISERROR(SEARCH("%",L31)))</formula>
    </cfRule>
  </conditionalFormatting>
  <conditionalFormatting sqref="L31:L32">
    <cfRule type="containsText" dxfId="4688" priority="4694" operator="containsText" text="%">
      <formula>NOT(ISERROR(SEARCH("%",L31)))</formula>
    </cfRule>
  </conditionalFormatting>
  <conditionalFormatting sqref="L31:L32">
    <cfRule type="containsText" dxfId="4687" priority="4693" operator="containsText" text="%">
      <formula>NOT(ISERROR(SEARCH("%",L31)))</formula>
    </cfRule>
  </conditionalFormatting>
  <conditionalFormatting sqref="L31:L32">
    <cfRule type="containsText" dxfId="4686" priority="4692" operator="containsText" text="%">
      <formula>NOT(ISERROR(SEARCH("%",L31)))</formula>
    </cfRule>
  </conditionalFormatting>
  <conditionalFormatting sqref="L31:L32">
    <cfRule type="containsText" dxfId="4685" priority="4691" operator="containsText" text="%">
      <formula>NOT(ISERROR(SEARCH("%",L31)))</formula>
    </cfRule>
  </conditionalFormatting>
  <conditionalFormatting sqref="L31:L32">
    <cfRule type="containsText" dxfId="4684" priority="4690" operator="containsText" text="%">
      <formula>NOT(ISERROR(SEARCH("%",L31)))</formula>
    </cfRule>
  </conditionalFormatting>
  <conditionalFormatting sqref="L31:L32">
    <cfRule type="containsText" dxfId="4683" priority="4689" operator="containsText" text="%">
      <formula>NOT(ISERROR(SEARCH("%",L31)))</formula>
    </cfRule>
  </conditionalFormatting>
  <conditionalFormatting sqref="L31:L32">
    <cfRule type="containsText" dxfId="4682" priority="4688" operator="containsText" text="%">
      <formula>NOT(ISERROR(SEARCH("%",L31)))</formula>
    </cfRule>
  </conditionalFormatting>
  <conditionalFormatting sqref="L31:L32">
    <cfRule type="containsText" dxfId="4681" priority="4687" operator="containsText" text="%">
      <formula>NOT(ISERROR(SEARCH("%",L31)))</formula>
    </cfRule>
  </conditionalFormatting>
  <conditionalFormatting sqref="L32">
    <cfRule type="containsText" dxfId="4680" priority="4686" operator="containsText" text="%">
      <formula>NOT(ISERROR(SEARCH("%",L32)))</formula>
    </cfRule>
  </conditionalFormatting>
  <conditionalFormatting sqref="L32">
    <cfRule type="containsText" dxfId="4679" priority="4685" operator="containsText" text="%">
      <formula>NOT(ISERROR(SEARCH("%",L32)))</formula>
    </cfRule>
  </conditionalFormatting>
  <conditionalFormatting sqref="L32">
    <cfRule type="containsText" dxfId="4678" priority="4684" operator="containsText" text="%">
      <formula>NOT(ISERROR(SEARCH("%",L32)))</formula>
    </cfRule>
  </conditionalFormatting>
  <conditionalFormatting sqref="L32">
    <cfRule type="containsText" dxfId="4677" priority="4683" operator="containsText" text="%">
      <formula>NOT(ISERROR(SEARCH("%",L32)))</formula>
    </cfRule>
  </conditionalFormatting>
  <conditionalFormatting sqref="L31:L32">
    <cfRule type="containsText" dxfId="4676" priority="4682" operator="containsText" text="%">
      <formula>NOT(ISERROR(SEARCH("%",L31)))</formula>
    </cfRule>
  </conditionalFormatting>
  <conditionalFormatting sqref="L31:L32">
    <cfRule type="containsText" dxfId="4675" priority="4681" operator="containsText" text="%">
      <formula>NOT(ISERROR(SEARCH("%",L31)))</formula>
    </cfRule>
  </conditionalFormatting>
  <conditionalFormatting sqref="L31:L32">
    <cfRule type="containsText" dxfId="4674" priority="4680" operator="containsText" text="%">
      <formula>NOT(ISERROR(SEARCH("%",L31)))</formula>
    </cfRule>
  </conditionalFormatting>
  <conditionalFormatting sqref="L31:L32">
    <cfRule type="containsText" dxfId="4673" priority="4679" operator="containsText" text="%">
      <formula>NOT(ISERROR(SEARCH("%",L31)))</formula>
    </cfRule>
  </conditionalFormatting>
  <conditionalFormatting sqref="L31:L32">
    <cfRule type="containsText" dxfId="4672" priority="4678" operator="containsText" text="%">
      <formula>NOT(ISERROR(SEARCH("%",L31)))</formula>
    </cfRule>
  </conditionalFormatting>
  <conditionalFormatting sqref="L31:L32">
    <cfRule type="containsText" dxfId="4671" priority="4677" operator="containsText" text="%">
      <formula>NOT(ISERROR(SEARCH("%",L31)))</formula>
    </cfRule>
  </conditionalFormatting>
  <conditionalFormatting sqref="L31:L32">
    <cfRule type="containsText" dxfId="4670" priority="4676" operator="containsText" text="%">
      <formula>NOT(ISERROR(SEARCH("%",L31)))</formula>
    </cfRule>
  </conditionalFormatting>
  <conditionalFormatting sqref="L31:L32">
    <cfRule type="containsText" dxfId="4669" priority="4675" operator="containsText" text="%">
      <formula>NOT(ISERROR(SEARCH("%",L31)))</formula>
    </cfRule>
  </conditionalFormatting>
  <conditionalFormatting sqref="L31:L32">
    <cfRule type="containsText" dxfId="4668" priority="4674" operator="containsText" text="%">
      <formula>NOT(ISERROR(SEARCH("%",L31)))</formula>
    </cfRule>
  </conditionalFormatting>
  <conditionalFormatting sqref="L31:L32">
    <cfRule type="containsText" dxfId="4667" priority="4673" operator="containsText" text="%">
      <formula>NOT(ISERROR(SEARCH("%",L31)))</formula>
    </cfRule>
  </conditionalFormatting>
  <conditionalFormatting sqref="L32">
    <cfRule type="containsText" dxfId="4666" priority="4672" operator="containsText" text="%">
      <formula>NOT(ISERROR(SEARCH("%",L32)))</formula>
    </cfRule>
  </conditionalFormatting>
  <conditionalFormatting sqref="L32">
    <cfRule type="containsText" dxfId="4665" priority="4671" operator="containsText" text="%">
      <formula>NOT(ISERROR(SEARCH("%",L32)))</formula>
    </cfRule>
  </conditionalFormatting>
  <conditionalFormatting sqref="L32">
    <cfRule type="containsText" dxfId="4664" priority="4670" operator="containsText" text="%">
      <formula>NOT(ISERROR(SEARCH("%",L32)))</formula>
    </cfRule>
  </conditionalFormatting>
  <conditionalFormatting sqref="L32">
    <cfRule type="containsText" dxfId="4663" priority="4669" operator="containsText" text="%">
      <formula>NOT(ISERROR(SEARCH("%",L32)))</formula>
    </cfRule>
  </conditionalFormatting>
  <conditionalFormatting sqref="L31:L32">
    <cfRule type="containsText" dxfId="4662" priority="4668" operator="containsText" text="%">
      <formula>NOT(ISERROR(SEARCH("%",L31)))</formula>
    </cfRule>
  </conditionalFormatting>
  <conditionalFormatting sqref="L31:L32">
    <cfRule type="containsText" dxfId="4661" priority="4667" operator="containsText" text="%">
      <formula>NOT(ISERROR(SEARCH("%",L31)))</formula>
    </cfRule>
  </conditionalFormatting>
  <conditionalFormatting sqref="L31:L32">
    <cfRule type="containsText" dxfId="4660" priority="4666" operator="containsText" text="%">
      <formula>NOT(ISERROR(SEARCH("%",L31)))</formula>
    </cfRule>
  </conditionalFormatting>
  <conditionalFormatting sqref="L31:L32">
    <cfRule type="containsText" dxfId="4659" priority="4665" operator="containsText" text="%">
      <formula>NOT(ISERROR(SEARCH("%",L31)))</formula>
    </cfRule>
  </conditionalFormatting>
  <conditionalFormatting sqref="L31:L32">
    <cfRule type="containsText" dxfId="4658" priority="4664" operator="containsText" text="%">
      <formula>NOT(ISERROR(SEARCH("%",L31)))</formula>
    </cfRule>
  </conditionalFormatting>
  <conditionalFormatting sqref="L31:L32">
    <cfRule type="containsText" dxfId="4657" priority="4663" operator="containsText" text="%">
      <formula>NOT(ISERROR(SEARCH("%",L31)))</formula>
    </cfRule>
  </conditionalFormatting>
  <conditionalFormatting sqref="L32">
    <cfRule type="containsText" dxfId="4656" priority="4662" operator="containsText" text="%">
      <formula>NOT(ISERROR(SEARCH("%",L32)))</formula>
    </cfRule>
  </conditionalFormatting>
  <conditionalFormatting sqref="L32">
    <cfRule type="containsText" dxfId="4655" priority="4661" operator="containsText" text="%">
      <formula>NOT(ISERROR(SEARCH("%",L32)))</formula>
    </cfRule>
  </conditionalFormatting>
  <conditionalFormatting sqref="L32">
    <cfRule type="containsText" dxfId="4654" priority="4660" operator="containsText" text="%">
      <formula>NOT(ISERROR(SEARCH("%",L32)))</formula>
    </cfRule>
  </conditionalFormatting>
  <conditionalFormatting sqref="L32">
    <cfRule type="containsText" dxfId="4653" priority="4659" operator="containsText" text="%">
      <formula>NOT(ISERROR(SEARCH("%",L32)))</formula>
    </cfRule>
  </conditionalFormatting>
  <conditionalFormatting sqref="L31:L32">
    <cfRule type="containsText" dxfId="4652" priority="4643" operator="containsText" text="%">
      <formula>NOT(ISERROR(SEARCH("%",L31)))</formula>
    </cfRule>
  </conditionalFormatting>
  <conditionalFormatting sqref="L31:L32">
    <cfRule type="containsText" dxfId="4651" priority="4642" operator="containsText" text="%">
      <formula>NOT(ISERROR(SEARCH("%",L31)))</formula>
    </cfRule>
  </conditionalFormatting>
  <conditionalFormatting sqref="L31:L32">
    <cfRule type="containsText" dxfId="4650" priority="4638" operator="containsText" text="%">
      <formula>NOT(ISERROR(SEARCH("%",L31)))</formula>
    </cfRule>
  </conditionalFormatting>
  <conditionalFormatting sqref="L31:L32">
    <cfRule type="containsText" dxfId="4649" priority="4658" operator="containsText" text="%">
      <formula>NOT(ISERROR(SEARCH("%",L31)))</formula>
    </cfRule>
  </conditionalFormatting>
  <conditionalFormatting sqref="L31">
    <cfRule type="containsText" dxfId="4648" priority="4657" operator="containsText" text="%">
      <formula>NOT(ISERROR(SEARCH("%",L31)))</formula>
    </cfRule>
  </conditionalFormatting>
  <conditionalFormatting sqref="L31">
    <cfRule type="containsText" dxfId="4647" priority="4656" operator="containsText" text="%">
      <formula>NOT(ISERROR(SEARCH("%",L31)))</formula>
    </cfRule>
  </conditionalFormatting>
  <conditionalFormatting sqref="L31:L32">
    <cfRule type="containsText" dxfId="4646" priority="4636" operator="containsText" text="%">
      <formula>NOT(ISERROR(SEARCH("%",L31)))</formula>
    </cfRule>
  </conditionalFormatting>
  <conditionalFormatting sqref="L31:L32">
    <cfRule type="containsText" dxfId="4645" priority="4655" operator="containsText" text="%">
      <formula>NOT(ISERROR(SEARCH("%",L31)))</formula>
    </cfRule>
  </conditionalFormatting>
  <conditionalFormatting sqref="L31:L32">
    <cfRule type="containsText" dxfId="4644" priority="4654" operator="containsText" text="%">
      <formula>NOT(ISERROR(SEARCH("%",L31)))</formula>
    </cfRule>
  </conditionalFormatting>
  <conditionalFormatting sqref="L31:L32">
    <cfRule type="containsText" dxfId="4643" priority="4653" operator="containsText" text="%">
      <formula>NOT(ISERROR(SEARCH("%",L31)))</formula>
    </cfRule>
  </conditionalFormatting>
  <conditionalFormatting sqref="L31:L32">
    <cfRule type="containsText" dxfId="4642" priority="4652" operator="containsText" text="%">
      <formula>NOT(ISERROR(SEARCH("%",L31)))</formula>
    </cfRule>
  </conditionalFormatting>
  <conditionalFormatting sqref="L31:L32">
    <cfRule type="containsText" dxfId="4641" priority="4651" operator="containsText" text="%">
      <formula>NOT(ISERROR(SEARCH("%",L31)))</formula>
    </cfRule>
  </conditionalFormatting>
  <conditionalFormatting sqref="L31:L32">
    <cfRule type="containsText" dxfId="4640" priority="4650" operator="containsText" text="%">
      <formula>NOT(ISERROR(SEARCH("%",L31)))</formula>
    </cfRule>
  </conditionalFormatting>
  <conditionalFormatting sqref="L31:L32">
    <cfRule type="containsText" dxfId="4639" priority="4649" operator="containsText" text="%">
      <formula>NOT(ISERROR(SEARCH("%",L31)))</formula>
    </cfRule>
  </conditionalFormatting>
  <conditionalFormatting sqref="L31:L32">
    <cfRule type="containsText" dxfId="4638" priority="4648" operator="containsText" text="%">
      <formula>NOT(ISERROR(SEARCH("%",L31)))</formula>
    </cfRule>
  </conditionalFormatting>
  <conditionalFormatting sqref="L31:L32">
    <cfRule type="containsText" dxfId="4637" priority="4647" operator="containsText" text="%">
      <formula>NOT(ISERROR(SEARCH("%",L31)))</formula>
    </cfRule>
  </conditionalFormatting>
  <conditionalFormatting sqref="L31:L32">
    <cfRule type="containsText" dxfId="4636" priority="4646" operator="containsText" text="%">
      <formula>NOT(ISERROR(SEARCH("%",L31)))</formula>
    </cfRule>
  </conditionalFormatting>
  <conditionalFormatting sqref="L31:L32">
    <cfRule type="containsText" dxfId="4635" priority="4645" operator="containsText" text="%">
      <formula>NOT(ISERROR(SEARCH("%",L31)))</formula>
    </cfRule>
  </conditionalFormatting>
  <conditionalFormatting sqref="L31:L32">
    <cfRule type="containsText" dxfId="4634" priority="4644" operator="containsText" text="%">
      <formula>NOT(ISERROR(SEARCH("%",L31)))</formula>
    </cfRule>
  </conditionalFormatting>
  <conditionalFormatting sqref="L31:L32">
    <cfRule type="containsText" dxfId="4633" priority="4641" operator="containsText" text="%">
      <formula>NOT(ISERROR(SEARCH("%",L31)))</formula>
    </cfRule>
  </conditionalFormatting>
  <conditionalFormatting sqref="L31:L32">
    <cfRule type="containsText" dxfId="4632" priority="4640" operator="containsText" text="%">
      <formula>NOT(ISERROR(SEARCH("%",L31)))</formula>
    </cfRule>
  </conditionalFormatting>
  <conditionalFormatting sqref="L31:L32">
    <cfRule type="containsText" dxfId="4631" priority="4639" operator="containsText" text="%">
      <formula>NOT(ISERROR(SEARCH("%",L31)))</formula>
    </cfRule>
  </conditionalFormatting>
  <conditionalFormatting sqref="L31:L32">
    <cfRule type="containsText" dxfId="4630" priority="4637" operator="containsText" text="%">
      <formula>NOT(ISERROR(SEARCH("%",L31)))</formula>
    </cfRule>
  </conditionalFormatting>
  <conditionalFormatting sqref="L31:L32">
    <cfRule type="containsText" dxfId="4629" priority="4635" operator="containsText" text="%">
      <formula>NOT(ISERROR(SEARCH("%",L31)))</formula>
    </cfRule>
  </conditionalFormatting>
  <conditionalFormatting sqref="L31:L32">
    <cfRule type="containsText" dxfId="4628" priority="4634" operator="containsText" text="%">
      <formula>NOT(ISERROR(SEARCH("%",L31)))</formula>
    </cfRule>
  </conditionalFormatting>
  <conditionalFormatting sqref="L31:L32">
    <cfRule type="containsText" dxfId="4627" priority="4633" operator="containsText" text="%">
      <formula>NOT(ISERROR(SEARCH("%",L31)))</formula>
    </cfRule>
  </conditionalFormatting>
  <conditionalFormatting sqref="L31:L32">
    <cfRule type="containsText" dxfId="4626" priority="4632" operator="containsText" text="%">
      <formula>NOT(ISERROR(SEARCH("%",L31)))</formula>
    </cfRule>
  </conditionalFormatting>
  <conditionalFormatting sqref="L31:L32">
    <cfRule type="containsText" dxfId="4625" priority="4631" operator="containsText" text="%">
      <formula>NOT(ISERROR(SEARCH("%",L31)))</formula>
    </cfRule>
  </conditionalFormatting>
  <conditionalFormatting sqref="L31:L32">
    <cfRule type="containsText" dxfId="4624" priority="4630" operator="containsText" text="%">
      <formula>NOT(ISERROR(SEARCH("%",L31)))</formula>
    </cfRule>
  </conditionalFormatting>
  <conditionalFormatting sqref="L31:L32">
    <cfRule type="containsText" dxfId="4623" priority="4629" operator="containsText" text="%">
      <formula>NOT(ISERROR(SEARCH("%",L31)))</formula>
    </cfRule>
  </conditionalFormatting>
  <conditionalFormatting sqref="L31:L32">
    <cfRule type="containsText" dxfId="4622" priority="4628" operator="containsText" text="%">
      <formula>NOT(ISERROR(SEARCH("%",L31)))</formula>
    </cfRule>
  </conditionalFormatting>
  <conditionalFormatting sqref="L31:L32">
    <cfRule type="containsText" dxfId="4621" priority="4627" operator="containsText" text="%">
      <formula>NOT(ISERROR(SEARCH("%",L31)))</formula>
    </cfRule>
  </conditionalFormatting>
  <conditionalFormatting sqref="L31:L32">
    <cfRule type="containsText" dxfId="4620" priority="4626" operator="containsText" text="%">
      <formula>NOT(ISERROR(SEARCH("%",L31)))</formula>
    </cfRule>
  </conditionalFormatting>
  <conditionalFormatting sqref="L32">
    <cfRule type="containsText" dxfId="4619" priority="4625" operator="containsText" text="%">
      <formula>NOT(ISERROR(SEARCH("%",L32)))</formula>
    </cfRule>
  </conditionalFormatting>
  <conditionalFormatting sqref="L32">
    <cfRule type="containsText" dxfId="4618" priority="4624" operator="containsText" text="%">
      <formula>NOT(ISERROR(SEARCH("%",L32)))</formula>
    </cfRule>
  </conditionalFormatting>
  <conditionalFormatting sqref="L32">
    <cfRule type="containsText" dxfId="4617" priority="4623" operator="containsText" text="%">
      <formula>NOT(ISERROR(SEARCH("%",L32)))</formula>
    </cfRule>
  </conditionalFormatting>
  <conditionalFormatting sqref="L32">
    <cfRule type="containsText" dxfId="4616" priority="4622" operator="containsText" text="%">
      <formula>NOT(ISERROR(SEARCH("%",L32)))</formula>
    </cfRule>
  </conditionalFormatting>
  <conditionalFormatting sqref="L31:L32">
    <cfRule type="containsText" dxfId="4615" priority="4621" operator="containsText" text="%">
      <formula>NOT(ISERROR(SEARCH("%",L31)))</formula>
    </cfRule>
  </conditionalFormatting>
  <conditionalFormatting sqref="L31:L32">
    <cfRule type="containsText" dxfId="4614" priority="4620" operator="containsText" text="%">
      <formula>NOT(ISERROR(SEARCH("%",L31)))</formula>
    </cfRule>
  </conditionalFormatting>
  <conditionalFormatting sqref="L31:L32">
    <cfRule type="containsText" dxfId="4613" priority="4619" operator="containsText" text="%">
      <formula>NOT(ISERROR(SEARCH("%",L31)))</formula>
    </cfRule>
  </conditionalFormatting>
  <conditionalFormatting sqref="L31:L32">
    <cfRule type="containsText" dxfId="4612" priority="4618" operator="containsText" text="%">
      <formula>NOT(ISERROR(SEARCH("%",L31)))</formula>
    </cfRule>
  </conditionalFormatting>
  <conditionalFormatting sqref="L31:L32">
    <cfRule type="containsText" dxfId="4611" priority="4617" operator="containsText" text="%">
      <formula>NOT(ISERROR(SEARCH("%",L31)))</formula>
    </cfRule>
  </conditionalFormatting>
  <conditionalFormatting sqref="L31:L32">
    <cfRule type="containsText" dxfId="4610" priority="4616" operator="containsText" text="%">
      <formula>NOT(ISERROR(SEARCH("%",L31)))</formula>
    </cfRule>
  </conditionalFormatting>
  <conditionalFormatting sqref="L31:L32">
    <cfRule type="containsText" dxfId="4609" priority="4615" operator="containsText" text="%">
      <formula>NOT(ISERROR(SEARCH("%",L31)))</formula>
    </cfRule>
  </conditionalFormatting>
  <conditionalFormatting sqref="L31:L32">
    <cfRule type="containsText" dxfId="4608" priority="4614" operator="containsText" text="%">
      <formula>NOT(ISERROR(SEARCH("%",L31)))</formula>
    </cfRule>
  </conditionalFormatting>
  <conditionalFormatting sqref="L31:L32">
    <cfRule type="containsText" dxfId="4607" priority="4613" operator="containsText" text="%">
      <formula>NOT(ISERROR(SEARCH("%",L31)))</formula>
    </cfRule>
  </conditionalFormatting>
  <conditionalFormatting sqref="L31:L32">
    <cfRule type="containsText" dxfId="4606" priority="4612" operator="containsText" text="%">
      <formula>NOT(ISERROR(SEARCH("%",L31)))</formula>
    </cfRule>
  </conditionalFormatting>
  <conditionalFormatting sqref="L32">
    <cfRule type="containsText" dxfId="4605" priority="4611" operator="containsText" text="%">
      <formula>NOT(ISERROR(SEARCH("%",L32)))</formula>
    </cfRule>
  </conditionalFormatting>
  <conditionalFormatting sqref="L32">
    <cfRule type="containsText" dxfId="4604" priority="4610" operator="containsText" text="%">
      <formula>NOT(ISERROR(SEARCH("%",L32)))</formula>
    </cfRule>
  </conditionalFormatting>
  <conditionalFormatting sqref="L32">
    <cfRule type="containsText" dxfId="4603" priority="4609" operator="containsText" text="%">
      <formula>NOT(ISERROR(SEARCH("%",L32)))</formula>
    </cfRule>
  </conditionalFormatting>
  <conditionalFormatting sqref="L32">
    <cfRule type="containsText" dxfId="4602" priority="4608" operator="containsText" text="%">
      <formula>NOT(ISERROR(SEARCH("%",L32)))</formula>
    </cfRule>
  </conditionalFormatting>
  <conditionalFormatting sqref="L31">
    <cfRule type="containsText" dxfId="4601" priority="4607" operator="containsText" text="%">
      <formula>NOT(ISERROR(SEARCH("%",L31)))</formula>
    </cfRule>
  </conditionalFormatting>
  <conditionalFormatting sqref="L31">
    <cfRule type="containsText" dxfId="4600" priority="4606" operator="containsText" text="%">
      <formula>NOT(ISERROR(SEARCH("%",L31)))</formula>
    </cfRule>
  </conditionalFormatting>
  <conditionalFormatting sqref="L31">
    <cfRule type="containsText" dxfId="4599" priority="4605" operator="containsText" text="%">
      <formula>NOT(ISERROR(SEARCH("%",L31)))</formula>
    </cfRule>
  </conditionalFormatting>
  <conditionalFormatting sqref="L31">
    <cfRule type="containsText" dxfId="4598" priority="4604" operator="containsText" text="%">
      <formula>NOT(ISERROR(SEARCH("%",L31)))</formula>
    </cfRule>
  </conditionalFormatting>
  <conditionalFormatting sqref="L31">
    <cfRule type="containsText" dxfId="4597" priority="4603" operator="containsText" text="%">
      <formula>NOT(ISERROR(SEARCH("%",L31)))</formula>
    </cfRule>
  </conditionalFormatting>
  <conditionalFormatting sqref="L31">
    <cfRule type="containsText" dxfId="4596" priority="4602" operator="containsText" text="%">
      <formula>NOT(ISERROR(SEARCH("%",L31)))</formula>
    </cfRule>
  </conditionalFormatting>
  <conditionalFormatting sqref="L32">
    <cfRule type="containsText" dxfId="4595" priority="4601" operator="containsText" text="%">
      <formula>NOT(ISERROR(SEARCH("%",L32)))</formula>
    </cfRule>
  </conditionalFormatting>
  <conditionalFormatting sqref="L32">
    <cfRule type="containsText" dxfId="4594" priority="4600" operator="containsText" text="%">
      <formula>NOT(ISERROR(SEARCH("%",L32)))</formula>
    </cfRule>
  </conditionalFormatting>
  <conditionalFormatting sqref="L32">
    <cfRule type="containsText" dxfId="4593" priority="4599" operator="containsText" text="%">
      <formula>NOT(ISERROR(SEARCH("%",L32)))</formula>
    </cfRule>
  </conditionalFormatting>
  <conditionalFormatting sqref="L32">
    <cfRule type="containsText" dxfId="4592" priority="4598" operator="containsText" text="%">
      <formula>NOT(ISERROR(SEARCH("%",L32)))</formula>
    </cfRule>
  </conditionalFormatting>
  <conditionalFormatting sqref="L32">
    <cfRule type="containsText" dxfId="4591" priority="4597" operator="containsText" text="%">
      <formula>NOT(ISERROR(SEARCH("%",L32)))</formula>
    </cfRule>
  </conditionalFormatting>
  <conditionalFormatting sqref="L32">
    <cfRule type="containsText" dxfId="4590" priority="4596" operator="containsText" text="%">
      <formula>NOT(ISERROR(SEARCH("%",L32)))</formula>
    </cfRule>
  </conditionalFormatting>
  <conditionalFormatting sqref="L32">
    <cfRule type="containsText" dxfId="4589" priority="4595" operator="containsText" text="%">
      <formula>NOT(ISERROR(SEARCH("%",L32)))</formula>
    </cfRule>
  </conditionalFormatting>
  <conditionalFormatting sqref="L32">
    <cfRule type="containsText" dxfId="4588" priority="4594" operator="containsText" text="%">
      <formula>NOT(ISERROR(SEARCH("%",L32)))</formula>
    </cfRule>
  </conditionalFormatting>
  <conditionalFormatting sqref="L32">
    <cfRule type="containsText" dxfId="4587" priority="4593" operator="containsText" text="%">
      <formula>NOT(ISERROR(SEARCH("%",L32)))</formula>
    </cfRule>
  </conditionalFormatting>
  <conditionalFormatting sqref="L32">
    <cfRule type="containsText" dxfId="4586" priority="4592" operator="containsText" text="%">
      <formula>NOT(ISERROR(SEARCH("%",L32)))</formula>
    </cfRule>
  </conditionalFormatting>
  <conditionalFormatting sqref="L32">
    <cfRule type="containsText" dxfId="4585" priority="4578" operator="containsText" text="%">
      <formula>NOT(ISERROR(SEARCH("%",L32)))</formula>
    </cfRule>
  </conditionalFormatting>
  <conditionalFormatting sqref="L32">
    <cfRule type="containsText" dxfId="4584" priority="4577" operator="containsText" text="%">
      <formula>NOT(ISERROR(SEARCH("%",L32)))</formula>
    </cfRule>
  </conditionalFormatting>
  <conditionalFormatting sqref="L32">
    <cfRule type="containsText" dxfId="4583" priority="4573" operator="containsText" text="%">
      <formula>NOT(ISERROR(SEARCH("%",L32)))</formula>
    </cfRule>
  </conditionalFormatting>
  <conditionalFormatting sqref="L32">
    <cfRule type="containsText" dxfId="4582" priority="4591" operator="containsText" text="%">
      <formula>NOT(ISERROR(SEARCH("%",L32)))</formula>
    </cfRule>
  </conditionalFormatting>
  <conditionalFormatting sqref="L32">
    <cfRule type="containsText" dxfId="4581" priority="4571" operator="containsText" text="%">
      <formula>NOT(ISERROR(SEARCH("%",L32)))</formula>
    </cfRule>
  </conditionalFormatting>
  <conditionalFormatting sqref="L32">
    <cfRule type="containsText" dxfId="4580" priority="4590" operator="containsText" text="%">
      <formula>NOT(ISERROR(SEARCH("%",L32)))</formula>
    </cfRule>
  </conditionalFormatting>
  <conditionalFormatting sqref="L32">
    <cfRule type="containsText" dxfId="4579" priority="4589" operator="containsText" text="%">
      <formula>NOT(ISERROR(SEARCH("%",L32)))</formula>
    </cfRule>
  </conditionalFormatting>
  <conditionalFormatting sqref="L32">
    <cfRule type="containsText" dxfId="4578" priority="4588" operator="containsText" text="%">
      <formula>NOT(ISERROR(SEARCH("%",L32)))</formula>
    </cfRule>
  </conditionalFormatting>
  <conditionalFormatting sqref="L32">
    <cfRule type="containsText" dxfId="4577" priority="4587" operator="containsText" text="%">
      <formula>NOT(ISERROR(SEARCH("%",L32)))</formula>
    </cfRule>
  </conditionalFormatting>
  <conditionalFormatting sqref="L32">
    <cfRule type="containsText" dxfId="4576" priority="4586" operator="containsText" text="%">
      <formula>NOT(ISERROR(SEARCH("%",L32)))</formula>
    </cfRule>
  </conditionalFormatting>
  <conditionalFormatting sqref="L32">
    <cfRule type="containsText" dxfId="4575" priority="4585" operator="containsText" text="%">
      <formula>NOT(ISERROR(SEARCH("%",L32)))</formula>
    </cfRule>
  </conditionalFormatting>
  <conditionalFormatting sqref="L32">
    <cfRule type="containsText" dxfId="4574" priority="4584" operator="containsText" text="%">
      <formula>NOT(ISERROR(SEARCH("%",L32)))</formula>
    </cfRule>
  </conditionalFormatting>
  <conditionalFormatting sqref="L32">
    <cfRule type="containsText" dxfId="4573" priority="4583" operator="containsText" text="%">
      <formula>NOT(ISERROR(SEARCH("%",L32)))</formula>
    </cfRule>
  </conditionalFormatting>
  <conditionalFormatting sqref="L32">
    <cfRule type="containsText" dxfId="4572" priority="4582" operator="containsText" text="%">
      <formula>NOT(ISERROR(SEARCH("%",L32)))</formula>
    </cfRule>
  </conditionalFormatting>
  <conditionalFormatting sqref="L32">
    <cfRule type="containsText" dxfId="4571" priority="4581" operator="containsText" text="%">
      <formula>NOT(ISERROR(SEARCH("%",L32)))</formula>
    </cfRule>
  </conditionalFormatting>
  <conditionalFormatting sqref="L32">
    <cfRule type="containsText" dxfId="4570" priority="4580" operator="containsText" text="%">
      <formula>NOT(ISERROR(SEARCH("%",L32)))</formula>
    </cfRule>
  </conditionalFormatting>
  <conditionalFormatting sqref="L32">
    <cfRule type="containsText" dxfId="4569" priority="4579" operator="containsText" text="%">
      <formula>NOT(ISERROR(SEARCH("%",L32)))</formula>
    </cfRule>
  </conditionalFormatting>
  <conditionalFormatting sqref="L32">
    <cfRule type="containsText" dxfId="4568" priority="4576" operator="containsText" text="%">
      <formula>NOT(ISERROR(SEARCH("%",L32)))</formula>
    </cfRule>
  </conditionalFormatting>
  <conditionalFormatting sqref="L32">
    <cfRule type="containsText" dxfId="4567" priority="4575" operator="containsText" text="%">
      <formula>NOT(ISERROR(SEARCH("%",L32)))</formula>
    </cfRule>
  </conditionalFormatting>
  <conditionalFormatting sqref="L32">
    <cfRule type="containsText" dxfId="4566" priority="4574" operator="containsText" text="%">
      <formula>NOT(ISERROR(SEARCH("%",L32)))</formula>
    </cfRule>
  </conditionalFormatting>
  <conditionalFormatting sqref="L32">
    <cfRule type="containsText" dxfId="4565" priority="4572" operator="containsText" text="%">
      <formula>NOT(ISERROR(SEARCH("%",L32)))</formula>
    </cfRule>
  </conditionalFormatting>
  <conditionalFormatting sqref="L32">
    <cfRule type="containsText" dxfId="4564" priority="4570" operator="containsText" text="%">
      <formula>NOT(ISERROR(SEARCH("%",L32)))</formula>
    </cfRule>
  </conditionalFormatting>
  <conditionalFormatting sqref="L32">
    <cfRule type="containsText" dxfId="4563" priority="4569" operator="containsText" text="%">
      <formula>NOT(ISERROR(SEARCH("%",L32)))</formula>
    </cfRule>
  </conditionalFormatting>
  <conditionalFormatting sqref="L32">
    <cfRule type="containsText" dxfId="4562" priority="4568" operator="containsText" text="%">
      <formula>NOT(ISERROR(SEARCH("%",L32)))</formula>
    </cfRule>
  </conditionalFormatting>
  <conditionalFormatting sqref="L32">
    <cfRule type="containsText" dxfId="4561" priority="4567" operator="containsText" text="%">
      <formula>NOT(ISERROR(SEARCH("%",L32)))</formula>
    </cfRule>
  </conditionalFormatting>
  <conditionalFormatting sqref="L32">
    <cfRule type="containsText" dxfId="4560" priority="4566" operator="containsText" text="%">
      <formula>NOT(ISERROR(SEARCH("%",L32)))</formula>
    </cfRule>
  </conditionalFormatting>
  <conditionalFormatting sqref="L32">
    <cfRule type="containsText" dxfId="4559" priority="4565" operator="containsText" text="%">
      <formula>NOT(ISERROR(SEARCH("%",L32)))</formula>
    </cfRule>
  </conditionalFormatting>
  <conditionalFormatting sqref="L32">
    <cfRule type="containsText" dxfId="4558" priority="4564" operator="containsText" text="%">
      <formula>NOT(ISERROR(SEARCH("%",L32)))</formula>
    </cfRule>
  </conditionalFormatting>
  <conditionalFormatting sqref="L32">
    <cfRule type="containsText" dxfId="4557" priority="4563" operator="containsText" text="%">
      <formula>NOT(ISERROR(SEARCH("%",L32)))</formula>
    </cfRule>
  </conditionalFormatting>
  <conditionalFormatting sqref="L32">
    <cfRule type="containsText" dxfId="4556" priority="4562" operator="containsText" text="%">
      <formula>NOT(ISERROR(SEARCH("%",L32)))</formula>
    </cfRule>
  </conditionalFormatting>
  <conditionalFormatting sqref="L32">
    <cfRule type="containsText" dxfId="4555" priority="4561" operator="containsText" text="%">
      <formula>NOT(ISERROR(SEARCH("%",L32)))</formula>
    </cfRule>
  </conditionalFormatting>
  <conditionalFormatting sqref="L32">
    <cfRule type="containsText" dxfId="4554" priority="4560" operator="containsText" text="%">
      <formula>NOT(ISERROR(SEARCH("%",L32)))</formula>
    </cfRule>
  </conditionalFormatting>
  <conditionalFormatting sqref="L32">
    <cfRule type="containsText" dxfId="4553" priority="4559" operator="containsText" text="%">
      <formula>NOT(ISERROR(SEARCH("%",L32)))</formula>
    </cfRule>
  </conditionalFormatting>
  <conditionalFormatting sqref="L32">
    <cfRule type="containsText" dxfId="4552" priority="4558" operator="containsText" text="%">
      <formula>NOT(ISERROR(SEARCH("%",L32)))</formula>
    </cfRule>
  </conditionalFormatting>
  <conditionalFormatting sqref="L32">
    <cfRule type="containsText" dxfId="4551" priority="4557" operator="containsText" text="%">
      <formula>NOT(ISERROR(SEARCH("%",L32)))</formula>
    </cfRule>
  </conditionalFormatting>
  <conditionalFormatting sqref="L32">
    <cfRule type="containsText" dxfId="4550" priority="4556" operator="containsText" text="%">
      <formula>NOT(ISERROR(SEARCH("%",L32)))</formula>
    </cfRule>
  </conditionalFormatting>
  <conditionalFormatting sqref="L32">
    <cfRule type="containsText" dxfId="4549" priority="4555" operator="containsText" text="%">
      <formula>NOT(ISERROR(SEARCH("%",L32)))</formula>
    </cfRule>
  </conditionalFormatting>
  <conditionalFormatting sqref="L32">
    <cfRule type="containsText" dxfId="4548" priority="4554" operator="containsText" text="%">
      <formula>NOT(ISERROR(SEARCH("%",L32)))</formula>
    </cfRule>
  </conditionalFormatting>
  <conditionalFormatting sqref="L32">
    <cfRule type="containsText" dxfId="4547" priority="4553" operator="containsText" text="%">
      <formula>NOT(ISERROR(SEARCH("%",L32)))</formula>
    </cfRule>
  </conditionalFormatting>
  <conditionalFormatting sqref="L32">
    <cfRule type="containsText" dxfId="4546" priority="4552" operator="containsText" text="%">
      <formula>NOT(ISERROR(SEARCH("%",L32)))</formula>
    </cfRule>
  </conditionalFormatting>
  <conditionalFormatting sqref="L32">
    <cfRule type="containsText" dxfId="4545" priority="4551" operator="containsText" text="%">
      <formula>NOT(ISERROR(SEARCH("%",L32)))</formula>
    </cfRule>
  </conditionalFormatting>
  <conditionalFormatting sqref="L32">
    <cfRule type="containsText" dxfId="4544" priority="4550" operator="containsText" text="%">
      <formula>NOT(ISERROR(SEARCH("%",L32)))</formula>
    </cfRule>
  </conditionalFormatting>
  <conditionalFormatting sqref="L32">
    <cfRule type="containsText" dxfId="4543" priority="4549" operator="containsText" text="%">
      <formula>NOT(ISERROR(SEARCH("%",L32)))</formula>
    </cfRule>
  </conditionalFormatting>
  <conditionalFormatting sqref="L32">
    <cfRule type="containsText" dxfId="4542" priority="4548" operator="containsText" text="%">
      <formula>NOT(ISERROR(SEARCH("%",L32)))</formula>
    </cfRule>
  </conditionalFormatting>
  <conditionalFormatting sqref="L32">
    <cfRule type="containsText" dxfId="4541" priority="4547" operator="containsText" text="%">
      <formula>NOT(ISERROR(SEARCH("%",L32)))</formula>
    </cfRule>
  </conditionalFormatting>
  <conditionalFormatting sqref="L32">
    <cfRule type="containsText" dxfId="4540" priority="4546" operator="containsText" text="%">
      <formula>NOT(ISERROR(SEARCH("%",L32)))</formula>
    </cfRule>
  </conditionalFormatting>
  <conditionalFormatting sqref="L32">
    <cfRule type="containsText" dxfId="4539" priority="4545" operator="containsText" text="%">
      <formula>NOT(ISERROR(SEARCH("%",L32)))</formula>
    </cfRule>
  </conditionalFormatting>
  <conditionalFormatting sqref="L32">
    <cfRule type="containsText" dxfId="4538" priority="4544" operator="containsText" text="%">
      <formula>NOT(ISERROR(SEARCH("%",L32)))</formula>
    </cfRule>
  </conditionalFormatting>
  <conditionalFormatting sqref="L32">
    <cfRule type="containsText" dxfId="4537" priority="4543" operator="containsText" text="%">
      <formula>NOT(ISERROR(SEARCH("%",L32)))</formula>
    </cfRule>
  </conditionalFormatting>
  <conditionalFormatting sqref="L31:L32">
    <cfRule type="containsText" dxfId="4536" priority="4527" operator="containsText" text="%">
      <formula>NOT(ISERROR(SEARCH("%",L31)))</formula>
    </cfRule>
  </conditionalFormatting>
  <conditionalFormatting sqref="L31:L32">
    <cfRule type="containsText" dxfId="4535" priority="4526" operator="containsText" text="%">
      <formula>NOT(ISERROR(SEARCH("%",L31)))</formula>
    </cfRule>
  </conditionalFormatting>
  <conditionalFormatting sqref="L31:L32">
    <cfRule type="containsText" dxfId="4534" priority="4522" operator="containsText" text="%">
      <formula>NOT(ISERROR(SEARCH("%",L31)))</formula>
    </cfRule>
  </conditionalFormatting>
  <conditionalFormatting sqref="L31:L32">
    <cfRule type="containsText" dxfId="4533" priority="4542" operator="containsText" text="%">
      <formula>NOT(ISERROR(SEARCH("%",L31)))</formula>
    </cfRule>
  </conditionalFormatting>
  <conditionalFormatting sqref="L31">
    <cfRule type="containsText" dxfId="4532" priority="4541" operator="containsText" text="%">
      <formula>NOT(ISERROR(SEARCH("%",L31)))</formula>
    </cfRule>
  </conditionalFormatting>
  <conditionalFormatting sqref="L31">
    <cfRule type="containsText" dxfId="4531" priority="4540" operator="containsText" text="%">
      <formula>NOT(ISERROR(SEARCH("%",L31)))</formula>
    </cfRule>
  </conditionalFormatting>
  <conditionalFormatting sqref="L31:L32">
    <cfRule type="containsText" dxfId="4530" priority="4520" operator="containsText" text="%">
      <formula>NOT(ISERROR(SEARCH("%",L31)))</formula>
    </cfRule>
  </conditionalFormatting>
  <conditionalFormatting sqref="L31:L32">
    <cfRule type="containsText" dxfId="4529" priority="4539" operator="containsText" text="%">
      <formula>NOT(ISERROR(SEARCH("%",L31)))</formula>
    </cfRule>
  </conditionalFormatting>
  <conditionalFormatting sqref="L31:L32">
    <cfRule type="containsText" dxfId="4528" priority="4538" operator="containsText" text="%">
      <formula>NOT(ISERROR(SEARCH("%",L31)))</formula>
    </cfRule>
  </conditionalFormatting>
  <conditionalFormatting sqref="L31:L32">
    <cfRule type="containsText" dxfId="4527" priority="4537" operator="containsText" text="%">
      <formula>NOT(ISERROR(SEARCH("%",L31)))</formula>
    </cfRule>
  </conditionalFormatting>
  <conditionalFormatting sqref="L31:L32">
    <cfRule type="containsText" dxfId="4526" priority="4536" operator="containsText" text="%">
      <formula>NOT(ISERROR(SEARCH("%",L31)))</formula>
    </cfRule>
  </conditionalFormatting>
  <conditionalFormatting sqref="L31:L32">
    <cfRule type="containsText" dxfId="4525" priority="4535" operator="containsText" text="%">
      <formula>NOT(ISERROR(SEARCH("%",L31)))</formula>
    </cfRule>
  </conditionalFormatting>
  <conditionalFormatting sqref="L31:L32">
    <cfRule type="containsText" dxfId="4524" priority="4534" operator="containsText" text="%">
      <formula>NOT(ISERROR(SEARCH("%",L31)))</formula>
    </cfRule>
  </conditionalFormatting>
  <conditionalFormatting sqref="L31:L32">
    <cfRule type="containsText" dxfId="4523" priority="4533" operator="containsText" text="%">
      <formula>NOT(ISERROR(SEARCH("%",L31)))</formula>
    </cfRule>
  </conditionalFormatting>
  <conditionalFormatting sqref="L31:L32">
    <cfRule type="containsText" dxfId="4522" priority="4532" operator="containsText" text="%">
      <formula>NOT(ISERROR(SEARCH("%",L31)))</formula>
    </cfRule>
  </conditionalFormatting>
  <conditionalFormatting sqref="L31:L32">
    <cfRule type="containsText" dxfId="4521" priority="4531" operator="containsText" text="%">
      <formula>NOT(ISERROR(SEARCH("%",L31)))</formula>
    </cfRule>
  </conditionalFormatting>
  <conditionalFormatting sqref="L31:L32">
    <cfRule type="containsText" dxfId="4520" priority="4530" operator="containsText" text="%">
      <formula>NOT(ISERROR(SEARCH("%",L31)))</formula>
    </cfRule>
  </conditionalFormatting>
  <conditionalFormatting sqref="L31:L32">
    <cfRule type="containsText" dxfId="4519" priority="4529" operator="containsText" text="%">
      <formula>NOT(ISERROR(SEARCH("%",L31)))</formula>
    </cfRule>
  </conditionalFormatting>
  <conditionalFormatting sqref="L31:L32">
    <cfRule type="containsText" dxfId="4518" priority="4528" operator="containsText" text="%">
      <formula>NOT(ISERROR(SEARCH("%",L31)))</formula>
    </cfRule>
  </conditionalFormatting>
  <conditionalFormatting sqref="L31:L32">
    <cfRule type="containsText" dxfId="4517" priority="4525" operator="containsText" text="%">
      <formula>NOT(ISERROR(SEARCH("%",L31)))</formula>
    </cfRule>
  </conditionalFormatting>
  <conditionalFormatting sqref="L31:L32">
    <cfRule type="containsText" dxfId="4516" priority="4524" operator="containsText" text="%">
      <formula>NOT(ISERROR(SEARCH("%",L31)))</formula>
    </cfRule>
  </conditionalFormatting>
  <conditionalFormatting sqref="L31:L32">
    <cfRule type="containsText" dxfId="4515" priority="4523" operator="containsText" text="%">
      <formula>NOT(ISERROR(SEARCH("%",L31)))</formula>
    </cfRule>
  </conditionalFormatting>
  <conditionalFormatting sqref="L31:L32">
    <cfRule type="containsText" dxfId="4514" priority="4521" operator="containsText" text="%">
      <formula>NOT(ISERROR(SEARCH("%",L31)))</formula>
    </cfRule>
  </conditionalFormatting>
  <conditionalFormatting sqref="L31:L32">
    <cfRule type="containsText" dxfId="4513" priority="4519" operator="containsText" text="%">
      <formula>NOT(ISERROR(SEARCH("%",L31)))</formula>
    </cfRule>
  </conditionalFormatting>
  <conditionalFormatting sqref="L31:L32">
    <cfRule type="containsText" dxfId="4512" priority="4518" operator="containsText" text="%">
      <formula>NOT(ISERROR(SEARCH("%",L31)))</formula>
    </cfRule>
  </conditionalFormatting>
  <conditionalFormatting sqref="L31:L32">
    <cfRule type="containsText" dxfId="4511" priority="4517" operator="containsText" text="%">
      <formula>NOT(ISERROR(SEARCH("%",L31)))</formula>
    </cfRule>
  </conditionalFormatting>
  <conditionalFormatting sqref="L31:L32">
    <cfRule type="containsText" dxfId="4510" priority="4516" operator="containsText" text="%">
      <formula>NOT(ISERROR(SEARCH("%",L31)))</formula>
    </cfRule>
  </conditionalFormatting>
  <conditionalFormatting sqref="L31:L32">
    <cfRule type="containsText" dxfId="4509" priority="4515" operator="containsText" text="%">
      <formula>NOT(ISERROR(SEARCH("%",L31)))</formula>
    </cfRule>
  </conditionalFormatting>
  <conditionalFormatting sqref="L31:L32">
    <cfRule type="containsText" dxfId="4508" priority="4514" operator="containsText" text="%">
      <formula>NOT(ISERROR(SEARCH("%",L31)))</formula>
    </cfRule>
  </conditionalFormatting>
  <conditionalFormatting sqref="L31:L32">
    <cfRule type="containsText" dxfId="4507" priority="4513" operator="containsText" text="%">
      <formula>NOT(ISERROR(SEARCH("%",L31)))</formula>
    </cfRule>
  </conditionalFormatting>
  <conditionalFormatting sqref="L31:L32">
    <cfRule type="containsText" dxfId="4506" priority="4512" operator="containsText" text="%">
      <formula>NOT(ISERROR(SEARCH("%",L31)))</formula>
    </cfRule>
  </conditionalFormatting>
  <conditionalFormatting sqref="L31:L32">
    <cfRule type="containsText" dxfId="4505" priority="4511" operator="containsText" text="%">
      <formula>NOT(ISERROR(SEARCH("%",L31)))</formula>
    </cfRule>
  </conditionalFormatting>
  <conditionalFormatting sqref="L31:L32">
    <cfRule type="containsText" dxfId="4504" priority="4510" operator="containsText" text="%">
      <formula>NOT(ISERROR(SEARCH("%",L31)))</formula>
    </cfRule>
  </conditionalFormatting>
  <conditionalFormatting sqref="L32">
    <cfRule type="containsText" dxfId="4503" priority="4509" operator="containsText" text="%">
      <formula>NOT(ISERROR(SEARCH("%",L32)))</formula>
    </cfRule>
  </conditionalFormatting>
  <conditionalFormatting sqref="L32">
    <cfRule type="containsText" dxfId="4502" priority="4508" operator="containsText" text="%">
      <formula>NOT(ISERROR(SEARCH("%",L32)))</formula>
    </cfRule>
  </conditionalFormatting>
  <conditionalFormatting sqref="L32">
    <cfRule type="containsText" dxfId="4501" priority="4507" operator="containsText" text="%">
      <formula>NOT(ISERROR(SEARCH("%",L32)))</formula>
    </cfRule>
  </conditionalFormatting>
  <conditionalFormatting sqref="L32">
    <cfRule type="containsText" dxfId="4500" priority="4506" operator="containsText" text="%">
      <formula>NOT(ISERROR(SEARCH("%",L32)))</formula>
    </cfRule>
  </conditionalFormatting>
  <conditionalFormatting sqref="L31:L32">
    <cfRule type="containsText" dxfId="4499" priority="4505" operator="containsText" text="%">
      <formula>NOT(ISERROR(SEARCH("%",L31)))</formula>
    </cfRule>
  </conditionalFormatting>
  <conditionalFormatting sqref="L31:L32">
    <cfRule type="containsText" dxfId="4498" priority="4504" operator="containsText" text="%">
      <formula>NOT(ISERROR(SEARCH("%",L31)))</formula>
    </cfRule>
  </conditionalFormatting>
  <conditionalFormatting sqref="L31:L32">
    <cfRule type="containsText" dxfId="4497" priority="4503" operator="containsText" text="%">
      <formula>NOT(ISERROR(SEARCH("%",L31)))</formula>
    </cfRule>
  </conditionalFormatting>
  <conditionalFormatting sqref="L31:L32">
    <cfRule type="containsText" dxfId="4496" priority="4502" operator="containsText" text="%">
      <formula>NOT(ISERROR(SEARCH("%",L31)))</formula>
    </cfRule>
  </conditionalFormatting>
  <conditionalFormatting sqref="L31:L32">
    <cfRule type="containsText" dxfId="4495" priority="4501" operator="containsText" text="%">
      <formula>NOT(ISERROR(SEARCH("%",L31)))</formula>
    </cfRule>
  </conditionalFormatting>
  <conditionalFormatting sqref="L31:L32">
    <cfRule type="containsText" dxfId="4494" priority="4500" operator="containsText" text="%">
      <formula>NOT(ISERROR(SEARCH("%",L31)))</formula>
    </cfRule>
  </conditionalFormatting>
  <conditionalFormatting sqref="L31:L32">
    <cfRule type="containsText" dxfId="4493" priority="4499" operator="containsText" text="%">
      <formula>NOT(ISERROR(SEARCH("%",L31)))</formula>
    </cfRule>
  </conditionalFormatting>
  <conditionalFormatting sqref="L31:L32">
    <cfRule type="containsText" dxfId="4492" priority="4498" operator="containsText" text="%">
      <formula>NOT(ISERROR(SEARCH("%",L31)))</formula>
    </cfRule>
  </conditionalFormatting>
  <conditionalFormatting sqref="L31:L32">
    <cfRule type="containsText" dxfId="4491" priority="4497" operator="containsText" text="%">
      <formula>NOT(ISERROR(SEARCH("%",L31)))</formula>
    </cfRule>
  </conditionalFormatting>
  <conditionalFormatting sqref="L31:L32">
    <cfRule type="containsText" dxfId="4490" priority="4496" operator="containsText" text="%">
      <formula>NOT(ISERROR(SEARCH("%",L31)))</formula>
    </cfRule>
  </conditionalFormatting>
  <conditionalFormatting sqref="L32">
    <cfRule type="containsText" dxfId="4489" priority="4495" operator="containsText" text="%">
      <formula>NOT(ISERROR(SEARCH("%",L32)))</formula>
    </cfRule>
  </conditionalFormatting>
  <conditionalFormatting sqref="L32">
    <cfRule type="containsText" dxfId="4488" priority="4494" operator="containsText" text="%">
      <formula>NOT(ISERROR(SEARCH("%",L32)))</formula>
    </cfRule>
  </conditionalFormatting>
  <conditionalFormatting sqref="L32">
    <cfRule type="containsText" dxfId="4487" priority="4493" operator="containsText" text="%">
      <formula>NOT(ISERROR(SEARCH("%",L32)))</formula>
    </cfRule>
  </conditionalFormatting>
  <conditionalFormatting sqref="L32">
    <cfRule type="containsText" dxfId="4486" priority="4492" operator="containsText" text="%">
      <formula>NOT(ISERROR(SEARCH("%",L32)))</formula>
    </cfRule>
  </conditionalFormatting>
  <conditionalFormatting sqref="L31:L32">
    <cfRule type="containsText" dxfId="4485" priority="4491" operator="containsText" text="%">
      <formula>NOT(ISERROR(SEARCH("%",L31)))</formula>
    </cfRule>
  </conditionalFormatting>
  <conditionalFormatting sqref="L31:L32">
    <cfRule type="containsText" dxfId="4484" priority="4490" operator="containsText" text="%">
      <formula>NOT(ISERROR(SEARCH("%",L31)))</formula>
    </cfRule>
  </conditionalFormatting>
  <conditionalFormatting sqref="L31:L32">
    <cfRule type="containsText" dxfId="4483" priority="4489" operator="containsText" text="%">
      <formula>NOT(ISERROR(SEARCH("%",L31)))</formula>
    </cfRule>
  </conditionalFormatting>
  <conditionalFormatting sqref="L31:L32">
    <cfRule type="containsText" dxfId="4482" priority="4488" operator="containsText" text="%">
      <formula>NOT(ISERROR(SEARCH("%",L31)))</formula>
    </cfRule>
  </conditionalFormatting>
  <conditionalFormatting sqref="L31:L32">
    <cfRule type="containsText" dxfId="4481" priority="4487" operator="containsText" text="%">
      <formula>NOT(ISERROR(SEARCH("%",L31)))</formula>
    </cfRule>
  </conditionalFormatting>
  <conditionalFormatting sqref="L31:L32">
    <cfRule type="containsText" dxfId="4480" priority="4486" operator="containsText" text="%">
      <formula>NOT(ISERROR(SEARCH("%",L31)))</formula>
    </cfRule>
  </conditionalFormatting>
  <conditionalFormatting sqref="L32">
    <cfRule type="containsText" dxfId="4479" priority="4485" operator="containsText" text="%">
      <formula>NOT(ISERROR(SEARCH("%",L32)))</formula>
    </cfRule>
  </conditionalFormatting>
  <conditionalFormatting sqref="L32">
    <cfRule type="containsText" dxfId="4478" priority="4484" operator="containsText" text="%">
      <formula>NOT(ISERROR(SEARCH("%",L32)))</formula>
    </cfRule>
  </conditionalFormatting>
  <conditionalFormatting sqref="L32">
    <cfRule type="containsText" dxfId="4477" priority="4483" operator="containsText" text="%">
      <formula>NOT(ISERROR(SEARCH("%",L32)))</formula>
    </cfRule>
  </conditionalFormatting>
  <conditionalFormatting sqref="L32">
    <cfRule type="containsText" dxfId="4476" priority="4482" operator="containsText" text="%">
      <formula>NOT(ISERROR(SEARCH("%",L32)))</formula>
    </cfRule>
  </conditionalFormatting>
  <conditionalFormatting sqref="L31:L32">
    <cfRule type="containsText" dxfId="4475" priority="4466" operator="containsText" text="%">
      <formula>NOT(ISERROR(SEARCH("%",L31)))</formula>
    </cfRule>
  </conditionalFormatting>
  <conditionalFormatting sqref="L31:L32">
    <cfRule type="containsText" dxfId="4474" priority="4465" operator="containsText" text="%">
      <formula>NOT(ISERROR(SEARCH("%",L31)))</formula>
    </cfRule>
  </conditionalFormatting>
  <conditionalFormatting sqref="L31:L32">
    <cfRule type="containsText" dxfId="4473" priority="4461" operator="containsText" text="%">
      <formula>NOT(ISERROR(SEARCH("%",L31)))</formula>
    </cfRule>
  </conditionalFormatting>
  <conditionalFormatting sqref="L31:L32">
    <cfRule type="containsText" dxfId="4472" priority="4481" operator="containsText" text="%">
      <formula>NOT(ISERROR(SEARCH("%",L31)))</formula>
    </cfRule>
  </conditionalFormatting>
  <conditionalFormatting sqref="L31">
    <cfRule type="containsText" dxfId="4471" priority="4480" operator="containsText" text="%">
      <formula>NOT(ISERROR(SEARCH("%",L31)))</formula>
    </cfRule>
  </conditionalFormatting>
  <conditionalFormatting sqref="L31">
    <cfRule type="containsText" dxfId="4470" priority="4479" operator="containsText" text="%">
      <formula>NOT(ISERROR(SEARCH("%",L31)))</formula>
    </cfRule>
  </conditionalFormatting>
  <conditionalFormatting sqref="L31:L32">
    <cfRule type="containsText" dxfId="4469" priority="4459" operator="containsText" text="%">
      <formula>NOT(ISERROR(SEARCH("%",L31)))</formula>
    </cfRule>
  </conditionalFormatting>
  <conditionalFormatting sqref="L31:L32">
    <cfRule type="containsText" dxfId="4468" priority="4478" operator="containsText" text="%">
      <formula>NOT(ISERROR(SEARCH("%",L31)))</formula>
    </cfRule>
  </conditionalFormatting>
  <conditionalFormatting sqref="L31:L32">
    <cfRule type="containsText" dxfId="4467" priority="4477" operator="containsText" text="%">
      <formula>NOT(ISERROR(SEARCH("%",L31)))</formula>
    </cfRule>
  </conditionalFormatting>
  <conditionalFormatting sqref="L31:L32">
    <cfRule type="containsText" dxfId="4466" priority="4476" operator="containsText" text="%">
      <formula>NOT(ISERROR(SEARCH("%",L31)))</formula>
    </cfRule>
  </conditionalFormatting>
  <conditionalFormatting sqref="L31:L32">
    <cfRule type="containsText" dxfId="4465" priority="4475" operator="containsText" text="%">
      <formula>NOT(ISERROR(SEARCH("%",L31)))</formula>
    </cfRule>
  </conditionalFormatting>
  <conditionalFormatting sqref="L31:L32">
    <cfRule type="containsText" dxfId="4464" priority="4474" operator="containsText" text="%">
      <formula>NOT(ISERROR(SEARCH("%",L31)))</formula>
    </cfRule>
  </conditionalFormatting>
  <conditionalFormatting sqref="L31:L32">
    <cfRule type="containsText" dxfId="4463" priority="4473" operator="containsText" text="%">
      <formula>NOT(ISERROR(SEARCH("%",L31)))</formula>
    </cfRule>
  </conditionalFormatting>
  <conditionalFormatting sqref="L31:L32">
    <cfRule type="containsText" dxfId="4462" priority="4472" operator="containsText" text="%">
      <formula>NOT(ISERROR(SEARCH("%",L31)))</formula>
    </cfRule>
  </conditionalFormatting>
  <conditionalFormatting sqref="L31:L32">
    <cfRule type="containsText" dxfId="4461" priority="4471" operator="containsText" text="%">
      <formula>NOT(ISERROR(SEARCH("%",L31)))</formula>
    </cfRule>
  </conditionalFormatting>
  <conditionalFormatting sqref="L31:L32">
    <cfRule type="containsText" dxfId="4460" priority="4470" operator="containsText" text="%">
      <formula>NOT(ISERROR(SEARCH("%",L31)))</formula>
    </cfRule>
  </conditionalFormatting>
  <conditionalFormatting sqref="L31:L32">
    <cfRule type="containsText" dxfId="4459" priority="4469" operator="containsText" text="%">
      <formula>NOT(ISERROR(SEARCH("%",L31)))</formula>
    </cfRule>
  </conditionalFormatting>
  <conditionalFormatting sqref="L31:L32">
    <cfRule type="containsText" dxfId="4458" priority="4468" operator="containsText" text="%">
      <formula>NOT(ISERROR(SEARCH("%",L31)))</formula>
    </cfRule>
  </conditionalFormatting>
  <conditionalFormatting sqref="L31:L32">
    <cfRule type="containsText" dxfId="4457" priority="4467" operator="containsText" text="%">
      <formula>NOT(ISERROR(SEARCH("%",L31)))</formula>
    </cfRule>
  </conditionalFormatting>
  <conditionalFormatting sqref="L31:L32">
    <cfRule type="containsText" dxfId="4456" priority="4464" operator="containsText" text="%">
      <formula>NOT(ISERROR(SEARCH("%",L31)))</formula>
    </cfRule>
  </conditionalFormatting>
  <conditionalFormatting sqref="L31:L32">
    <cfRule type="containsText" dxfId="4455" priority="4463" operator="containsText" text="%">
      <formula>NOT(ISERROR(SEARCH("%",L31)))</formula>
    </cfRule>
  </conditionalFormatting>
  <conditionalFormatting sqref="L31:L32">
    <cfRule type="containsText" dxfId="4454" priority="4462" operator="containsText" text="%">
      <formula>NOT(ISERROR(SEARCH("%",L31)))</formula>
    </cfRule>
  </conditionalFormatting>
  <conditionalFormatting sqref="L31:L32">
    <cfRule type="containsText" dxfId="4453" priority="4460" operator="containsText" text="%">
      <formula>NOT(ISERROR(SEARCH("%",L31)))</formula>
    </cfRule>
  </conditionalFormatting>
  <conditionalFormatting sqref="L31:L32">
    <cfRule type="containsText" dxfId="4452" priority="4458" operator="containsText" text="%">
      <formula>NOT(ISERROR(SEARCH("%",L31)))</formula>
    </cfRule>
  </conditionalFormatting>
  <conditionalFormatting sqref="L31:L32">
    <cfRule type="containsText" dxfId="4451" priority="4457" operator="containsText" text="%">
      <formula>NOT(ISERROR(SEARCH("%",L31)))</formula>
    </cfRule>
  </conditionalFormatting>
  <conditionalFormatting sqref="L31:L32">
    <cfRule type="containsText" dxfId="4450" priority="4456" operator="containsText" text="%">
      <formula>NOT(ISERROR(SEARCH("%",L31)))</formula>
    </cfRule>
  </conditionalFormatting>
  <conditionalFormatting sqref="L31:L32">
    <cfRule type="containsText" dxfId="4449" priority="4455" operator="containsText" text="%">
      <formula>NOT(ISERROR(SEARCH("%",L31)))</formula>
    </cfRule>
  </conditionalFormatting>
  <conditionalFormatting sqref="L31:L32">
    <cfRule type="containsText" dxfId="4448" priority="4454" operator="containsText" text="%">
      <formula>NOT(ISERROR(SEARCH("%",L31)))</formula>
    </cfRule>
  </conditionalFormatting>
  <conditionalFormatting sqref="L31:L32">
    <cfRule type="containsText" dxfId="4447" priority="4453" operator="containsText" text="%">
      <formula>NOT(ISERROR(SEARCH("%",L31)))</formula>
    </cfRule>
  </conditionalFormatting>
  <conditionalFormatting sqref="L31:L32">
    <cfRule type="containsText" dxfId="4446" priority="4452" operator="containsText" text="%">
      <formula>NOT(ISERROR(SEARCH("%",L31)))</formula>
    </cfRule>
  </conditionalFormatting>
  <conditionalFormatting sqref="L31:L32">
    <cfRule type="containsText" dxfId="4445" priority="4451" operator="containsText" text="%">
      <formula>NOT(ISERROR(SEARCH("%",L31)))</formula>
    </cfRule>
  </conditionalFormatting>
  <conditionalFormatting sqref="L31:L32">
    <cfRule type="containsText" dxfId="4444" priority="4450" operator="containsText" text="%">
      <formula>NOT(ISERROR(SEARCH("%",L31)))</formula>
    </cfRule>
  </conditionalFormatting>
  <conditionalFormatting sqref="L31:L32">
    <cfRule type="containsText" dxfId="4443" priority="4449" operator="containsText" text="%">
      <formula>NOT(ISERROR(SEARCH("%",L31)))</formula>
    </cfRule>
  </conditionalFormatting>
  <conditionalFormatting sqref="L32">
    <cfRule type="containsText" dxfId="4442" priority="4448" operator="containsText" text="%">
      <formula>NOT(ISERROR(SEARCH("%",L32)))</formula>
    </cfRule>
  </conditionalFormatting>
  <conditionalFormatting sqref="L32">
    <cfRule type="containsText" dxfId="4441" priority="4447" operator="containsText" text="%">
      <formula>NOT(ISERROR(SEARCH("%",L32)))</formula>
    </cfRule>
  </conditionalFormatting>
  <conditionalFormatting sqref="L32">
    <cfRule type="containsText" dxfId="4440" priority="4446" operator="containsText" text="%">
      <formula>NOT(ISERROR(SEARCH("%",L32)))</formula>
    </cfRule>
  </conditionalFormatting>
  <conditionalFormatting sqref="L32">
    <cfRule type="containsText" dxfId="4439" priority="4445" operator="containsText" text="%">
      <formula>NOT(ISERROR(SEARCH("%",L32)))</formula>
    </cfRule>
  </conditionalFormatting>
  <conditionalFormatting sqref="L31:L32">
    <cfRule type="containsText" dxfId="4438" priority="4444" operator="containsText" text="%">
      <formula>NOT(ISERROR(SEARCH("%",L31)))</formula>
    </cfRule>
  </conditionalFormatting>
  <conditionalFormatting sqref="L31:L32">
    <cfRule type="containsText" dxfId="4437" priority="4443" operator="containsText" text="%">
      <formula>NOT(ISERROR(SEARCH("%",L31)))</formula>
    </cfRule>
  </conditionalFormatting>
  <conditionalFormatting sqref="L31:L32">
    <cfRule type="containsText" dxfId="4436" priority="4442" operator="containsText" text="%">
      <formula>NOT(ISERROR(SEARCH("%",L31)))</formula>
    </cfRule>
  </conditionalFormatting>
  <conditionalFormatting sqref="L31:L32">
    <cfRule type="containsText" dxfId="4435" priority="4441" operator="containsText" text="%">
      <formula>NOT(ISERROR(SEARCH("%",L31)))</formula>
    </cfRule>
  </conditionalFormatting>
  <conditionalFormatting sqref="L31:L32">
    <cfRule type="containsText" dxfId="4434" priority="4440" operator="containsText" text="%">
      <formula>NOT(ISERROR(SEARCH("%",L31)))</formula>
    </cfRule>
  </conditionalFormatting>
  <conditionalFormatting sqref="L31:L32">
    <cfRule type="containsText" dxfId="4433" priority="4439" operator="containsText" text="%">
      <formula>NOT(ISERROR(SEARCH("%",L31)))</formula>
    </cfRule>
  </conditionalFormatting>
  <conditionalFormatting sqref="L31:L32">
    <cfRule type="containsText" dxfId="4432" priority="4438" operator="containsText" text="%">
      <formula>NOT(ISERROR(SEARCH("%",L31)))</formula>
    </cfRule>
  </conditionalFormatting>
  <conditionalFormatting sqref="L31:L32">
    <cfRule type="containsText" dxfId="4431" priority="4437" operator="containsText" text="%">
      <formula>NOT(ISERROR(SEARCH("%",L31)))</formula>
    </cfRule>
  </conditionalFormatting>
  <conditionalFormatting sqref="L31:L32">
    <cfRule type="containsText" dxfId="4430" priority="4436" operator="containsText" text="%">
      <formula>NOT(ISERROR(SEARCH("%",L31)))</formula>
    </cfRule>
  </conditionalFormatting>
  <conditionalFormatting sqref="L31:L32">
    <cfRule type="containsText" dxfId="4429" priority="4435" operator="containsText" text="%">
      <formula>NOT(ISERROR(SEARCH("%",L31)))</formula>
    </cfRule>
  </conditionalFormatting>
  <conditionalFormatting sqref="L32">
    <cfRule type="containsText" dxfId="4428" priority="4434" operator="containsText" text="%">
      <formula>NOT(ISERROR(SEARCH("%",L32)))</formula>
    </cfRule>
  </conditionalFormatting>
  <conditionalFormatting sqref="L32">
    <cfRule type="containsText" dxfId="4427" priority="4433" operator="containsText" text="%">
      <formula>NOT(ISERROR(SEARCH("%",L32)))</formula>
    </cfRule>
  </conditionalFormatting>
  <conditionalFormatting sqref="L32">
    <cfRule type="containsText" dxfId="4426" priority="4432" operator="containsText" text="%">
      <formula>NOT(ISERROR(SEARCH("%",L32)))</formula>
    </cfRule>
  </conditionalFormatting>
  <conditionalFormatting sqref="L32">
    <cfRule type="containsText" dxfId="4425" priority="4431" operator="containsText" text="%">
      <formula>NOT(ISERROR(SEARCH("%",L32)))</formula>
    </cfRule>
  </conditionalFormatting>
  <conditionalFormatting sqref="L31">
    <cfRule type="containsText" dxfId="4424" priority="4430" operator="containsText" text="%">
      <formula>NOT(ISERROR(SEARCH("%",L31)))</formula>
    </cfRule>
  </conditionalFormatting>
  <conditionalFormatting sqref="L31">
    <cfRule type="containsText" dxfId="4423" priority="4429" operator="containsText" text="%">
      <formula>NOT(ISERROR(SEARCH("%",L31)))</formula>
    </cfRule>
  </conditionalFormatting>
  <conditionalFormatting sqref="L31">
    <cfRule type="containsText" dxfId="4422" priority="4428" operator="containsText" text="%">
      <formula>NOT(ISERROR(SEARCH("%",L31)))</formula>
    </cfRule>
  </conditionalFormatting>
  <conditionalFormatting sqref="L31">
    <cfRule type="containsText" dxfId="4421" priority="4427" operator="containsText" text="%">
      <formula>NOT(ISERROR(SEARCH("%",L31)))</formula>
    </cfRule>
  </conditionalFormatting>
  <conditionalFormatting sqref="L31">
    <cfRule type="containsText" dxfId="4420" priority="4426" operator="containsText" text="%">
      <formula>NOT(ISERROR(SEARCH("%",L31)))</formula>
    </cfRule>
  </conditionalFormatting>
  <conditionalFormatting sqref="L31">
    <cfRule type="containsText" dxfId="4419" priority="4425" operator="containsText" text="%">
      <formula>NOT(ISERROR(SEARCH("%",L31)))</formula>
    </cfRule>
  </conditionalFormatting>
  <conditionalFormatting sqref="L32">
    <cfRule type="containsText" dxfId="4418" priority="4424" operator="containsText" text="%">
      <formula>NOT(ISERROR(SEARCH("%",L32)))</formula>
    </cfRule>
  </conditionalFormatting>
  <conditionalFormatting sqref="L32">
    <cfRule type="containsText" dxfId="4417" priority="4423" operator="containsText" text="%">
      <formula>NOT(ISERROR(SEARCH("%",L32)))</formula>
    </cfRule>
  </conditionalFormatting>
  <conditionalFormatting sqref="L32">
    <cfRule type="containsText" dxfId="4416" priority="4422" operator="containsText" text="%">
      <formula>NOT(ISERROR(SEARCH("%",L32)))</formula>
    </cfRule>
  </conditionalFormatting>
  <conditionalFormatting sqref="L32">
    <cfRule type="containsText" dxfId="4415" priority="4421" operator="containsText" text="%">
      <formula>NOT(ISERROR(SEARCH("%",L32)))</formula>
    </cfRule>
  </conditionalFormatting>
  <conditionalFormatting sqref="L32">
    <cfRule type="containsText" dxfId="4414" priority="4420" operator="containsText" text="%">
      <formula>NOT(ISERROR(SEARCH("%",L32)))</formula>
    </cfRule>
  </conditionalFormatting>
  <conditionalFormatting sqref="L32">
    <cfRule type="containsText" dxfId="4413" priority="4419" operator="containsText" text="%">
      <formula>NOT(ISERROR(SEARCH("%",L32)))</formula>
    </cfRule>
  </conditionalFormatting>
  <conditionalFormatting sqref="L32">
    <cfRule type="containsText" dxfId="4412" priority="4418" operator="containsText" text="%">
      <formula>NOT(ISERROR(SEARCH("%",L32)))</formula>
    </cfRule>
  </conditionalFormatting>
  <conditionalFormatting sqref="L32">
    <cfRule type="containsText" dxfId="4411" priority="4417" operator="containsText" text="%">
      <formula>NOT(ISERROR(SEARCH("%",L32)))</formula>
    </cfRule>
  </conditionalFormatting>
  <conditionalFormatting sqref="L32">
    <cfRule type="containsText" dxfId="4410" priority="4416" operator="containsText" text="%">
      <formula>NOT(ISERROR(SEARCH("%",L32)))</formula>
    </cfRule>
  </conditionalFormatting>
  <conditionalFormatting sqref="L32">
    <cfRule type="containsText" dxfId="4409" priority="4415" operator="containsText" text="%">
      <formula>NOT(ISERROR(SEARCH("%",L32)))</formula>
    </cfRule>
  </conditionalFormatting>
  <conditionalFormatting sqref="L32">
    <cfRule type="containsText" dxfId="4408" priority="4401" operator="containsText" text="%">
      <formula>NOT(ISERROR(SEARCH("%",L32)))</formula>
    </cfRule>
  </conditionalFormatting>
  <conditionalFormatting sqref="L32">
    <cfRule type="containsText" dxfId="4407" priority="4400" operator="containsText" text="%">
      <formula>NOT(ISERROR(SEARCH("%",L32)))</formula>
    </cfRule>
  </conditionalFormatting>
  <conditionalFormatting sqref="L32">
    <cfRule type="containsText" dxfId="4406" priority="4396" operator="containsText" text="%">
      <formula>NOT(ISERROR(SEARCH("%",L32)))</formula>
    </cfRule>
  </conditionalFormatting>
  <conditionalFormatting sqref="L32">
    <cfRule type="containsText" dxfId="4405" priority="4414" operator="containsText" text="%">
      <formula>NOT(ISERROR(SEARCH("%",L32)))</formula>
    </cfRule>
  </conditionalFormatting>
  <conditionalFormatting sqref="L32">
    <cfRule type="containsText" dxfId="4404" priority="4394" operator="containsText" text="%">
      <formula>NOT(ISERROR(SEARCH("%",L32)))</formula>
    </cfRule>
  </conditionalFormatting>
  <conditionalFormatting sqref="L32">
    <cfRule type="containsText" dxfId="4403" priority="4413" operator="containsText" text="%">
      <formula>NOT(ISERROR(SEARCH("%",L32)))</formula>
    </cfRule>
  </conditionalFormatting>
  <conditionalFormatting sqref="L32">
    <cfRule type="containsText" dxfId="4402" priority="4412" operator="containsText" text="%">
      <formula>NOT(ISERROR(SEARCH("%",L32)))</formula>
    </cfRule>
  </conditionalFormatting>
  <conditionalFormatting sqref="L32">
    <cfRule type="containsText" dxfId="4401" priority="4411" operator="containsText" text="%">
      <formula>NOT(ISERROR(SEARCH("%",L32)))</formula>
    </cfRule>
  </conditionalFormatting>
  <conditionalFormatting sqref="L32">
    <cfRule type="containsText" dxfId="4400" priority="4410" operator="containsText" text="%">
      <formula>NOT(ISERROR(SEARCH("%",L32)))</formula>
    </cfRule>
  </conditionalFormatting>
  <conditionalFormatting sqref="L32">
    <cfRule type="containsText" dxfId="4399" priority="4409" operator="containsText" text="%">
      <formula>NOT(ISERROR(SEARCH("%",L32)))</formula>
    </cfRule>
  </conditionalFormatting>
  <conditionalFormatting sqref="L32">
    <cfRule type="containsText" dxfId="4398" priority="4408" operator="containsText" text="%">
      <formula>NOT(ISERROR(SEARCH("%",L32)))</formula>
    </cfRule>
  </conditionalFormatting>
  <conditionalFormatting sqref="L32">
    <cfRule type="containsText" dxfId="4397" priority="4407" operator="containsText" text="%">
      <formula>NOT(ISERROR(SEARCH("%",L32)))</formula>
    </cfRule>
  </conditionalFormatting>
  <conditionalFormatting sqref="L32">
    <cfRule type="containsText" dxfId="4396" priority="4406" operator="containsText" text="%">
      <formula>NOT(ISERROR(SEARCH("%",L32)))</formula>
    </cfRule>
  </conditionalFormatting>
  <conditionalFormatting sqref="L32">
    <cfRule type="containsText" dxfId="4395" priority="4405" operator="containsText" text="%">
      <formula>NOT(ISERROR(SEARCH("%",L32)))</formula>
    </cfRule>
  </conditionalFormatting>
  <conditionalFormatting sqref="L32">
    <cfRule type="containsText" dxfId="4394" priority="4404" operator="containsText" text="%">
      <formula>NOT(ISERROR(SEARCH("%",L32)))</formula>
    </cfRule>
  </conditionalFormatting>
  <conditionalFormatting sqref="L32">
    <cfRule type="containsText" dxfId="4393" priority="4403" operator="containsText" text="%">
      <formula>NOT(ISERROR(SEARCH("%",L32)))</formula>
    </cfRule>
  </conditionalFormatting>
  <conditionalFormatting sqref="L32">
    <cfRule type="containsText" dxfId="4392" priority="4402" operator="containsText" text="%">
      <formula>NOT(ISERROR(SEARCH("%",L32)))</formula>
    </cfRule>
  </conditionalFormatting>
  <conditionalFormatting sqref="L32">
    <cfRule type="containsText" dxfId="4391" priority="4399" operator="containsText" text="%">
      <formula>NOT(ISERROR(SEARCH("%",L32)))</formula>
    </cfRule>
  </conditionalFormatting>
  <conditionalFormatting sqref="L32">
    <cfRule type="containsText" dxfId="4390" priority="4398" operator="containsText" text="%">
      <formula>NOT(ISERROR(SEARCH("%",L32)))</formula>
    </cfRule>
  </conditionalFormatting>
  <conditionalFormatting sqref="L32">
    <cfRule type="containsText" dxfId="4389" priority="4397" operator="containsText" text="%">
      <formula>NOT(ISERROR(SEARCH("%",L32)))</formula>
    </cfRule>
  </conditionalFormatting>
  <conditionalFormatting sqref="L32">
    <cfRule type="containsText" dxfId="4388" priority="4395" operator="containsText" text="%">
      <formula>NOT(ISERROR(SEARCH("%",L32)))</formula>
    </cfRule>
  </conditionalFormatting>
  <conditionalFormatting sqref="L32">
    <cfRule type="containsText" dxfId="4387" priority="4393" operator="containsText" text="%">
      <formula>NOT(ISERROR(SEARCH("%",L32)))</formula>
    </cfRule>
  </conditionalFormatting>
  <conditionalFormatting sqref="L32">
    <cfRule type="containsText" dxfId="4386" priority="4392" operator="containsText" text="%">
      <formula>NOT(ISERROR(SEARCH("%",L32)))</formula>
    </cfRule>
  </conditionalFormatting>
  <conditionalFormatting sqref="L32">
    <cfRule type="containsText" dxfId="4385" priority="4391" operator="containsText" text="%">
      <formula>NOT(ISERROR(SEARCH("%",L32)))</formula>
    </cfRule>
  </conditionalFormatting>
  <conditionalFormatting sqref="L32">
    <cfRule type="containsText" dxfId="4384" priority="4390" operator="containsText" text="%">
      <formula>NOT(ISERROR(SEARCH("%",L32)))</formula>
    </cfRule>
  </conditionalFormatting>
  <conditionalFormatting sqref="L32">
    <cfRule type="containsText" dxfId="4383" priority="4389" operator="containsText" text="%">
      <formula>NOT(ISERROR(SEARCH("%",L32)))</formula>
    </cfRule>
  </conditionalFormatting>
  <conditionalFormatting sqref="L32">
    <cfRule type="containsText" dxfId="4382" priority="4388" operator="containsText" text="%">
      <formula>NOT(ISERROR(SEARCH("%",L32)))</formula>
    </cfRule>
  </conditionalFormatting>
  <conditionalFormatting sqref="L32">
    <cfRule type="containsText" dxfId="4381" priority="4387" operator="containsText" text="%">
      <formula>NOT(ISERROR(SEARCH("%",L32)))</formula>
    </cfRule>
  </conditionalFormatting>
  <conditionalFormatting sqref="L32">
    <cfRule type="containsText" dxfId="4380" priority="4386" operator="containsText" text="%">
      <formula>NOT(ISERROR(SEARCH("%",L32)))</formula>
    </cfRule>
  </conditionalFormatting>
  <conditionalFormatting sqref="L32">
    <cfRule type="containsText" dxfId="4379" priority="4385" operator="containsText" text="%">
      <formula>NOT(ISERROR(SEARCH("%",L32)))</formula>
    </cfRule>
  </conditionalFormatting>
  <conditionalFormatting sqref="L32">
    <cfRule type="containsText" dxfId="4378" priority="4384" operator="containsText" text="%">
      <formula>NOT(ISERROR(SEARCH("%",L32)))</formula>
    </cfRule>
  </conditionalFormatting>
  <conditionalFormatting sqref="L32">
    <cfRule type="containsText" dxfId="4377" priority="4383" operator="containsText" text="%">
      <formula>NOT(ISERROR(SEARCH("%",L32)))</formula>
    </cfRule>
  </conditionalFormatting>
  <conditionalFormatting sqref="L32">
    <cfRule type="containsText" dxfId="4376" priority="4382" operator="containsText" text="%">
      <formula>NOT(ISERROR(SEARCH("%",L32)))</formula>
    </cfRule>
  </conditionalFormatting>
  <conditionalFormatting sqref="L32">
    <cfRule type="containsText" dxfId="4375" priority="4381" operator="containsText" text="%">
      <formula>NOT(ISERROR(SEARCH("%",L32)))</formula>
    </cfRule>
  </conditionalFormatting>
  <conditionalFormatting sqref="L32">
    <cfRule type="containsText" dxfId="4374" priority="4380" operator="containsText" text="%">
      <formula>NOT(ISERROR(SEARCH("%",L32)))</formula>
    </cfRule>
  </conditionalFormatting>
  <conditionalFormatting sqref="L32">
    <cfRule type="containsText" dxfId="4373" priority="4379" operator="containsText" text="%">
      <formula>NOT(ISERROR(SEARCH("%",L32)))</formula>
    </cfRule>
  </conditionalFormatting>
  <conditionalFormatting sqref="L32">
    <cfRule type="containsText" dxfId="4372" priority="4378" operator="containsText" text="%">
      <formula>NOT(ISERROR(SEARCH("%",L32)))</formula>
    </cfRule>
  </conditionalFormatting>
  <conditionalFormatting sqref="L32">
    <cfRule type="containsText" dxfId="4371" priority="4377" operator="containsText" text="%">
      <formula>NOT(ISERROR(SEARCH("%",L32)))</formula>
    </cfRule>
  </conditionalFormatting>
  <conditionalFormatting sqref="L32">
    <cfRule type="containsText" dxfId="4370" priority="4376" operator="containsText" text="%">
      <formula>NOT(ISERROR(SEARCH("%",L32)))</formula>
    </cfRule>
  </conditionalFormatting>
  <conditionalFormatting sqref="L32">
    <cfRule type="containsText" dxfId="4369" priority="4375" operator="containsText" text="%">
      <formula>NOT(ISERROR(SEARCH("%",L32)))</formula>
    </cfRule>
  </conditionalFormatting>
  <conditionalFormatting sqref="L32">
    <cfRule type="containsText" dxfId="4368" priority="4374" operator="containsText" text="%">
      <formula>NOT(ISERROR(SEARCH("%",L32)))</formula>
    </cfRule>
  </conditionalFormatting>
  <conditionalFormatting sqref="L32">
    <cfRule type="containsText" dxfId="4367" priority="4373" operator="containsText" text="%">
      <formula>NOT(ISERROR(SEARCH("%",L32)))</formula>
    </cfRule>
  </conditionalFormatting>
  <conditionalFormatting sqref="L32">
    <cfRule type="containsText" dxfId="4366" priority="4372" operator="containsText" text="%">
      <formula>NOT(ISERROR(SEARCH("%",L32)))</formula>
    </cfRule>
  </conditionalFormatting>
  <conditionalFormatting sqref="L32">
    <cfRule type="containsText" dxfId="4365" priority="4371" operator="containsText" text="%">
      <formula>NOT(ISERROR(SEARCH("%",L32)))</formula>
    </cfRule>
  </conditionalFormatting>
  <conditionalFormatting sqref="L32">
    <cfRule type="containsText" dxfId="4364" priority="4370" operator="containsText" text="%">
      <formula>NOT(ISERROR(SEARCH("%",L32)))</formula>
    </cfRule>
  </conditionalFormatting>
  <conditionalFormatting sqref="L32">
    <cfRule type="containsText" dxfId="4363" priority="4369" operator="containsText" text="%">
      <formula>NOT(ISERROR(SEARCH("%",L32)))</formula>
    </cfRule>
  </conditionalFormatting>
  <conditionalFormatting sqref="L32">
    <cfRule type="containsText" dxfId="4362" priority="4368" operator="containsText" text="%">
      <formula>NOT(ISERROR(SEARCH("%",L32)))</formula>
    </cfRule>
  </conditionalFormatting>
  <conditionalFormatting sqref="L32">
    <cfRule type="containsText" dxfId="4361" priority="4367" operator="containsText" text="%">
      <formula>NOT(ISERROR(SEARCH("%",L32)))</formula>
    </cfRule>
  </conditionalFormatting>
  <conditionalFormatting sqref="L32">
    <cfRule type="containsText" dxfId="4360" priority="4366" operator="containsText" text="%">
      <formula>NOT(ISERROR(SEARCH("%",L32)))</formula>
    </cfRule>
  </conditionalFormatting>
  <conditionalFormatting sqref="M31:M32">
    <cfRule type="containsText" dxfId="4359" priority="4365" operator="containsText" text="%">
      <formula>NOT(ISERROR(SEARCH("%",M31)))</formula>
    </cfRule>
  </conditionalFormatting>
  <conditionalFormatting sqref="M31:M32">
    <cfRule type="containsText" dxfId="4358" priority="4364" operator="containsText" text="%">
      <formula>NOT(ISERROR(SEARCH("%",M31)))</formula>
    </cfRule>
  </conditionalFormatting>
  <conditionalFormatting sqref="M31:M32">
    <cfRule type="containsText" dxfId="4357" priority="4363" operator="containsText" text="%">
      <formula>NOT(ISERROR(SEARCH("%",M31)))</formula>
    </cfRule>
  </conditionalFormatting>
  <conditionalFormatting sqref="M31:M32">
    <cfRule type="containsText" dxfId="4356" priority="4362" operator="containsText" text="%">
      <formula>NOT(ISERROR(SEARCH("%",M31)))</formula>
    </cfRule>
  </conditionalFormatting>
  <conditionalFormatting sqref="M31:M32">
    <cfRule type="containsText" dxfId="4355" priority="4361" operator="containsText" text="%">
      <formula>NOT(ISERROR(SEARCH("%",M31)))</formula>
    </cfRule>
  </conditionalFormatting>
  <conditionalFormatting sqref="M31:M32">
    <cfRule type="containsText" dxfId="4354" priority="4360" operator="containsText" text="%">
      <formula>NOT(ISERROR(SEARCH("%",M31)))</formula>
    </cfRule>
  </conditionalFormatting>
  <conditionalFormatting sqref="M31:M32">
    <cfRule type="containsText" dxfId="4353" priority="4344" operator="containsText" text="%">
      <formula>NOT(ISERROR(SEARCH("%",M31)))</formula>
    </cfRule>
  </conditionalFormatting>
  <conditionalFormatting sqref="M31:M32">
    <cfRule type="containsText" dxfId="4352" priority="4343" operator="containsText" text="%">
      <formula>NOT(ISERROR(SEARCH("%",M31)))</formula>
    </cfRule>
  </conditionalFormatting>
  <conditionalFormatting sqref="M31:M32">
    <cfRule type="containsText" dxfId="4351" priority="4339" operator="containsText" text="%">
      <formula>NOT(ISERROR(SEARCH("%",M31)))</formula>
    </cfRule>
  </conditionalFormatting>
  <conditionalFormatting sqref="M31:M32">
    <cfRule type="containsText" dxfId="4350" priority="4359" operator="containsText" text="%">
      <formula>NOT(ISERROR(SEARCH("%",M31)))</formula>
    </cfRule>
  </conditionalFormatting>
  <conditionalFormatting sqref="M31">
    <cfRule type="containsText" dxfId="4349" priority="4358" operator="containsText" text="%">
      <formula>NOT(ISERROR(SEARCH("%",M31)))</formula>
    </cfRule>
  </conditionalFormatting>
  <conditionalFormatting sqref="M31">
    <cfRule type="containsText" dxfId="4348" priority="4357" operator="containsText" text="%">
      <formula>NOT(ISERROR(SEARCH("%",M31)))</formula>
    </cfRule>
  </conditionalFormatting>
  <conditionalFormatting sqref="M31:M32">
    <cfRule type="containsText" dxfId="4347" priority="4337" operator="containsText" text="%">
      <formula>NOT(ISERROR(SEARCH("%",M31)))</formula>
    </cfRule>
  </conditionalFormatting>
  <conditionalFormatting sqref="M31:M32">
    <cfRule type="containsText" dxfId="4346" priority="4356" operator="containsText" text="%">
      <formula>NOT(ISERROR(SEARCH("%",M31)))</formula>
    </cfRule>
  </conditionalFormatting>
  <conditionalFormatting sqref="M31:M32">
    <cfRule type="containsText" dxfId="4345" priority="4355" operator="containsText" text="%">
      <formula>NOT(ISERROR(SEARCH("%",M31)))</formula>
    </cfRule>
  </conditionalFormatting>
  <conditionalFormatting sqref="M31:M32">
    <cfRule type="containsText" dxfId="4344" priority="4354" operator="containsText" text="%">
      <formula>NOT(ISERROR(SEARCH("%",M31)))</formula>
    </cfRule>
  </conditionalFormatting>
  <conditionalFormatting sqref="M31:M32">
    <cfRule type="containsText" dxfId="4343" priority="4353" operator="containsText" text="%">
      <formula>NOT(ISERROR(SEARCH("%",M31)))</formula>
    </cfRule>
  </conditionalFormatting>
  <conditionalFormatting sqref="M31:M32">
    <cfRule type="containsText" dxfId="4342" priority="4352" operator="containsText" text="%">
      <formula>NOT(ISERROR(SEARCH("%",M31)))</formula>
    </cfRule>
  </conditionalFormatting>
  <conditionalFormatting sqref="M31:M32">
    <cfRule type="containsText" dxfId="4341" priority="4351" operator="containsText" text="%">
      <formula>NOT(ISERROR(SEARCH("%",M31)))</formula>
    </cfRule>
  </conditionalFormatting>
  <conditionalFormatting sqref="M31:M32">
    <cfRule type="containsText" dxfId="4340" priority="4350" operator="containsText" text="%">
      <formula>NOT(ISERROR(SEARCH("%",M31)))</formula>
    </cfRule>
  </conditionalFormatting>
  <conditionalFormatting sqref="M31:M32">
    <cfRule type="containsText" dxfId="4339" priority="4349" operator="containsText" text="%">
      <formula>NOT(ISERROR(SEARCH("%",M31)))</formula>
    </cfRule>
  </conditionalFormatting>
  <conditionalFormatting sqref="M31:M32">
    <cfRule type="containsText" dxfId="4338" priority="4348" operator="containsText" text="%">
      <formula>NOT(ISERROR(SEARCH("%",M31)))</formula>
    </cfRule>
  </conditionalFormatting>
  <conditionalFormatting sqref="M31:M32">
    <cfRule type="containsText" dxfId="4337" priority="4347" operator="containsText" text="%">
      <formula>NOT(ISERROR(SEARCH("%",M31)))</formula>
    </cfRule>
  </conditionalFormatting>
  <conditionalFormatting sqref="M31:M32">
    <cfRule type="containsText" dxfId="4336" priority="4346" operator="containsText" text="%">
      <formula>NOT(ISERROR(SEARCH("%",M31)))</formula>
    </cfRule>
  </conditionalFormatting>
  <conditionalFormatting sqref="M31:M32">
    <cfRule type="containsText" dxfId="4335" priority="4345" operator="containsText" text="%">
      <formula>NOT(ISERROR(SEARCH("%",M31)))</formula>
    </cfRule>
  </conditionalFormatting>
  <conditionalFormatting sqref="M31:M32">
    <cfRule type="containsText" dxfId="4334" priority="4342" operator="containsText" text="%">
      <formula>NOT(ISERROR(SEARCH("%",M31)))</formula>
    </cfRule>
  </conditionalFormatting>
  <conditionalFormatting sqref="M31:M32">
    <cfRule type="containsText" dxfId="4333" priority="4341" operator="containsText" text="%">
      <formula>NOT(ISERROR(SEARCH("%",M31)))</formula>
    </cfRule>
  </conditionalFormatting>
  <conditionalFormatting sqref="M31:M32">
    <cfRule type="containsText" dxfId="4332" priority="4340" operator="containsText" text="%">
      <formula>NOT(ISERROR(SEARCH("%",M31)))</formula>
    </cfRule>
  </conditionalFormatting>
  <conditionalFormatting sqref="M31:M32">
    <cfRule type="containsText" dxfId="4331" priority="4338" operator="containsText" text="%">
      <formula>NOT(ISERROR(SEARCH("%",M31)))</formula>
    </cfRule>
  </conditionalFormatting>
  <conditionalFormatting sqref="M31:M32">
    <cfRule type="containsText" dxfId="4330" priority="4336" operator="containsText" text="%">
      <formula>NOT(ISERROR(SEARCH("%",M31)))</formula>
    </cfRule>
  </conditionalFormatting>
  <conditionalFormatting sqref="M31:M32">
    <cfRule type="containsText" dxfId="4329" priority="4335" operator="containsText" text="%">
      <formula>NOT(ISERROR(SEARCH("%",M31)))</formula>
    </cfRule>
  </conditionalFormatting>
  <conditionalFormatting sqref="M31:M32">
    <cfRule type="containsText" dxfId="4328" priority="4334" operator="containsText" text="%">
      <formula>NOT(ISERROR(SEARCH("%",M31)))</formula>
    </cfRule>
  </conditionalFormatting>
  <conditionalFormatting sqref="M31:M32">
    <cfRule type="containsText" dxfId="4327" priority="4333" operator="containsText" text="%">
      <formula>NOT(ISERROR(SEARCH("%",M31)))</formula>
    </cfRule>
  </conditionalFormatting>
  <conditionalFormatting sqref="M31:M32">
    <cfRule type="containsText" dxfId="4326" priority="4332" operator="containsText" text="%">
      <formula>NOT(ISERROR(SEARCH("%",M31)))</formula>
    </cfRule>
  </conditionalFormatting>
  <conditionalFormatting sqref="M31:M32">
    <cfRule type="containsText" dxfId="4325" priority="4331" operator="containsText" text="%">
      <formula>NOT(ISERROR(SEARCH("%",M31)))</formula>
    </cfRule>
  </conditionalFormatting>
  <conditionalFormatting sqref="M31:M32">
    <cfRule type="containsText" dxfId="4324" priority="4330" operator="containsText" text="%">
      <formula>NOT(ISERROR(SEARCH("%",M31)))</formula>
    </cfRule>
  </conditionalFormatting>
  <conditionalFormatting sqref="M31:M32">
    <cfRule type="containsText" dxfId="4323" priority="4329" operator="containsText" text="%">
      <formula>NOT(ISERROR(SEARCH("%",M31)))</formula>
    </cfRule>
  </conditionalFormatting>
  <conditionalFormatting sqref="M31:M32">
    <cfRule type="containsText" dxfId="4322" priority="4328" operator="containsText" text="%">
      <formula>NOT(ISERROR(SEARCH("%",M31)))</formula>
    </cfRule>
  </conditionalFormatting>
  <conditionalFormatting sqref="M31:M32">
    <cfRule type="containsText" dxfId="4321" priority="4327" operator="containsText" text="%">
      <formula>NOT(ISERROR(SEARCH("%",M31)))</formula>
    </cfRule>
  </conditionalFormatting>
  <conditionalFormatting sqref="M32">
    <cfRule type="containsText" dxfId="4320" priority="4326" operator="containsText" text="%">
      <formula>NOT(ISERROR(SEARCH("%",M32)))</formula>
    </cfRule>
  </conditionalFormatting>
  <conditionalFormatting sqref="M32">
    <cfRule type="containsText" dxfId="4319" priority="4325" operator="containsText" text="%">
      <formula>NOT(ISERROR(SEARCH("%",M32)))</formula>
    </cfRule>
  </conditionalFormatting>
  <conditionalFormatting sqref="M32">
    <cfRule type="containsText" dxfId="4318" priority="4324" operator="containsText" text="%">
      <formula>NOT(ISERROR(SEARCH("%",M32)))</formula>
    </cfRule>
  </conditionalFormatting>
  <conditionalFormatting sqref="M32">
    <cfRule type="containsText" dxfId="4317" priority="4323" operator="containsText" text="%">
      <formula>NOT(ISERROR(SEARCH("%",M32)))</formula>
    </cfRule>
  </conditionalFormatting>
  <conditionalFormatting sqref="M31:M32">
    <cfRule type="containsText" dxfId="4316" priority="4322" operator="containsText" text="%">
      <formula>NOT(ISERROR(SEARCH("%",M31)))</formula>
    </cfRule>
  </conditionalFormatting>
  <conditionalFormatting sqref="M31:M32">
    <cfRule type="containsText" dxfId="4315" priority="4321" operator="containsText" text="%">
      <formula>NOT(ISERROR(SEARCH("%",M31)))</formula>
    </cfRule>
  </conditionalFormatting>
  <conditionalFormatting sqref="M31:M32">
    <cfRule type="containsText" dxfId="4314" priority="4320" operator="containsText" text="%">
      <formula>NOT(ISERROR(SEARCH("%",M31)))</formula>
    </cfRule>
  </conditionalFormatting>
  <conditionalFormatting sqref="M31:M32">
    <cfRule type="containsText" dxfId="4313" priority="4319" operator="containsText" text="%">
      <formula>NOT(ISERROR(SEARCH("%",M31)))</formula>
    </cfRule>
  </conditionalFormatting>
  <conditionalFormatting sqref="M31:M32">
    <cfRule type="containsText" dxfId="4312" priority="4318" operator="containsText" text="%">
      <formula>NOT(ISERROR(SEARCH("%",M31)))</formula>
    </cfRule>
  </conditionalFormatting>
  <conditionalFormatting sqref="M31:M32">
    <cfRule type="containsText" dxfId="4311" priority="4317" operator="containsText" text="%">
      <formula>NOT(ISERROR(SEARCH("%",M31)))</formula>
    </cfRule>
  </conditionalFormatting>
  <conditionalFormatting sqref="M31:M32">
    <cfRule type="containsText" dxfId="4310" priority="4316" operator="containsText" text="%">
      <formula>NOT(ISERROR(SEARCH("%",M31)))</formula>
    </cfRule>
  </conditionalFormatting>
  <conditionalFormatting sqref="M31:M32">
    <cfRule type="containsText" dxfId="4309" priority="4315" operator="containsText" text="%">
      <formula>NOT(ISERROR(SEARCH("%",M31)))</formula>
    </cfRule>
  </conditionalFormatting>
  <conditionalFormatting sqref="M31:M32">
    <cfRule type="containsText" dxfId="4308" priority="4314" operator="containsText" text="%">
      <formula>NOT(ISERROR(SEARCH("%",M31)))</formula>
    </cfRule>
  </conditionalFormatting>
  <conditionalFormatting sqref="M31:M32">
    <cfRule type="containsText" dxfId="4307" priority="4313" operator="containsText" text="%">
      <formula>NOT(ISERROR(SEARCH("%",M31)))</formula>
    </cfRule>
  </conditionalFormatting>
  <conditionalFormatting sqref="M32">
    <cfRule type="containsText" dxfId="4306" priority="4312" operator="containsText" text="%">
      <formula>NOT(ISERROR(SEARCH("%",M32)))</formula>
    </cfRule>
  </conditionalFormatting>
  <conditionalFormatting sqref="M32">
    <cfRule type="containsText" dxfId="4305" priority="4311" operator="containsText" text="%">
      <formula>NOT(ISERROR(SEARCH("%",M32)))</formula>
    </cfRule>
  </conditionalFormatting>
  <conditionalFormatting sqref="M32">
    <cfRule type="containsText" dxfId="4304" priority="4310" operator="containsText" text="%">
      <formula>NOT(ISERROR(SEARCH("%",M32)))</formula>
    </cfRule>
  </conditionalFormatting>
  <conditionalFormatting sqref="M32">
    <cfRule type="containsText" dxfId="4303" priority="4309" operator="containsText" text="%">
      <formula>NOT(ISERROR(SEARCH("%",M32)))</formula>
    </cfRule>
  </conditionalFormatting>
  <conditionalFormatting sqref="M31:M32">
    <cfRule type="containsText" dxfId="4302" priority="4308" operator="containsText" text="%">
      <formula>NOT(ISERROR(SEARCH("%",M31)))</formula>
    </cfRule>
  </conditionalFormatting>
  <conditionalFormatting sqref="M31:M32">
    <cfRule type="containsText" dxfId="4301" priority="4307" operator="containsText" text="%">
      <formula>NOT(ISERROR(SEARCH("%",M31)))</formula>
    </cfRule>
  </conditionalFormatting>
  <conditionalFormatting sqref="M31:M32">
    <cfRule type="containsText" dxfId="4300" priority="4306" operator="containsText" text="%">
      <formula>NOT(ISERROR(SEARCH("%",M31)))</formula>
    </cfRule>
  </conditionalFormatting>
  <conditionalFormatting sqref="M31:M32">
    <cfRule type="containsText" dxfId="4299" priority="4305" operator="containsText" text="%">
      <formula>NOT(ISERROR(SEARCH("%",M31)))</formula>
    </cfRule>
  </conditionalFormatting>
  <conditionalFormatting sqref="M31:M32">
    <cfRule type="containsText" dxfId="4298" priority="4304" operator="containsText" text="%">
      <formula>NOT(ISERROR(SEARCH("%",M31)))</formula>
    </cfRule>
  </conditionalFormatting>
  <conditionalFormatting sqref="M31:M32">
    <cfRule type="containsText" dxfId="4297" priority="4303" operator="containsText" text="%">
      <formula>NOT(ISERROR(SEARCH("%",M31)))</formula>
    </cfRule>
  </conditionalFormatting>
  <conditionalFormatting sqref="M32">
    <cfRule type="containsText" dxfId="4296" priority="4302" operator="containsText" text="%">
      <formula>NOT(ISERROR(SEARCH("%",M32)))</formula>
    </cfRule>
  </conditionalFormatting>
  <conditionalFormatting sqref="M32">
    <cfRule type="containsText" dxfId="4295" priority="4301" operator="containsText" text="%">
      <formula>NOT(ISERROR(SEARCH("%",M32)))</formula>
    </cfRule>
  </conditionalFormatting>
  <conditionalFormatting sqref="M32">
    <cfRule type="containsText" dxfId="4294" priority="4300" operator="containsText" text="%">
      <formula>NOT(ISERROR(SEARCH("%",M32)))</formula>
    </cfRule>
  </conditionalFormatting>
  <conditionalFormatting sqref="M32">
    <cfRule type="containsText" dxfId="4293" priority="4299" operator="containsText" text="%">
      <formula>NOT(ISERROR(SEARCH("%",M32)))</formula>
    </cfRule>
  </conditionalFormatting>
  <conditionalFormatting sqref="M31:M32">
    <cfRule type="containsText" dxfId="4292" priority="4283" operator="containsText" text="%">
      <formula>NOT(ISERROR(SEARCH("%",M31)))</formula>
    </cfRule>
  </conditionalFormatting>
  <conditionalFormatting sqref="M31:M32">
    <cfRule type="containsText" dxfId="4291" priority="4282" operator="containsText" text="%">
      <formula>NOT(ISERROR(SEARCH("%",M31)))</formula>
    </cfRule>
  </conditionalFormatting>
  <conditionalFormatting sqref="M31:M32">
    <cfRule type="containsText" dxfId="4290" priority="4278" operator="containsText" text="%">
      <formula>NOT(ISERROR(SEARCH("%",M31)))</formula>
    </cfRule>
  </conditionalFormatting>
  <conditionalFormatting sqref="M31:M32">
    <cfRule type="containsText" dxfId="4289" priority="4298" operator="containsText" text="%">
      <formula>NOT(ISERROR(SEARCH("%",M31)))</formula>
    </cfRule>
  </conditionalFormatting>
  <conditionalFormatting sqref="M31">
    <cfRule type="containsText" dxfId="4288" priority="4297" operator="containsText" text="%">
      <formula>NOT(ISERROR(SEARCH("%",M31)))</formula>
    </cfRule>
  </conditionalFormatting>
  <conditionalFormatting sqref="M31">
    <cfRule type="containsText" dxfId="4287" priority="4296" operator="containsText" text="%">
      <formula>NOT(ISERROR(SEARCH("%",M31)))</formula>
    </cfRule>
  </conditionalFormatting>
  <conditionalFormatting sqref="M31:M32">
    <cfRule type="containsText" dxfId="4286" priority="4276" operator="containsText" text="%">
      <formula>NOT(ISERROR(SEARCH("%",M31)))</formula>
    </cfRule>
  </conditionalFormatting>
  <conditionalFormatting sqref="M31:M32">
    <cfRule type="containsText" dxfId="4285" priority="4295" operator="containsText" text="%">
      <formula>NOT(ISERROR(SEARCH("%",M31)))</formula>
    </cfRule>
  </conditionalFormatting>
  <conditionalFormatting sqref="M31:M32">
    <cfRule type="containsText" dxfId="4284" priority="4294" operator="containsText" text="%">
      <formula>NOT(ISERROR(SEARCH("%",M31)))</formula>
    </cfRule>
  </conditionalFormatting>
  <conditionalFormatting sqref="M31:M32">
    <cfRule type="containsText" dxfId="4283" priority="4293" operator="containsText" text="%">
      <formula>NOT(ISERROR(SEARCH("%",M31)))</formula>
    </cfRule>
  </conditionalFormatting>
  <conditionalFormatting sqref="M31:M32">
    <cfRule type="containsText" dxfId="4282" priority="4292" operator="containsText" text="%">
      <formula>NOT(ISERROR(SEARCH("%",M31)))</formula>
    </cfRule>
  </conditionalFormatting>
  <conditionalFormatting sqref="M31:M32">
    <cfRule type="containsText" dxfId="4281" priority="4291" operator="containsText" text="%">
      <formula>NOT(ISERROR(SEARCH("%",M31)))</formula>
    </cfRule>
  </conditionalFormatting>
  <conditionalFormatting sqref="M31:M32">
    <cfRule type="containsText" dxfId="4280" priority="4290" operator="containsText" text="%">
      <formula>NOT(ISERROR(SEARCH("%",M31)))</formula>
    </cfRule>
  </conditionalFormatting>
  <conditionalFormatting sqref="M31:M32">
    <cfRule type="containsText" dxfId="4279" priority="4289" operator="containsText" text="%">
      <formula>NOT(ISERROR(SEARCH("%",M31)))</formula>
    </cfRule>
  </conditionalFormatting>
  <conditionalFormatting sqref="M31:M32">
    <cfRule type="containsText" dxfId="4278" priority="4288" operator="containsText" text="%">
      <formula>NOT(ISERROR(SEARCH("%",M31)))</formula>
    </cfRule>
  </conditionalFormatting>
  <conditionalFormatting sqref="M31:M32">
    <cfRule type="containsText" dxfId="4277" priority="4287" operator="containsText" text="%">
      <formula>NOT(ISERROR(SEARCH("%",M31)))</formula>
    </cfRule>
  </conditionalFormatting>
  <conditionalFormatting sqref="M31:M32">
    <cfRule type="containsText" dxfId="4276" priority="4286" operator="containsText" text="%">
      <formula>NOT(ISERROR(SEARCH("%",M31)))</formula>
    </cfRule>
  </conditionalFormatting>
  <conditionalFormatting sqref="M31:M32">
    <cfRule type="containsText" dxfId="4275" priority="4285" operator="containsText" text="%">
      <formula>NOT(ISERROR(SEARCH("%",M31)))</formula>
    </cfRule>
  </conditionalFormatting>
  <conditionalFormatting sqref="M31:M32">
    <cfRule type="containsText" dxfId="4274" priority="4284" operator="containsText" text="%">
      <formula>NOT(ISERROR(SEARCH("%",M31)))</formula>
    </cfRule>
  </conditionalFormatting>
  <conditionalFormatting sqref="M31:M32">
    <cfRule type="containsText" dxfId="4273" priority="4281" operator="containsText" text="%">
      <formula>NOT(ISERROR(SEARCH("%",M31)))</formula>
    </cfRule>
  </conditionalFormatting>
  <conditionalFormatting sqref="M31:M32">
    <cfRule type="containsText" dxfId="4272" priority="4280" operator="containsText" text="%">
      <formula>NOT(ISERROR(SEARCH("%",M31)))</formula>
    </cfRule>
  </conditionalFormatting>
  <conditionalFormatting sqref="M31:M32">
    <cfRule type="containsText" dxfId="4271" priority="4279" operator="containsText" text="%">
      <formula>NOT(ISERROR(SEARCH("%",M31)))</formula>
    </cfRule>
  </conditionalFormatting>
  <conditionalFormatting sqref="M31:M32">
    <cfRule type="containsText" dxfId="4270" priority="4277" operator="containsText" text="%">
      <formula>NOT(ISERROR(SEARCH("%",M31)))</formula>
    </cfRule>
  </conditionalFormatting>
  <conditionalFormatting sqref="M31:M32">
    <cfRule type="containsText" dxfId="4269" priority="4275" operator="containsText" text="%">
      <formula>NOT(ISERROR(SEARCH("%",M31)))</formula>
    </cfRule>
  </conditionalFormatting>
  <conditionalFormatting sqref="M31:M32">
    <cfRule type="containsText" dxfId="4268" priority="4274" operator="containsText" text="%">
      <formula>NOT(ISERROR(SEARCH("%",M31)))</formula>
    </cfRule>
  </conditionalFormatting>
  <conditionalFormatting sqref="M31:M32">
    <cfRule type="containsText" dxfId="4267" priority="4273" operator="containsText" text="%">
      <formula>NOT(ISERROR(SEARCH("%",M31)))</formula>
    </cfRule>
  </conditionalFormatting>
  <conditionalFormatting sqref="M31:M32">
    <cfRule type="containsText" dxfId="4266" priority="4272" operator="containsText" text="%">
      <formula>NOT(ISERROR(SEARCH("%",M31)))</formula>
    </cfRule>
  </conditionalFormatting>
  <conditionalFormatting sqref="M31:M32">
    <cfRule type="containsText" dxfId="4265" priority="4271" operator="containsText" text="%">
      <formula>NOT(ISERROR(SEARCH("%",M31)))</formula>
    </cfRule>
  </conditionalFormatting>
  <conditionalFormatting sqref="M31:M32">
    <cfRule type="containsText" dxfId="4264" priority="4270" operator="containsText" text="%">
      <formula>NOT(ISERROR(SEARCH("%",M31)))</formula>
    </cfRule>
  </conditionalFormatting>
  <conditionalFormatting sqref="M31:M32">
    <cfRule type="containsText" dxfId="4263" priority="4269" operator="containsText" text="%">
      <formula>NOT(ISERROR(SEARCH("%",M31)))</formula>
    </cfRule>
  </conditionalFormatting>
  <conditionalFormatting sqref="M31:M32">
    <cfRule type="containsText" dxfId="4262" priority="4268" operator="containsText" text="%">
      <formula>NOT(ISERROR(SEARCH("%",M31)))</formula>
    </cfRule>
  </conditionalFormatting>
  <conditionalFormatting sqref="M31:M32">
    <cfRule type="containsText" dxfId="4261" priority="4267" operator="containsText" text="%">
      <formula>NOT(ISERROR(SEARCH("%",M31)))</formula>
    </cfRule>
  </conditionalFormatting>
  <conditionalFormatting sqref="M31:M32">
    <cfRule type="containsText" dxfId="4260" priority="4266" operator="containsText" text="%">
      <formula>NOT(ISERROR(SEARCH("%",M31)))</formula>
    </cfRule>
  </conditionalFormatting>
  <conditionalFormatting sqref="M32">
    <cfRule type="containsText" dxfId="4259" priority="4265" operator="containsText" text="%">
      <formula>NOT(ISERROR(SEARCH("%",M32)))</formula>
    </cfRule>
  </conditionalFormatting>
  <conditionalFormatting sqref="M32">
    <cfRule type="containsText" dxfId="4258" priority="4264" operator="containsText" text="%">
      <formula>NOT(ISERROR(SEARCH("%",M32)))</formula>
    </cfRule>
  </conditionalFormatting>
  <conditionalFormatting sqref="M32">
    <cfRule type="containsText" dxfId="4257" priority="4263" operator="containsText" text="%">
      <formula>NOT(ISERROR(SEARCH("%",M32)))</formula>
    </cfRule>
  </conditionalFormatting>
  <conditionalFormatting sqref="M32">
    <cfRule type="containsText" dxfId="4256" priority="4262" operator="containsText" text="%">
      <formula>NOT(ISERROR(SEARCH("%",M32)))</formula>
    </cfRule>
  </conditionalFormatting>
  <conditionalFormatting sqref="M31:M32">
    <cfRule type="containsText" dxfId="4255" priority="4261" operator="containsText" text="%">
      <formula>NOT(ISERROR(SEARCH("%",M31)))</formula>
    </cfRule>
  </conditionalFormatting>
  <conditionalFormatting sqref="M31:M32">
    <cfRule type="containsText" dxfId="4254" priority="4260" operator="containsText" text="%">
      <formula>NOT(ISERROR(SEARCH("%",M31)))</formula>
    </cfRule>
  </conditionalFormatting>
  <conditionalFormatting sqref="M31:M32">
    <cfRule type="containsText" dxfId="4253" priority="4259" operator="containsText" text="%">
      <formula>NOT(ISERROR(SEARCH("%",M31)))</formula>
    </cfRule>
  </conditionalFormatting>
  <conditionalFormatting sqref="M31:M32">
    <cfRule type="containsText" dxfId="4252" priority="4258" operator="containsText" text="%">
      <formula>NOT(ISERROR(SEARCH("%",M31)))</formula>
    </cfRule>
  </conditionalFormatting>
  <conditionalFormatting sqref="M31:M32">
    <cfRule type="containsText" dxfId="4251" priority="4257" operator="containsText" text="%">
      <formula>NOT(ISERROR(SEARCH("%",M31)))</formula>
    </cfRule>
  </conditionalFormatting>
  <conditionalFormatting sqref="M31:M32">
    <cfRule type="containsText" dxfId="4250" priority="4256" operator="containsText" text="%">
      <formula>NOT(ISERROR(SEARCH("%",M31)))</formula>
    </cfRule>
  </conditionalFormatting>
  <conditionalFormatting sqref="M31:M32">
    <cfRule type="containsText" dxfId="4249" priority="4255" operator="containsText" text="%">
      <formula>NOT(ISERROR(SEARCH("%",M31)))</formula>
    </cfRule>
  </conditionalFormatting>
  <conditionalFormatting sqref="M31:M32">
    <cfRule type="containsText" dxfId="4248" priority="4254" operator="containsText" text="%">
      <formula>NOT(ISERROR(SEARCH("%",M31)))</formula>
    </cfRule>
  </conditionalFormatting>
  <conditionalFormatting sqref="M31:M32">
    <cfRule type="containsText" dxfId="4247" priority="4253" operator="containsText" text="%">
      <formula>NOT(ISERROR(SEARCH("%",M31)))</formula>
    </cfRule>
  </conditionalFormatting>
  <conditionalFormatting sqref="M31:M32">
    <cfRule type="containsText" dxfId="4246" priority="4252" operator="containsText" text="%">
      <formula>NOT(ISERROR(SEARCH("%",M31)))</formula>
    </cfRule>
  </conditionalFormatting>
  <conditionalFormatting sqref="M32">
    <cfRule type="containsText" dxfId="4245" priority="4251" operator="containsText" text="%">
      <formula>NOT(ISERROR(SEARCH("%",M32)))</formula>
    </cfRule>
  </conditionalFormatting>
  <conditionalFormatting sqref="M32">
    <cfRule type="containsText" dxfId="4244" priority="4250" operator="containsText" text="%">
      <formula>NOT(ISERROR(SEARCH("%",M32)))</formula>
    </cfRule>
  </conditionalFormatting>
  <conditionalFormatting sqref="M32">
    <cfRule type="containsText" dxfId="4243" priority="4249" operator="containsText" text="%">
      <formula>NOT(ISERROR(SEARCH("%",M32)))</formula>
    </cfRule>
  </conditionalFormatting>
  <conditionalFormatting sqref="M32">
    <cfRule type="containsText" dxfId="4242" priority="4248" operator="containsText" text="%">
      <formula>NOT(ISERROR(SEARCH("%",M32)))</formula>
    </cfRule>
  </conditionalFormatting>
  <conditionalFormatting sqref="M31">
    <cfRule type="containsText" dxfId="4241" priority="4247" operator="containsText" text="%">
      <formula>NOT(ISERROR(SEARCH("%",M31)))</formula>
    </cfRule>
  </conditionalFormatting>
  <conditionalFormatting sqref="M31">
    <cfRule type="containsText" dxfId="4240" priority="4246" operator="containsText" text="%">
      <formula>NOT(ISERROR(SEARCH("%",M31)))</formula>
    </cfRule>
  </conditionalFormatting>
  <conditionalFormatting sqref="M31">
    <cfRule type="containsText" dxfId="4239" priority="4245" operator="containsText" text="%">
      <formula>NOT(ISERROR(SEARCH("%",M31)))</formula>
    </cfRule>
  </conditionalFormatting>
  <conditionalFormatting sqref="M31">
    <cfRule type="containsText" dxfId="4238" priority="4244" operator="containsText" text="%">
      <formula>NOT(ISERROR(SEARCH("%",M31)))</formula>
    </cfRule>
  </conditionalFormatting>
  <conditionalFormatting sqref="M31">
    <cfRule type="containsText" dxfId="4237" priority="4243" operator="containsText" text="%">
      <formula>NOT(ISERROR(SEARCH("%",M31)))</formula>
    </cfRule>
  </conditionalFormatting>
  <conditionalFormatting sqref="M31">
    <cfRule type="containsText" dxfId="4236" priority="4242" operator="containsText" text="%">
      <formula>NOT(ISERROR(SEARCH("%",M31)))</formula>
    </cfRule>
  </conditionalFormatting>
  <conditionalFormatting sqref="M32">
    <cfRule type="containsText" dxfId="4235" priority="4241" operator="containsText" text="%">
      <formula>NOT(ISERROR(SEARCH("%",M32)))</formula>
    </cfRule>
  </conditionalFormatting>
  <conditionalFormatting sqref="M32">
    <cfRule type="containsText" dxfId="4234" priority="4240" operator="containsText" text="%">
      <formula>NOT(ISERROR(SEARCH("%",M32)))</formula>
    </cfRule>
  </conditionalFormatting>
  <conditionalFormatting sqref="M32">
    <cfRule type="containsText" dxfId="4233" priority="4239" operator="containsText" text="%">
      <formula>NOT(ISERROR(SEARCH("%",M32)))</formula>
    </cfRule>
  </conditionalFormatting>
  <conditionalFormatting sqref="M32">
    <cfRule type="containsText" dxfId="4232" priority="4238" operator="containsText" text="%">
      <formula>NOT(ISERROR(SEARCH("%",M32)))</formula>
    </cfRule>
  </conditionalFormatting>
  <conditionalFormatting sqref="M32">
    <cfRule type="containsText" dxfId="4231" priority="4237" operator="containsText" text="%">
      <formula>NOT(ISERROR(SEARCH("%",M32)))</formula>
    </cfRule>
  </conditionalFormatting>
  <conditionalFormatting sqref="M32">
    <cfRule type="containsText" dxfId="4230" priority="4236" operator="containsText" text="%">
      <formula>NOT(ISERROR(SEARCH("%",M32)))</formula>
    </cfRule>
  </conditionalFormatting>
  <conditionalFormatting sqref="M32">
    <cfRule type="containsText" dxfId="4229" priority="4235" operator="containsText" text="%">
      <formula>NOT(ISERROR(SEARCH("%",M32)))</formula>
    </cfRule>
  </conditionalFormatting>
  <conditionalFormatting sqref="M32">
    <cfRule type="containsText" dxfId="4228" priority="4234" operator="containsText" text="%">
      <formula>NOT(ISERROR(SEARCH("%",M32)))</formula>
    </cfRule>
  </conditionalFormatting>
  <conditionalFormatting sqref="M32">
    <cfRule type="containsText" dxfId="4227" priority="4233" operator="containsText" text="%">
      <formula>NOT(ISERROR(SEARCH("%",M32)))</formula>
    </cfRule>
  </conditionalFormatting>
  <conditionalFormatting sqref="M32">
    <cfRule type="containsText" dxfId="4226" priority="4232" operator="containsText" text="%">
      <formula>NOT(ISERROR(SEARCH("%",M32)))</formula>
    </cfRule>
  </conditionalFormatting>
  <conditionalFormatting sqref="M32">
    <cfRule type="containsText" dxfId="4225" priority="4218" operator="containsText" text="%">
      <formula>NOT(ISERROR(SEARCH("%",M32)))</formula>
    </cfRule>
  </conditionalFormatting>
  <conditionalFormatting sqref="M32">
    <cfRule type="containsText" dxfId="4224" priority="4217" operator="containsText" text="%">
      <formula>NOT(ISERROR(SEARCH("%",M32)))</formula>
    </cfRule>
  </conditionalFormatting>
  <conditionalFormatting sqref="M32">
    <cfRule type="containsText" dxfId="4223" priority="4213" operator="containsText" text="%">
      <formula>NOT(ISERROR(SEARCH("%",M32)))</formula>
    </cfRule>
  </conditionalFormatting>
  <conditionalFormatting sqref="M32">
    <cfRule type="containsText" dxfId="4222" priority="4231" operator="containsText" text="%">
      <formula>NOT(ISERROR(SEARCH("%",M32)))</formula>
    </cfRule>
  </conditionalFormatting>
  <conditionalFormatting sqref="M32">
    <cfRule type="containsText" dxfId="4221" priority="4211" operator="containsText" text="%">
      <formula>NOT(ISERROR(SEARCH("%",M32)))</formula>
    </cfRule>
  </conditionalFormatting>
  <conditionalFormatting sqref="M32">
    <cfRule type="containsText" dxfId="4220" priority="4230" operator="containsText" text="%">
      <formula>NOT(ISERROR(SEARCH("%",M32)))</formula>
    </cfRule>
  </conditionalFormatting>
  <conditionalFormatting sqref="M32">
    <cfRule type="containsText" dxfId="4219" priority="4229" operator="containsText" text="%">
      <formula>NOT(ISERROR(SEARCH("%",M32)))</formula>
    </cfRule>
  </conditionalFormatting>
  <conditionalFormatting sqref="M32">
    <cfRule type="containsText" dxfId="4218" priority="4228" operator="containsText" text="%">
      <formula>NOT(ISERROR(SEARCH("%",M32)))</formula>
    </cfRule>
  </conditionalFormatting>
  <conditionalFormatting sqref="M32">
    <cfRule type="containsText" dxfId="4217" priority="4227" operator="containsText" text="%">
      <formula>NOT(ISERROR(SEARCH("%",M32)))</formula>
    </cfRule>
  </conditionalFormatting>
  <conditionalFormatting sqref="M32">
    <cfRule type="containsText" dxfId="4216" priority="4226" operator="containsText" text="%">
      <formula>NOT(ISERROR(SEARCH("%",M32)))</formula>
    </cfRule>
  </conditionalFormatting>
  <conditionalFormatting sqref="M32">
    <cfRule type="containsText" dxfId="4215" priority="4225" operator="containsText" text="%">
      <formula>NOT(ISERROR(SEARCH("%",M32)))</formula>
    </cfRule>
  </conditionalFormatting>
  <conditionalFormatting sqref="M32">
    <cfRule type="containsText" dxfId="4214" priority="4224" operator="containsText" text="%">
      <formula>NOT(ISERROR(SEARCH("%",M32)))</formula>
    </cfRule>
  </conditionalFormatting>
  <conditionalFormatting sqref="M32">
    <cfRule type="containsText" dxfId="4213" priority="4223" operator="containsText" text="%">
      <formula>NOT(ISERROR(SEARCH("%",M32)))</formula>
    </cfRule>
  </conditionalFormatting>
  <conditionalFormatting sqref="M32">
    <cfRule type="containsText" dxfId="4212" priority="4222" operator="containsText" text="%">
      <formula>NOT(ISERROR(SEARCH("%",M32)))</formula>
    </cfRule>
  </conditionalFormatting>
  <conditionalFormatting sqref="M32">
    <cfRule type="containsText" dxfId="4211" priority="4221" operator="containsText" text="%">
      <formula>NOT(ISERROR(SEARCH("%",M32)))</formula>
    </cfRule>
  </conditionalFormatting>
  <conditionalFormatting sqref="M32">
    <cfRule type="containsText" dxfId="4210" priority="4220" operator="containsText" text="%">
      <formula>NOT(ISERROR(SEARCH("%",M32)))</formula>
    </cfRule>
  </conditionalFormatting>
  <conditionalFormatting sqref="M32">
    <cfRule type="containsText" dxfId="4209" priority="4219" operator="containsText" text="%">
      <formula>NOT(ISERROR(SEARCH("%",M32)))</formula>
    </cfRule>
  </conditionalFormatting>
  <conditionalFormatting sqref="M32">
    <cfRule type="containsText" dxfId="4208" priority="4216" operator="containsText" text="%">
      <formula>NOT(ISERROR(SEARCH("%",M32)))</formula>
    </cfRule>
  </conditionalFormatting>
  <conditionalFormatting sqref="M32">
    <cfRule type="containsText" dxfId="4207" priority="4215" operator="containsText" text="%">
      <formula>NOT(ISERROR(SEARCH("%",M32)))</formula>
    </cfRule>
  </conditionalFormatting>
  <conditionalFormatting sqref="M32">
    <cfRule type="containsText" dxfId="4206" priority="4214" operator="containsText" text="%">
      <formula>NOT(ISERROR(SEARCH("%",M32)))</formula>
    </cfRule>
  </conditionalFormatting>
  <conditionalFormatting sqref="M32">
    <cfRule type="containsText" dxfId="4205" priority="4212" operator="containsText" text="%">
      <formula>NOT(ISERROR(SEARCH("%",M32)))</formula>
    </cfRule>
  </conditionalFormatting>
  <conditionalFormatting sqref="M32">
    <cfRule type="containsText" dxfId="4204" priority="4210" operator="containsText" text="%">
      <formula>NOT(ISERROR(SEARCH("%",M32)))</formula>
    </cfRule>
  </conditionalFormatting>
  <conditionalFormatting sqref="M32">
    <cfRule type="containsText" dxfId="4203" priority="4209" operator="containsText" text="%">
      <formula>NOT(ISERROR(SEARCH("%",M32)))</formula>
    </cfRule>
  </conditionalFormatting>
  <conditionalFormatting sqref="M32">
    <cfRule type="containsText" dxfId="4202" priority="4208" operator="containsText" text="%">
      <formula>NOT(ISERROR(SEARCH("%",M32)))</formula>
    </cfRule>
  </conditionalFormatting>
  <conditionalFormatting sqref="M32">
    <cfRule type="containsText" dxfId="4201" priority="4207" operator="containsText" text="%">
      <formula>NOT(ISERROR(SEARCH("%",M32)))</formula>
    </cfRule>
  </conditionalFormatting>
  <conditionalFormatting sqref="M32">
    <cfRule type="containsText" dxfId="4200" priority="4206" operator="containsText" text="%">
      <formula>NOT(ISERROR(SEARCH("%",M32)))</formula>
    </cfRule>
  </conditionalFormatting>
  <conditionalFormatting sqref="M32">
    <cfRule type="containsText" dxfId="4199" priority="4205" operator="containsText" text="%">
      <formula>NOT(ISERROR(SEARCH("%",M32)))</formula>
    </cfRule>
  </conditionalFormatting>
  <conditionalFormatting sqref="M32">
    <cfRule type="containsText" dxfId="4198" priority="4204" operator="containsText" text="%">
      <formula>NOT(ISERROR(SEARCH("%",M32)))</formula>
    </cfRule>
  </conditionalFormatting>
  <conditionalFormatting sqref="M32">
    <cfRule type="containsText" dxfId="4197" priority="4203" operator="containsText" text="%">
      <formula>NOT(ISERROR(SEARCH("%",M32)))</formula>
    </cfRule>
  </conditionalFormatting>
  <conditionalFormatting sqref="M32">
    <cfRule type="containsText" dxfId="4196" priority="4202" operator="containsText" text="%">
      <formula>NOT(ISERROR(SEARCH("%",M32)))</formula>
    </cfRule>
  </conditionalFormatting>
  <conditionalFormatting sqref="M32">
    <cfRule type="containsText" dxfId="4195" priority="4201" operator="containsText" text="%">
      <formula>NOT(ISERROR(SEARCH("%",M32)))</formula>
    </cfRule>
  </conditionalFormatting>
  <conditionalFormatting sqref="M32">
    <cfRule type="containsText" dxfId="4194" priority="4200" operator="containsText" text="%">
      <formula>NOT(ISERROR(SEARCH("%",M32)))</formula>
    </cfRule>
  </conditionalFormatting>
  <conditionalFormatting sqref="M32">
    <cfRule type="containsText" dxfId="4193" priority="4199" operator="containsText" text="%">
      <formula>NOT(ISERROR(SEARCH("%",M32)))</formula>
    </cfRule>
  </conditionalFormatting>
  <conditionalFormatting sqref="M32">
    <cfRule type="containsText" dxfId="4192" priority="4198" operator="containsText" text="%">
      <formula>NOT(ISERROR(SEARCH("%",M32)))</formula>
    </cfRule>
  </conditionalFormatting>
  <conditionalFormatting sqref="M32">
    <cfRule type="containsText" dxfId="4191" priority="4197" operator="containsText" text="%">
      <formula>NOT(ISERROR(SEARCH("%",M32)))</formula>
    </cfRule>
  </conditionalFormatting>
  <conditionalFormatting sqref="M32">
    <cfRule type="containsText" dxfId="4190" priority="4196" operator="containsText" text="%">
      <formula>NOT(ISERROR(SEARCH("%",M32)))</formula>
    </cfRule>
  </conditionalFormatting>
  <conditionalFormatting sqref="M32">
    <cfRule type="containsText" dxfId="4189" priority="4195" operator="containsText" text="%">
      <formula>NOT(ISERROR(SEARCH("%",M32)))</formula>
    </cfRule>
  </conditionalFormatting>
  <conditionalFormatting sqref="M32">
    <cfRule type="containsText" dxfId="4188" priority="4194" operator="containsText" text="%">
      <formula>NOT(ISERROR(SEARCH("%",M32)))</formula>
    </cfRule>
  </conditionalFormatting>
  <conditionalFormatting sqref="M32">
    <cfRule type="containsText" dxfId="4187" priority="4193" operator="containsText" text="%">
      <formula>NOT(ISERROR(SEARCH("%",M32)))</formula>
    </cfRule>
  </conditionalFormatting>
  <conditionalFormatting sqref="M32">
    <cfRule type="containsText" dxfId="4186" priority="4192" operator="containsText" text="%">
      <formula>NOT(ISERROR(SEARCH("%",M32)))</formula>
    </cfRule>
  </conditionalFormatting>
  <conditionalFormatting sqref="M32">
    <cfRule type="containsText" dxfId="4185" priority="4191" operator="containsText" text="%">
      <formula>NOT(ISERROR(SEARCH("%",M32)))</formula>
    </cfRule>
  </conditionalFormatting>
  <conditionalFormatting sqref="M32">
    <cfRule type="containsText" dxfId="4184" priority="4190" operator="containsText" text="%">
      <formula>NOT(ISERROR(SEARCH("%",M32)))</formula>
    </cfRule>
  </conditionalFormatting>
  <conditionalFormatting sqref="M32">
    <cfRule type="containsText" dxfId="4183" priority="4189" operator="containsText" text="%">
      <formula>NOT(ISERROR(SEARCH("%",M32)))</formula>
    </cfRule>
  </conditionalFormatting>
  <conditionalFormatting sqref="M32">
    <cfRule type="containsText" dxfId="4182" priority="4188" operator="containsText" text="%">
      <formula>NOT(ISERROR(SEARCH("%",M32)))</formula>
    </cfRule>
  </conditionalFormatting>
  <conditionalFormatting sqref="M32">
    <cfRule type="containsText" dxfId="4181" priority="4187" operator="containsText" text="%">
      <formula>NOT(ISERROR(SEARCH("%",M32)))</formula>
    </cfRule>
  </conditionalFormatting>
  <conditionalFormatting sqref="M32">
    <cfRule type="containsText" dxfId="4180" priority="4186" operator="containsText" text="%">
      <formula>NOT(ISERROR(SEARCH("%",M32)))</formula>
    </cfRule>
  </conditionalFormatting>
  <conditionalFormatting sqref="M32">
    <cfRule type="containsText" dxfId="4179" priority="4185" operator="containsText" text="%">
      <formula>NOT(ISERROR(SEARCH("%",M32)))</formula>
    </cfRule>
  </conditionalFormatting>
  <conditionalFormatting sqref="M32">
    <cfRule type="containsText" dxfId="4178" priority="4184" operator="containsText" text="%">
      <formula>NOT(ISERROR(SEARCH("%",M32)))</formula>
    </cfRule>
  </conditionalFormatting>
  <conditionalFormatting sqref="M32">
    <cfRule type="containsText" dxfId="4177" priority="4183" operator="containsText" text="%">
      <formula>NOT(ISERROR(SEARCH("%",M32)))</formula>
    </cfRule>
  </conditionalFormatting>
  <conditionalFormatting sqref="M31:M32">
    <cfRule type="containsText" dxfId="4176" priority="4167" operator="containsText" text="%">
      <formula>NOT(ISERROR(SEARCH("%",M31)))</formula>
    </cfRule>
  </conditionalFormatting>
  <conditionalFormatting sqref="M31:M32">
    <cfRule type="containsText" dxfId="4175" priority="4166" operator="containsText" text="%">
      <formula>NOT(ISERROR(SEARCH("%",M31)))</formula>
    </cfRule>
  </conditionalFormatting>
  <conditionalFormatting sqref="M31:M32">
    <cfRule type="containsText" dxfId="4174" priority="4162" operator="containsText" text="%">
      <formula>NOT(ISERROR(SEARCH("%",M31)))</formula>
    </cfRule>
  </conditionalFormatting>
  <conditionalFormatting sqref="M31:M32">
    <cfRule type="containsText" dxfId="4173" priority="4182" operator="containsText" text="%">
      <formula>NOT(ISERROR(SEARCH("%",M31)))</formula>
    </cfRule>
  </conditionalFormatting>
  <conditionalFormatting sqref="M31">
    <cfRule type="containsText" dxfId="4172" priority="4181" operator="containsText" text="%">
      <formula>NOT(ISERROR(SEARCH("%",M31)))</formula>
    </cfRule>
  </conditionalFormatting>
  <conditionalFormatting sqref="M31">
    <cfRule type="containsText" dxfId="4171" priority="4180" operator="containsText" text="%">
      <formula>NOT(ISERROR(SEARCH("%",M31)))</formula>
    </cfRule>
  </conditionalFormatting>
  <conditionalFormatting sqref="M31:M32">
    <cfRule type="containsText" dxfId="4170" priority="4160" operator="containsText" text="%">
      <formula>NOT(ISERROR(SEARCH("%",M31)))</formula>
    </cfRule>
  </conditionalFormatting>
  <conditionalFormatting sqref="M31:M32">
    <cfRule type="containsText" dxfId="4169" priority="4179" operator="containsText" text="%">
      <formula>NOT(ISERROR(SEARCH("%",M31)))</formula>
    </cfRule>
  </conditionalFormatting>
  <conditionalFormatting sqref="M31:M32">
    <cfRule type="containsText" dxfId="4168" priority="4178" operator="containsText" text="%">
      <formula>NOT(ISERROR(SEARCH("%",M31)))</formula>
    </cfRule>
  </conditionalFormatting>
  <conditionalFormatting sqref="M31:M32">
    <cfRule type="containsText" dxfId="4167" priority="4177" operator="containsText" text="%">
      <formula>NOT(ISERROR(SEARCH("%",M31)))</formula>
    </cfRule>
  </conditionalFormatting>
  <conditionalFormatting sqref="M31:M32">
    <cfRule type="containsText" dxfId="4166" priority="4176" operator="containsText" text="%">
      <formula>NOT(ISERROR(SEARCH("%",M31)))</formula>
    </cfRule>
  </conditionalFormatting>
  <conditionalFormatting sqref="M31:M32">
    <cfRule type="containsText" dxfId="4165" priority="4175" operator="containsText" text="%">
      <formula>NOT(ISERROR(SEARCH("%",M31)))</formula>
    </cfRule>
  </conditionalFormatting>
  <conditionalFormatting sqref="M31:M32">
    <cfRule type="containsText" dxfId="4164" priority="4174" operator="containsText" text="%">
      <formula>NOT(ISERROR(SEARCH("%",M31)))</formula>
    </cfRule>
  </conditionalFormatting>
  <conditionalFormatting sqref="M31:M32">
    <cfRule type="containsText" dxfId="4163" priority="4173" operator="containsText" text="%">
      <formula>NOT(ISERROR(SEARCH("%",M31)))</formula>
    </cfRule>
  </conditionalFormatting>
  <conditionalFormatting sqref="M31:M32">
    <cfRule type="containsText" dxfId="4162" priority="4172" operator="containsText" text="%">
      <formula>NOT(ISERROR(SEARCH("%",M31)))</formula>
    </cfRule>
  </conditionalFormatting>
  <conditionalFormatting sqref="M31:M32">
    <cfRule type="containsText" dxfId="4161" priority="4171" operator="containsText" text="%">
      <formula>NOT(ISERROR(SEARCH("%",M31)))</formula>
    </cfRule>
  </conditionalFormatting>
  <conditionalFormatting sqref="M31:M32">
    <cfRule type="containsText" dxfId="4160" priority="4170" operator="containsText" text="%">
      <formula>NOT(ISERROR(SEARCH("%",M31)))</formula>
    </cfRule>
  </conditionalFormatting>
  <conditionalFormatting sqref="M31:M32">
    <cfRule type="containsText" dxfId="4159" priority="4169" operator="containsText" text="%">
      <formula>NOT(ISERROR(SEARCH("%",M31)))</formula>
    </cfRule>
  </conditionalFormatting>
  <conditionalFormatting sqref="M31:M32">
    <cfRule type="containsText" dxfId="4158" priority="4168" operator="containsText" text="%">
      <formula>NOT(ISERROR(SEARCH("%",M31)))</formula>
    </cfRule>
  </conditionalFormatting>
  <conditionalFormatting sqref="M31:M32">
    <cfRule type="containsText" dxfId="4157" priority="4165" operator="containsText" text="%">
      <formula>NOT(ISERROR(SEARCH("%",M31)))</formula>
    </cfRule>
  </conditionalFormatting>
  <conditionalFormatting sqref="M31:M32">
    <cfRule type="containsText" dxfId="4156" priority="4164" operator="containsText" text="%">
      <formula>NOT(ISERROR(SEARCH("%",M31)))</formula>
    </cfRule>
  </conditionalFormatting>
  <conditionalFormatting sqref="M31:M32">
    <cfRule type="containsText" dxfId="4155" priority="4163" operator="containsText" text="%">
      <formula>NOT(ISERROR(SEARCH("%",M31)))</formula>
    </cfRule>
  </conditionalFormatting>
  <conditionalFormatting sqref="M31:M32">
    <cfRule type="containsText" dxfId="4154" priority="4161" operator="containsText" text="%">
      <formula>NOT(ISERROR(SEARCH("%",M31)))</formula>
    </cfRule>
  </conditionalFormatting>
  <conditionalFormatting sqref="M31:M32">
    <cfRule type="containsText" dxfId="4153" priority="4159" operator="containsText" text="%">
      <formula>NOT(ISERROR(SEARCH("%",M31)))</formula>
    </cfRule>
  </conditionalFormatting>
  <conditionalFormatting sqref="M31:M32">
    <cfRule type="containsText" dxfId="4152" priority="4158" operator="containsText" text="%">
      <formula>NOT(ISERROR(SEARCH("%",M31)))</formula>
    </cfRule>
  </conditionalFormatting>
  <conditionalFormatting sqref="M31:M32">
    <cfRule type="containsText" dxfId="4151" priority="4157" operator="containsText" text="%">
      <formula>NOT(ISERROR(SEARCH("%",M31)))</formula>
    </cfRule>
  </conditionalFormatting>
  <conditionalFormatting sqref="M31:M32">
    <cfRule type="containsText" dxfId="4150" priority="4156" operator="containsText" text="%">
      <formula>NOT(ISERROR(SEARCH("%",M31)))</formula>
    </cfRule>
  </conditionalFormatting>
  <conditionalFormatting sqref="M31:M32">
    <cfRule type="containsText" dxfId="4149" priority="4155" operator="containsText" text="%">
      <formula>NOT(ISERROR(SEARCH("%",M31)))</formula>
    </cfRule>
  </conditionalFormatting>
  <conditionalFormatting sqref="M31:M32">
    <cfRule type="containsText" dxfId="4148" priority="4154" operator="containsText" text="%">
      <formula>NOT(ISERROR(SEARCH("%",M31)))</formula>
    </cfRule>
  </conditionalFormatting>
  <conditionalFormatting sqref="M31:M32">
    <cfRule type="containsText" dxfId="4147" priority="4153" operator="containsText" text="%">
      <formula>NOT(ISERROR(SEARCH("%",M31)))</formula>
    </cfRule>
  </conditionalFormatting>
  <conditionalFormatting sqref="M31:M32">
    <cfRule type="containsText" dxfId="4146" priority="4152" operator="containsText" text="%">
      <formula>NOT(ISERROR(SEARCH("%",M31)))</formula>
    </cfRule>
  </conditionalFormatting>
  <conditionalFormatting sqref="M31:M32">
    <cfRule type="containsText" dxfId="4145" priority="4151" operator="containsText" text="%">
      <formula>NOT(ISERROR(SEARCH("%",M31)))</formula>
    </cfRule>
  </conditionalFormatting>
  <conditionalFormatting sqref="M31:M32">
    <cfRule type="containsText" dxfId="4144" priority="4150" operator="containsText" text="%">
      <formula>NOT(ISERROR(SEARCH("%",M31)))</formula>
    </cfRule>
  </conditionalFormatting>
  <conditionalFormatting sqref="M32">
    <cfRule type="containsText" dxfId="4143" priority="4149" operator="containsText" text="%">
      <formula>NOT(ISERROR(SEARCH("%",M32)))</formula>
    </cfRule>
  </conditionalFormatting>
  <conditionalFormatting sqref="M32">
    <cfRule type="containsText" dxfId="4142" priority="4148" operator="containsText" text="%">
      <formula>NOT(ISERROR(SEARCH("%",M32)))</formula>
    </cfRule>
  </conditionalFormatting>
  <conditionalFormatting sqref="M32">
    <cfRule type="containsText" dxfId="4141" priority="4147" operator="containsText" text="%">
      <formula>NOT(ISERROR(SEARCH("%",M32)))</formula>
    </cfRule>
  </conditionalFormatting>
  <conditionalFormatting sqref="M32">
    <cfRule type="containsText" dxfId="4140" priority="4146" operator="containsText" text="%">
      <formula>NOT(ISERROR(SEARCH("%",M32)))</formula>
    </cfRule>
  </conditionalFormatting>
  <conditionalFormatting sqref="M31:M32">
    <cfRule type="containsText" dxfId="4139" priority="4145" operator="containsText" text="%">
      <formula>NOT(ISERROR(SEARCH("%",M31)))</formula>
    </cfRule>
  </conditionalFormatting>
  <conditionalFormatting sqref="M31:M32">
    <cfRule type="containsText" dxfId="4138" priority="4144" operator="containsText" text="%">
      <formula>NOT(ISERROR(SEARCH("%",M31)))</formula>
    </cfRule>
  </conditionalFormatting>
  <conditionalFormatting sqref="M31:M32">
    <cfRule type="containsText" dxfId="4137" priority="4143" operator="containsText" text="%">
      <formula>NOT(ISERROR(SEARCH("%",M31)))</formula>
    </cfRule>
  </conditionalFormatting>
  <conditionalFormatting sqref="M31:M32">
    <cfRule type="containsText" dxfId="4136" priority="4142" operator="containsText" text="%">
      <formula>NOT(ISERROR(SEARCH("%",M31)))</formula>
    </cfRule>
  </conditionalFormatting>
  <conditionalFormatting sqref="M31:M32">
    <cfRule type="containsText" dxfId="4135" priority="4141" operator="containsText" text="%">
      <formula>NOT(ISERROR(SEARCH("%",M31)))</formula>
    </cfRule>
  </conditionalFormatting>
  <conditionalFormatting sqref="M31:M32">
    <cfRule type="containsText" dxfId="4134" priority="4140" operator="containsText" text="%">
      <formula>NOT(ISERROR(SEARCH("%",M31)))</formula>
    </cfRule>
  </conditionalFormatting>
  <conditionalFormatting sqref="M31:M32">
    <cfRule type="containsText" dxfId="4133" priority="4139" operator="containsText" text="%">
      <formula>NOT(ISERROR(SEARCH("%",M31)))</formula>
    </cfRule>
  </conditionalFormatting>
  <conditionalFormatting sqref="M31:M32">
    <cfRule type="containsText" dxfId="4132" priority="4138" operator="containsText" text="%">
      <formula>NOT(ISERROR(SEARCH("%",M31)))</formula>
    </cfRule>
  </conditionalFormatting>
  <conditionalFormatting sqref="M31:M32">
    <cfRule type="containsText" dxfId="4131" priority="4137" operator="containsText" text="%">
      <formula>NOT(ISERROR(SEARCH("%",M31)))</formula>
    </cfRule>
  </conditionalFormatting>
  <conditionalFormatting sqref="M31:M32">
    <cfRule type="containsText" dxfId="4130" priority="4136" operator="containsText" text="%">
      <formula>NOT(ISERROR(SEARCH("%",M31)))</formula>
    </cfRule>
  </conditionalFormatting>
  <conditionalFormatting sqref="M32">
    <cfRule type="containsText" dxfId="4129" priority="4135" operator="containsText" text="%">
      <formula>NOT(ISERROR(SEARCH("%",M32)))</formula>
    </cfRule>
  </conditionalFormatting>
  <conditionalFormatting sqref="M32">
    <cfRule type="containsText" dxfId="4128" priority="4134" operator="containsText" text="%">
      <formula>NOT(ISERROR(SEARCH("%",M32)))</formula>
    </cfRule>
  </conditionalFormatting>
  <conditionalFormatting sqref="M32">
    <cfRule type="containsText" dxfId="4127" priority="4133" operator="containsText" text="%">
      <formula>NOT(ISERROR(SEARCH("%",M32)))</formula>
    </cfRule>
  </conditionalFormatting>
  <conditionalFormatting sqref="M32">
    <cfRule type="containsText" dxfId="4126" priority="4132" operator="containsText" text="%">
      <formula>NOT(ISERROR(SEARCH("%",M32)))</formula>
    </cfRule>
  </conditionalFormatting>
  <conditionalFormatting sqref="M31:M32">
    <cfRule type="containsText" dxfId="4125" priority="4131" operator="containsText" text="%">
      <formula>NOT(ISERROR(SEARCH("%",M31)))</formula>
    </cfRule>
  </conditionalFormatting>
  <conditionalFormatting sqref="M31:M32">
    <cfRule type="containsText" dxfId="4124" priority="4130" operator="containsText" text="%">
      <formula>NOT(ISERROR(SEARCH("%",M31)))</formula>
    </cfRule>
  </conditionalFormatting>
  <conditionalFormatting sqref="M31:M32">
    <cfRule type="containsText" dxfId="4123" priority="4129" operator="containsText" text="%">
      <formula>NOT(ISERROR(SEARCH("%",M31)))</formula>
    </cfRule>
  </conditionalFormatting>
  <conditionalFormatting sqref="M31:M32">
    <cfRule type="containsText" dxfId="4122" priority="4128" operator="containsText" text="%">
      <formula>NOT(ISERROR(SEARCH("%",M31)))</formula>
    </cfRule>
  </conditionalFormatting>
  <conditionalFormatting sqref="M31:M32">
    <cfRule type="containsText" dxfId="4121" priority="4127" operator="containsText" text="%">
      <formula>NOT(ISERROR(SEARCH("%",M31)))</formula>
    </cfRule>
  </conditionalFormatting>
  <conditionalFormatting sqref="M31:M32">
    <cfRule type="containsText" dxfId="4120" priority="4126" operator="containsText" text="%">
      <formula>NOT(ISERROR(SEARCH("%",M31)))</formula>
    </cfRule>
  </conditionalFormatting>
  <conditionalFormatting sqref="M32">
    <cfRule type="containsText" dxfId="4119" priority="4125" operator="containsText" text="%">
      <formula>NOT(ISERROR(SEARCH("%",M32)))</formula>
    </cfRule>
  </conditionalFormatting>
  <conditionalFormatting sqref="M32">
    <cfRule type="containsText" dxfId="4118" priority="4124" operator="containsText" text="%">
      <formula>NOT(ISERROR(SEARCH("%",M32)))</formula>
    </cfRule>
  </conditionalFormatting>
  <conditionalFormatting sqref="M32">
    <cfRule type="containsText" dxfId="4117" priority="4123" operator="containsText" text="%">
      <formula>NOT(ISERROR(SEARCH("%",M32)))</formula>
    </cfRule>
  </conditionalFormatting>
  <conditionalFormatting sqref="M32">
    <cfRule type="containsText" dxfId="4116" priority="4122" operator="containsText" text="%">
      <formula>NOT(ISERROR(SEARCH("%",M32)))</formula>
    </cfRule>
  </conditionalFormatting>
  <conditionalFormatting sqref="M31:M32">
    <cfRule type="containsText" dxfId="4115" priority="4106" operator="containsText" text="%">
      <formula>NOT(ISERROR(SEARCH("%",M31)))</formula>
    </cfRule>
  </conditionalFormatting>
  <conditionalFormatting sqref="M31:M32">
    <cfRule type="containsText" dxfId="4114" priority="4105" operator="containsText" text="%">
      <formula>NOT(ISERROR(SEARCH("%",M31)))</formula>
    </cfRule>
  </conditionalFormatting>
  <conditionalFormatting sqref="M31:M32">
    <cfRule type="containsText" dxfId="4113" priority="4101" operator="containsText" text="%">
      <formula>NOT(ISERROR(SEARCH("%",M31)))</formula>
    </cfRule>
  </conditionalFormatting>
  <conditionalFormatting sqref="M31:M32">
    <cfRule type="containsText" dxfId="4112" priority="4121" operator="containsText" text="%">
      <formula>NOT(ISERROR(SEARCH("%",M31)))</formula>
    </cfRule>
  </conditionalFormatting>
  <conditionalFormatting sqref="M31">
    <cfRule type="containsText" dxfId="4111" priority="4120" operator="containsText" text="%">
      <formula>NOT(ISERROR(SEARCH("%",M31)))</formula>
    </cfRule>
  </conditionalFormatting>
  <conditionalFormatting sqref="M31">
    <cfRule type="containsText" dxfId="4110" priority="4119" operator="containsText" text="%">
      <formula>NOT(ISERROR(SEARCH("%",M31)))</formula>
    </cfRule>
  </conditionalFormatting>
  <conditionalFormatting sqref="M31:M32">
    <cfRule type="containsText" dxfId="4109" priority="4099" operator="containsText" text="%">
      <formula>NOT(ISERROR(SEARCH("%",M31)))</formula>
    </cfRule>
  </conditionalFormatting>
  <conditionalFormatting sqref="M31:M32">
    <cfRule type="containsText" dxfId="4108" priority="4118" operator="containsText" text="%">
      <formula>NOT(ISERROR(SEARCH("%",M31)))</formula>
    </cfRule>
  </conditionalFormatting>
  <conditionalFormatting sqref="M31:M32">
    <cfRule type="containsText" dxfId="4107" priority="4117" operator="containsText" text="%">
      <formula>NOT(ISERROR(SEARCH("%",M31)))</formula>
    </cfRule>
  </conditionalFormatting>
  <conditionalFormatting sqref="M31:M32">
    <cfRule type="containsText" dxfId="4106" priority="4116" operator="containsText" text="%">
      <formula>NOT(ISERROR(SEARCH("%",M31)))</formula>
    </cfRule>
  </conditionalFormatting>
  <conditionalFormatting sqref="M31:M32">
    <cfRule type="containsText" dxfId="4105" priority="4115" operator="containsText" text="%">
      <formula>NOT(ISERROR(SEARCH("%",M31)))</formula>
    </cfRule>
  </conditionalFormatting>
  <conditionalFormatting sqref="M31:M32">
    <cfRule type="containsText" dxfId="4104" priority="4114" operator="containsText" text="%">
      <formula>NOT(ISERROR(SEARCH("%",M31)))</formula>
    </cfRule>
  </conditionalFormatting>
  <conditionalFormatting sqref="M31:M32">
    <cfRule type="containsText" dxfId="4103" priority="4113" operator="containsText" text="%">
      <formula>NOT(ISERROR(SEARCH("%",M31)))</formula>
    </cfRule>
  </conditionalFormatting>
  <conditionalFormatting sqref="M31:M32">
    <cfRule type="containsText" dxfId="4102" priority="4112" operator="containsText" text="%">
      <formula>NOT(ISERROR(SEARCH("%",M31)))</formula>
    </cfRule>
  </conditionalFormatting>
  <conditionalFormatting sqref="M31:M32">
    <cfRule type="containsText" dxfId="4101" priority="4111" operator="containsText" text="%">
      <formula>NOT(ISERROR(SEARCH("%",M31)))</formula>
    </cfRule>
  </conditionalFormatting>
  <conditionalFormatting sqref="M31:M32">
    <cfRule type="containsText" dxfId="4100" priority="4110" operator="containsText" text="%">
      <formula>NOT(ISERROR(SEARCH("%",M31)))</formula>
    </cfRule>
  </conditionalFormatting>
  <conditionalFormatting sqref="M31:M32">
    <cfRule type="containsText" dxfId="4099" priority="4109" operator="containsText" text="%">
      <formula>NOT(ISERROR(SEARCH("%",M31)))</formula>
    </cfRule>
  </conditionalFormatting>
  <conditionalFormatting sqref="M31:M32">
    <cfRule type="containsText" dxfId="4098" priority="4108" operator="containsText" text="%">
      <formula>NOT(ISERROR(SEARCH("%",M31)))</formula>
    </cfRule>
  </conditionalFormatting>
  <conditionalFormatting sqref="M31:M32">
    <cfRule type="containsText" dxfId="4097" priority="4107" operator="containsText" text="%">
      <formula>NOT(ISERROR(SEARCH("%",M31)))</formula>
    </cfRule>
  </conditionalFormatting>
  <conditionalFormatting sqref="M31:M32">
    <cfRule type="containsText" dxfId="4096" priority="4104" operator="containsText" text="%">
      <formula>NOT(ISERROR(SEARCH("%",M31)))</formula>
    </cfRule>
  </conditionalFormatting>
  <conditionalFormatting sqref="M31:M32">
    <cfRule type="containsText" dxfId="4095" priority="4103" operator="containsText" text="%">
      <formula>NOT(ISERROR(SEARCH("%",M31)))</formula>
    </cfRule>
  </conditionalFormatting>
  <conditionalFormatting sqref="M31:M32">
    <cfRule type="containsText" dxfId="4094" priority="4102" operator="containsText" text="%">
      <formula>NOT(ISERROR(SEARCH("%",M31)))</formula>
    </cfRule>
  </conditionalFormatting>
  <conditionalFormatting sqref="M31:M32">
    <cfRule type="containsText" dxfId="4093" priority="4100" operator="containsText" text="%">
      <formula>NOT(ISERROR(SEARCH("%",M31)))</formula>
    </cfRule>
  </conditionalFormatting>
  <conditionalFormatting sqref="M31:M32">
    <cfRule type="containsText" dxfId="4092" priority="4098" operator="containsText" text="%">
      <formula>NOT(ISERROR(SEARCH("%",M31)))</formula>
    </cfRule>
  </conditionalFormatting>
  <conditionalFormatting sqref="M31:M32">
    <cfRule type="containsText" dxfId="4091" priority="4097" operator="containsText" text="%">
      <formula>NOT(ISERROR(SEARCH("%",M31)))</formula>
    </cfRule>
  </conditionalFormatting>
  <conditionalFormatting sqref="M31:M32">
    <cfRule type="containsText" dxfId="4090" priority="4096" operator="containsText" text="%">
      <formula>NOT(ISERROR(SEARCH("%",M31)))</formula>
    </cfRule>
  </conditionalFormatting>
  <conditionalFormatting sqref="M31:M32">
    <cfRule type="containsText" dxfId="4089" priority="4095" operator="containsText" text="%">
      <formula>NOT(ISERROR(SEARCH("%",M31)))</formula>
    </cfRule>
  </conditionalFormatting>
  <conditionalFormatting sqref="M31:M32">
    <cfRule type="containsText" dxfId="4088" priority="4094" operator="containsText" text="%">
      <formula>NOT(ISERROR(SEARCH("%",M31)))</formula>
    </cfRule>
  </conditionalFormatting>
  <conditionalFormatting sqref="M31:M32">
    <cfRule type="containsText" dxfId="4087" priority="4093" operator="containsText" text="%">
      <formula>NOT(ISERROR(SEARCH("%",M31)))</formula>
    </cfRule>
  </conditionalFormatting>
  <conditionalFormatting sqref="M31:M32">
    <cfRule type="containsText" dxfId="4086" priority="4092" operator="containsText" text="%">
      <formula>NOT(ISERROR(SEARCH("%",M31)))</formula>
    </cfRule>
  </conditionalFormatting>
  <conditionalFormatting sqref="M31:M32">
    <cfRule type="containsText" dxfId="4085" priority="4091" operator="containsText" text="%">
      <formula>NOT(ISERROR(SEARCH("%",M31)))</formula>
    </cfRule>
  </conditionalFormatting>
  <conditionalFormatting sqref="M31:M32">
    <cfRule type="containsText" dxfId="4084" priority="4090" operator="containsText" text="%">
      <formula>NOT(ISERROR(SEARCH("%",M31)))</formula>
    </cfRule>
  </conditionalFormatting>
  <conditionalFormatting sqref="M31:M32">
    <cfRule type="containsText" dxfId="4083" priority="4089" operator="containsText" text="%">
      <formula>NOT(ISERROR(SEARCH("%",M31)))</formula>
    </cfRule>
  </conditionalFormatting>
  <conditionalFormatting sqref="M32">
    <cfRule type="containsText" dxfId="4082" priority="4088" operator="containsText" text="%">
      <formula>NOT(ISERROR(SEARCH("%",M32)))</formula>
    </cfRule>
  </conditionalFormatting>
  <conditionalFormatting sqref="M32">
    <cfRule type="containsText" dxfId="4081" priority="4087" operator="containsText" text="%">
      <formula>NOT(ISERROR(SEARCH("%",M32)))</formula>
    </cfRule>
  </conditionalFormatting>
  <conditionalFormatting sqref="M32">
    <cfRule type="containsText" dxfId="4080" priority="4086" operator="containsText" text="%">
      <formula>NOT(ISERROR(SEARCH("%",M32)))</formula>
    </cfRule>
  </conditionalFormatting>
  <conditionalFormatting sqref="M32">
    <cfRule type="containsText" dxfId="4079" priority="4085" operator="containsText" text="%">
      <formula>NOT(ISERROR(SEARCH("%",M32)))</formula>
    </cfRule>
  </conditionalFormatting>
  <conditionalFormatting sqref="M31:M32">
    <cfRule type="containsText" dxfId="4078" priority="4084" operator="containsText" text="%">
      <formula>NOT(ISERROR(SEARCH("%",M31)))</formula>
    </cfRule>
  </conditionalFormatting>
  <conditionalFormatting sqref="M31:M32">
    <cfRule type="containsText" dxfId="4077" priority="4083" operator="containsText" text="%">
      <formula>NOT(ISERROR(SEARCH("%",M31)))</formula>
    </cfRule>
  </conditionalFormatting>
  <conditionalFormatting sqref="M31:M32">
    <cfRule type="containsText" dxfId="4076" priority="4082" operator="containsText" text="%">
      <formula>NOT(ISERROR(SEARCH("%",M31)))</formula>
    </cfRule>
  </conditionalFormatting>
  <conditionalFormatting sqref="M31:M32">
    <cfRule type="containsText" dxfId="4075" priority="4081" operator="containsText" text="%">
      <formula>NOT(ISERROR(SEARCH("%",M31)))</formula>
    </cfRule>
  </conditionalFormatting>
  <conditionalFormatting sqref="M31:M32">
    <cfRule type="containsText" dxfId="4074" priority="4080" operator="containsText" text="%">
      <formula>NOT(ISERROR(SEARCH("%",M31)))</formula>
    </cfRule>
  </conditionalFormatting>
  <conditionalFormatting sqref="M31:M32">
    <cfRule type="containsText" dxfId="4073" priority="4079" operator="containsText" text="%">
      <formula>NOT(ISERROR(SEARCH("%",M31)))</formula>
    </cfRule>
  </conditionalFormatting>
  <conditionalFormatting sqref="M31:M32">
    <cfRule type="containsText" dxfId="4072" priority="4078" operator="containsText" text="%">
      <formula>NOT(ISERROR(SEARCH("%",M31)))</formula>
    </cfRule>
  </conditionalFormatting>
  <conditionalFormatting sqref="M31:M32">
    <cfRule type="containsText" dxfId="4071" priority="4077" operator="containsText" text="%">
      <formula>NOT(ISERROR(SEARCH("%",M31)))</formula>
    </cfRule>
  </conditionalFormatting>
  <conditionalFormatting sqref="M31:M32">
    <cfRule type="containsText" dxfId="4070" priority="4076" operator="containsText" text="%">
      <formula>NOT(ISERROR(SEARCH("%",M31)))</formula>
    </cfRule>
  </conditionalFormatting>
  <conditionalFormatting sqref="M31:M32">
    <cfRule type="containsText" dxfId="4069" priority="4075" operator="containsText" text="%">
      <formula>NOT(ISERROR(SEARCH("%",M31)))</formula>
    </cfRule>
  </conditionalFormatting>
  <conditionalFormatting sqref="M32">
    <cfRule type="containsText" dxfId="4068" priority="4074" operator="containsText" text="%">
      <formula>NOT(ISERROR(SEARCH("%",M32)))</formula>
    </cfRule>
  </conditionalFormatting>
  <conditionalFormatting sqref="M32">
    <cfRule type="containsText" dxfId="4067" priority="4073" operator="containsText" text="%">
      <formula>NOT(ISERROR(SEARCH("%",M32)))</formula>
    </cfRule>
  </conditionalFormatting>
  <conditionalFormatting sqref="M32">
    <cfRule type="containsText" dxfId="4066" priority="4072" operator="containsText" text="%">
      <formula>NOT(ISERROR(SEARCH("%",M32)))</formula>
    </cfRule>
  </conditionalFormatting>
  <conditionalFormatting sqref="M32">
    <cfRule type="containsText" dxfId="4065" priority="4071" operator="containsText" text="%">
      <formula>NOT(ISERROR(SEARCH("%",M32)))</formula>
    </cfRule>
  </conditionalFormatting>
  <conditionalFormatting sqref="M31">
    <cfRule type="containsText" dxfId="4064" priority="4070" operator="containsText" text="%">
      <formula>NOT(ISERROR(SEARCH("%",M31)))</formula>
    </cfRule>
  </conditionalFormatting>
  <conditionalFormatting sqref="M31">
    <cfRule type="containsText" dxfId="4063" priority="4069" operator="containsText" text="%">
      <formula>NOT(ISERROR(SEARCH("%",M31)))</formula>
    </cfRule>
  </conditionalFormatting>
  <conditionalFormatting sqref="M31">
    <cfRule type="containsText" dxfId="4062" priority="4068" operator="containsText" text="%">
      <formula>NOT(ISERROR(SEARCH("%",M31)))</formula>
    </cfRule>
  </conditionalFormatting>
  <conditionalFormatting sqref="M31">
    <cfRule type="containsText" dxfId="4061" priority="4067" operator="containsText" text="%">
      <formula>NOT(ISERROR(SEARCH("%",M31)))</formula>
    </cfRule>
  </conditionalFormatting>
  <conditionalFormatting sqref="M31">
    <cfRule type="containsText" dxfId="4060" priority="4066" operator="containsText" text="%">
      <formula>NOT(ISERROR(SEARCH("%",M31)))</formula>
    </cfRule>
  </conditionalFormatting>
  <conditionalFormatting sqref="M31">
    <cfRule type="containsText" dxfId="4059" priority="4065" operator="containsText" text="%">
      <formula>NOT(ISERROR(SEARCH("%",M31)))</formula>
    </cfRule>
  </conditionalFormatting>
  <conditionalFormatting sqref="M32">
    <cfRule type="containsText" dxfId="4058" priority="4064" operator="containsText" text="%">
      <formula>NOT(ISERROR(SEARCH("%",M32)))</formula>
    </cfRule>
  </conditionalFormatting>
  <conditionalFormatting sqref="M32">
    <cfRule type="containsText" dxfId="4057" priority="4063" operator="containsText" text="%">
      <formula>NOT(ISERROR(SEARCH("%",M32)))</formula>
    </cfRule>
  </conditionalFormatting>
  <conditionalFormatting sqref="M32">
    <cfRule type="containsText" dxfId="4056" priority="4062" operator="containsText" text="%">
      <formula>NOT(ISERROR(SEARCH("%",M32)))</formula>
    </cfRule>
  </conditionalFormatting>
  <conditionalFormatting sqref="M32">
    <cfRule type="containsText" dxfId="4055" priority="4061" operator="containsText" text="%">
      <formula>NOT(ISERROR(SEARCH("%",M32)))</formula>
    </cfRule>
  </conditionalFormatting>
  <conditionalFormatting sqref="M32">
    <cfRule type="containsText" dxfId="4054" priority="4060" operator="containsText" text="%">
      <formula>NOT(ISERROR(SEARCH("%",M32)))</formula>
    </cfRule>
  </conditionalFormatting>
  <conditionalFormatting sqref="M32">
    <cfRule type="containsText" dxfId="4053" priority="4059" operator="containsText" text="%">
      <formula>NOT(ISERROR(SEARCH("%",M32)))</formula>
    </cfRule>
  </conditionalFormatting>
  <conditionalFormatting sqref="M32">
    <cfRule type="containsText" dxfId="4052" priority="4058" operator="containsText" text="%">
      <formula>NOT(ISERROR(SEARCH("%",M32)))</formula>
    </cfRule>
  </conditionalFormatting>
  <conditionalFormatting sqref="M32">
    <cfRule type="containsText" dxfId="4051" priority="4057" operator="containsText" text="%">
      <formula>NOT(ISERROR(SEARCH("%",M32)))</formula>
    </cfRule>
  </conditionalFormatting>
  <conditionalFormatting sqref="M32">
    <cfRule type="containsText" dxfId="4050" priority="4056" operator="containsText" text="%">
      <formula>NOT(ISERROR(SEARCH("%",M32)))</formula>
    </cfRule>
  </conditionalFormatting>
  <conditionalFormatting sqref="M32">
    <cfRule type="containsText" dxfId="4049" priority="4055" operator="containsText" text="%">
      <formula>NOT(ISERROR(SEARCH("%",M32)))</formula>
    </cfRule>
  </conditionalFormatting>
  <conditionalFormatting sqref="M32">
    <cfRule type="containsText" dxfId="4048" priority="4041" operator="containsText" text="%">
      <formula>NOT(ISERROR(SEARCH("%",M32)))</formula>
    </cfRule>
  </conditionalFormatting>
  <conditionalFormatting sqref="M32">
    <cfRule type="containsText" dxfId="4047" priority="4040" operator="containsText" text="%">
      <formula>NOT(ISERROR(SEARCH("%",M32)))</formula>
    </cfRule>
  </conditionalFormatting>
  <conditionalFormatting sqref="M32">
    <cfRule type="containsText" dxfId="4046" priority="4036" operator="containsText" text="%">
      <formula>NOT(ISERROR(SEARCH("%",M32)))</formula>
    </cfRule>
  </conditionalFormatting>
  <conditionalFormatting sqref="M32">
    <cfRule type="containsText" dxfId="4045" priority="4054" operator="containsText" text="%">
      <formula>NOT(ISERROR(SEARCH("%",M32)))</formula>
    </cfRule>
  </conditionalFormatting>
  <conditionalFormatting sqref="M32">
    <cfRule type="containsText" dxfId="4044" priority="4034" operator="containsText" text="%">
      <formula>NOT(ISERROR(SEARCH("%",M32)))</formula>
    </cfRule>
  </conditionalFormatting>
  <conditionalFormatting sqref="M32">
    <cfRule type="containsText" dxfId="4043" priority="4053" operator="containsText" text="%">
      <formula>NOT(ISERROR(SEARCH("%",M32)))</formula>
    </cfRule>
  </conditionalFormatting>
  <conditionalFormatting sqref="M32">
    <cfRule type="containsText" dxfId="4042" priority="4052" operator="containsText" text="%">
      <formula>NOT(ISERROR(SEARCH("%",M32)))</formula>
    </cfRule>
  </conditionalFormatting>
  <conditionalFormatting sqref="M32">
    <cfRule type="containsText" dxfId="4041" priority="4051" operator="containsText" text="%">
      <formula>NOT(ISERROR(SEARCH("%",M32)))</formula>
    </cfRule>
  </conditionalFormatting>
  <conditionalFormatting sqref="M32">
    <cfRule type="containsText" dxfId="4040" priority="4050" operator="containsText" text="%">
      <formula>NOT(ISERROR(SEARCH("%",M32)))</formula>
    </cfRule>
  </conditionalFormatting>
  <conditionalFormatting sqref="M32">
    <cfRule type="containsText" dxfId="4039" priority="4049" operator="containsText" text="%">
      <formula>NOT(ISERROR(SEARCH("%",M32)))</formula>
    </cfRule>
  </conditionalFormatting>
  <conditionalFormatting sqref="M32">
    <cfRule type="containsText" dxfId="4038" priority="4048" operator="containsText" text="%">
      <formula>NOT(ISERROR(SEARCH("%",M32)))</formula>
    </cfRule>
  </conditionalFormatting>
  <conditionalFormatting sqref="M32">
    <cfRule type="containsText" dxfId="4037" priority="4047" operator="containsText" text="%">
      <formula>NOT(ISERROR(SEARCH("%",M32)))</formula>
    </cfRule>
  </conditionalFormatting>
  <conditionalFormatting sqref="M32">
    <cfRule type="containsText" dxfId="4036" priority="4046" operator="containsText" text="%">
      <formula>NOT(ISERROR(SEARCH("%",M32)))</formula>
    </cfRule>
  </conditionalFormatting>
  <conditionalFormatting sqref="M32">
    <cfRule type="containsText" dxfId="4035" priority="4045" operator="containsText" text="%">
      <formula>NOT(ISERROR(SEARCH("%",M32)))</formula>
    </cfRule>
  </conditionalFormatting>
  <conditionalFormatting sqref="M32">
    <cfRule type="containsText" dxfId="4034" priority="4044" operator="containsText" text="%">
      <formula>NOT(ISERROR(SEARCH("%",M32)))</formula>
    </cfRule>
  </conditionalFormatting>
  <conditionalFormatting sqref="M32">
    <cfRule type="containsText" dxfId="4033" priority="4043" operator="containsText" text="%">
      <formula>NOT(ISERROR(SEARCH("%",M32)))</formula>
    </cfRule>
  </conditionalFormatting>
  <conditionalFormatting sqref="M32">
    <cfRule type="containsText" dxfId="4032" priority="4042" operator="containsText" text="%">
      <formula>NOT(ISERROR(SEARCH("%",M32)))</formula>
    </cfRule>
  </conditionalFormatting>
  <conditionalFormatting sqref="M32">
    <cfRule type="containsText" dxfId="4031" priority="4039" operator="containsText" text="%">
      <formula>NOT(ISERROR(SEARCH("%",M32)))</formula>
    </cfRule>
  </conditionalFormatting>
  <conditionalFormatting sqref="M32">
    <cfRule type="containsText" dxfId="4030" priority="4038" operator="containsText" text="%">
      <formula>NOT(ISERROR(SEARCH("%",M32)))</formula>
    </cfRule>
  </conditionalFormatting>
  <conditionalFormatting sqref="M32">
    <cfRule type="containsText" dxfId="4029" priority="4037" operator="containsText" text="%">
      <formula>NOT(ISERROR(SEARCH("%",M32)))</formula>
    </cfRule>
  </conditionalFormatting>
  <conditionalFormatting sqref="M32">
    <cfRule type="containsText" dxfId="4028" priority="4035" operator="containsText" text="%">
      <formula>NOT(ISERROR(SEARCH("%",M32)))</formula>
    </cfRule>
  </conditionalFormatting>
  <conditionalFormatting sqref="M32">
    <cfRule type="containsText" dxfId="4027" priority="4033" operator="containsText" text="%">
      <formula>NOT(ISERROR(SEARCH("%",M32)))</formula>
    </cfRule>
  </conditionalFormatting>
  <conditionalFormatting sqref="M32">
    <cfRule type="containsText" dxfId="4026" priority="4032" operator="containsText" text="%">
      <formula>NOT(ISERROR(SEARCH("%",M32)))</formula>
    </cfRule>
  </conditionalFormatting>
  <conditionalFormatting sqref="M32">
    <cfRule type="containsText" dxfId="4025" priority="4031" operator="containsText" text="%">
      <formula>NOT(ISERROR(SEARCH("%",M32)))</formula>
    </cfRule>
  </conditionalFormatting>
  <conditionalFormatting sqref="M32">
    <cfRule type="containsText" dxfId="4024" priority="4030" operator="containsText" text="%">
      <formula>NOT(ISERROR(SEARCH("%",M32)))</formula>
    </cfRule>
  </conditionalFormatting>
  <conditionalFormatting sqref="M32">
    <cfRule type="containsText" dxfId="4023" priority="4029" operator="containsText" text="%">
      <formula>NOT(ISERROR(SEARCH("%",M32)))</formula>
    </cfRule>
  </conditionalFormatting>
  <conditionalFormatting sqref="M32">
    <cfRule type="containsText" dxfId="4022" priority="4028" operator="containsText" text="%">
      <formula>NOT(ISERROR(SEARCH("%",M32)))</formula>
    </cfRule>
  </conditionalFormatting>
  <conditionalFormatting sqref="M32">
    <cfRule type="containsText" dxfId="4021" priority="4027" operator="containsText" text="%">
      <formula>NOT(ISERROR(SEARCH("%",M32)))</formula>
    </cfRule>
  </conditionalFormatting>
  <conditionalFormatting sqref="M32">
    <cfRule type="containsText" dxfId="4020" priority="4026" operator="containsText" text="%">
      <formula>NOT(ISERROR(SEARCH("%",M32)))</formula>
    </cfRule>
  </conditionalFormatting>
  <conditionalFormatting sqref="M32">
    <cfRule type="containsText" dxfId="4019" priority="4025" operator="containsText" text="%">
      <formula>NOT(ISERROR(SEARCH("%",M32)))</formula>
    </cfRule>
  </conditionalFormatting>
  <conditionalFormatting sqref="M32">
    <cfRule type="containsText" dxfId="4018" priority="4024" operator="containsText" text="%">
      <formula>NOT(ISERROR(SEARCH("%",M32)))</formula>
    </cfRule>
  </conditionalFormatting>
  <conditionalFormatting sqref="M32">
    <cfRule type="containsText" dxfId="4017" priority="4023" operator="containsText" text="%">
      <formula>NOT(ISERROR(SEARCH("%",M32)))</formula>
    </cfRule>
  </conditionalFormatting>
  <conditionalFormatting sqref="M32">
    <cfRule type="containsText" dxfId="4016" priority="4022" operator="containsText" text="%">
      <formula>NOT(ISERROR(SEARCH("%",M32)))</formula>
    </cfRule>
  </conditionalFormatting>
  <conditionalFormatting sqref="M32">
    <cfRule type="containsText" dxfId="4015" priority="4021" operator="containsText" text="%">
      <formula>NOT(ISERROR(SEARCH("%",M32)))</formula>
    </cfRule>
  </conditionalFormatting>
  <conditionalFormatting sqref="M32">
    <cfRule type="containsText" dxfId="4014" priority="4020" operator="containsText" text="%">
      <formula>NOT(ISERROR(SEARCH("%",M32)))</formula>
    </cfRule>
  </conditionalFormatting>
  <conditionalFormatting sqref="M32">
    <cfRule type="containsText" dxfId="4013" priority="4019" operator="containsText" text="%">
      <formula>NOT(ISERROR(SEARCH("%",M32)))</formula>
    </cfRule>
  </conditionalFormatting>
  <conditionalFormatting sqref="M32">
    <cfRule type="containsText" dxfId="4012" priority="4018" operator="containsText" text="%">
      <formula>NOT(ISERROR(SEARCH("%",M32)))</formula>
    </cfRule>
  </conditionalFormatting>
  <conditionalFormatting sqref="M32">
    <cfRule type="containsText" dxfId="4011" priority="4017" operator="containsText" text="%">
      <formula>NOT(ISERROR(SEARCH("%",M32)))</formula>
    </cfRule>
  </conditionalFormatting>
  <conditionalFormatting sqref="M32">
    <cfRule type="containsText" dxfId="4010" priority="4016" operator="containsText" text="%">
      <formula>NOT(ISERROR(SEARCH("%",M32)))</formula>
    </cfRule>
  </conditionalFormatting>
  <conditionalFormatting sqref="M32">
    <cfRule type="containsText" dxfId="4009" priority="4015" operator="containsText" text="%">
      <formula>NOT(ISERROR(SEARCH("%",M32)))</formula>
    </cfRule>
  </conditionalFormatting>
  <conditionalFormatting sqref="M32">
    <cfRule type="containsText" dxfId="4008" priority="4014" operator="containsText" text="%">
      <formula>NOT(ISERROR(SEARCH("%",M32)))</formula>
    </cfRule>
  </conditionalFormatting>
  <conditionalFormatting sqref="M32">
    <cfRule type="containsText" dxfId="4007" priority="4013" operator="containsText" text="%">
      <formula>NOT(ISERROR(SEARCH("%",M32)))</formula>
    </cfRule>
  </conditionalFormatting>
  <conditionalFormatting sqref="M32">
    <cfRule type="containsText" dxfId="4006" priority="4012" operator="containsText" text="%">
      <formula>NOT(ISERROR(SEARCH("%",M32)))</formula>
    </cfRule>
  </conditionalFormatting>
  <conditionalFormatting sqref="M32">
    <cfRule type="containsText" dxfId="4005" priority="4011" operator="containsText" text="%">
      <formula>NOT(ISERROR(SEARCH("%",M32)))</formula>
    </cfRule>
  </conditionalFormatting>
  <conditionalFormatting sqref="M32">
    <cfRule type="containsText" dxfId="4004" priority="4010" operator="containsText" text="%">
      <formula>NOT(ISERROR(SEARCH("%",M32)))</formula>
    </cfRule>
  </conditionalFormatting>
  <conditionalFormatting sqref="M32">
    <cfRule type="containsText" dxfId="4003" priority="4009" operator="containsText" text="%">
      <formula>NOT(ISERROR(SEARCH("%",M32)))</formula>
    </cfRule>
  </conditionalFormatting>
  <conditionalFormatting sqref="M32">
    <cfRule type="containsText" dxfId="4002" priority="4008" operator="containsText" text="%">
      <formula>NOT(ISERROR(SEARCH("%",M32)))</formula>
    </cfRule>
  </conditionalFormatting>
  <conditionalFormatting sqref="M32">
    <cfRule type="containsText" dxfId="4001" priority="4007" operator="containsText" text="%">
      <formula>NOT(ISERROR(SEARCH("%",M32)))</formula>
    </cfRule>
  </conditionalFormatting>
  <conditionalFormatting sqref="M32">
    <cfRule type="containsText" dxfId="4000" priority="4006" operator="containsText" text="%">
      <formula>NOT(ISERROR(SEARCH("%",M32)))</formula>
    </cfRule>
  </conditionalFormatting>
  <conditionalFormatting sqref="I33:I34">
    <cfRule type="containsText" dxfId="3999" priority="3990" operator="containsText" text="%">
      <formula>NOT(ISERROR(SEARCH("%",I33)))</formula>
    </cfRule>
  </conditionalFormatting>
  <conditionalFormatting sqref="I33:I34">
    <cfRule type="containsText" dxfId="3998" priority="3989" operator="containsText" text="%">
      <formula>NOT(ISERROR(SEARCH("%",I33)))</formula>
    </cfRule>
  </conditionalFormatting>
  <conditionalFormatting sqref="I33:I34">
    <cfRule type="containsText" dxfId="3997" priority="3985" operator="containsText" text="%">
      <formula>NOT(ISERROR(SEARCH("%",I33)))</formula>
    </cfRule>
  </conditionalFormatting>
  <conditionalFormatting sqref="I33:I34">
    <cfRule type="containsText" dxfId="3996" priority="4005" operator="containsText" text="%">
      <formula>NOT(ISERROR(SEARCH("%",I33)))</formula>
    </cfRule>
  </conditionalFormatting>
  <conditionalFormatting sqref="I33">
    <cfRule type="containsText" dxfId="3995" priority="4004" operator="containsText" text="%">
      <formula>NOT(ISERROR(SEARCH("%",I33)))</formula>
    </cfRule>
  </conditionalFormatting>
  <conditionalFormatting sqref="I33">
    <cfRule type="containsText" dxfId="3994" priority="4003" operator="containsText" text="%">
      <formula>NOT(ISERROR(SEARCH("%",I33)))</formula>
    </cfRule>
  </conditionalFormatting>
  <conditionalFormatting sqref="I33:I34">
    <cfRule type="containsText" dxfId="3993" priority="3983" operator="containsText" text="%">
      <formula>NOT(ISERROR(SEARCH("%",I33)))</formula>
    </cfRule>
  </conditionalFormatting>
  <conditionalFormatting sqref="I33:I34">
    <cfRule type="containsText" dxfId="3992" priority="4002" operator="containsText" text="%">
      <formula>NOT(ISERROR(SEARCH("%",I33)))</formula>
    </cfRule>
  </conditionalFormatting>
  <conditionalFormatting sqref="I33:I34">
    <cfRule type="containsText" dxfId="3991" priority="4001" operator="containsText" text="%">
      <formula>NOT(ISERROR(SEARCH("%",I33)))</formula>
    </cfRule>
  </conditionalFormatting>
  <conditionalFormatting sqref="I33:I34">
    <cfRule type="containsText" dxfId="3990" priority="4000" operator="containsText" text="%">
      <formula>NOT(ISERROR(SEARCH("%",I33)))</formula>
    </cfRule>
  </conditionalFormatting>
  <conditionalFormatting sqref="I33:I34">
    <cfRule type="containsText" dxfId="3989" priority="3999" operator="containsText" text="%">
      <formula>NOT(ISERROR(SEARCH("%",I33)))</formula>
    </cfRule>
  </conditionalFormatting>
  <conditionalFormatting sqref="I33:I34">
    <cfRule type="containsText" dxfId="3988" priority="3998" operator="containsText" text="%">
      <formula>NOT(ISERROR(SEARCH("%",I33)))</formula>
    </cfRule>
  </conditionalFormatting>
  <conditionalFormatting sqref="I33:I34">
    <cfRule type="containsText" dxfId="3987" priority="3997" operator="containsText" text="%">
      <formula>NOT(ISERROR(SEARCH("%",I33)))</formula>
    </cfRule>
  </conditionalFormatting>
  <conditionalFormatting sqref="I33:I34">
    <cfRule type="containsText" dxfId="3986" priority="3996" operator="containsText" text="%">
      <formula>NOT(ISERROR(SEARCH("%",I33)))</formula>
    </cfRule>
  </conditionalFormatting>
  <conditionalFormatting sqref="I33:I34">
    <cfRule type="containsText" dxfId="3985" priority="3995" operator="containsText" text="%">
      <formula>NOT(ISERROR(SEARCH("%",I33)))</formula>
    </cfRule>
  </conditionalFormatting>
  <conditionalFormatting sqref="I33:I34">
    <cfRule type="containsText" dxfId="3984" priority="3994" operator="containsText" text="%">
      <formula>NOT(ISERROR(SEARCH("%",I33)))</formula>
    </cfRule>
  </conditionalFormatting>
  <conditionalFormatting sqref="I33:I34">
    <cfRule type="containsText" dxfId="3983" priority="3993" operator="containsText" text="%">
      <formula>NOT(ISERROR(SEARCH("%",I33)))</formula>
    </cfRule>
  </conditionalFormatting>
  <conditionalFormatting sqref="I33:I34">
    <cfRule type="containsText" dxfId="3982" priority="3992" operator="containsText" text="%">
      <formula>NOT(ISERROR(SEARCH("%",I33)))</formula>
    </cfRule>
  </conditionalFormatting>
  <conditionalFormatting sqref="I33:I34">
    <cfRule type="containsText" dxfId="3981" priority="3991" operator="containsText" text="%">
      <formula>NOT(ISERROR(SEARCH("%",I33)))</formula>
    </cfRule>
  </conditionalFormatting>
  <conditionalFormatting sqref="I33:I34">
    <cfRule type="containsText" dxfId="3980" priority="3988" operator="containsText" text="%">
      <formula>NOT(ISERROR(SEARCH("%",I33)))</formula>
    </cfRule>
  </conditionalFormatting>
  <conditionalFormatting sqref="I33:I34">
    <cfRule type="containsText" dxfId="3979" priority="3987" operator="containsText" text="%">
      <formula>NOT(ISERROR(SEARCH("%",I33)))</formula>
    </cfRule>
  </conditionalFormatting>
  <conditionalFormatting sqref="I33:I34">
    <cfRule type="containsText" dxfId="3978" priority="3986" operator="containsText" text="%">
      <formula>NOT(ISERROR(SEARCH("%",I33)))</formula>
    </cfRule>
  </conditionalFormatting>
  <conditionalFormatting sqref="I33:I34">
    <cfRule type="containsText" dxfId="3977" priority="3984" operator="containsText" text="%">
      <formula>NOT(ISERROR(SEARCH("%",I33)))</formula>
    </cfRule>
  </conditionalFormatting>
  <conditionalFormatting sqref="I33:I34">
    <cfRule type="containsText" dxfId="3976" priority="3982" operator="containsText" text="%">
      <formula>NOT(ISERROR(SEARCH("%",I33)))</formula>
    </cfRule>
  </conditionalFormatting>
  <conditionalFormatting sqref="I33:I34">
    <cfRule type="containsText" dxfId="3975" priority="3981" operator="containsText" text="%">
      <formula>NOT(ISERROR(SEARCH("%",I33)))</formula>
    </cfRule>
  </conditionalFormatting>
  <conditionalFormatting sqref="I33:I34">
    <cfRule type="containsText" dxfId="3974" priority="3980" operator="containsText" text="%">
      <formula>NOT(ISERROR(SEARCH("%",I33)))</formula>
    </cfRule>
  </conditionalFormatting>
  <conditionalFormatting sqref="I33:I34">
    <cfRule type="containsText" dxfId="3973" priority="3979" operator="containsText" text="%">
      <formula>NOT(ISERROR(SEARCH("%",I33)))</formula>
    </cfRule>
  </conditionalFormatting>
  <conditionalFormatting sqref="I33:I34">
    <cfRule type="containsText" dxfId="3972" priority="3978" operator="containsText" text="%">
      <formula>NOT(ISERROR(SEARCH("%",I33)))</formula>
    </cfRule>
  </conditionalFormatting>
  <conditionalFormatting sqref="I33:I34">
    <cfRule type="containsText" dxfId="3971" priority="3977" operator="containsText" text="%">
      <formula>NOT(ISERROR(SEARCH("%",I33)))</formula>
    </cfRule>
  </conditionalFormatting>
  <conditionalFormatting sqref="I33:I34">
    <cfRule type="containsText" dxfId="3970" priority="3976" operator="containsText" text="%">
      <formula>NOT(ISERROR(SEARCH("%",I33)))</formula>
    </cfRule>
  </conditionalFormatting>
  <conditionalFormatting sqref="I33:I34">
    <cfRule type="containsText" dxfId="3969" priority="3975" operator="containsText" text="%">
      <formula>NOT(ISERROR(SEARCH("%",I33)))</formula>
    </cfRule>
  </conditionalFormatting>
  <conditionalFormatting sqref="I33:I34">
    <cfRule type="containsText" dxfId="3968" priority="3974" operator="containsText" text="%">
      <formula>NOT(ISERROR(SEARCH("%",I33)))</formula>
    </cfRule>
  </conditionalFormatting>
  <conditionalFormatting sqref="I33:I34">
    <cfRule type="containsText" dxfId="3967" priority="3973" operator="containsText" text="%">
      <formula>NOT(ISERROR(SEARCH("%",I33)))</formula>
    </cfRule>
  </conditionalFormatting>
  <conditionalFormatting sqref="I34">
    <cfRule type="containsText" dxfId="3966" priority="3972" operator="containsText" text="%">
      <formula>NOT(ISERROR(SEARCH("%",I34)))</formula>
    </cfRule>
  </conditionalFormatting>
  <conditionalFormatting sqref="I34">
    <cfRule type="containsText" dxfId="3965" priority="3971" operator="containsText" text="%">
      <formula>NOT(ISERROR(SEARCH("%",I34)))</formula>
    </cfRule>
  </conditionalFormatting>
  <conditionalFormatting sqref="I34">
    <cfRule type="containsText" dxfId="3964" priority="3970" operator="containsText" text="%">
      <formula>NOT(ISERROR(SEARCH("%",I34)))</formula>
    </cfRule>
  </conditionalFormatting>
  <conditionalFormatting sqref="I34">
    <cfRule type="containsText" dxfId="3963" priority="3969" operator="containsText" text="%">
      <formula>NOT(ISERROR(SEARCH("%",I34)))</formula>
    </cfRule>
  </conditionalFormatting>
  <conditionalFormatting sqref="I33:I34">
    <cfRule type="containsText" dxfId="3962" priority="3968" operator="containsText" text="%">
      <formula>NOT(ISERROR(SEARCH("%",I33)))</formula>
    </cfRule>
  </conditionalFormatting>
  <conditionalFormatting sqref="I33:I34">
    <cfRule type="containsText" dxfId="3961" priority="3967" operator="containsText" text="%">
      <formula>NOT(ISERROR(SEARCH("%",I33)))</formula>
    </cfRule>
  </conditionalFormatting>
  <conditionalFormatting sqref="I33:I34">
    <cfRule type="containsText" dxfId="3960" priority="3966" operator="containsText" text="%">
      <formula>NOT(ISERROR(SEARCH("%",I33)))</formula>
    </cfRule>
  </conditionalFormatting>
  <conditionalFormatting sqref="I33:I34">
    <cfRule type="containsText" dxfId="3959" priority="3965" operator="containsText" text="%">
      <formula>NOT(ISERROR(SEARCH("%",I33)))</formula>
    </cfRule>
  </conditionalFormatting>
  <conditionalFormatting sqref="I33:I34">
    <cfRule type="containsText" dxfId="3958" priority="3964" operator="containsText" text="%">
      <formula>NOT(ISERROR(SEARCH("%",I33)))</formula>
    </cfRule>
  </conditionalFormatting>
  <conditionalFormatting sqref="I33:I34">
    <cfRule type="containsText" dxfId="3957" priority="3963" operator="containsText" text="%">
      <formula>NOT(ISERROR(SEARCH("%",I33)))</formula>
    </cfRule>
  </conditionalFormatting>
  <conditionalFormatting sqref="I33:I34">
    <cfRule type="containsText" dxfId="3956" priority="3962" operator="containsText" text="%">
      <formula>NOT(ISERROR(SEARCH("%",I33)))</formula>
    </cfRule>
  </conditionalFormatting>
  <conditionalFormatting sqref="I33:I34">
    <cfRule type="containsText" dxfId="3955" priority="3961" operator="containsText" text="%">
      <formula>NOT(ISERROR(SEARCH("%",I33)))</formula>
    </cfRule>
  </conditionalFormatting>
  <conditionalFormatting sqref="I33:I34">
    <cfRule type="containsText" dxfId="3954" priority="3960" operator="containsText" text="%">
      <formula>NOT(ISERROR(SEARCH("%",I33)))</formula>
    </cfRule>
  </conditionalFormatting>
  <conditionalFormatting sqref="I33:I34">
    <cfRule type="containsText" dxfId="3953" priority="3959" operator="containsText" text="%">
      <formula>NOT(ISERROR(SEARCH("%",I33)))</formula>
    </cfRule>
  </conditionalFormatting>
  <conditionalFormatting sqref="I34">
    <cfRule type="containsText" dxfId="3952" priority="3958" operator="containsText" text="%">
      <formula>NOT(ISERROR(SEARCH("%",I34)))</formula>
    </cfRule>
  </conditionalFormatting>
  <conditionalFormatting sqref="I34">
    <cfRule type="containsText" dxfId="3951" priority="3957" operator="containsText" text="%">
      <formula>NOT(ISERROR(SEARCH("%",I34)))</formula>
    </cfRule>
  </conditionalFormatting>
  <conditionalFormatting sqref="I34">
    <cfRule type="containsText" dxfId="3950" priority="3956" operator="containsText" text="%">
      <formula>NOT(ISERROR(SEARCH("%",I34)))</formula>
    </cfRule>
  </conditionalFormatting>
  <conditionalFormatting sqref="I34">
    <cfRule type="containsText" dxfId="3949" priority="3955" operator="containsText" text="%">
      <formula>NOT(ISERROR(SEARCH("%",I34)))</formula>
    </cfRule>
  </conditionalFormatting>
  <conditionalFormatting sqref="I33:I34">
    <cfRule type="containsText" dxfId="3948" priority="3954" operator="containsText" text="%">
      <formula>NOT(ISERROR(SEARCH("%",I33)))</formula>
    </cfRule>
  </conditionalFormatting>
  <conditionalFormatting sqref="I33:I34">
    <cfRule type="containsText" dxfId="3947" priority="3953" operator="containsText" text="%">
      <formula>NOT(ISERROR(SEARCH("%",I33)))</formula>
    </cfRule>
  </conditionalFormatting>
  <conditionalFormatting sqref="I33:I34">
    <cfRule type="containsText" dxfId="3946" priority="3952" operator="containsText" text="%">
      <formula>NOT(ISERROR(SEARCH("%",I33)))</formula>
    </cfRule>
  </conditionalFormatting>
  <conditionalFormatting sqref="I33:I34">
    <cfRule type="containsText" dxfId="3945" priority="3951" operator="containsText" text="%">
      <formula>NOT(ISERROR(SEARCH("%",I33)))</formula>
    </cfRule>
  </conditionalFormatting>
  <conditionalFormatting sqref="I33:I34">
    <cfRule type="containsText" dxfId="3944" priority="3950" operator="containsText" text="%">
      <formula>NOT(ISERROR(SEARCH("%",I33)))</formula>
    </cfRule>
  </conditionalFormatting>
  <conditionalFormatting sqref="I33:I34">
    <cfRule type="containsText" dxfId="3943" priority="3949" operator="containsText" text="%">
      <formula>NOT(ISERROR(SEARCH("%",I33)))</formula>
    </cfRule>
  </conditionalFormatting>
  <conditionalFormatting sqref="I34">
    <cfRule type="containsText" dxfId="3942" priority="3948" operator="containsText" text="%">
      <formula>NOT(ISERROR(SEARCH("%",I34)))</formula>
    </cfRule>
  </conditionalFormatting>
  <conditionalFormatting sqref="I34">
    <cfRule type="containsText" dxfId="3941" priority="3947" operator="containsText" text="%">
      <formula>NOT(ISERROR(SEARCH("%",I34)))</formula>
    </cfRule>
  </conditionalFormatting>
  <conditionalFormatting sqref="I34">
    <cfRule type="containsText" dxfId="3940" priority="3946" operator="containsText" text="%">
      <formula>NOT(ISERROR(SEARCH("%",I34)))</formula>
    </cfRule>
  </conditionalFormatting>
  <conditionalFormatting sqref="I34">
    <cfRule type="containsText" dxfId="3939" priority="3945" operator="containsText" text="%">
      <formula>NOT(ISERROR(SEARCH("%",I34)))</formula>
    </cfRule>
  </conditionalFormatting>
  <conditionalFormatting sqref="I33:I34">
    <cfRule type="containsText" dxfId="3938" priority="3929" operator="containsText" text="%">
      <formula>NOT(ISERROR(SEARCH("%",I33)))</formula>
    </cfRule>
  </conditionalFormatting>
  <conditionalFormatting sqref="I33:I34">
    <cfRule type="containsText" dxfId="3937" priority="3928" operator="containsText" text="%">
      <formula>NOT(ISERROR(SEARCH("%",I33)))</formula>
    </cfRule>
  </conditionalFormatting>
  <conditionalFormatting sqref="I33:I34">
    <cfRule type="containsText" dxfId="3936" priority="3924" operator="containsText" text="%">
      <formula>NOT(ISERROR(SEARCH("%",I33)))</formula>
    </cfRule>
  </conditionalFormatting>
  <conditionalFormatting sqref="I33:I34">
    <cfRule type="containsText" dxfId="3935" priority="3944" operator="containsText" text="%">
      <formula>NOT(ISERROR(SEARCH("%",I33)))</formula>
    </cfRule>
  </conditionalFormatting>
  <conditionalFormatting sqref="I33">
    <cfRule type="containsText" dxfId="3934" priority="3943" operator="containsText" text="%">
      <formula>NOT(ISERROR(SEARCH("%",I33)))</formula>
    </cfRule>
  </conditionalFormatting>
  <conditionalFormatting sqref="I33">
    <cfRule type="containsText" dxfId="3933" priority="3942" operator="containsText" text="%">
      <formula>NOT(ISERROR(SEARCH("%",I33)))</formula>
    </cfRule>
  </conditionalFormatting>
  <conditionalFormatting sqref="I33:I34">
    <cfRule type="containsText" dxfId="3932" priority="3922" operator="containsText" text="%">
      <formula>NOT(ISERROR(SEARCH("%",I33)))</formula>
    </cfRule>
  </conditionalFormatting>
  <conditionalFormatting sqref="I33:I34">
    <cfRule type="containsText" dxfId="3931" priority="3941" operator="containsText" text="%">
      <formula>NOT(ISERROR(SEARCH("%",I33)))</formula>
    </cfRule>
  </conditionalFormatting>
  <conditionalFormatting sqref="I33:I34">
    <cfRule type="containsText" dxfId="3930" priority="3940" operator="containsText" text="%">
      <formula>NOT(ISERROR(SEARCH("%",I33)))</formula>
    </cfRule>
  </conditionalFormatting>
  <conditionalFormatting sqref="I33:I34">
    <cfRule type="containsText" dxfId="3929" priority="3939" operator="containsText" text="%">
      <formula>NOT(ISERROR(SEARCH("%",I33)))</formula>
    </cfRule>
  </conditionalFormatting>
  <conditionalFormatting sqref="I33:I34">
    <cfRule type="containsText" dxfId="3928" priority="3938" operator="containsText" text="%">
      <formula>NOT(ISERROR(SEARCH("%",I33)))</formula>
    </cfRule>
  </conditionalFormatting>
  <conditionalFormatting sqref="I33:I34">
    <cfRule type="containsText" dxfId="3927" priority="3937" operator="containsText" text="%">
      <formula>NOT(ISERROR(SEARCH("%",I33)))</formula>
    </cfRule>
  </conditionalFormatting>
  <conditionalFormatting sqref="I33:I34">
    <cfRule type="containsText" dxfId="3926" priority="3936" operator="containsText" text="%">
      <formula>NOT(ISERROR(SEARCH("%",I33)))</formula>
    </cfRule>
  </conditionalFormatting>
  <conditionalFormatting sqref="I33:I34">
    <cfRule type="containsText" dxfId="3925" priority="3935" operator="containsText" text="%">
      <formula>NOT(ISERROR(SEARCH("%",I33)))</formula>
    </cfRule>
  </conditionalFormatting>
  <conditionalFormatting sqref="I33:I34">
    <cfRule type="containsText" dxfId="3924" priority="3934" operator="containsText" text="%">
      <formula>NOT(ISERROR(SEARCH("%",I33)))</formula>
    </cfRule>
  </conditionalFormatting>
  <conditionalFormatting sqref="I33:I34">
    <cfRule type="containsText" dxfId="3923" priority="3933" operator="containsText" text="%">
      <formula>NOT(ISERROR(SEARCH("%",I33)))</formula>
    </cfRule>
  </conditionalFormatting>
  <conditionalFormatting sqref="I33:I34">
    <cfRule type="containsText" dxfId="3922" priority="3932" operator="containsText" text="%">
      <formula>NOT(ISERROR(SEARCH("%",I33)))</formula>
    </cfRule>
  </conditionalFormatting>
  <conditionalFormatting sqref="I33:I34">
    <cfRule type="containsText" dxfId="3921" priority="3931" operator="containsText" text="%">
      <formula>NOT(ISERROR(SEARCH("%",I33)))</formula>
    </cfRule>
  </conditionalFormatting>
  <conditionalFormatting sqref="I33:I34">
    <cfRule type="containsText" dxfId="3920" priority="3930" operator="containsText" text="%">
      <formula>NOT(ISERROR(SEARCH("%",I33)))</formula>
    </cfRule>
  </conditionalFormatting>
  <conditionalFormatting sqref="I33:I34">
    <cfRule type="containsText" dxfId="3919" priority="3927" operator="containsText" text="%">
      <formula>NOT(ISERROR(SEARCH("%",I33)))</formula>
    </cfRule>
  </conditionalFormatting>
  <conditionalFormatting sqref="I33:I34">
    <cfRule type="containsText" dxfId="3918" priority="3926" operator="containsText" text="%">
      <formula>NOT(ISERROR(SEARCH("%",I33)))</formula>
    </cfRule>
  </conditionalFormatting>
  <conditionalFormatting sqref="I33:I34">
    <cfRule type="containsText" dxfId="3917" priority="3925" operator="containsText" text="%">
      <formula>NOT(ISERROR(SEARCH("%",I33)))</formula>
    </cfRule>
  </conditionalFormatting>
  <conditionalFormatting sqref="I33:I34">
    <cfRule type="containsText" dxfId="3916" priority="3923" operator="containsText" text="%">
      <formula>NOT(ISERROR(SEARCH("%",I33)))</formula>
    </cfRule>
  </conditionalFormatting>
  <conditionalFormatting sqref="I33:I34">
    <cfRule type="containsText" dxfId="3915" priority="3921" operator="containsText" text="%">
      <formula>NOT(ISERROR(SEARCH("%",I33)))</formula>
    </cfRule>
  </conditionalFormatting>
  <conditionalFormatting sqref="I33:I34">
    <cfRule type="containsText" dxfId="3914" priority="3920" operator="containsText" text="%">
      <formula>NOT(ISERROR(SEARCH("%",I33)))</formula>
    </cfRule>
  </conditionalFormatting>
  <conditionalFormatting sqref="I33:I34">
    <cfRule type="containsText" dxfId="3913" priority="3919" operator="containsText" text="%">
      <formula>NOT(ISERROR(SEARCH("%",I33)))</formula>
    </cfRule>
  </conditionalFormatting>
  <conditionalFormatting sqref="I33:I34">
    <cfRule type="containsText" dxfId="3912" priority="3918" operator="containsText" text="%">
      <formula>NOT(ISERROR(SEARCH("%",I33)))</formula>
    </cfRule>
  </conditionalFormatting>
  <conditionalFormatting sqref="I33:I34">
    <cfRule type="containsText" dxfId="3911" priority="3917" operator="containsText" text="%">
      <formula>NOT(ISERROR(SEARCH("%",I33)))</formula>
    </cfRule>
  </conditionalFormatting>
  <conditionalFormatting sqref="I33:I34">
    <cfRule type="containsText" dxfId="3910" priority="3916" operator="containsText" text="%">
      <formula>NOT(ISERROR(SEARCH("%",I33)))</formula>
    </cfRule>
  </conditionalFormatting>
  <conditionalFormatting sqref="I33:I34">
    <cfRule type="containsText" dxfId="3909" priority="3915" operator="containsText" text="%">
      <formula>NOT(ISERROR(SEARCH("%",I33)))</formula>
    </cfRule>
  </conditionalFormatting>
  <conditionalFormatting sqref="I33:I34">
    <cfRule type="containsText" dxfId="3908" priority="3914" operator="containsText" text="%">
      <formula>NOT(ISERROR(SEARCH("%",I33)))</formula>
    </cfRule>
  </conditionalFormatting>
  <conditionalFormatting sqref="I33:I34">
    <cfRule type="containsText" dxfId="3907" priority="3913" operator="containsText" text="%">
      <formula>NOT(ISERROR(SEARCH("%",I33)))</formula>
    </cfRule>
  </conditionalFormatting>
  <conditionalFormatting sqref="I33:I34">
    <cfRule type="containsText" dxfId="3906" priority="3912" operator="containsText" text="%">
      <formula>NOT(ISERROR(SEARCH("%",I33)))</formula>
    </cfRule>
  </conditionalFormatting>
  <conditionalFormatting sqref="I34">
    <cfRule type="containsText" dxfId="3905" priority="3911" operator="containsText" text="%">
      <formula>NOT(ISERROR(SEARCH("%",I34)))</formula>
    </cfRule>
  </conditionalFormatting>
  <conditionalFormatting sqref="I34">
    <cfRule type="containsText" dxfId="3904" priority="3910" operator="containsText" text="%">
      <formula>NOT(ISERROR(SEARCH("%",I34)))</formula>
    </cfRule>
  </conditionalFormatting>
  <conditionalFormatting sqref="I34">
    <cfRule type="containsText" dxfId="3903" priority="3909" operator="containsText" text="%">
      <formula>NOT(ISERROR(SEARCH("%",I34)))</formula>
    </cfRule>
  </conditionalFormatting>
  <conditionalFormatting sqref="I34">
    <cfRule type="containsText" dxfId="3902" priority="3908" operator="containsText" text="%">
      <formula>NOT(ISERROR(SEARCH("%",I34)))</formula>
    </cfRule>
  </conditionalFormatting>
  <conditionalFormatting sqref="I33:I34">
    <cfRule type="containsText" dxfId="3901" priority="3907" operator="containsText" text="%">
      <formula>NOT(ISERROR(SEARCH("%",I33)))</formula>
    </cfRule>
  </conditionalFormatting>
  <conditionalFormatting sqref="I33:I34">
    <cfRule type="containsText" dxfId="3900" priority="3906" operator="containsText" text="%">
      <formula>NOT(ISERROR(SEARCH("%",I33)))</formula>
    </cfRule>
  </conditionalFormatting>
  <conditionalFormatting sqref="I33:I34">
    <cfRule type="containsText" dxfId="3899" priority="3905" operator="containsText" text="%">
      <formula>NOT(ISERROR(SEARCH("%",I33)))</formula>
    </cfRule>
  </conditionalFormatting>
  <conditionalFormatting sqref="I33:I34">
    <cfRule type="containsText" dxfId="3898" priority="3904" operator="containsText" text="%">
      <formula>NOT(ISERROR(SEARCH("%",I33)))</formula>
    </cfRule>
  </conditionalFormatting>
  <conditionalFormatting sqref="I33:I34">
    <cfRule type="containsText" dxfId="3897" priority="3903" operator="containsText" text="%">
      <formula>NOT(ISERROR(SEARCH("%",I33)))</formula>
    </cfRule>
  </conditionalFormatting>
  <conditionalFormatting sqref="I33:I34">
    <cfRule type="containsText" dxfId="3896" priority="3902" operator="containsText" text="%">
      <formula>NOT(ISERROR(SEARCH("%",I33)))</formula>
    </cfRule>
  </conditionalFormatting>
  <conditionalFormatting sqref="I33:I34">
    <cfRule type="containsText" dxfId="3895" priority="3901" operator="containsText" text="%">
      <formula>NOT(ISERROR(SEARCH("%",I33)))</formula>
    </cfRule>
  </conditionalFormatting>
  <conditionalFormatting sqref="I33:I34">
    <cfRule type="containsText" dxfId="3894" priority="3900" operator="containsText" text="%">
      <formula>NOT(ISERROR(SEARCH("%",I33)))</formula>
    </cfRule>
  </conditionalFormatting>
  <conditionalFormatting sqref="I33:I34">
    <cfRule type="containsText" dxfId="3893" priority="3899" operator="containsText" text="%">
      <formula>NOT(ISERROR(SEARCH("%",I33)))</formula>
    </cfRule>
  </conditionalFormatting>
  <conditionalFormatting sqref="I33:I34">
    <cfRule type="containsText" dxfId="3892" priority="3898" operator="containsText" text="%">
      <formula>NOT(ISERROR(SEARCH("%",I33)))</formula>
    </cfRule>
  </conditionalFormatting>
  <conditionalFormatting sqref="I34">
    <cfRule type="containsText" dxfId="3891" priority="3897" operator="containsText" text="%">
      <formula>NOT(ISERROR(SEARCH("%",I34)))</formula>
    </cfRule>
  </conditionalFormatting>
  <conditionalFormatting sqref="I34">
    <cfRule type="containsText" dxfId="3890" priority="3896" operator="containsText" text="%">
      <formula>NOT(ISERROR(SEARCH("%",I34)))</formula>
    </cfRule>
  </conditionalFormatting>
  <conditionalFormatting sqref="I34">
    <cfRule type="containsText" dxfId="3889" priority="3895" operator="containsText" text="%">
      <formula>NOT(ISERROR(SEARCH("%",I34)))</formula>
    </cfRule>
  </conditionalFormatting>
  <conditionalFormatting sqref="I34">
    <cfRule type="containsText" dxfId="3888" priority="3894" operator="containsText" text="%">
      <formula>NOT(ISERROR(SEARCH("%",I34)))</formula>
    </cfRule>
  </conditionalFormatting>
  <conditionalFormatting sqref="I33">
    <cfRule type="containsText" dxfId="3887" priority="3893" operator="containsText" text="%">
      <formula>NOT(ISERROR(SEARCH("%",I33)))</formula>
    </cfRule>
  </conditionalFormatting>
  <conditionalFormatting sqref="I33">
    <cfRule type="containsText" dxfId="3886" priority="3892" operator="containsText" text="%">
      <formula>NOT(ISERROR(SEARCH("%",I33)))</formula>
    </cfRule>
  </conditionalFormatting>
  <conditionalFormatting sqref="I33">
    <cfRule type="containsText" dxfId="3885" priority="3891" operator="containsText" text="%">
      <formula>NOT(ISERROR(SEARCH("%",I33)))</formula>
    </cfRule>
  </conditionalFormatting>
  <conditionalFormatting sqref="I33">
    <cfRule type="containsText" dxfId="3884" priority="3890" operator="containsText" text="%">
      <formula>NOT(ISERROR(SEARCH("%",I33)))</formula>
    </cfRule>
  </conditionalFormatting>
  <conditionalFormatting sqref="I33">
    <cfRule type="containsText" dxfId="3883" priority="3889" operator="containsText" text="%">
      <formula>NOT(ISERROR(SEARCH("%",I33)))</formula>
    </cfRule>
  </conditionalFormatting>
  <conditionalFormatting sqref="I33">
    <cfRule type="containsText" dxfId="3882" priority="3888" operator="containsText" text="%">
      <formula>NOT(ISERROR(SEARCH("%",I33)))</formula>
    </cfRule>
  </conditionalFormatting>
  <conditionalFormatting sqref="I34">
    <cfRule type="containsText" dxfId="3881" priority="3887" operator="containsText" text="%">
      <formula>NOT(ISERROR(SEARCH("%",I34)))</formula>
    </cfRule>
  </conditionalFormatting>
  <conditionalFormatting sqref="I34">
    <cfRule type="containsText" dxfId="3880" priority="3886" operator="containsText" text="%">
      <formula>NOT(ISERROR(SEARCH("%",I34)))</formula>
    </cfRule>
  </conditionalFormatting>
  <conditionalFormatting sqref="I34">
    <cfRule type="containsText" dxfId="3879" priority="3885" operator="containsText" text="%">
      <formula>NOT(ISERROR(SEARCH("%",I34)))</formula>
    </cfRule>
  </conditionalFormatting>
  <conditionalFormatting sqref="I34">
    <cfRule type="containsText" dxfId="3878" priority="3884" operator="containsText" text="%">
      <formula>NOT(ISERROR(SEARCH("%",I34)))</formula>
    </cfRule>
  </conditionalFormatting>
  <conditionalFormatting sqref="I34">
    <cfRule type="containsText" dxfId="3877" priority="3883" operator="containsText" text="%">
      <formula>NOT(ISERROR(SEARCH("%",I34)))</formula>
    </cfRule>
  </conditionalFormatting>
  <conditionalFormatting sqref="I34">
    <cfRule type="containsText" dxfId="3876" priority="3882" operator="containsText" text="%">
      <formula>NOT(ISERROR(SEARCH("%",I34)))</formula>
    </cfRule>
  </conditionalFormatting>
  <conditionalFormatting sqref="I34">
    <cfRule type="containsText" dxfId="3875" priority="3881" operator="containsText" text="%">
      <formula>NOT(ISERROR(SEARCH("%",I34)))</formula>
    </cfRule>
  </conditionalFormatting>
  <conditionalFormatting sqref="I34">
    <cfRule type="containsText" dxfId="3874" priority="3880" operator="containsText" text="%">
      <formula>NOT(ISERROR(SEARCH("%",I34)))</formula>
    </cfRule>
  </conditionalFormatting>
  <conditionalFormatting sqref="I34">
    <cfRule type="containsText" dxfId="3873" priority="3879" operator="containsText" text="%">
      <formula>NOT(ISERROR(SEARCH("%",I34)))</formula>
    </cfRule>
  </conditionalFormatting>
  <conditionalFormatting sqref="I34">
    <cfRule type="containsText" dxfId="3872" priority="3878" operator="containsText" text="%">
      <formula>NOT(ISERROR(SEARCH("%",I34)))</formula>
    </cfRule>
  </conditionalFormatting>
  <conditionalFormatting sqref="I34">
    <cfRule type="containsText" dxfId="3871" priority="3864" operator="containsText" text="%">
      <formula>NOT(ISERROR(SEARCH("%",I34)))</formula>
    </cfRule>
  </conditionalFormatting>
  <conditionalFormatting sqref="I34">
    <cfRule type="containsText" dxfId="3870" priority="3863" operator="containsText" text="%">
      <formula>NOT(ISERROR(SEARCH("%",I34)))</formula>
    </cfRule>
  </conditionalFormatting>
  <conditionalFormatting sqref="I34">
    <cfRule type="containsText" dxfId="3869" priority="3859" operator="containsText" text="%">
      <formula>NOT(ISERROR(SEARCH("%",I34)))</formula>
    </cfRule>
  </conditionalFormatting>
  <conditionalFormatting sqref="I34">
    <cfRule type="containsText" dxfId="3868" priority="3877" operator="containsText" text="%">
      <formula>NOT(ISERROR(SEARCH("%",I34)))</formula>
    </cfRule>
  </conditionalFormatting>
  <conditionalFormatting sqref="I34">
    <cfRule type="containsText" dxfId="3867" priority="3857" operator="containsText" text="%">
      <formula>NOT(ISERROR(SEARCH("%",I34)))</formula>
    </cfRule>
  </conditionalFormatting>
  <conditionalFormatting sqref="I34">
    <cfRule type="containsText" dxfId="3866" priority="3876" operator="containsText" text="%">
      <formula>NOT(ISERROR(SEARCH("%",I34)))</formula>
    </cfRule>
  </conditionalFormatting>
  <conditionalFormatting sqref="I34">
    <cfRule type="containsText" dxfId="3865" priority="3875" operator="containsText" text="%">
      <formula>NOT(ISERROR(SEARCH("%",I34)))</formula>
    </cfRule>
  </conditionalFormatting>
  <conditionalFormatting sqref="I34">
    <cfRule type="containsText" dxfId="3864" priority="3874" operator="containsText" text="%">
      <formula>NOT(ISERROR(SEARCH("%",I34)))</formula>
    </cfRule>
  </conditionalFormatting>
  <conditionalFormatting sqref="I34">
    <cfRule type="containsText" dxfId="3863" priority="3873" operator="containsText" text="%">
      <formula>NOT(ISERROR(SEARCH("%",I34)))</formula>
    </cfRule>
  </conditionalFormatting>
  <conditionalFormatting sqref="I34">
    <cfRule type="containsText" dxfId="3862" priority="3872" operator="containsText" text="%">
      <formula>NOT(ISERROR(SEARCH("%",I34)))</formula>
    </cfRule>
  </conditionalFormatting>
  <conditionalFormatting sqref="I34">
    <cfRule type="containsText" dxfId="3861" priority="3871" operator="containsText" text="%">
      <formula>NOT(ISERROR(SEARCH("%",I34)))</formula>
    </cfRule>
  </conditionalFormatting>
  <conditionalFormatting sqref="I34">
    <cfRule type="containsText" dxfId="3860" priority="3870" operator="containsText" text="%">
      <formula>NOT(ISERROR(SEARCH("%",I34)))</formula>
    </cfRule>
  </conditionalFormatting>
  <conditionalFormatting sqref="I34">
    <cfRule type="containsText" dxfId="3859" priority="3869" operator="containsText" text="%">
      <formula>NOT(ISERROR(SEARCH("%",I34)))</formula>
    </cfRule>
  </conditionalFormatting>
  <conditionalFormatting sqref="I34">
    <cfRule type="containsText" dxfId="3858" priority="3868" operator="containsText" text="%">
      <formula>NOT(ISERROR(SEARCH("%",I34)))</formula>
    </cfRule>
  </conditionalFormatting>
  <conditionalFormatting sqref="I34">
    <cfRule type="containsText" dxfId="3857" priority="3867" operator="containsText" text="%">
      <formula>NOT(ISERROR(SEARCH("%",I34)))</formula>
    </cfRule>
  </conditionalFormatting>
  <conditionalFormatting sqref="I34">
    <cfRule type="containsText" dxfId="3856" priority="3866" operator="containsText" text="%">
      <formula>NOT(ISERROR(SEARCH("%",I34)))</formula>
    </cfRule>
  </conditionalFormatting>
  <conditionalFormatting sqref="I34">
    <cfRule type="containsText" dxfId="3855" priority="3865" operator="containsText" text="%">
      <formula>NOT(ISERROR(SEARCH("%",I34)))</formula>
    </cfRule>
  </conditionalFormatting>
  <conditionalFormatting sqref="I34">
    <cfRule type="containsText" dxfId="3854" priority="3862" operator="containsText" text="%">
      <formula>NOT(ISERROR(SEARCH("%",I34)))</formula>
    </cfRule>
  </conditionalFormatting>
  <conditionalFormatting sqref="I34">
    <cfRule type="containsText" dxfId="3853" priority="3861" operator="containsText" text="%">
      <formula>NOT(ISERROR(SEARCH("%",I34)))</formula>
    </cfRule>
  </conditionalFormatting>
  <conditionalFormatting sqref="I34">
    <cfRule type="containsText" dxfId="3852" priority="3860" operator="containsText" text="%">
      <formula>NOT(ISERROR(SEARCH("%",I34)))</formula>
    </cfRule>
  </conditionalFormatting>
  <conditionalFormatting sqref="I34">
    <cfRule type="containsText" dxfId="3851" priority="3858" operator="containsText" text="%">
      <formula>NOT(ISERROR(SEARCH("%",I34)))</formula>
    </cfRule>
  </conditionalFormatting>
  <conditionalFormatting sqref="I34">
    <cfRule type="containsText" dxfId="3850" priority="3856" operator="containsText" text="%">
      <formula>NOT(ISERROR(SEARCH("%",I34)))</formula>
    </cfRule>
  </conditionalFormatting>
  <conditionalFormatting sqref="I34">
    <cfRule type="containsText" dxfId="3849" priority="3855" operator="containsText" text="%">
      <formula>NOT(ISERROR(SEARCH("%",I34)))</formula>
    </cfRule>
  </conditionalFormatting>
  <conditionalFormatting sqref="I34">
    <cfRule type="containsText" dxfId="3848" priority="3854" operator="containsText" text="%">
      <formula>NOT(ISERROR(SEARCH("%",I34)))</formula>
    </cfRule>
  </conditionalFormatting>
  <conditionalFormatting sqref="I34">
    <cfRule type="containsText" dxfId="3847" priority="3853" operator="containsText" text="%">
      <formula>NOT(ISERROR(SEARCH("%",I34)))</formula>
    </cfRule>
  </conditionalFormatting>
  <conditionalFormatting sqref="I34">
    <cfRule type="containsText" dxfId="3846" priority="3852" operator="containsText" text="%">
      <formula>NOT(ISERROR(SEARCH("%",I34)))</formula>
    </cfRule>
  </conditionalFormatting>
  <conditionalFormatting sqref="I34">
    <cfRule type="containsText" dxfId="3845" priority="3851" operator="containsText" text="%">
      <formula>NOT(ISERROR(SEARCH("%",I34)))</formula>
    </cfRule>
  </conditionalFormatting>
  <conditionalFormatting sqref="I34">
    <cfRule type="containsText" dxfId="3844" priority="3850" operator="containsText" text="%">
      <formula>NOT(ISERROR(SEARCH("%",I34)))</formula>
    </cfRule>
  </conditionalFormatting>
  <conditionalFormatting sqref="I34">
    <cfRule type="containsText" dxfId="3843" priority="3849" operator="containsText" text="%">
      <formula>NOT(ISERROR(SEARCH("%",I34)))</formula>
    </cfRule>
  </conditionalFormatting>
  <conditionalFormatting sqref="I34">
    <cfRule type="containsText" dxfId="3842" priority="3848" operator="containsText" text="%">
      <formula>NOT(ISERROR(SEARCH("%",I34)))</formula>
    </cfRule>
  </conditionalFormatting>
  <conditionalFormatting sqref="I34">
    <cfRule type="containsText" dxfId="3841" priority="3847" operator="containsText" text="%">
      <formula>NOT(ISERROR(SEARCH("%",I34)))</formula>
    </cfRule>
  </conditionalFormatting>
  <conditionalFormatting sqref="I34">
    <cfRule type="containsText" dxfId="3840" priority="3846" operator="containsText" text="%">
      <formula>NOT(ISERROR(SEARCH("%",I34)))</formula>
    </cfRule>
  </conditionalFormatting>
  <conditionalFormatting sqref="I34">
    <cfRule type="containsText" dxfId="3839" priority="3845" operator="containsText" text="%">
      <formula>NOT(ISERROR(SEARCH("%",I34)))</formula>
    </cfRule>
  </conditionalFormatting>
  <conditionalFormatting sqref="I34">
    <cfRule type="containsText" dxfId="3838" priority="3844" operator="containsText" text="%">
      <formula>NOT(ISERROR(SEARCH("%",I34)))</formula>
    </cfRule>
  </conditionalFormatting>
  <conditionalFormatting sqref="I34">
    <cfRule type="containsText" dxfId="3837" priority="3843" operator="containsText" text="%">
      <formula>NOT(ISERROR(SEARCH("%",I34)))</formula>
    </cfRule>
  </conditionalFormatting>
  <conditionalFormatting sqref="I34">
    <cfRule type="containsText" dxfId="3836" priority="3842" operator="containsText" text="%">
      <formula>NOT(ISERROR(SEARCH("%",I34)))</formula>
    </cfRule>
  </conditionalFormatting>
  <conditionalFormatting sqref="I34">
    <cfRule type="containsText" dxfId="3835" priority="3841" operator="containsText" text="%">
      <formula>NOT(ISERROR(SEARCH("%",I34)))</formula>
    </cfRule>
  </conditionalFormatting>
  <conditionalFormatting sqref="I34">
    <cfRule type="containsText" dxfId="3834" priority="3840" operator="containsText" text="%">
      <formula>NOT(ISERROR(SEARCH("%",I34)))</formula>
    </cfRule>
  </conditionalFormatting>
  <conditionalFormatting sqref="I34">
    <cfRule type="containsText" dxfId="3833" priority="3839" operator="containsText" text="%">
      <formula>NOT(ISERROR(SEARCH("%",I34)))</formula>
    </cfRule>
  </conditionalFormatting>
  <conditionalFormatting sqref="I34">
    <cfRule type="containsText" dxfId="3832" priority="3838" operator="containsText" text="%">
      <formula>NOT(ISERROR(SEARCH("%",I34)))</formula>
    </cfRule>
  </conditionalFormatting>
  <conditionalFormatting sqref="I34">
    <cfRule type="containsText" dxfId="3831" priority="3837" operator="containsText" text="%">
      <formula>NOT(ISERROR(SEARCH("%",I34)))</formula>
    </cfRule>
  </conditionalFormatting>
  <conditionalFormatting sqref="I34">
    <cfRule type="containsText" dxfId="3830" priority="3836" operator="containsText" text="%">
      <formula>NOT(ISERROR(SEARCH("%",I34)))</formula>
    </cfRule>
  </conditionalFormatting>
  <conditionalFormatting sqref="I34">
    <cfRule type="containsText" dxfId="3829" priority="3835" operator="containsText" text="%">
      <formula>NOT(ISERROR(SEARCH("%",I34)))</formula>
    </cfRule>
  </conditionalFormatting>
  <conditionalFormatting sqref="I34">
    <cfRule type="containsText" dxfId="3828" priority="3834" operator="containsText" text="%">
      <formula>NOT(ISERROR(SEARCH("%",I34)))</formula>
    </cfRule>
  </conditionalFormatting>
  <conditionalFormatting sqref="I34">
    <cfRule type="containsText" dxfId="3827" priority="3833" operator="containsText" text="%">
      <formula>NOT(ISERROR(SEARCH("%",I34)))</formula>
    </cfRule>
  </conditionalFormatting>
  <conditionalFormatting sqref="I34">
    <cfRule type="containsText" dxfId="3826" priority="3832" operator="containsText" text="%">
      <formula>NOT(ISERROR(SEARCH("%",I34)))</formula>
    </cfRule>
  </conditionalFormatting>
  <conditionalFormatting sqref="I34">
    <cfRule type="containsText" dxfId="3825" priority="3831" operator="containsText" text="%">
      <formula>NOT(ISERROR(SEARCH("%",I34)))</formula>
    </cfRule>
  </conditionalFormatting>
  <conditionalFormatting sqref="I34">
    <cfRule type="containsText" dxfId="3824" priority="3830" operator="containsText" text="%">
      <formula>NOT(ISERROR(SEARCH("%",I34)))</formula>
    </cfRule>
  </conditionalFormatting>
  <conditionalFormatting sqref="I34">
    <cfRule type="containsText" dxfId="3823" priority="3829" operator="containsText" text="%">
      <formula>NOT(ISERROR(SEARCH("%",I34)))</formula>
    </cfRule>
  </conditionalFormatting>
  <conditionalFormatting sqref="J33:J34">
    <cfRule type="containsText" dxfId="3822" priority="3828" operator="containsText" text="%">
      <formula>NOT(ISERROR(SEARCH("%",J33)))</formula>
    </cfRule>
  </conditionalFormatting>
  <conditionalFormatting sqref="J33:J34">
    <cfRule type="containsText" dxfId="3821" priority="3827" operator="containsText" text="%">
      <formula>NOT(ISERROR(SEARCH("%",J33)))</formula>
    </cfRule>
  </conditionalFormatting>
  <conditionalFormatting sqref="J33:J34">
    <cfRule type="containsText" dxfId="3820" priority="3826" operator="containsText" text="%">
      <formula>NOT(ISERROR(SEARCH("%",J33)))</formula>
    </cfRule>
  </conditionalFormatting>
  <conditionalFormatting sqref="J33:J34">
    <cfRule type="containsText" dxfId="3819" priority="3825" operator="containsText" text="%">
      <formula>NOT(ISERROR(SEARCH("%",J33)))</formula>
    </cfRule>
  </conditionalFormatting>
  <conditionalFormatting sqref="J33:J34">
    <cfRule type="containsText" dxfId="3818" priority="3824" operator="containsText" text="%">
      <formula>NOT(ISERROR(SEARCH("%",J33)))</formula>
    </cfRule>
  </conditionalFormatting>
  <conditionalFormatting sqref="J33:J34">
    <cfRule type="containsText" dxfId="3817" priority="3823" operator="containsText" text="%">
      <formula>NOT(ISERROR(SEARCH("%",J33)))</formula>
    </cfRule>
  </conditionalFormatting>
  <conditionalFormatting sqref="J33:J34">
    <cfRule type="containsText" dxfId="3816" priority="3807" operator="containsText" text="%">
      <formula>NOT(ISERROR(SEARCH("%",J33)))</formula>
    </cfRule>
  </conditionalFormatting>
  <conditionalFormatting sqref="J33:J34">
    <cfRule type="containsText" dxfId="3815" priority="3806" operator="containsText" text="%">
      <formula>NOT(ISERROR(SEARCH("%",J33)))</formula>
    </cfRule>
  </conditionalFormatting>
  <conditionalFormatting sqref="J33:J34">
    <cfRule type="containsText" dxfId="3814" priority="3802" operator="containsText" text="%">
      <formula>NOT(ISERROR(SEARCH("%",J33)))</formula>
    </cfRule>
  </conditionalFormatting>
  <conditionalFormatting sqref="J33:J34">
    <cfRule type="containsText" dxfId="3813" priority="3822" operator="containsText" text="%">
      <formula>NOT(ISERROR(SEARCH("%",J33)))</formula>
    </cfRule>
  </conditionalFormatting>
  <conditionalFormatting sqref="J33">
    <cfRule type="containsText" dxfId="3812" priority="3821" operator="containsText" text="%">
      <formula>NOT(ISERROR(SEARCH("%",J33)))</formula>
    </cfRule>
  </conditionalFormatting>
  <conditionalFormatting sqref="J33">
    <cfRule type="containsText" dxfId="3811" priority="3820" operator="containsText" text="%">
      <formula>NOT(ISERROR(SEARCH("%",J33)))</formula>
    </cfRule>
  </conditionalFormatting>
  <conditionalFormatting sqref="J33:J34">
    <cfRule type="containsText" dxfId="3810" priority="3800" operator="containsText" text="%">
      <formula>NOT(ISERROR(SEARCH("%",J33)))</formula>
    </cfRule>
  </conditionalFormatting>
  <conditionalFormatting sqref="J33:J34">
    <cfRule type="containsText" dxfId="3809" priority="3819" operator="containsText" text="%">
      <formula>NOT(ISERROR(SEARCH("%",J33)))</formula>
    </cfRule>
  </conditionalFormatting>
  <conditionalFormatting sqref="J33:J34">
    <cfRule type="containsText" dxfId="3808" priority="3818" operator="containsText" text="%">
      <formula>NOT(ISERROR(SEARCH("%",J33)))</formula>
    </cfRule>
  </conditionalFormatting>
  <conditionalFormatting sqref="J33:J34">
    <cfRule type="containsText" dxfId="3807" priority="3817" operator="containsText" text="%">
      <formula>NOT(ISERROR(SEARCH("%",J33)))</formula>
    </cfRule>
  </conditionalFormatting>
  <conditionalFormatting sqref="J33:J34">
    <cfRule type="containsText" dxfId="3806" priority="3816" operator="containsText" text="%">
      <formula>NOT(ISERROR(SEARCH("%",J33)))</formula>
    </cfRule>
  </conditionalFormatting>
  <conditionalFormatting sqref="J33:J34">
    <cfRule type="containsText" dxfId="3805" priority="3815" operator="containsText" text="%">
      <formula>NOT(ISERROR(SEARCH("%",J33)))</formula>
    </cfRule>
  </conditionalFormatting>
  <conditionalFormatting sqref="J33:J34">
    <cfRule type="containsText" dxfId="3804" priority="3814" operator="containsText" text="%">
      <formula>NOT(ISERROR(SEARCH("%",J33)))</formula>
    </cfRule>
  </conditionalFormatting>
  <conditionalFormatting sqref="J33:J34">
    <cfRule type="containsText" dxfId="3803" priority="3813" operator="containsText" text="%">
      <formula>NOT(ISERROR(SEARCH("%",J33)))</formula>
    </cfRule>
  </conditionalFormatting>
  <conditionalFormatting sqref="J33:J34">
    <cfRule type="containsText" dxfId="3802" priority="3812" operator="containsText" text="%">
      <formula>NOT(ISERROR(SEARCH("%",J33)))</formula>
    </cfRule>
  </conditionalFormatting>
  <conditionalFormatting sqref="J33:J34">
    <cfRule type="containsText" dxfId="3801" priority="3811" operator="containsText" text="%">
      <formula>NOT(ISERROR(SEARCH("%",J33)))</formula>
    </cfRule>
  </conditionalFormatting>
  <conditionalFormatting sqref="J33:J34">
    <cfRule type="containsText" dxfId="3800" priority="3810" operator="containsText" text="%">
      <formula>NOT(ISERROR(SEARCH("%",J33)))</formula>
    </cfRule>
  </conditionalFormatting>
  <conditionalFormatting sqref="J33:J34">
    <cfRule type="containsText" dxfId="3799" priority="3809" operator="containsText" text="%">
      <formula>NOT(ISERROR(SEARCH("%",J33)))</formula>
    </cfRule>
  </conditionalFormatting>
  <conditionalFormatting sqref="J33:J34">
    <cfRule type="containsText" dxfId="3798" priority="3808" operator="containsText" text="%">
      <formula>NOT(ISERROR(SEARCH("%",J33)))</formula>
    </cfRule>
  </conditionalFormatting>
  <conditionalFormatting sqref="J33:J34">
    <cfRule type="containsText" dxfId="3797" priority="3805" operator="containsText" text="%">
      <formula>NOT(ISERROR(SEARCH("%",J33)))</formula>
    </cfRule>
  </conditionalFormatting>
  <conditionalFormatting sqref="J33:J34">
    <cfRule type="containsText" dxfId="3796" priority="3804" operator="containsText" text="%">
      <formula>NOT(ISERROR(SEARCH("%",J33)))</formula>
    </cfRule>
  </conditionalFormatting>
  <conditionalFormatting sqref="J33:J34">
    <cfRule type="containsText" dxfId="3795" priority="3803" operator="containsText" text="%">
      <formula>NOT(ISERROR(SEARCH("%",J33)))</formula>
    </cfRule>
  </conditionalFormatting>
  <conditionalFormatting sqref="J33:J34">
    <cfRule type="containsText" dxfId="3794" priority="3801" operator="containsText" text="%">
      <formula>NOT(ISERROR(SEARCH("%",J33)))</formula>
    </cfRule>
  </conditionalFormatting>
  <conditionalFormatting sqref="J33:J34">
    <cfRule type="containsText" dxfId="3793" priority="3799" operator="containsText" text="%">
      <formula>NOT(ISERROR(SEARCH("%",J33)))</formula>
    </cfRule>
  </conditionalFormatting>
  <conditionalFormatting sqref="J33:J34">
    <cfRule type="containsText" dxfId="3792" priority="3798" operator="containsText" text="%">
      <formula>NOT(ISERROR(SEARCH("%",J33)))</formula>
    </cfRule>
  </conditionalFormatting>
  <conditionalFormatting sqref="J33:J34">
    <cfRule type="containsText" dxfId="3791" priority="3797" operator="containsText" text="%">
      <formula>NOT(ISERROR(SEARCH("%",J33)))</formula>
    </cfRule>
  </conditionalFormatting>
  <conditionalFormatting sqref="J33:J34">
    <cfRule type="containsText" dxfId="3790" priority="3796" operator="containsText" text="%">
      <formula>NOT(ISERROR(SEARCH("%",J33)))</formula>
    </cfRule>
  </conditionalFormatting>
  <conditionalFormatting sqref="J33:J34">
    <cfRule type="containsText" dxfId="3789" priority="3795" operator="containsText" text="%">
      <formula>NOT(ISERROR(SEARCH("%",J33)))</formula>
    </cfRule>
  </conditionalFormatting>
  <conditionalFormatting sqref="J33:J34">
    <cfRule type="containsText" dxfId="3788" priority="3794" operator="containsText" text="%">
      <formula>NOT(ISERROR(SEARCH("%",J33)))</formula>
    </cfRule>
  </conditionalFormatting>
  <conditionalFormatting sqref="J33:J34">
    <cfRule type="containsText" dxfId="3787" priority="3793" operator="containsText" text="%">
      <formula>NOT(ISERROR(SEARCH("%",J33)))</formula>
    </cfRule>
  </conditionalFormatting>
  <conditionalFormatting sqref="J33:J34">
    <cfRule type="containsText" dxfId="3786" priority="3792" operator="containsText" text="%">
      <formula>NOT(ISERROR(SEARCH("%",J33)))</formula>
    </cfRule>
  </conditionalFormatting>
  <conditionalFormatting sqref="J33:J34">
    <cfRule type="containsText" dxfId="3785" priority="3791" operator="containsText" text="%">
      <formula>NOT(ISERROR(SEARCH("%",J33)))</formula>
    </cfRule>
  </conditionalFormatting>
  <conditionalFormatting sqref="J33:J34">
    <cfRule type="containsText" dxfId="3784" priority="3790" operator="containsText" text="%">
      <formula>NOT(ISERROR(SEARCH("%",J33)))</formula>
    </cfRule>
  </conditionalFormatting>
  <conditionalFormatting sqref="J34">
    <cfRule type="containsText" dxfId="3783" priority="3789" operator="containsText" text="%">
      <formula>NOT(ISERROR(SEARCH("%",J34)))</formula>
    </cfRule>
  </conditionalFormatting>
  <conditionalFormatting sqref="J34">
    <cfRule type="containsText" dxfId="3782" priority="3788" operator="containsText" text="%">
      <formula>NOT(ISERROR(SEARCH("%",J34)))</formula>
    </cfRule>
  </conditionalFormatting>
  <conditionalFormatting sqref="J34">
    <cfRule type="containsText" dxfId="3781" priority="3787" operator="containsText" text="%">
      <formula>NOT(ISERROR(SEARCH("%",J34)))</formula>
    </cfRule>
  </conditionalFormatting>
  <conditionalFormatting sqref="J34">
    <cfRule type="containsText" dxfId="3780" priority="3786" operator="containsText" text="%">
      <formula>NOT(ISERROR(SEARCH("%",J34)))</formula>
    </cfRule>
  </conditionalFormatting>
  <conditionalFormatting sqref="J33:J34">
    <cfRule type="containsText" dxfId="3779" priority="3785" operator="containsText" text="%">
      <formula>NOT(ISERROR(SEARCH("%",J33)))</formula>
    </cfRule>
  </conditionalFormatting>
  <conditionalFormatting sqref="J33:J34">
    <cfRule type="containsText" dxfId="3778" priority="3784" operator="containsText" text="%">
      <formula>NOT(ISERROR(SEARCH("%",J33)))</formula>
    </cfRule>
  </conditionalFormatting>
  <conditionalFormatting sqref="J33:J34">
    <cfRule type="containsText" dxfId="3777" priority="3783" operator="containsText" text="%">
      <formula>NOT(ISERROR(SEARCH("%",J33)))</formula>
    </cfRule>
  </conditionalFormatting>
  <conditionalFormatting sqref="J33:J34">
    <cfRule type="containsText" dxfId="3776" priority="3782" operator="containsText" text="%">
      <formula>NOT(ISERROR(SEARCH("%",J33)))</formula>
    </cfRule>
  </conditionalFormatting>
  <conditionalFormatting sqref="J33:J34">
    <cfRule type="containsText" dxfId="3775" priority="3781" operator="containsText" text="%">
      <formula>NOT(ISERROR(SEARCH("%",J33)))</formula>
    </cfRule>
  </conditionalFormatting>
  <conditionalFormatting sqref="J33:J34">
    <cfRule type="containsText" dxfId="3774" priority="3780" operator="containsText" text="%">
      <formula>NOT(ISERROR(SEARCH("%",J33)))</formula>
    </cfRule>
  </conditionalFormatting>
  <conditionalFormatting sqref="J33:J34">
    <cfRule type="containsText" dxfId="3773" priority="3779" operator="containsText" text="%">
      <formula>NOT(ISERROR(SEARCH("%",J33)))</formula>
    </cfRule>
  </conditionalFormatting>
  <conditionalFormatting sqref="J33:J34">
    <cfRule type="containsText" dxfId="3772" priority="3778" operator="containsText" text="%">
      <formula>NOT(ISERROR(SEARCH("%",J33)))</formula>
    </cfRule>
  </conditionalFormatting>
  <conditionalFormatting sqref="J33:J34">
    <cfRule type="containsText" dxfId="3771" priority="3777" operator="containsText" text="%">
      <formula>NOT(ISERROR(SEARCH("%",J33)))</formula>
    </cfRule>
  </conditionalFormatting>
  <conditionalFormatting sqref="J33:J34">
    <cfRule type="containsText" dxfId="3770" priority="3776" operator="containsText" text="%">
      <formula>NOT(ISERROR(SEARCH("%",J33)))</formula>
    </cfRule>
  </conditionalFormatting>
  <conditionalFormatting sqref="J34">
    <cfRule type="containsText" dxfId="3769" priority="3775" operator="containsText" text="%">
      <formula>NOT(ISERROR(SEARCH("%",J34)))</formula>
    </cfRule>
  </conditionalFormatting>
  <conditionalFormatting sqref="J34">
    <cfRule type="containsText" dxfId="3768" priority="3774" operator="containsText" text="%">
      <formula>NOT(ISERROR(SEARCH("%",J34)))</formula>
    </cfRule>
  </conditionalFormatting>
  <conditionalFormatting sqref="J34">
    <cfRule type="containsText" dxfId="3767" priority="3773" operator="containsText" text="%">
      <formula>NOT(ISERROR(SEARCH("%",J34)))</formula>
    </cfRule>
  </conditionalFormatting>
  <conditionalFormatting sqref="J34">
    <cfRule type="containsText" dxfId="3766" priority="3772" operator="containsText" text="%">
      <formula>NOT(ISERROR(SEARCH("%",J34)))</formula>
    </cfRule>
  </conditionalFormatting>
  <conditionalFormatting sqref="J33:J34">
    <cfRule type="containsText" dxfId="3765" priority="3771" operator="containsText" text="%">
      <formula>NOT(ISERROR(SEARCH("%",J33)))</formula>
    </cfRule>
  </conditionalFormatting>
  <conditionalFormatting sqref="J33:J34">
    <cfRule type="containsText" dxfId="3764" priority="3770" operator="containsText" text="%">
      <formula>NOT(ISERROR(SEARCH("%",J33)))</formula>
    </cfRule>
  </conditionalFormatting>
  <conditionalFormatting sqref="J33:J34">
    <cfRule type="containsText" dxfId="3763" priority="3769" operator="containsText" text="%">
      <formula>NOT(ISERROR(SEARCH("%",J33)))</formula>
    </cfRule>
  </conditionalFormatting>
  <conditionalFormatting sqref="J33:J34">
    <cfRule type="containsText" dxfId="3762" priority="3768" operator="containsText" text="%">
      <formula>NOT(ISERROR(SEARCH("%",J33)))</formula>
    </cfRule>
  </conditionalFormatting>
  <conditionalFormatting sqref="J33:J34">
    <cfRule type="containsText" dxfId="3761" priority="3767" operator="containsText" text="%">
      <formula>NOT(ISERROR(SEARCH("%",J33)))</formula>
    </cfRule>
  </conditionalFormatting>
  <conditionalFormatting sqref="J33:J34">
    <cfRule type="containsText" dxfId="3760" priority="3766" operator="containsText" text="%">
      <formula>NOT(ISERROR(SEARCH("%",J33)))</formula>
    </cfRule>
  </conditionalFormatting>
  <conditionalFormatting sqref="J34">
    <cfRule type="containsText" dxfId="3759" priority="3765" operator="containsText" text="%">
      <formula>NOT(ISERROR(SEARCH("%",J34)))</formula>
    </cfRule>
  </conditionalFormatting>
  <conditionalFormatting sqref="J34">
    <cfRule type="containsText" dxfId="3758" priority="3764" operator="containsText" text="%">
      <formula>NOT(ISERROR(SEARCH("%",J34)))</formula>
    </cfRule>
  </conditionalFormatting>
  <conditionalFormatting sqref="J34">
    <cfRule type="containsText" dxfId="3757" priority="3763" operator="containsText" text="%">
      <formula>NOT(ISERROR(SEARCH("%",J34)))</formula>
    </cfRule>
  </conditionalFormatting>
  <conditionalFormatting sqref="J34">
    <cfRule type="containsText" dxfId="3756" priority="3762" operator="containsText" text="%">
      <formula>NOT(ISERROR(SEARCH("%",J34)))</formula>
    </cfRule>
  </conditionalFormatting>
  <conditionalFormatting sqref="J33:J34">
    <cfRule type="containsText" dxfId="3755" priority="3746" operator="containsText" text="%">
      <formula>NOT(ISERROR(SEARCH("%",J33)))</formula>
    </cfRule>
  </conditionalFormatting>
  <conditionalFormatting sqref="J33:J34">
    <cfRule type="containsText" dxfId="3754" priority="3745" operator="containsText" text="%">
      <formula>NOT(ISERROR(SEARCH("%",J33)))</formula>
    </cfRule>
  </conditionalFormatting>
  <conditionalFormatting sqref="J33:J34">
    <cfRule type="containsText" dxfId="3753" priority="3741" operator="containsText" text="%">
      <formula>NOT(ISERROR(SEARCH("%",J33)))</formula>
    </cfRule>
  </conditionalFormatting>
  <conditionalFormatting sqref="J33:J34">
    <cfRule type="containsText" dxfId="3752" priority="3761" operator="containsText" text="%">
      <formula>NOT(ISERROR(SEARCH("%",J33)))</formula>
    </cfRule>
  </conditionalFormatting>
  <conditionalFormatting sqref="J33">
    <cfRule type="containsText" dxfId="3751" priority="3760" operator="containsText" text="%">
      <formula>NOT(ISERROR(SEARCH("%",J33)))</formula>
    </cfRule>
  </conditionalFormatting>
  <conditionalFormatting sqref="J33">
    <cfRule type="containsText" dxfId="3750" priority="3759" operator="containsText" text="%">
      <formula>NOT(ISERROR(SEARCH("%",J33)))</formula>
    </cfRule>
  </conditionalFormatting>
  <conditionalFormatting sqref="J33:J34">
    <cfRule type="containsText" dxfId="3749" priority="3739" operator="containsText" text="%">
      <formula>NOT(ISERROR(SEARCH("%",J33)))</formula>
    </cfRule>
  </conditionalFormatting>
  <conditionalFormatting sqref="J33:J34">
    <cfRule type="containsText" dxfId="3748" priority="3758" operator="containsText" text="%">
      <formula>NOT(ISERROR(SEARCH("%",J33)))</formula>
    </cfRule>
  </conditionalFormatting>
  <conditionalFormatting sqref="J33:J34">
    <cfRule type="containsText" dxfId="3747" priority="3757" operator="containsText" text="%">
      <formula>NOT(ISERROR(SEARCH("%",J33)))</formula>
    </cfRule>
  </conditionalFormatting>
  <conditionalFormatting sqref="J33:J34">
    <cfRule type="containsText" dxfId="3746" priority="3756" operator="containsText" text="%">
      <formula>NOT(ISERROR(SEARCH("%",J33)))</formula>
    </cfRule>
  </conditionalFormatting>
  <conditionalFormatting sqref="J33:J34">
    <cfRule type="containsText" dxfId="3745" priority="3755" operator="containsText" text="%">
      <formula>NOT(ISERROR(SEARCH("%",J33)))</formula>
    </cfRule>
  </conditionalFormatting>
  <conditionalFormatting sqref="J33:J34">
    <cfRule type="containsText" dxfId="3744" priority="3754" operator="containsText" text="%">
      <formula>NOT(ISERROR(SEARCH("%",J33)))</formula>
    </cfRule>
  </conditionalFormatting>
  <conditionalFormatting sqref="J33:J34">
    <cfRule type="containsText" dxfId="3743" priority="3753" operator="containsText" text="%">
      <formula>NOT(ISERROR(SEARCH("%",J33)))</formula>
    </cfRule>
  </conditionalFormatting>
  <conditionalFormatting sqref="J33:J34">
    <cfRule type="containsText" dxfId="3742" priority="3752" operator="containsText" text="%">
      <formula>NOT(ISERROR(SEARCH("%",J33)))</formula>
    </cfRule>
  </conditionalFormatting>
  <conditionalFormatting sqref="J33:J34">
    <cfRule type="containsText" dxfId="3741" priority="3751" operator="containsText" text="%">
      <formula>NOT(ISERROR(SEARCH("%",J33)))</formula>
    </cfRule>
  </conditionalFormatting>
  <conditionalFormatting sqref="J33:J34">
    <cfRule type="containsText" dxfId="3740" priority="3750" operator="containsText" text="%">
      <formula>NOT(ISERROR(SEARCH("%",J33)))</formula>
    </cfRule>
  </conditionalFormatting>
  <conditionalFormatting sqref="J33:J34">
    <cfRule type="containsText" dxfId="3739" priority="3749" operator="containsText" text="%">
      <formula>NOT(ISERROR(SEARCH("%",J33)))</formula>
    </cfRule>
  </conditionalFormatting>
  <conditionalFormatting sqref="J33:J34">
    <cfRule type="containsText" dxfId="3738" priority="3748" operator="containsText" text="%">
      <formula>NOT(ISERROR(SEARCH("%",J33)))</formula>
    </cfRule>
  </conditionalFormatting>
  <conditionalFormatting sqref="J33:J34">
    <cfRule type="containsText" dxfId="3737" priority="3747" operator="containsText" text="%">
      <formula>NOT(ISERROR(SEARCH("%",J33)))</formula>
    </cfRule>
  </conditionalFormatting>
  <conditionalFormatting sqref="J33:J34">
    <cfRule type="containsText" dxfId="3736" priority="3744" operator="containsText" text="%">
      <formula>NOT(ISERROR(SEARCH("%",J33)))</formula>
    </cfRule>
  </conditionalFormatting>
  <conditionalFormatting sqref="J33:J34">
    <cfRule type="containsText" dxfId="3735" priority="3743" operator="containsText" text="%">
      <formula>NOT(ISERROR(SEARCH("%",J33)))</formula>
    </cfRule>
  </conditionalFormatting>
  <conditionalFormatting sqref="J33:J34">
    <cfRule type="containsText" dxfId="3734" priority="3742" operator="containsText" text="%">
      <formula>NOT(ISERROR(SEARCH("%",J33)))</formula>
    </cfRule>
  </conditionalFormatting>
  <conditionalFormatting sqref="J33:J34">
    <cfRule type="containsText" dxfId="3733" priority="3740" operator="containsText" text="%">
      <formula>NOT(ISERROR(SEARCH("%",J33)))</formula>
    </cfRule>
  </conditionalFormatting>
  <conditionalFormatting sqref="J33:J34">
    <cfRule type="containsText" dxfId="3732" priority="3738" operator="containsText" text="%">
      <formula>NOT(ISERROR(SEARCH("%",J33)))</formula>
    </cfRule>
  </conditionalFormatting>
  <conditionalFormatting sqref="J33:J34">
    <cfRule type="containsText" dxfId="3731" priority="3737" operator="containsText" text="%">
      <formula>NOT(ISERROR(SEARCH("%",J33)))</formula>
    </cfRule>
  </conditionalFormatting>
  <conditionalFormatting sqref="J33:J34">
    <cfRule type="containsText" dxfId="3730" priority="3736" operator="containsText" text="%">
      <formula>NOT(ISERROR(SEARCH("%",J33)))</formula>
    </cfRule>
  </conditionalFormatting>
  <conditionalFormatting sqref="J33:J34">
    <cfRule type="containsText" dxfId="3729" priority="3735" operator="containsText" text="%">
      <formula>NOT(ISERROR(SEARCH("%",J33)))</formula>
    </cfRule>
  </conditionalFormatting>
  <conditionalFormatting sqref="J33:J34">
    <cfRule type="containsText" dxfId="3728" priority="3734" operator="containsText" text="%">
      <formula>NOT(ISERROR(SEARCH("%",J33)))</formula>
    </cfRule>
  </conditionalFormatting>
  <conditionalFormatting sqref="J33:J34">
    <cfRule type="containsText" dxfId="3727" priority="3733" operator="containsText" text="%">
      <formula>NOT(ISERROR(SEARCH("%",J33)))</formula>
    </cfRule>
  </conditionalFormatting>
  <conditionalFormatting sqref="J33:J34">
    <cfRule type="containsText" dxfId="3726" priority="3732" operator="containsText" text="%">
      <formula>NOT(ISERROR(SEARCH("%",J33)))</formula>
    </cfRule>
  </conditionalFormatting>
  <conditionalFormatting sqref="J33:J34">
    <cfRule type="containsText" dxfId="3725" priority="3731" operator="containsText" text="%">
      <formula>NOT(ISERROR(SEARCH("%",J33)))</formula>
    </cfRule>
  </conditionalFormatting>
  <conditionalFormatting sqref="J33:J34">
    <cfRule type="containsText" dxfId="3724" priority="3730" operator="containsText" text="%">
      <formula>NOT(ISERROR(SEARCH("%",J33)))</formula>
    </cfRule>
  </conditionalFormatting>
  <conditionalFormatting sqref="J33:J34">
    <cfRule type="containsText" dxfId="3723" priority="3729" operator="containsText" text="%">
      <formula>NOT(ISERROR(SEARCH("%",J33)))</formula>
    </cfRule>
  </conditionalFormatting>
  <conditionalFormatting sqref="J34">
    <cfRule type="containsText" dxfId="3722" priority="3728" operator="containsText" text="%">
      <formula>NOT(ISERROR(SEARCH("%",J34)))</formula>
    </cfRule>
  </conditionalFormatting>
  <conditionalFormatting sqref="J34">
    <cfRule type="containsText" dxfId="3721" priority="3727" operator="containsText" text="%">
      <formula>NOT(ISERROR(SEARCH("%",J34)))</formula>
    </cfRule>
  </conditionalFormatting>
  <conditionalFormatting sqref="J34">
    <cfRule type="containsText" dxfId="3720" priority="3726" operator="containsText" text="%">
      <formula>NOT(ISERROR(SEARCH("%",J34)))</formula>
    </cfRule>
  </conditionalFormatting>
  <conditionalFormatting sqref="J34">
    <cfRule type="containsText" dxfId="3719" priority="3725" operator="containsText" text="%">
      <formula>NOT(ISERROR(SEARCH("%",J34)))</formula>
    </cfRule>
  </conditionalFormatting>
  <conditionalFormatting sqref="J33:J34">
    <cfRule type="containsText" dxfId="3718" priority="3724" operator="containsText" text="%">
      <formula>NOT(ISERROR(SEARCH("%",J33)))</formula>
    </cfRule>
  </conditionalFormatting>
  <conditionalFormatting sqref="J33:J34">
    <cfRule type="containsText" dxfId="3717" priority="3723" operator="containsText" text="%">
      <formula>NOT(ISERROR(SEARCH("%",J33)))</formula>
    </cfRule>
  </conditionalFormatting>
  <conditionalFormatting sqref="J33:J34">
    <cfRule type="containsText" dxfId="3716" priority="3722" operator="containsText" text="%">
      <formula>NOT(ISERROR(SEARCH("%",J33)))</formula>
    </cfRule>
  </conditionalFormatting>
  <conditionalFormatting sqref="J33:J34">
    <cfRule type="containsText" dxfId="3715" priority="3721" operator="containsText" text="%">
      <formula>NOT(ISERROR(SEARCH("%",J33)))</formula>
    </cfRule>
  </conditionalFormatting>
  <conditionalFormatting sqref="J33:J34">
    <cfRule type="containsText" dxfId="3714" priority="3720" operator="containsText" text="%">
      <formula>NOT(ISERROR(SEARCH("%",J33)))</formula>
    </cfRule>
  </conditionalFormatting>
  <conditionalFormatting sqref="J33:J34">
    <cfRule type="containsText" dxfId="3713" priority="3719" operator="containsText" text="%">
      <formula>NOT(ISERROR(SEARCH("%",J33)))</formula>
    </cfRule>
  </conditionalFormatting>
  <conditionalFormatting sqref="J33:J34">
    <cfRule type="containsText" dxfId="3712" priority="3718" operator="containsText" text="%">
      <formula>NOT(ISERROR(SEARCH("%",J33)))</formula>
    </cfRule>
  </conditionalFormatting>
  <conditionalFormatting sqref="J33:J34">
    <cfRule type="containsText" dxfId="3711" priority="3717" operator="containsText" text="%">
      <formula>NOT(ISERROR(SEARCH("%",J33)))</formula>
    </cfRule>
  </conditionalFormatting>
  <conditionalFormatting sqref="J33:J34">
    <cfRule type="containsText" dxfId="3710" priority="3716" operator="containsText" text="%">
      <formula>NOT(ISERROR(SEARCH("%",J33)))</formula>
    </cfRule>
  </conditionalFormatting>
  <conditionalFormatting sqref="J33:J34">
    <cfRule type="containsText" dxfId="3709" priority="3715" operator="containsText" text="%">
      <formula>NOT(ISERROR(SEARCH("%",J33)))</formula>
    </cfRule>
  </conditionalFormatting>
  <conditionalFormatting sqref="J34">
    <cfRule type="containsText" dxfId="3708" priority="3714" operator="containsText" text="%">
      <formula>NOT(ISERROR(SEARCH("%",J34)))</formula>
    </cfRule>
  </conditionalFormatting>
  <conditionalFormatting sqref="J34">
    <cfRule type="containsText" dxfId="3707" priority="3713" operator="containsText" text="%">
      <formula>NOT(ISERROR(SEARCH("%",J34)))</formula>
    </cfRule>
  </conditionalFormatting>
  <conditionalFormatting sqref="J34">
    <cfRule type="containsText" dxfId="3706" priority="3712" operator="containsText" text="%">
      <formula>NOT(ISERROR(SEARCH("%",J34)))</formula>
    </cfRule>
  </conditionalFormatting>
  <conditionalFormatting sqref="J34">
    <cfRule type="containsText" dxfId="3705" priority="3711" operator="containsText" text="%">
      <formula>NOT(ISERROR(SEARCH("%",J34)))</formula>
    </cfRule>
  </conditionalFormatting>
  <conditionalFormatting sqref="J33">
    <cfRule type="containsText" dxfId="3704" priority="3710" operator="containsText" text="%">
      <formula>NOT(ISERROR(SEARCH("%",J33)))</formula>
    </cfRule>
  </conditionalFormatting>
  <conditionalFormatting sqref="J33">
    <cfRule type="containsText" dxfId="3703" priority="3709" operator="containsText" text="%">
      <formula>NOT(ISERROR(SEARCH("%",J33)))</formula>
    </cfRule>
  </conditionalFormatting>
  <conditionalFormatting sqref="J33">
    <cfRule type="containsText" dxfId="3702" priority="3708" operator="containsText" text="%">
      <formula>NOT(ISERROR(SEARCH("%",J33)))</formula>
    </cfRule>
  </conditionalFormatting>
  <conditionalFormatting sqref="J33">
    <cfRule type="containsText" dxfId="3701" priority="3707" operator="containsText" text="%">
      <formula>NOT(ISERROR(SEARCH("%",J33)))</formula>
    </cfRule>
  </conditionalFormatting>
  <conditionalFormatting sqref="J33">
    <cfRule type="containsText" dxfId="3700" priority="3706" operator="containsText" text="%">
      <formula>NOT(ISERROR(SEARCH("%",J33)))</formula>
    </cfRule>
  </conditionalFormatting>
  <conditionalFormatting sqref="J33">
    <cfRule type="containsText" dxfId="3699" priority="3705" operator="containsText" text="%">
      <formula>NOT(ISERROR(SEARCH("%",J33)))</formula>
    </cfRule>
  </conditionalFormatting>
  <conditionalFormatting sqref="J34">
    <cfRule type="containsText" dxfId="3698" priority="3704" operator="containsText" text="%">
      <formula>NOT(ISERROR(SEARCH("%",J34)))</formula>
    </cfRule>
  </conditionalFormatting>
  <conditionalFormatting sqref="J34">
    <cfRule type="containsText" dxfId="3697" priority="3703" operator="containsText" text="%">
      <formula>NOT(ISERROR(SEARCH("%",J34)))</formula>
    </cfRule>
  </conditionalFormatting>
  <conditionalFormatting sqref="J34">
    <cfRule type="containsText" dxfId="3696" priority="3702" operator="containsText" text="%">
      <formula>NOT(ISERROR(SEARCH("%",J34)))</formula>
    </cfRule>
  </conditionalFormatting>
  <conditionalFormatting sqref="J34">
    <cfRule type="containsText" dxfId="3695" priority="3701" operator="containsText" text="%">
      <formula>NOT(ISERROR(SEARCH("%",J34)))</formula>
    </cfRule>
  </conditionalFormatting>
  <conditionalFormatting sqref="J34">
    <cfRule type="containsText" dxfId="3694" priority="3700" operator="containsText" text="%">
      <formula>NOT(ISERROR(SEARCH("%",J34)))</formula>
    </cfRule>
  </conditionalFormatting>
  <conditionalFormatting sqref="J34">
    <cfRule type="containsText" dxfId="3693" priority="3699" operator="containsText" text="%">
      <formula>NOT(ISERROR(SEARCH("%",J34)))</formula>
    </cfRule>
  </conditionalFormatting>
  <conditionalFormatting sqref="J34">
    <cfRule type="containsText" dxfId="3692" priority="3698" operator="containsText" text="%">
      <formula>NOT(ISERROR(SEARCH("%",J34)))</formula>
    </cfRule>
  </conditionalFormatting>
  <conditionalFormatting sqref="J34">
    <cfRule type="containsText" dxfId="3691" priority="3697" operator="containsText" text="%">
      <formula>NOT(ISERROR(SEARCH("%",J34)))</formula>
    </cfRule>
  </conditionalFormatting>
  <conditionalFormatting sqref="J34">
    <cfRule type="containsText" dxfId="3690" priority="3696" operator="containsText" text="%">
      <formula>NOT(ISERROR(SEARCH("%",J34)))</formula>
    </cfRule>
  </conditionalFormatting>
  <conditionalFormatting sqref="J34">
    <cfRule type="containsText" dxfId="3689" priority="3695" operator="containsText" text="%">
      <formula>NOT(ISERROR(SEARCH("%",J34)))</formula>
    </cfRule>
  </conditionalFormatting>
  <conditionalFormatting sqref="J34">
    <cfRule type="containsText" dxfId="3688" priority="3681" operator="containsText" text="%">
      <formula>NOT(ISERROR(SEARCH("%",J34)))</formula>
    </cfRule>
  </conditionalFormatting>
  <conditionalFormatting sqref="J34">
    <cfRule type="containsText" dxfId="3687" priority="3680" operator="containsText" text="%">
      <formula>NOT(ISERROR(SEARCH("%",J34)))</formula>
    </cfRule>
  </conditionalFormatting>
  <conditionalFormatting sqref="J34">
    <cfRule type="containsText" dxfId="3686" priority="3676" operator="containsText" text="%">
      <formula>NOT(ISERROR(SEARCH("%",J34)))</formula>
    </cfRule>
  </conditionalFormatting>
  <conditionalFormatting sqref="J34">
    <cfRule type="containsText" dxfId="3685" priority="3694" operator="containsText" text="%">
      <formula>NOT(ISERROR(SEARCH("%",J34)))</formula>
    </cfRule>
  </conditionalFormatting>
  <conditionalFormatting sqref="J34">
    <cfRule type="containsText" dxfId="3684" priority="3674" operator="containsText" text="%">
      <formula>NOT(ISERROR(SEARCH("%",J34)))</formula>
    </cfRule>
  </conditionalFormatting>
  <conditionalFormatting sqref="J34">
    <cfRule type="containsText" dxfId="3683" priority="3693" operator="containsText" text="%">
      <formula>NOT(ISERROR(SEARCH("%",J34)))</formula>
    </cfRule>
  </conditionalFormatting>
  <conditionalFormatting sqref="J34">
    <cfRule type="containsText" dxfId="3682" priority="3692" operator="containsText" text="%">
      <formula>NOT(ISERROR(SEARCH("%",J34)))</formula>
    </cfRule>
  </conditionalFormatting>
  <conditionalFormatting sqref="J34">
    <cfRule type="containsText" dxfId="3681" priority="3691" operator="containsText" text="%">
      <formula>NOT(ISERROR(SEARCH("%",J34)))</formula>
    </cfRule>
  </conditionalFormatting>
  <conditionalFormatting sqref="J34">
    <cfRule type="containsText" dxfId="3680" priority="3690" operator="containsText" text="%">
      <formula>NOT(ISERROR(SEARCH("%",J34)))</formula>
    </cfRule>
  </conditionalFormatting>
  <conditionalFormatting sqref="J34">
    <cfRule type="containsText" dxfId="3679" priority="3689" operator="containsText" text="%">
      <formula>NOT(ISERROR(SEARCH("%",J34)))</formula>
    </cfRule>
  </conditionalFormatting>
  <conditionalFormatting sqref="J34">
    <cfRule type="containsText" dxfId="3678" priority="3688" operator="containsText" text="%">
      <formula>NOT(ISERROR(SEARCH("%",J34)))</formula>
    </cfRule>
  </conditionalFormatting>
  <conditionalFormatting sqref="J34">
    <cfRule type="containsText" dxfId="3677" priority="3687" operator="containsText" text="%">
      <formula>NOT(ISERROR(SEARCH("%",J34)))</formula>
    </cfRule>
  </conditionalFormatting>
  <conditionalFormatting sqref="J34">
    <cfRule type="containsText" dxfId="3676" priority="3686" operator="containsText" text="%">
      <formula>NOT(ISERROR(SEARCH("%",J34)))</formula>
    </cfRule>
  </conditionalFormatting>
  <conditionalFormatting sqref="J34">
    <cfRule type="containsText" dxfId="3675" priority="3685" operator="containsText" text="%">
      <formula>NOT(ISERROR(SEARCH("%",J34)))</formula>
    </cfRule>
  </conditionalFormatting>
  <conditionalFormatting sqref="J34">
    <cfRule type="containsText" dxfId="3674" priority="3684" operator="containsText" text="%">
      <formula>NOT(ISERROR(SEARCH("%",J34)))</formula>
    </cfRule>
  </conditionalFormatting>
  <conditionalFormatting sqref="J34">
    <cfRule type="containsText" dxfId="3673" priority="3683" operator="containsText" text="%">
      <formula>NOT(ISERROR(SEARCH("%",J34)))</formula>
    </cfRule>
  </conditionalFormatting>
  <conditionalFormatting sqref="J34">
    <cfRule type="containsText" dxfId="3672" priority="3682" operator="containsText" text="%">
      <formula>NOT(ISERROR(SEARCH("%",J34)))</formula>
    </cfRule>
  </conditionalFormatting>
  <conditionalFormatting sqref="J34">
    <cfRule type="containsText" dxfId="3671" priority="3679" operator="containsText" text="%">
      <formula>NOT(ISERROR(SEARCH("%",J34)))</formula>
    </cfRule>
  </conditionalFormatting>
  <conditionalFormatting sqref="J34">
    <cfRule type="containsText" dxfId="3670" priority="3678" operator="containsText" text="%">
      <formula>NOT(ISERROR(SEARCH("%",J34)))</formula>
    </cfRule>
  </conditionalFormatting>
  <conditionalFormatting sqref="J34">
    <cfRule type="containsText" dxfId="3669" priority="3677" operator="containsText" text="%">
      <formula>NOT(ISERROR(SEARCH("%",J34)))</formula>
    </cfRule>
  </conditionalFormatting>
  <conditionalFormatting sqref="J34">
    <cfRule type="containsText" dxfId="3668" priority="3675" operator="containsText" text="%">
      <formula>NOT(ISERROR(SEARCH("%",J34)))</formula>
    </cfRule>
  </conditionalFormatting>
  <conditionalFormatting sqref="J34">
    <cfRule type="containsText" dxfId="3667" priority="3673" operator="containsText" text="%">
      <formula>NOT(ISERROR(SEARCH("%",J34)))</formula>
    </cfRule>
  </conditionalFormatting>
  <conditionalFormatting sqref="J34">
    <cfRule type="containsText" dxfId="3666" priority="3672" operator="containsText" text="%">
      <formula>NOT(ISERROR(SEARCH("%",J34)))</formula>
    </cfRule>
  </conditionalFormatting>
  <conditionalFormatting sqref="J34">
    <cfRule type="containsText" dxfId="3665" priority="3671" operator="containsText" text="%">
      <formula>NOT(ISERROR(SEARCH("%",J34)))</formula>
    </cfRule>
  </conditionalFormatting>
  <conditionalFormatting sqref="J34">
    <cfRule type="containsText" dxfId="3664" priority="3670" operator="containsText" text="%">
      <formula>NOT(ISERROR(SEARCH("%",J34)))</formula>
    </cfRule>
  </conditionalFormatting>
  <conditionalFormatting sqref="J34">
    <cfRule type="containsText" dxfId="3663" priority="3669" operator="containsText" text="%">
      <formula>NOT(ISERROR(SEARCH("%",J34)))</formula>
    </cfRule>
  </conditionalFormatting>
  <conditionalFormatting sqref="J34">
    <cfRule type="containsText" dxfId="3662" priority="3668" operator="containsText" text="%">
      <formula>NOT(ISERROR(SEARCH("%",J34)))</formula>
    </cfRule>
  </conditionalFormatting>
  <conditionalFormatting sqref="J34">
    <cfRule type="containsText" dxfId="3661" priority="3667" operator="containsText" text="%">
      <formula>NOT(ISERROR(SEARCH("%",J34)))</formula>
    </cfRule>
  </conditionalFormatting>
  <conditionalFormatting sqref="J34">
    <cfRule type="containsText" dxfId="3660" priority="3666" operator="containsText" text="%">
      <formula>NOT(ISERROR(SEARCH("%",J34)))</formula>
    </cfRule>
  </conditionalFormatting>
  <conditionalFormatting sqref="J34">
    <cfRule type="containsText" dxfId="3659" priority="3665" operator="containsText" text="%">
      <formula>NOT(ISERROR(SEARCH("%",J34)))</formula>
    </cfRule>
  </conditionalFormatting>
  <conditionalFormatting sqref="J34">
    <cfRule type="containsText" dxfId="3658" priority="3664" operator="containsText" text="%">
      <formula>NOT(ISERROR(SEARCH("%",J34)))</formula>
    </cfRule>
  </conditionalFormatting>
  <conditionalFormatting sqref="J34">
    <cfRule type="containsText" dxfId="3657" priority="3663" operator="containsText" text="%">
      <formula>NOT(ISERROR(SEARCH("%",J34)))</formula>
    </cfRule>
  </conditionalFormatting>
  <conditionalFormatting sqref="J34">
    <cfRule type="containsText" dxfId="3656" priority="3662" operator="containsText" text="%">
      <formula>NOT(ISERROR(SEARCH("%",J34)))</formula>
    </cfRule>
  </conditionalFormatting>
  <conditionalFormatting sqref="J34">
    <cfRule type="containsText" dxfId="3655" priority="3661" operator="containsText" text="%">
      <formula>NOT(ISERROR(SEARCH("%",J34)))</formula>
    </cfRule>
  </conditionalFormatting>
  <conditionalFormatting sqref="J34">
    <cfRule type="containsText" dxfId="3654" priority="3660" operator="containsText" text="%">
      <formula>NOT(ISERROR(SEARCH("%",J34)))</formula>
    </cfRule>
  </conditionalFormatting>
  <conditionalFormatting sqref="J34">
    <cfRule type="containsText" dxfId="3653" priority="3659" operator="containsText" text="%">
      <formula>NOT(ISERROR(SEARCH("%",J34)))</formula>
    </cfRule>
  </conditionalFormatting>
  <conditionalFormatting sqref="J34">
    <cfRule type="containsText" dxfId="3652" priority="3658" operator="containsText" text="%">
      <formula>NOT(ISERROR(SEARCH("%",J34)))</formula>
    </cfRule>
  </conditionalFormatting>
  <conditionalFormatting sqref="J34">
    <cfRule type="containsText" dxfId="3651" priority="3657" operator="containsText" text="%">
      <formula>NOT(ISERROR(SEARCH("%",J34)))</formula>
    </cfRule>
  </conditionalFormatting>
  <conditionalFormatting sqref="J34">
    <cfRule type="containsText" dxfId="3650" priority="3656" operator="containsText" text="%">
      <formula>NOT(ISERROR(SEARCH("%",J34)))</formula>
    </cfRule>
  </conditionalFormatting>
  <conditionalFormatting sqref="J34">
    <cfRule type="containsText" dxfId="3649" priority="3655" operator="containsText" text="%">
      <formula>NOT(ISERROR(SEARCH("%",J34)))</formula>
    </cfRule>
  </conditionalFormatting>
  <conditionalFormatting sqref="J34">
    <cfRule type="containsText" dxfId="3648" priority="3654" operator="containsText" text="%">
      <formula>NOT(ISERROR(SEARCH("%",J34)))</formula>
    </cfRule>
  </conditionalFormatting>
  <conditionalFormatting sqref="J34">
    <cfRule type="containsText" dxfId="3647" priority="3653" operator="containsText" text="%">
      <formula>NOT(ISERROR(SEARCH("%",J34)))</formula>
    </cfRule>
  </conditionalFormatting>
  <conditionalFormatting sqref="J34">
    <cfRule type="containsText" dxfId="3646" priority="3652" operator="containsText" text="%">
      <formula>NOT(ISERROR(SEARCH("%",J34)))</formula>
    </cfRule>
  </conditionalFormatting>
  <conditionalFormatting sqref="J34">
    <cfRule type="containsText" dxfId="3645" priority="3651" operator="containsText" text="%">
      <formula>NOT(ISERROR(SEARCH("%",J34)))</formula>
    </cfRule>
  </conditionalFormatting>
  <conditionalFormatting sqref="J34">
    <cfRule type="containsText" dxfId="3644" priority="3650" operator="containsText" text="%">
      <formula>NOT(ISERROR(SEARCH("%",J34)))</formula>
    </cfRule>
  </conditionalFormatting>
  <conditionalFormatting sqref="J34">
    <cfRule type="containsText" dxfId="3643" priority="3649" operator="containsText" text="%">
      <formula>NOT(ISERROR(SEARCH("%",J34)))</formula>
    </cfRule>
  </conditionalFormatting>
  <conditionalFormatting sqref="J34">
    <cfRule type="containsText" dxfId="3642" priority="3648" operator="containsText" text="%">
      <formula>NOT(ISERROR(SEARCH("%",J34)))</formula>
    </cfRule>
  </conditionalFormatting>
  <conditionalFormatting sqref="J34">
    <cfRule type="containsText" dxfId="3641" priority="3647" operator="containsText" text="%">
      <formula>NOT(ISERROR(SEARCH("%",J34)))</formula>
    </cfRule>
  </conditionalFormatting>
  <conditionalFormatting sqref="J34">
    <cfRule type="containsText" dxfId="3640" priority="3646" operator="containsText" text="%">
      <formula>NOT(ISERROR(SEARCH("%",J34)))</formula>
    </cfRule>
  </conditionalFormatting>
  <conditionalFormatting sqref="K33:K34">
    <cfRule type="containsText" dxfId="3639" priority="3645" operator="containsText" text="%">
      <formula>NOT(ISERROR(SEARCH("%",K33)))</formula>
    </cfRule>
  </conditionalFormatting>
  <conditionalFormatting sqref="K33:K34">
    <cfRule type="containsText" dxfId="3638" priority="3644" operator="containsText" text="%">
      <formula>NOT(ISERROR(SEARCH("%",K33)))</formula>
    </cfRule>
  </conditionalFormatting>
  <conditionalFormatting sqref="K33:K34">
    <cfRule type="containsText" dxfId="3637" priority="3643" operator="containsText" text="%">
      <formula>NOT(ISERROR(SEARCH("%",K33)))</formula>
    </cfRule>
  </conditionalFormatting>
  <conditionalFormatting sqref="K33:K34">
    <cfRule type="containsText" dxfId="3636" priority="3642" operator="containsText" text="%">
      <formula>NOT(ISERROR(SEARCH("%",K33)))</formula>
    </cfRule>
  </conditionalFormatting>
  <conditionalFormatting sqref="K33:K34">
    <cfRule type="containsText" dxfId="3635" priority="3641" operator="containsText" text="%">
      <formula>NOT(ISERROR(SEARCH("%",K33)))</formula>
    </cfRule>
  </conditionalFormatting>
  <conditionalFormatting sqref="K33:K34">
    <cfRule type="containsText" dxfId="3634" priority="3640" operator="containsText" text="%">
      <formula>NOT(ISERROR(SEARCH("%",K33)))</formula>
    </cfRule>
  </conditionalFormatting>
  <conditionalFormatting sqref="K33:K34">
    <cfRule type="containsText" dxfId="3633" priority="3624" operator="containsText" text="%">
      <formula>NOT(ISERROR(SEARCH("%",K33)))</formula>
    </cfRule>
  </conditionalFormatting>
  <conditionalFormatting sqref="K33:K34">
    <cfRule type="containsText" dxfId="3632" priority="3623" operator="containsText" text="%">
      <formula>NOT(ISERROR(SEARCH("%",K33)))</formula>
    </cfRule>
  </conditionalFormatting>
  <conditionalFormatting sqref="K33:K34">
    <cfRule type="containsText" dxfId="3631" priority="3619" operator="containsText" text="%">
      <formula>NOT(ISERROR(SEARCH("%",K33)))</formula>
    </cfRule>
  </conditionalFormatting>
  <conditionalFormatting sqref="K33:K34">
    <cfRule type="containsText" dxfId="3630" priority="3639" operator="containsText" text="%">
      <formula>NOT(ISERROR(SEARCH("%",K33)))</formula>
    </cfRule>
  </conditionalFormatting>
  <conditionalFormatting sqref="K33">
    <cfRule type="containsText" dxfId="3629" priority="3638" operator="containsText" text="%">
      <formula>NOT(ISERROR(SEARCH("%",K33)))</formula>
    </cfRule>
  </conditionalFormatting>
  <conditionalFormatting sqref="K33">
    <cfRule type="containsText" dxfId="3628" priority="3637" operator="containsText" text="%">
      <formula>NOT(ISERROR(SEARCH("%",K33)))</formula>
    </cfRule>
  </conditionalFormatting>
  <conditionalFormatting sqref="K33:K34">
    <cfRule type="containsText" dxfId="3627" priority="3617" operator="containsText" text="%">
      <formula>NOT(ISERROR(SEARCH("%",K33)))</formula>
    </cfRule>
  </conditionalFormatting>
  <conditionalFormatting sqref="K33:K34">
    <cfRule type="containsText" dxfId="3626" priority="3636" operator="containsText" text="%">
      <formula>NOT(ISERROR(SEARCH("%",K33)))</formula>
    </cfRule>
  </conditionalFormatting>
  <conditionalFormatting sqref="K33:K34">
    <cfRule type="containsText" dxfId="3625" priority="3635" operator="containsText" text="%">
      <formula>NOT(ISERROR(SEARCH("%",K33)))</formula>
    </cfRule>
  </conditionalFormatting>
  <conditionalFormatting sqref="K33:K34">
    <cfRule type="containsText" dxfId="3624" priority="3634" operator="containsText" text="%">
      <formula>NOT(ISERROR(SEARCH("%",K33)))</formula>
    </cfRule>
  </conditionalFormatting>
  <conditionalFormatting sqref="K33:K34">
    <cfRule type="containsText" dxfId="3623" priority="3633" operator="containsText" text="%">
      <formula>NOT(ISERROR(SEARCH("%",K33)))</formula>
    </cfRule>
  </conditionalFormatting>
  <conditionalFormatting sqref="K33:K34">
    <cfRule type="containsText" dxfId="3622" priority="3632" operator="containsText" text="%">
      <formula>NOT(ISERROR(SEARCH("%",K33)))</formula>
    </cfRule>
  </conditionalFormatting>
  <conditionalFormatting sqref="K33:K34">
    <cfRule type="containsText" dxfId="3621" priority="3631" operator="containsText" text="%">
      <formula>NOT(ISERROR(SEARCH("%",K33)))</formula>
    </cfRule>
  </conditionalFormatting>
  <conditionalFormatting sqref="K33:K34">
    <cfRule type="containsText" dxfId="3620" priority="3630" operator="containsText" text="%">
      <formula>NOT(ISERROR(SEARCH("%",K33)))</formula>
    </cfRule>
  </conditionalFormatting>
  <conditionalFormatting sqref="K33:K34">
    <cfRule type="containsText" dxfId="3619" priority="3629" operator="containsText" text="%">
      <formula>NOT(ISERROR(SEARCH("%",K33)))</formula>
    </cfRule>
  </conditionalFormatting>
  <conditionalFormatting sqref="K33:K34">
    <cfRule type="containsText" dxfId="3618" priority="3628" operator="containsText" text="%">
      <formula>NOT(ISERROR(SEARCH("%",K33)))</formula>
    </cfRule>
  </conditionalFormatting>
  <conditionalFormatting sqref="K33:K34">
    <cfRule type="containsText" dxfId="3617" priority="3627" operator="containsText" text="%">
      <formula>NOT(ISERROR(SEARCH("%",K33)))</formula>
    </cfRule>
  </conditionalFormatting>
  <conditionalFormatting sqref="K33:K34">
    <cfRule type="containsText" dxfId="3616" priority="3626" operator="containsText" text="%">
      <formula>NOT(ISERROR(SEARCH("%",K33)))</formula>
    </cfRule>
  </conditionalFormatting>
  <conditionalFormatting sqref="K33:K34">
    <cfRule type="containsText" dxfId="3615" priority="3625" operator="containsText" text="%">
      <formula>NOT(ISERROR(SEARCH("%",K33)))</formula>
    </cfRule>
  </conditionalFormatting>
  <conditionalFormatting sqref="K33:K34">
    <cfRule type="containsText" dxfId="3614" priority="3622" operator="containsText" text="%">
      <formula>NOT(ISERROR(SEARCH("%",K33)))</formula>
    </cfRule>
  </conditionalFormatting>
  <conditionalFormatting sqref="K33:K34">
    <cfRule type="containsText" dxfId="3613" priority="3621" operator="containsText" text="%">
      <formula>NOT(ISERROR(SEARCH("%",K33)))</formula>
    </cfRule>
  </conditionalFormatting>
  <conditionalFormatting sqref="K33:K34">
    <cfRule type="containsText" dxfId="3612" priority="3620" operator="containsText" text="%">
      <formula>NOT(ISERROR(SEARCH("%",K33)))</formula>
    </cfRule>
  </conditionalFormatting>
  <conditionalFormatting sqref="K33:K34">
    <cfRule type="containsText" dxfId="3611" priority="3618" operator="containsText" text="%">
      <formula>NOT(ISERROR(SEARCH("%",K33)))</formula>
    </cfRule>
  </conditionalFormatting>
  <conditionalFormatting sqref="K33:K34">
    <cfRule type="containsText" dxfId="3610" priority="3616" operator="containsText" text="%">
      <formula>NOT(ISERROR(SEARCH("%",K33)))</formula>
    </cfRule>
  </conditionalFormatting>
  <conditionalFormatting sqref="K33:K34">
    <cfRule type="containsText" dxfId="3609" priority="3615" operator="containsText" text="%">
      <formula>NOT(ISERROR(SEARCH("%",K33)))</formula>
    </cfRule>
  </conditionalFormatting>
  <conditionalFormatting sqref="K33:K34">
    <cfRule type="containsText" dxfId="3608" priority="3614" operator="containsText" text="%">
      <formula>NOT(ISERROR(SEARCH("%",K33)))</formula>
    </cfRule>
  </conditionalFormatting>
  <conditionalFormatting sqref="K33:K34">
    <cfRule type="containsText" dxfId="3607" priority="3613" operator="containsText" text="%">
      <formula>NOT(ISERROR(SEARCH("%",K33)))</formula>
    </cfRule>
  </conditionalFormatting>
  <conditionalFormatting sqref="K33:K34">
    <cfRule type="containsText" dxfId="3606" priority="3612" operator="containsText" text="%">
      <formula>NOT(ISERROR(SEARCH("%",K33)))</formula>
    </cfRule>
  </conditionalFormatting>
  <conditionalFormatting sqref="K33:K34">
    <cfRule type="containsText" dxfId="3605" priority="3611" operator="containsText" text="%">
      <formula>NOT(ISERROR(SEARCH("%",K33)))</formula>
    </cfRule>
  </conditionalFormatting>
  <conditionalFormatting sqref="K33:K34">
    <cfRule type="containsText" dxfId="3604" priority="3610" operator="containsText" text="%">
      <formula>NOT(ISERROR(SEARCH("%",K33)))</formula>
    </cfRule>
  </conditionalFormatting>
  <conditionalFormatting sqref="K33:K34">
    <cfRule type="containsText" dxfId="3603" priority="3609" operator="containsText" text="%">
      <formula>NOT(ISERROR(SEARCH("%",K33)))</formula>
    </cfRule>
  </conditionalFormatting>
  <conditionalFormatting sqref="K33:K34">
    <cfRule type="containsText" dxfId="3602" priority="3608" operator="containsText" text="%">
      <formula>NOT(ISERROR(SEARCH("%",K33)))</formula>
    </cfRule>
  </conditionalFormatting>
  <conditionalFormatting sqref="K33:K34">
    <cfRule type="containsText" dxfId="3601" priority="3607" operator="containsText" text="%">
      <formula>NOT(ISERROR(SEARCH("%",K33)))</formula>
    </cfRule>
  </conditionalFormatting>
  <conditionalFormatting sqref="K34">
    <cfRule type="containsText" dxfId="3600" priority="3606" operator="containsText" text="%">
      <formula>NOT(ISERROR(SEARCH("%",K34)))</formula>
    </cfRule>
  </conditionalFormatting>
  <conditionalFormatting sqref="K34">
    <cfRule type="containsText" dxfId="3599" priority="3605" operator="containsText" text="%">
      <formula>NOT(ISERROR(SEARCH("%",K34)))</formula>
    </cfRule>
  </conditionalFormatting>
  <conditionalFormatting sqref="K34">
    <cfRule type="containsText" dxfId="3598" priority="3604" operator="containsText" text="%">
      <formula>NOT(ISERROR(SEARCH("%",K34)))</formula>
    </cfRule>
  </conditionalFormatting>
  <conditionalFormatting sqref="K34">
    <cfRule type="containsText" dxfId="3597" priority="3603" operator="containsText" text="%">
      <formula>NOT(ISERROR(SEARCH("%",K34)))</formula>
    </cfRule>
  </conditionalFormatting>
  <conditionalFormatting sqref="K33:K34">
    <cfRule type="containsText" dxfId="3596" priority="3602" operator="containsText" text="%">
      <formula>NOT(ISERROR(SEARCH("%",K33)))</formula>
    </cfRule>
  </conditionalFormatting>
  <conditionalFormatting sqref="K33:K34">
    <cfRule type="containsText" dxfId="3595" priority="3601" operator="containsText" text="%">
      <formula>NOT(ISERROR(SEARCH("%",K33)))</formula>
    </cfRule>
  </conditionalFormatting>
  <conditionalFormatting sqref="K33:K34">
    <cfRule type="containsText" dxfId="3594" priority="3600" operator="containsText" text="%">
      <formula>NOT(ISERROR(SEARCH("%",K33)))</formula>
    </cfRule>
  </conditionalFormatting>
  <conditionalFormatting sqref="K33:K34">
    <cfRule type="containsText" dxfId="3593" priority="3599" operator="containsText" text="%">
      <formula>NOT(ISERROR(SEARCH("%",K33)))</formula>
    </cfRule>
  </conditionalFormatting>
  <conditionalFormatting sqref="K33:K34">
    <cfRule type="containsText" dxfId="3592" priority="3598" operator="containsText" text="%">
      <formula>NOT(ISERROR(SEARCH("%",K33)))</formula>
    </cfRule>
  </conditionalFormatting>
  <conditionalFormatting sqref="K33:K34">
    <cfRule type="containsText" dxfId="3591" priority="3597" operator="containsText" text="%">
      <formula>NOT(ISERROR(SEARCH("%",K33)))</formula>
    </cfRule>
  </conditionalFormatting>
  <conditionalFormatting sqref="K33:K34">
    <cfRule type="containsText" dxfId="3590" priority="3596" operator="containsText" text="%">
      <formula>NOT(ISERROR(SEARCH("%",K33)))</formula>
    </cfRule>
  </conditionalFormatting>
  <conditionalFormatting sqref="K33:K34">
    <cfRule type="containsText" dxfId="3589" priority="3595" operator="containsText" text="%">
      <formula>NOT(ISERROR(SEARCH("%",K33)))</formula>
    </cfRule>
  </conditionalFormatting>
  <conditionalFormatting sqref="K33:K34">
    <cfRule type="containsText" dxfId="3588" priority="3594" operator="containsText" text="%">
      <formula>NOT(ISERROR(SEARCH("%",K33)))</formula>
    </cfRule>
  </conditionalFormatting>
  <conditionalFormatting sqref="K33:K34">
    <cfRule type="containsText" dxfId="3587" priority="3593" operator="containsText" text="%">
      <formula>NOT(ISERROR(SEARCH("%",K33)))</formula>
    </cfRule>
  </conditionalFormatting>
  <conditionalFormatting sqref="K34">
    <cfRule type="containsText" dxfId="3586" priority="3592" operator="containsText" text="%">
      <formula>NOT(ISERROR(SEARCH("%",K34)))</formula>
    </cfRule>
  </conditionalFormatting>
  <conditionalFormatting sqref="K34">
    <cfRule type="containsText" dxfId="3585" priority="3591" operator="containsText" text="%">
      <formula>NOT(ISERROR(SEARCH("%",K34)))</formula>
    </cfRule>
  </conditionalFormatting>
  <conditionalFormatting sqref="K34">
    <cfRule type="containsText" dxfId="3584" priority="3590" operator="containsText" text="%">
      <formula>NOT(ISERROR(SEARCH("%",K34)))</formula>
    </cfRule>
  </conditionalFormatting>
  <conditionalFormatting sqref="K34">
    <cfRule type="containsText" dxfId="3583" priority="3589" operator="containsText" text="%">
      <formula>NOT(ISERROR(SEARCH("%",K34)))</formula>
    </cfRule>
  </conditionalFormatting>
  <conditionalFormatting sqref="K33:K34">
    <cfRule type="containsText" dxfId="3582" priority="3588" operator="containsText" text="%">
      <formula>NOT(ISERROR(SEARCH("%",K33)))</formula>
    </cfRule>
  </conditionalFormatting>
  <conditionalFormatting sqref="K33:K34">
    <cfRule type="containsText" dxfId="3581" priority="3587" operator="containsText" text="%">
      <formula>NOT(ISERROR(SEARCH("%",K33)))</formula>
    </cfRule>
  </conditionalFormatting>
  <conditionalFormatting sqref="K33:K34">
    <cfRule type="containsText" dxfId="3580" priority="3586" operator="containsText" text="%">
      <formula>NOT(ISERROR(SEARCH("%",K33)))</formula>
    </cfRule>
  </conditionalFormatting>
  <conditionalFormatting sqref="K33:K34">
    <cfRule type="containsText" dxfId="3579" priority="3585" operator="containsText" text="%">
      <formula>NOT(ISERROR(SEARCH("%",K33)))</formula>
    </cfRule>
  </conditionalFormatting>
  <conditionalFormatting sqref="K33:K34">
    <cfRule type="containsText" dxfId="3578" priority="3584" operator="containsText" text="%">
      <formula>NOT(ISERROR(SEARCH("%",K33)))</formula>
    </cfRule>
  </conditionalFormatting>
  <conditionalFormatting sqref="K33:K34">
    <cfRule type="containsText" dxfId="3577" priority="3583" operator="containsText" text="%">
      <formula>NOT(ISERROR(SEARCH("%",K33)))</formula>
    </cfRule>
  </conditionalFormatting>
  <conditionalFormatting sqref="K34">
    <cfRule type="containsText" dxfId="3576" priority="3582" operator="containsText" text="%">
      <formula>NOT(ISERROR(SEARCH("%",K34)))</formula>
    </cfRule>
  </conditionalFormatting>
  <conditionalFormatting sqref="K34">
    <cfRule type="containsText" dxfId="3575" priority="3581" operator="containsText" text="%">
      <formula>NOT(ISERROR(SEARCH("%",K34)))</formula>
    </cfRule>
  </conditionalFormatting>
  <conditionalFormatting sqref="K34">
    <cfRule type="containsText" dxfId="3574" priority="3580" operator="containsText" text="%">
      <formula>NOT(ISERROR(SEARCH("%",K34)))</formula>
    </cfRule>
  </conditionalFormatting>
  <conditionalFormatting sqref="K34">
    <cfRule type="containsText" dxfId="3573" priority="3579" operator="containsText" text="%">
      <formula>NOT(ISERROR(SEARCH("%",K34)))</formula>
    </cfRule>
  </conditionalFormatting>
  <conditionalFormatting sqref="K33:K34">
    <cfRule type="containsText" dxfId="3572" priority="3563" operator="containsText" text="%">
      <formula>NOT(ISERROR(SEARCH("%",K33)))</formula>
    </cfRule>
  </conditionalFormatting>
  <conditionalFormatting sqref="K33:K34">
    <cfRule type="containsText" dxfId="3571" priority="3562" operator="containsText" text="%">
      <formula>NOT(ISERROR(SEARCH("%",K33)))</formula>
    </cfRule>
  </conditionalFormatting>
  <conditionalFormatting sqref="K33:K34">
    <cfRule type="containsText" dxfId="3570" priority="3558" operator="containsText" text="%">
      <formula>NOT(ISERROR(SEARCH("%",K33)))</formula>
    </cfRule>
  </conditionalFormatting>
  <conditionalFormatting sqref="K33:K34">
    <cfRule type="containsText" dxfId="3569" priority="3578" operator="containsText" text="%">
      <formula>NOT(ISERROR(SEARCH("%",K33)))</formula>
    </cfRule>
  </conditionalFormatting>
  <conditionalFormatting sqref="K33">
    <cfRule type="containsText" dxfId="3568" priority="3577" operator="containsText" text="%">
      <formula>NOT(ISERROR(SEARCH("%",K33)))</formula>
    </cfRule>
  </conditionalFormatting>
  <conditionalFormatting sqref="K33">
    <cfRule type="containsText" dxfId="3567" priority="3576" operator="containsText" text="%">
      <formula>NOT(ISERROR(SEARCH("%",K33)))</formula>
    </cfRule>
  </conditionalFormatting>
  <conditionalFormatting sqref="K33:K34">
    <cfRule type="containsText" dxfId="3566" priority="3556" operator="containsText" text="%">
      <formula>NOT(ISERROR(SEARCH("%",K33)))</formula>
    </cfRule>
  </conditionalFormatting>
  <conditionalFormatting sqref="K33:K34">
    <cfRule type="containsText" dxfId="3565" priority="3575" operator="containsText" text="%">
      <formula>NOT(ISERROR(SEARCH("%",K33)))</formula>
    </cfRule>
  </conditionalFormatting>
  <conditionalFormatting sqref="K33:K34">
    <cfRule type="containsText" dxfId="3564" priority="3574" operator="containsText" text="%">
      <formula>NOT(ISERROR(SEARCH("%",K33)))</formula>
    </cfRule>
  </conditionalFormatting>
  <conditionalFormatting sqref="K33:K34">
    <cfRule type="containsText" dxfId="3563" priority="3573" operator="containsText" text="%">
      <formula>NOT(ISERROR(SEARCH("%",K33)))</formula>
    </cfRule>
  </conditionalFormatting>
  <conditionalFormatting sqref="K33:K34">
    <cfRule type="containsText" dxfId="3562" priority="3572" operator="containsText" text="%">
      <formula>NOT(ISERROR(SEARCH("%",K33)))</formula>
    </cfRule>
  </conditionalFormatting>
  <conditionalFormatting sqref="K33:K34">
    <cfRule type="containsText" dxfId="3561" priority="3571" operator="containsText" text="%">
      <formula>NOT(ISERROR(SEARCH("%",K33)))</formula>
    </cfRule>
  </conditionalFormatting>
  <conditionalFormatting sqref="K33:K34">
    <cfRule type="containsText" dxfId="3560" priority="3570" operator="containsText" text="%">
      <formula>NOT(ISERROR(SEARCH("%",K33)))</formula>
    </cfRule>
  </conditionalFormatting>
  <conditionalFormatting sqref="K33:K34">
    <cfRule type="containsText" dxfId="3559" priority="3569" operator="containsText" text="%">
      <formula>NOT(ISERROR(SEARCH("%",K33)))</formula>
    </cfRule>
  </conditionalFormatting>
  <conditionalFormatting sqref="K33:K34">
    <cfRule type="containsText" dxfId="3558" priority="3568" operator="containsText" text="%">
      <formula>NOT(ISERROR(SEARCH("%",K33)))</formula>
    </cfRule>
  </conditionalFormatting>
  <conditionalFormatting sqref="K33:K34">
    <cfRule type="containsText" dxfId="3557" priority="3567" operator="containsText" text="%">
      <formula>NOT(ISERROR(SEARCH("%",K33)))</formula>
    </cfRule>
  </conditionalFormatting>
  <conditionalFormatting sqref="K33:K34">
    <cfRule type="containsText" dxfId="3556" priority="3566" operator="containsText" text="%">
      <formula>NOT(ISERROR(SEARCH("%",K33)))</formula>
    </cfRule>
  </conditionalFormatting>
  <conditionalFormatting sqref="K33:K34">
    <cfRule type="containsText" dxfId="3555" priority="3565" operator="containsText" text="%">
      <formula>NOT(ISERROR(SEARCH("%",K33)))</formula>
    </cfRule>
  </conditionalFormatting>
  <conditionalFormatting sqref="K33:K34">
    <cfRule type="containsText" dxfId="3554" priority="3564" operator="containsText" text="%">
      <formula>NOT(ISERROR(SEARCH("%",K33)))</formula>
    </cfRule>
  </conditionalFormatting>
  <conditionalFormatting sqref="K33:K34">
    <cfRule type="containsText" dxfId="3553" priority="3561" operator="containsText" text="%">
      <formula>NOT(ISERROR(SEARCH("%",K33)))</formula>
    </cfRule>
  </conditionalFormatting>
  <conditionalFormatting sqref="K33:K34">
    <cfRule type="containsText" dxfId="3552" priority="3560" operator="containsText" text="%">
      <formula>NOT(ISERROR(SEARCH("%",K33)))</formula>
    </cfRule>
  </conditionalFormatting>
  <conditionalFormatting sqref="K33:K34">
    <cfRule type="containsText" dxfId="3551" priority="3559" operator="containsText" text="%">
      <formula>NOT(ISERROR(SEARCH("%",K33)))</formula>
    </cfRule>
  </conditionalFormatting>
  <conditionalFormatting sqref="K33:K34">
    <cfRule type="containsText" dxfId="3550" priority="3557" operator="containsText" text="%">
      <formula>NOT(ISERROR(SEARCH("%",K33)))</formula>
    </cfRule>
  </conditionalFormatting>
  <conditionalFormatting sqref="K33:K34">
    <cfRule type="containsText" dxfId="3549" priority="3555" operator="containsText" text="%">
      <formula>NOT(ISERROR(SEARCH("%",K33)))</formula>
    </cfRule>
  </conditionalFormatting>
  <conditionalFormatting sqref="K33:K34">
    <cfRule type="containsText" dxfId="3548" priority="3554" operator="containsText" text="%">
      <formula>NOT(ISERROR(SEARCH("%",K33)))</formula>
    </cfRule>
  </conditionalFormatting>
  <conditionalFormatting sqref="K33:K34">
    <cfRule type="containsText" dxfId="3547" priority="3553" operator="containsText" text="%">
      <formula>NOT(ISERROR(SEARCH("%",K33)))</formula>
    </cfRule>
  </conditionalFormatting>
  <conditionalFormatting sqref="K33:K34">
    <cfRule type="containsText" dxfId="3546" priority="3552" operator="containsText" text="%">
      <formula>NOT(ISERROR(SEARCH("%",K33)))</formula>
    </cfRule>
  </conditionalFormatting>
  <conditionalFormatting sqref="K33:K34">
    <cfRule type="containsText" dxfId="3545" priority="3551" operator="containsText" text="%">
      <formula>NOT(ISERROR(SEARCH("%",K33)))</formula>
    </cfRule>
  </conditionalFormatting>
  <conditionalFormatting sqref="K33:K34">
    <cfRule type="containsText" dxfId="3544" priority="3550" operator="containsText" text="%">
      <formula>NOT(ISERROR(SEARCH("%",K33)))</formula>
    </cfRule>
  </conditionalFormatting>
  <conditionalFormatting sqref="K33:K34">
    <cfRule type="containsText" dxfId="3543" priority="3549" operator="containsText" text="%">
      <formula>NOT(ISERROR(SEARCH("%",K33)))</formula>
    </cfRule>
  </conditionalFormatting>
  <conditionalFormatting sqref="K33:K34">
    <cfRule type="containsText" dxfId="3542" priority="3548" operator="containsText" text="%">
      <formula>NOT(ISERROR(SEARCH("%",K33)))</formula>
    </cfRule>
  </conditionalFormatting>
  <conditionalFormatting sqref="K33:K34">
    <cfRule type="containsText" dxfId="3541" priority="3547" operator="containsText" text="%">
      <formula>NOT(ISERROR(SEARCH("%",K33)))</formula>
    </cfRule>
  </conditionalFormatting>
  <conditionalFormatting sqref="K33:K34">
    <cfRule type="containsText" dxfId="3540" priority="3546" operator="containsText" text="%">
      <formula>NOT(ISERROR(SEARCH("%",K33)))</formula>
    </cfRule>
  </conditionalFormatting>
  <conditionalFormatting sqref="K34">
    <cfRule type="containsText" dxfId="3539" priority="3545" operator="containsText" text="%">
      <formula>NOT(ISERROR(SEARCH("%",K34)))</formula>
    </cfRule>
  </conditionalFormatting>
  <conditionalFormatting sqref="K34">
    <cfRule type="containsText" dxfId="3538" priority="3544" operator="containsText" text="%">
      <formula>NOT(ISERROR(SEARCH("%",K34)))</formula>
    </cfRule>
  </conditionalFormatting>
  <conditionalFormatting sqref="K34">
    <cfRule type="containsText" dxfId="3537" priority="3543" operator="containsText" text="%">
      <formula>NOT(ISERROR(SEARCH("%",K34)))</formula>
    </cfRule>
  </conditionalFormatting>
  <conditionalFormatting sqref="K34">
    <cfRule type="containsText" dxfId="3536" priority="3542" operator="containsText" text="%">
      <formula>NOT(ISERROR(SEARCH("%",K34)))</formula>
    </cfRule>
  </conditionalFormatting>
  <conditionalFormatting sqref="K33:K34">
    <cfRule type="containsText" dxfId="3535" priority="3541" operator="containsText" text="%">
      <formula>NOT(ISERROR(SEARCH("%",K33)))</formula>
    </cfRule>
  </conditionalFormatting>
  <conditionalFormatting sqref="K33:K34">
    <cfRule type="containsText" dxfId="3534" priority="3540" operator="containsText" text="%">
      <formula>NOT(ISERROR(SEARCH("%",K33)))</formula>
    </cfRule>
  </conditionalFormatting>
  <conditionalFormatting sqref="K33:K34">
    <cfRule type="containsText" dxfId="3533" priority="3539" operator="containsText" text="%">
      <formula>NOT(ISERROR(SEARCH("%",K33)))</formula>
    </cfRule>
  </conditionalFormatting>
  <conditionalFormatting sqref="K33:K34">
    <cfRule type="containsText" dxfId="3532" priority="3538" operator="containsText" text="%">
      <formula>NOT(ISERROR(SEARCH("%",K33)))</formula>
    </cfRule>
  </conditionalFormatting>
  <conditionalFormatting sqref="K33:K34">
    <cfRule type="containsText" dxfId="3531" priority="3537" operator="containsText" text="%">
      <formula>NOT(ISERROR(SEARCH("%",K33)))</formula>
    </cfRule>
  </conditionalFormatting>
  <conditionalFormatting sqref="K33:K34">
    <cfRule type="containsText" dxfId="3530" priority="3536" operator="containsText" text="%">
      <formula>NOT(ISERROR(SEARCH("%",K33)))</formula>
    </cfRule>
  </conditionalFormatting>
  <conditionalFormatting sqref="K33:K34">
    <cfRule type="containsText" dxfId="3529" priority="3535" operator="containsText" text="%">
      <formula>NOT(ISERROR(SEARCH("%",K33)))</formula>
    </cfRule>
  </conditionalFormatting>
  <conditionalFormatting sqref="K33:K34">
    <cfRule type="containsText" dxfId="3528" priority="3534" operator="containsText" text="%">
      <formula>NOT(ISERROR(SEARCH("%",K33)))</formula>
    </cfRule>
  </conditionalFormatting>
  <conditionalFormatting sqref="K33:K34">
    <cfRule type="containsText" dxfId="3527" priority="3533" operator="containsText" text="%">
      <formula>NOT(ISERROR(SEARCH("%",K33)))</formula>
    </cfRule>
  </conditionalFormatting>
  <conditionalFormatting sqref="K33:K34">
    <cfRule type="containsText" dxfId="3526" priority="3532" operator="containsText" text="%">
      <formula>NOT(ISERROR(SEARCH("%",K33)))</formula>
    </cfRule>
  </conditionalFormatting>
  <conditionalFormatting sqref="K34">
    <cfRule type="containsText" dxfId="3525" priority="3531" operator="containsText" text="%">
      <formula>NOT(ISERROR(SEARCH("%",K34)))</formula>
    </cfRule>
  </conditionalFormatting>
  <conditionalFormatting sqref="K34">
    <cfRule type="containsText" dxfId="3524" priority="3530" operator="containsText" text="%">
      <formula>NOT(ISERROR(SEARCH("%",K34)))</formula>
    </cfRule>
  </conditionalFormatting>
  <conditionalFormatting sqref="K34">
    <cfRule type="containsText" dxfId="3523" priority="3529" operator="containsText" text="%">
      <formula>NOT(ISERROR(SEARCH("%",K34)))</formula>
    </cfRule>
  </conditionalFormatting>
  <conditionalFormatting sqref="K34">
    <cfRule type="containsText" dxfId="3522" priority="3528" operator="containsText" text="%">
      <formula>NOT(ISERROR(SEARCH("%",K34)))</formula>
    </cfRule>
  </conditionalFormatting>
  <conditionalFormatting sqref="K33">
    <cfRule type="containsText" dxfId="3521" priority="3527" operator="containsText" text="%">
      <formula>NOT(ISERROR(SEARCH("%",K33)))</formula>
    </cfRule>
  </conditionalFormatting>
  <conditionalFormatting sqref="K33">
    <cfRule type="containsText" dxfId="3520" priority="3526" operator="containsText" text="%">
      <formula>NOT(ISERROR(SEARCH("%",K33)))</formula>
    </cfRule>
  </conditionalFormatting>
  <conditionalFormatting sqref="K33">
    <cfRule type="containsText" dxfId="3519" priority="3525" operator="containsText" text="%">
      <formula>NOT(ISERROR(SEARCH("%",K33)))</formula>
    </cfRule>
  </conditionalFormatting>
  <conditionalFormatting sqref="K33">
    <cfRule type="containsText" dxfId="3518" priority="3524" operator="containsText" text="%">
      <formula>NOT(ISERROR(SEARCH("%",K33)))</formula>
    </cfRule>
  </conditionalFormatting>
  <conditionalFormatting sqref="K33">
    <cfRule type="containsText" dxfId="3517" priority="3523" operator="containsText" text="%">
      <formula>NOT(ISERROR(SEARCH("%",K33)))</formula>
    </cfRule>
  </conditionalFormatting>
  <conditionalFormatting sqref="K33">
    <cfRule type="containsText" dxfId="3516" priority="3522" operator="containsText" text="%">
      <formula>NOT(ISERROR(SEARCH("%",K33)))</formula>
    </cfRule>
  </conditionalFormatting>
  <conditionalFormatting sqref="K34">
    <cfRule type="containsText" dxfId="3515" priority="3521" operator="containsText" text="%">
      <formula>NOT(ISERROR(SEARCH("%",K34)))</formula>
    </cfRule>
  </conditionalFormatting>
  <conditionalFormatting sqref="K34">
    <cfRule type="containsText" dxfId="3514" priority="3520" operator="containsText" text="%">
      <formula>NOT(ISERROR(SEARCH("%",K34)))</formula>
    </cfRule>
  </conditionalFormatting>
  <conditionalFormatting sqref="K34">
    <cfRule type="containsText" dxfId="3513" priority="3519" operator="containsText" text="%">
      <formula>NOT(ISERROR(SEARCH("%",K34)))</formula>
    </cfRule>
  </conditionalFormatting>
  <conditionalFormatting sqref="K34">
    <cfRule type="containsText" dxfId="3512" priority="3518" operator="containsText" text="%">
      <formula>NOT(ISERROR(SEARCH("%",K34)))</formula>
    </cfRule>
  </conditionalFormatting>
  <conditionalFormatting sqref="K34">
    <cfRule type="containsText" dxfId="3511" priority="3517" operator="containsText" text="%">
      <formula>NOT(ISERROR(SEARCH("%",K34)))</formula>
    </cfRule>
  </conditionalFormatting>
  <conditionalFormatting sqref="K34">
    <cfRule type="containsText" dxfId="3510" priority="3516" operator="containsText" text="%">
      <formula>NOT(ISERROR(SEARCH("%",K34)))</formula>
    </cfRule>
  </conditionalFormatting>
  <conditionalFormatting sqref="K34">
    <cfRule type="containsText" dxfId="3509" priority="3515" operator="containsText" text="%">
      <formula>NOT(ISERROR(SEARCH("%",K34)))</formula>
    </cfRule>
  </conditionalFormatting>
  <conditionalFormatting sqref="K34">
    <cfRule type="containsText" dxfId="3508" priority="3514" operator="containsText" text="%">
      <formula>NOT(ISERROR(SEARCH("%",K34)))</formula>
    </cfRule>
  </conditionalFormatting>
  <conditionalFormatting sqref="K34">
    <cfRule type="containsText" dxfId="3507" priority="3513" operator="containsText" text="%">
      <formula>NOT(ISERROR(SEARCH("%",K34)))</formula>
    </cfRule>
  </conditionalFormatting>
  <conditionalFormatting sqref="K34">
    <cfRule type="containsText" dxfId="3506" priority="3512" operator="containsText" text="%">
      <formula>NOT(ISERROR(SEARCH("%",K34)))</formula>
    </cfRule>
  </conditionalFormatting>
  <conditionalFormatting sqref="K34">
    <cfRule type="containsText" dxfId="3505" priority="3498" operator="containsText" text="%">
      <formula>NOT(ISERROR(SEARCH("%",K34)))</formula>
    </cfRule>
  </conditionalFormatting>
  <conditionalFormatting sqref="K34">
    <cfRule type="containsText" dxfId="3504" priority="3497" operator="containsText" text="%">
      <formula>NOT(ISERROR(SEARCH("%",K34)))</formula>
    </cfRule>
  </conditionalFormatting>
  <conditionalFormatting sqref="K34">
    <cfRule type="containsText" dxfId="3503" priority="3493" operator="containsText" text="%">
      <formula>NOT(ISERROR(SEARCH("%",K34)))</formula>
    </cfRule>
  </conditionalFormatting>
  <conditionalFormatting sqref="K34">
    <cfRule type="containsText" dxfId="3502" priority="3511" operator="containsText" text="%">
      <formula>NOT(ISERROR(SEARCH("%",K34)))</formula>
    </cfRule>
  </conditionalFormatting>
  <conditionalFormatting sqref="K34">
    <cfRule type="containsText" dxfId="3501" priority="3491" operator="containsText" text="%">
      <formula>NOT(ISERROR(SEARCH("%",K34)))</formula>
    </cfRule>
  </conditionalFormatting>
  <conditionalFormatting sqref="K34">
    <cfRule type="containsText" dxfId="3500" priority="3510" operator="containsText" text="%">
      <formula>NOT(ISERROR(SEARCH("%",K34)))</formula>
    </cfRule>
  </conditionalFormatting>
  <conditionalFormatting sqref="K34">
    <cfRule type="containsText" dxfId="3499" priority="3509" operator="containsText" text="%">
      <formula>NOT(ISERROR(SEARCH("%",K34)))</formula>
    </cfRule>
  </conditionalFormatting>
  <conditionalFormatting sqref="K34">
    <cfRule type="containsText" dxfId="3498" priority="3508" operator="containsText" text="%">
      <formula>NOT(ISERROR(SEARCH("%",K34)))</formula>
    </cfRule>
  </conditionalFormatting>
  <conditionalFormatting sqref="K34">
    <cfRule type="containsText" dxfId="3497" priority="3507" operator="containsText" text="%">
      <formula>NOT(ISERROR(SEARCH("%",K34)))</formula>
    </cfRule>
  </conditionalFormatting>
  <conditionalFormatting sqref="K34">
    <cfRule type="containsText" dxfId="3496" priority="3506" operator="containsText" text="%">
      <formula>NOT(ISERROR(SEARCH("%",K34)))</formula>
    </cfRule>
  </conditionalFormatting>
  <conditionalFormatting sqref="K34">
    <cfRule type="containsText" dxfId="3495" priority="3505" operator="containsText" text="%">
      <formula>NOT(ISERROR(SEARCH("%",K34)))</formula>
    </cfRule>
  </conditionalFormatting>
  <conditionalFormatting sqref="K34">
    <cfRule type="containsText" dxfId="3494" priority="3504" operator="containsText" text="%">
      <formula>NOT(ISERROR(SEARCH("%",K34)))</formula>
    </cfRule>
  </conditionalFormatting>
  <conditionalFormatting sqref="K34">
    <cfRule type="containsText" dxfId="3493" priority="3503" operator="containsText" text="%">
      <formula>NOT(ISERROR(SEARCH("%",K34)))</formula>
    </cfRule>
  </conditionalFormatting>
  <conditionalFormatting sqref="K34">
    <cfRule type="containsText" dxfId="3492" priority="3502" operator="containsText" text="%">
      <formula>NOT(ISERROR(SEARCH("%",K34)))</formula>
    </cfRule>
  </conditionalFormatting>
  <conditionalFormatting sqref="K34">
    <cfRule type="containsText" dxfId="3491" priority="3501" operator="containsText" text="%">
      <formula>NOT(ISERROR(SEARCH("%",K34)))</formula>
    </cfRule>
  </conditionalFormatting>
  <conditionalFormatting sqref="K34">
    <cfRule type="containsText" dxfId="3490" priority="3500" operator="containsText" text="%">
      <formula>NOT(ISERROR(SEARCH("%",K34)))</formula>
    </cfRule>
  </conditionalFormatting>
  <conditionalFormatting sqref="K34">
    <cfRule type="containsText" dxfId="3489" priority="3499" operator="containsText" text="%">
      <formula>NOT(ISERROR(SEARCH("%",K34)))</formula>
    </cfRule>
  </conditionalFormatting>
  <conditionalFormatting sqref="K34">
    <cfRule type="containsText" dxfId="3488" priority="3496" operator="containsText" text="%">
      <formula>NOT(ISERROR(SEARCH("%",K34)))</formula>
    </cfRule>
  </conditionalFormatting>
  <conditionalFormatting sqref="K34">
    <cfRule type="containsText" dxfId="3487" priority="3495" operator="containsText" text="%">
      <formula>NOT(ISERROR(SEARCH("%",K34)))</formula>
    </cfRule>
  </conditionalFormatting>
  <conditionalFormatting sqref="K34">
    <cfRule type="containsText" dxfId="3486" priority="3494" operator="containsText" text="%">
      <formula>NOT(ISERROR(SEARCH("%",K34)))</formula>
    </cfRule>
  </conditionalFormatting>
  <conditionalFormatting sqref="K34">
    <cfRule type="containsText" dxfId="3485" priority="3492" operator="containsText" text="%">
      <formula>NOT(ISERROR(SEARCH("%",K34)))</formula>
    </cfRule>
  </conditionalFormatting>
  <conditionalFormatting sqref="K34">
    <cfRule type="containsText" dxfId="3484" priority="3490" operator="containsText" text="%">
      <formula>NOT(ISERROR(SEARCH("%",K34)))</formula>
    </cfRule>
  </conditionalFormatting>
  <conditionalFormatting sqref="K34">
    <cfRule type="containsText" dxfId="3483" priority="3489" operator="containsText" text="%">
      <formula>NOT(ISERROR(SEARCH("%",K34)))</formula>
    </cfRule>
  </conditionalFormatting>
  <conditionalFormatting sqref="K34">
    <cfRule type="containsText" dxfId="3482" priority="3488" operator="containsText" text="%">
      <formula>NOT(ISERROR(SEARCH("%",K34)))</formula>
    </cfRule>
  </conditionalFormatting>
  <conditionalFormatting sqref="K34">
    <cfRule type="containsText" dxfId="3481" priority="3487" operator="containsText" text="%">
      <formula>NOT(ISERROR(SEARCH("%",K34)))</formula>
    </cfRule>
  </conditionalFormatting>
  <conditionalFormatting sqref="K34">
    <cfRule type="containsText" dxfId="3480" priority="3486" operator="containsText" text="%">
      <formula>NOT(ISERROR(SEARCH("%",K34)))</formula>
    </cfRule>
  </conditionalFormatting>
  <conditionalFormatting sqref="K34">
    <cfRule type="containsText" dxfId="3479" priority="3485" operator="containsText" text="%">
      <formula>NOT(ISERROR(SEARCH("%",K34)))</formula>
    </cfRule>
  </conditionalFormatting>
  <conditionalFormatting sqref="K34">
    <cfRule type="containsText" dxfId="3478" priority="3484" operator="containsText" text="%">
      <formula>NOT(ISERROR(SEARCH("%",K34)))</formula>
    </cfRule>
  </conditionalFormatting>
  <conditionalFormatting sqref="K34">
    <cfRule type="containsText" dxfId="3477" priority="3483" operator="containsText" text="%">
      <formula>NOT(ISERROR(SEARCH("%",K34)))</formula>
    </cfRule>
  </conditionalFormatting>
  <conditionalFormatting sqref="K34">
    <cfRule type="containsText" dxfId="3476" priority="3482" operator="containsText" text="%">
      <formula>NOT(ISERROR(SEARCH("%",K34)))</formula>
    </cfRule>
  </conditionalFormatting>
  <conditionalFormatting sqref="K34">
    <cfRule type="containsText" dxfId="3475" priority="3481" operator="containsText" text="%">
      <formula>NOT(ISERROR(SEARCH("%",K34)))</formula>
    </cfRule>
  </conditionalFormatting>
  <conditionalFormatting sqref="K34">
    <cfRule type="containsText" dxfId="3474" priority="3480" operator="containsText" text="%">
      <formula>NOT(ISERROR(SEARCH("%",K34)))</formula>
    </cfRule>
  </conditionalFormatting>
  <conditionalFormatting sqref="K34">
    <cfRule type="containsText" dxfId="3473" priority="3479" operator="containsText" text="%">
      <formula>NOT(ISERROR(SEARCH("%",K34)))</formula>
    </cfRule>
  </conditionalFormatting>
  <conditionalFormatting sqref="K34">
    <cfRule type="containsText" dxfId="3472" priority="3478" operator="containsText" text="%">
      <formula>NOT(ISERROR(SEARCH("%",K34)))</formula>
    </cfRule>
  </conditionalFormatting>
  <conditionalFormatting sqref="K34">
    <cfRule type="containsText" dxfId="3471" priority="3477" operator="containsText" text="%">
      <formula>NOT(ISERROR(SEARCH("%",K34)))</formula>
    </cfRule>
  </conditionalFormatting>
  <conditionalFormatting sqref="K34">
    <cfRule type="containsText" dxfId="3470" priority="3476" operator="containsText" text="%">
      <formula>NOT(ISERROR(SEARCH("%",K34)))</formula>
    </cfRule>
  </conditionalFormatting>
  <conditionalFormatting sqref="K34">
    <cfRule type="containsText" dxfId="3469" priority="3475" operator="containsText" text="%">
      <formula>NOT(ISERROR(SEARCH("%",K34)))</formula>
    </cfRule>
  </conditionalFormatting>
  <conditionalFormatting sqref="K34">
    <cfRule type="containsText" dxfId="3468" priority="3474" operator="containsText" text="%">
      <formula>NOT(ISERROR(SEARCH("%",K34)))</formula>
    </cfRule>
  </conditionalFormatting>
  <conditionalFormatting sqref="K34">
    <cfRule type="containsText" dxfId="3467" priority="3473" operator="containsText" text="%">
      <formula>NOT(ISERROR(SEARCH("%",K34)))</formula>
    </cfRule>
  </conditionalFormatting>
  <conditionalFormatting sqref="K34">
    <cfRule type="containsText" dxfId="3466" priority="3472" operator="containsText" text="%">
      <formula>NOT(ISERROR(SEARCH("%",K34)))</formula>
    </cfRule>
  </conditionalFormatting>
  <conditionalFormatting sqref="K34">
    <cfRule type="containsText" dxfId="3465" priority="3471" operator="containsText" text="%">
      <formula>NOT(ISERROR(SEARCH("%",K34)))</formula>
    </cfRule>
  </conditionalFormatting>
  <conditionalFormatting sqref="K34">
    <cfRule type="containsText" dxfId="3464" priority="3470" operator="containsText" text="%">
      <formula>NOT(ISERROR(SEARCH("%",K34)))</formula>
    </cfRule>
  </conditionalFormatting>
  <conditionalFormatting sqref="K34">
    <cfRule type="containsText" dxfId="3463" priority="3469" operator="containsText" text="%">
      <formula>NOT(ISERROR(SEARCH("%",K34)))</formula>
    </cfRule>
  </conditionalFormatting>
  <conditionalFormatting sqref="K34">
    <cfRule type="containsText" dxfId="3462" priority="3468" operator="containsText" text="%">
      <formula>NOT(ISERROR(SEARCH("%",K34)))</formula>
    </cfRule>
  </conditionalFormatting>
  <conditionalFormatting sqref="K34">
    <cfRule type="containsText" dxfId="3461" priority="3467" operator="containsText" text="%">
      <formula>NOT(ISERROR(SEARCH("%",K34)))</formula>
    </cfRule>
  </conditionalFormatting>
  <conditionalFormatting sqref="K34">
    <cfRule type="containsText" dxfId="3460" priority="3466" operator="containsText" text="%">
      <formula>NOT(ISERROR(SEARCH("%",K34)))</formula>
    </cfRule>
  </conditionalFormatting>
  <conditionalFormatting sqref="K34">
    <cfRule type="containsText" dxfId="3459" priority="3465" operator="containsText" text="%">
      <formula>NOT(ISERROR(SEARCH("%",K34)))</formula>
    </cfRule>
  </conditionalFormatting>
  <conditionalFormatting sqref="K34">
    <cfRule type="containsText" dxfId="3458" priority="3464" operator="containsText" text="%">
      <formula>NOT(ISERROR(SEARCH("%",K34)))</formula>
    </cfRule>
  </conditionalFormatting>
  <conditionalFormatting sqref="K34">
    <cfRule type="containsText" dxfId="3457" priority="3463" operator="containsText" text="%">
      <formula>NOT(ISERROR(SEARCH("%",K34)))</formula>
    </cfRule>
  </conditionalFormatting>
  <conditionalFormatting sqref="L33:L34">
    <cfRule type="containsText" dxfId="3456" priority="3462" operator="containsText" text="%">
      <formula>NOT(ISERROR(SEARCH("%",L33)))</formula>
    </cfRule>
  </conditionalFormatting>
  <conditionalFormatting sqref="L33:L34">
    <cfRule type="containsText" dxfId="3455" priority="3461" operator="containsText" text="%">
      <formula>NOT(ISERROR(SEARCH("%",L33)))</formula>
    </cfRule>
  </conditionalFormatting>
  <conditionalFormatting sqref="L33:L34">
    <cfRule type="containsText" dxfId="3454" priority="3460" operator="containsText" text="%">
      <formula>NOT(ISERROR(SEARCH("%",L33)))</formula>
    </cfRule>
  </conditionalFormatting>
  <conditionalFormatting sqref="L33:L34">
    <cfRule type="containsText" dxfId="3453" priority="3459" operator="containsText" text="%">
      <formula>NOT(ISERROR(SEARCH("%",L33)))</formula>
    </cfRule>
  </conditionalFormatting>
  <conditionalFormatting sqref="L33:L34">
    <cfRule type="containsText" dxfId="3452" priority="3458" operator="containsText" text="%">
      <formula>NOT(ISERROR(SEARCH("%",L33)))</formula>
    </cfRule>
  </conditionalFormatting>
  <conditionalFormatting sqref="L33:L34">
    <cfRule type="containsText" dxfId="3451" priority="3457" operator="containsText" text="%">
      <formula>NOT(ISERROR(SEARCH("%",L33)))</formula>
    </cfRule>
  </conditionalFormatting>
  <conditionalFormatting sqref="L33:L34">
    <cfRule type="containsText" dxfId="3450" priority="3441" operator="containsText" text="%">
      <formula>NOT(ISERROR(SEARCH("%",L33)))</formula>
    </cfRule>
  </conditionalFormatting>
  <conditionalFormatting sqref="L33:L34">
    <cfRule type="containsText" dxfId="3449" priority="3440" operator="containsText" text="%">
      <formula>NOT(ISERROR(SEARCH("%",L33)))</formula>
    </cfRule>
  </conditionalFormatting>
  <conditionalFormatting sqref="L33:L34">
    <cfRule type="containsText" dxfId="3448" priority="3436" operator="containsText" text="%">
      <formula>NOT(ISERROR(SEARCH("%",L33)))</formula>
    </cfRule>
  </conditionalFormatting>
  <conditionalFormatting sqref="L33:L34">
    <cfRule type="containsText" dxfId="3447" priority="3456" operator="containsText" text="%">
      <formula>NOT(ISERROR(SEARCH("%",L33)))</formula>
    </cfRule>
  </conditionalFormatting>
  <conditionalFormatting sqref="L33">
    <cfRule type="containsText" dxfId="3446" priority="3455" operator="containsText" text="%">
      <formula>NOT(ISERROR(SEARCH("%",L33)))</formula>
    </cfRule>
  </conditionalFormatting>
  <conditionalFormatting sqref="L33">
    <cfRule type="containsText" dxfId="3445" priority="3454" operator="containsText" text="%">
      <formula>NOT(ISERROR(SEARCH("%",L33)))</formula>
    </cfRule>
  </conditionalFormatting>
  <conditionalFormatting sqref="L33:L34">
    <cfRule type="containsText" dxfId="3444" priority="3434" operator="containsText" text="%">
      <formula>NOT(ISERROR(SEARCH("%",L33)))</formula>
    </cfRule>
  </conditionalFormatting>
  <conditionalFormatting sqref="L33:L34">
    <cfRule type="containsText" dxfId="3443" priority="3453" operator="containsText" text="%">
      <formula>NOT(ISERROR(SEARCH("%",L33)))</formula>
    </cfRule>
  </conditionalFormatting>
  <conditionalFormatting sqref="L33:L34">
    <cfRule type="containsText" dxfId="3442" priority="3452" operator="containsText" text="%">
      <formula>NOT(ISERROR(SEARCH("%",L33)))</formula>
    </cfRule>
  </conditionalFormatting>
  <conditionalFormatting sqref="L33:L34">
    <cfRule type="containsText" dxfId="3441" priority="3451" operator="containsText" text="%">
      <formula>NOT(ISERROR(SEARCH("%",L33)))</formula>
    </cfRule>
  </conditionalFormatting>
  <conditionalFormatting sqref="L33:L34">
    <cfRule type="containsText" dxfId="3440" priority="3450" operator="containsText" text="%">
      <formula>NOT(ISERROR(SEARCH("%",L33)))</formula>
    </cfRule>
  </conditionalFormatting>
  <conditionalFormatting sqref="L33:L34">
    <cfRule type="containsText" dxfId="3439" priority="3449" operator="containsText" text="%">
      <formula>NOT(ISERROR(SEARCH("%",L33)))</formula>
    </cfRule>
  </conditionalFormatting>
  <conditionalFormatting sqref="L33:L34">
    <cfRule type="containsText" dxfId="3438" priority="3448" operator="containsText" text="%">
      <formula>NOT(ISERROR(SEARCH("%",L33)))</formula>
    </cfRule>
  </conditionalFormatting>
  <conditionalFormatting sqref="L33:L34">
    <cfRule type="containsText" dxfId="3437" priority="3447" operator="containsText" text="%">
      <formula>NOT(ISERROR(SEARCH("%",L33)))</formula>
    </cfRule>
  </conditionalFormatting>
  <conditionalFormatting sqref="L33:L34">
    <cfRule type="containsText" dxfId="3436" priority="3446" operator="containsText" text="%">
      <formula>NOT(ISERROR(SEARCH("%",L33)))</formula>
    </cfRule>
  </conditionalFormatting>
  <conditionalFormatting sqref="L33:L34">
    <cfRule type="containsText" dxfId="3435" priority="3445" operator="containsText" text="%">
      <formula>NOT(ISERROR(SEARCH("%",L33)))</formula>
    </cfRule>
  </conditionalFormatting>
  <conditionalFormatting sqref="L33:L34">
    <cfRule type="containsText" dxfId="3434" priority="3444" operator="containsText" text="%">
      <formula>NOT(ISERROR(SEARCH("%",L33)))</formula>
    </cfRule>
  </conditionalFormatting>
  <conditionalFormatting sqref="L33:L34">
    <cfRule type="containsText" dxfId="3433" priority="3443" operator="containsText" text="%">
      <formula>NOT(ISERROR(SEARCH("%",L33)))</formula>
    </cfRule>
  </conditionalFormatting>
  <conditionalFormatting sqref="L33:L34">
    <cfRule type="containsText" dxfId="3432" priority="3442" operator="containsText" text="%">
      <formula>NOT(ISERROR(SEARCH("%",L33)))</formula>
    </cfRule>
  </conditionalFormatting>
  <conditionalFormatting sqref="L33:L34">
    <cfRule type="containsText" dxfId="3431" priority="3439" operator="containsText" text="%">
      <formula>NOT(ISERROR(SEARCH("%",L33)))</formula>
    </cfRule>
  </conditionalFormatting>
  <conditionalFormatting sqref="L33:L34">
    <cfRule type="containsText" dxfId="3430" priority="3438" operator="containsText" text="%">
      <formula>NOT(ISERROR(SEARCH("%",L33)))</formula>
    </cfRule>
  </conditionalFormatting>
  <conditionalFormatting sqref="L33:L34">
    <cfRule type="containsText" dxfId="3429" priority="3437" operator="containsText" text="%">
      <formula>NOT(ISERROR(SEARCH("%",L33)))</formula>
    </cfRule>
  </conditionalFormatting>
  <conditionalFormatting sqref="L33:L34">
    <cfRule type="containsText" dxfId="3428" priority="3435" operator="containsText" text="%">
      <formula>NOT(ISERROR(SEARCH("%",L33)))</formula>
    </cfRule>
  </conditionalFormatting>
  <conditionalFormatting sqref="L33:L34">
    <cfRule type="containsText" dxfId="3427" priority="3433" operator="containsText" text="%">
      <formula>NOT(ISERROR(SEARCH("%",L33)))</formula>
    </cfRule>
  </conditionalFormatting>
  <conditionalFormatting sqref="L33:L34">
    <cfRule type="containsText" dxfId="3426" priority="3432" operator="containsText" text="%">
      <formula>NOT(ISERROR(SEARCH("%",L33)))</formula>
    </cfRule>
  </conditionalFormatting>
  <conditionalFormatting sqref="L33:L34">
    <cfRule type="containsText" dxfId="3425" priority="3431" operator="containsText" text="%">
      <formula>NOT(ISERROR(SEARCH("%",L33)))</formula>
    </cfRule>
  </conditionalFormatting>
  <conditionalFormatting sqref="L33:L34">
    <cfRule type="containsText" dxfId="3424" priority="3430" operator="containsText" text="%">
      <formula>NOT(ISERROR(SEARCH("%",L33)))</formula>
    </cfRule>
  </conditionalFormatting>
  <conditionalFormatting sqref="L33:L34">
    <cfRule type="containsText" dxfId="3423" priority="3429" operator="containsText" text="%">
      <formula>NOT(ISERROR(SEARCH("%",L33)))</formula>
    </cfRule>
  </conditionalFormatting>
  <conditionalFormatting sqref="L33:L34">
    <cfRule type="containsText" dxfId="3422" priority="3428" operator="containsText" text="%">
      <formula>NOT(ISERROR(SEARCH("%",L33)))</formula>
    </cfRule>
  </conditionalFormatting>
  <conditionalFormatting sqref="L33:L34">
    <cfRule type="containsText" dxfId="3421" priority="3427" operator="containsText" text="%">
      <formula>NOT(ISERROR(SEARCH("%",L33)))</formula>
    </cfRule>
  </conditionalFormatting>
  <conditionalFormatting sqref="L33:L34">
    <cfRule type="containsText" dxfId="3420" priority="3426" operator="containsText" text="%">
      <formula>NOT(ISERROR(SEARCH("%",L33)))</formula>
    </cfRule>
  </conditionalFormatting>
  <conditionalFormatting sqref="L33:L34">
    <cfRule type="containsText" dxfId="3419" priority="3425" operator="containsText" text="%">
      <formula>NOT(ISERROR(SEARCH("%",L33)))</formula>
    </cfRule>
  </conditionalFormatting>
  <conditionalFormatting sqref="L33:L34">
    <cfRule type="containsText" dxfId="3418" priority="3424" operator="containsText" text="%">
      <formula>NOT(ISERROR(SEARCH("%",L33)))</formula>
    </cfRule>
  </conditionalFormatting>
  <conditionalFormatting sqref="L34">
    <cfRule type="containsText" dxfId="3417" priority="3423" operator="containsText" text="%">
      <formula>NOT(ISERROR(SEARCH("%",L34)))</formula>
    </cfRule>
  </conditionalFormatting>
  <conditionalFormatting sqref="L34">
    <cfRule type="containsText" dxfId="3416" priority="3422" operator="containsText" text="%">
      <formula>NOT(ISERROR(SEARCH("%",L34)))</formula>
    </cfRule>
  </conditionalFormatting>
  <conditionalFormatting sqref="L34">
    <cfRule type="containsText" dxfId="3415" priority="3421" operator="containsText" text="%">
      <formula>NOT(ISERROR(SEARCH("%",L34)))</formula>
    </cfRule>
  </conditionalFormatting>
  <conditionalFormatting sqref="L34">
    <cfRule type="containsText" dxfId="3414" priority="3420" operator="containsText" text="%">
      <formula>NOT(ISERROR(SEARCH("%",L34)))</formula>
    </cfRule>
  </conditionalFormatting>
  <conditionalFormatting sqref="L33:L34">
    <cfRule type="containsText" dxfId="3413" priority="3419" operator="containsText" text="%">
      <formula>NOT(ISERROR(SEARCH("%",L33)))</formula>
    </cfRule>
  </conditionalFormatting>
  <conditionalFormatting sqref="L33:L34">
    <cfRule type="containsText" dxfId="3412" priority="3418" operator="containsText" text="%">
      <formula>NOT(ISERROR(SEARCH("%",L33)))</formula>
    </cfRule>
  </conditionalFormatting>
  <conditionalFormatting sqref="L33:L34">
    <cfRule type="containsText" dxfId="3411" priority="3417" operator="containsText" text="%">
      <formula>NOT(ISERROR(SEARCH("%",L33)))</formula>
    </cfRule>
  </conditionalFormatting>
  <conditionalFormatting sqref="L33:L34">
    <cfRule type="containsText" dxfId="3410" priority="3416" operator="containsText" text="%">
      <formula>NOT(ISERROR(SEARCH("%",L33)))</formula>
    </cfRule>
  </conditionalFormatting>
  <conditionalFormatting sqref="L33:L34">
    <cfRule type="containsText" dxfId="3409" priority="3415" operator="containsText" text="%">
      <formula>NOT(ISERROR(SEARCH("%",L33)))</formula>
    </cfRule>
  </conditionalFormatting>
  <conditionalFormatting sqref="L33:L34">
    <cfRule type="containsText" dxfId="3408" priority="3414" operator="containsText" text="%">
      <formula>NOT(ISERROR(SEARCH("%",L33)))</formula>
    </cfRule>
  </conditionalFormatting>
  <conditionalFormatting sqref="L33:L34">
    <cfRule type="containsText" dxfId="3407" priority="3413" operator="containsText" text="%">
      <formula>NOT(ISERROR(SEARCH("%",L33)))</formula>
    </cfRule>
  </conditionalFormatting>
  <conditionalFormatting sqref="L33:L34">
    <cfRule type="containsText" dxfId="3406" priority="3412" operator="containsText" text="%">
      <formula>NOT(ISERROR(SEARCH("%",L33)))</formula>
    </cfRule>
  </conditionalFormatting>
  <conditionalFormatting sqref="L33:L34">
    <cfRule type="containsText" dxfId="3405" priority="3411" operator="containsText" text="%">
      <formula>NOT(ISERROR(SEARCH("%",L33)))</formula>
    </cfRule>
  </conditionalFormatting>
  <conditionalFormatting sqref="L33:L34">
    <cfRule type="containsText" dxfId="3404" priority="3410" operator="containsText" text="%">
      <formula>NOT(ISERROR(SEARCH("%",L33)))</formula>
    </cfRule>
  </conditionalFormatting>
  <conditionalFormatting sqref="L34">
    <cfRule type="containsText" dxfId="3403" priority="3409" operator="containsText" text="%">
      <formula>NOT(ISERROR(SEARCH("%",L34)))</formula>
    </cfRule>
  </conditionalFormatting>
  <conditionalFormatting sqref="L34">
    <cfRule type="containsText" dxfId="3402" priority="3408" operator="containsText" text="%">
      <formula>NOT(ISERROR(SEARCH("%",L34)))</formula>
    </cfRule>
  </conditionalFormatting>
  <conditionalFormatting sqref="L34">
    <cfRule type="containsText" dxfId="3401" priority="3407" operator="containsText" text="%">
      <formula>NOT(ISERROR(SEARCH("%",L34)))</formula>
    </cfRule>
  </conditionalFormatting>
  <conditionalFormatting sqref="L34">
    <cfRule type="containsText" dxfId="3400" priority="3406" operator="containsText" text="%">
      <formula>NOT(ISERROR(SEARCH("%",L34)))</formula>
    </cfRule>
  </conditionalFormatting>
  <conditionalFormatting sqref="L33:L34">
    <cfRule type="containsText" dxfId="3399" priority="3405" operator="containsText" text="%">
      <formula>NOT(ISERROR(SEARCH("%",L33)))</formula>
    </cfRule>
  </conditionalFormatting>
  <conditionalFormatting sqref="L33:L34">
    <cfRule type="containsText" dxfId="3398" priority="3404" operator="containsText" text="%">
      <formula>NOT(ISERROR(SEARCH("%",L33)))</formula>
    </cfRule>
  </conditionalFormatting>
  <conditionalFormatting sqref="L33:L34">
    <cfRule type="containsText" dxfId="3397" priority="3403" operator="containsText" text="%">
      <formula>NOT(ISERROR(SEARCH("%",L33)))</formula>
    </cfRule>
  </conditionalFormatting>
  <conditionalFormatting sqref="L33:L34">
    <cfRule type="containsText" dxfId="3396" priority="3402" operator="containsText" text="%">
      <formula>NOT(ISERROR(SEARCH("%",L33)))</formula>
    </cfRule>
  </conditionalFormatting>
  <conditionalFormatting sqref="L33:L34">
    <cfRule type="containsText" dxfId="3395" priority="3401" operator="containsText" text="%">
      <formula>NOT(ISERROR(SEARCH("%",L33)))</formula>
    </cfRule>
  </conditionalFormatting>
  <conditionalFormatting sqref="L33:L34">
    <cfRule type="containsText" dxfId="3394" priority="3400" operator="containsText" text="%">
      <formula>NOT(ISERROR(SEARCH("%",L33)))</formula>
    </cfRule>
  </conditionalFormatting>
  <conditionalFormatting sqref="L34">
    <cfRule type="containsText" dxfId="3393" priority="3399" operator="containsText" text="%">
      <formula>NOT(ISERROR(SEARCH("%",L34)))</formula>
    </cfRule>
  </conditionalFormatting>
  <conditionalFormatting sqref="L34">
    <cfRule type="containsText" dxfId="3392" priority="3398" operator="containsText" text="%">
      <formula>NOT(ISERROR(SEARCH("%",L34)))</formula>
    </cfRule>
  </conditionalFormatting>
  <conditionalFormatting sqref="L34">
    <cfRule type="containsText" dxfId="3391" priority="3397" operator="containsText" text="%">
      <formula>NOT(ISERROR(SEARCH("%",L34)))</formula>
    </cfRule>
  </conditionalFormatting>
  <conditionalFormatting sqref="L34">
    <cfRule type="containsText" dxfId="3390" priority="3396" operator="containsText" text="%">
      <formula>NOT(ISERROR(SEARCH("%",L34)))</formula>
    </cfRule>
  </conditionalFormatting>
  <conditionalFormatting sqref="L33:L34">
    <cfRule type="containsText" dxfId="3389" priority="3380" operator="containsText" text="%">
      <formula>NOT(ISERROR(SEARCH("%",L33)))</formula>
    </cfRule>
  </conditionalFormatting>
  <conditionalFormatting sqref="L33:L34">
    <cfRule type="containsText" dxfId="3388" priority="3379" operator="containsText" text="%">
      <formula>NOT(ISERROR(SEARCH("%",L33)))</formula>
    </cfRule>
  </conditionalFormatting>
  <conditionalFormatting sqref="L33:L34">
    <cfRule type="containsText" dxfId="3387" priority="3375" operator="containsText" text="%">
      <formula>NOT(ISERROR(SEARCH("%",L33)))</formula>
    </cfRule>
  </conditionalFormatting>
  <conditionalFormatting sqref="L33:L34">
    <cfRule type="containsText" dxfId="3386" priority="3395" operator="containsText" text="%">
      <formula>NOT(ISERROR(SEARCH("%",L33)))</formula>
    </cfRule>
  </conditionalFormatting>
  <conditionalFormatting sqref="L33">
    <cfRule type="containsText" dxfId="3385" priority="3394" operator="containsText" text="%">
      <formula>NOT(ISERROR(SEARCH("%",L33)))</formula>
    </cfRule>
  </conditionalFormatting>
  <conditionalFormatting sqref="L33">
    <cfRule type="containsText" dxfId="3384" priority="3393" operator="containsText" text="%">
      <formula>NOT(ISERROR(SEARCH("%",L33)))</formula>
    </cfRule>
  </conditionalFormatting>
  <conditionalFormatting sqref="L33:L34">
    <cfRule type="containsText" dxfId="3383" priority="3373" operator="containsText" text="%">
      <formula>NOT(ISERROR(SEARCH("%",L33)))</formula>
    </cfRule>
  </conditionalFormatting>
  <conditionalFormatting sqref="L33:L34">
    <cfRule type="containsText" dxfId="3382" priority="3392" operator="containsText" text="%">
      <formula>NOT(ISERROR(SEARCH("%",L33)))</formula>
    </cfRule>
  </conditionalFormatting>
  <conditionalFormatting sqref="L33:L34">
    <cfRule type="containsText" dxfId="3381" priority="3391" operator="containsText" text="%">
      <formula>NOT(ISERROR(SEARCH("%",L33)))</formula>
    </cfRule>
  </conditionalFormatting>
  <conditionalFormatting sqref="L33:L34">
    <cfRule type="containsText" dxfId="3380" priority="3390" operator="containsText" text="%">
      <formula>NOT(ISERROR(SEARCH("%",L33)))</formula>
    </cfRule>
  </conditionalFormatting>
  <conditionalFormatting sqref="L33:L34">
    <cfRule type="containsText" dxfId="3379" priority="3389" operator="containsText" text="%">
      <formula>NOT(ISERROR(SEARCH("%",L33)))</formula>
    </cfRule>
  </conditionalFormatting>
  <conditionalFormatting sqref="L33:L34">
    <cfRule type="containsText" dxfId="3378" priority="3388" operator="containsText" text="%">
      <formula>NOT(ISERROR(SEARCH("%",L33)))</formula>
    </cfRule>
  </conditionalFormatting>
  <conditionalFormatting sqref="L33:L34">
    <cfRule type="containsText" dxfId="3377" priority="3387" operator="containsText" text="%">
      <formula>NOT(ISERROR(SEARCH("%",L33)))</formula>
    </cfRule>
  </conditionalFormatting>
  <conditionalFormatting sqref="L33:L34">
    <cfRule type="containsText" dxfId="3376" priority="3386" operator="containsText" text="%">
      <formula>NOT(ISERROR(SEARCH("%",L33)))</formula>
    </cfRule>
  </conditionalFormatting>
  <conditionalFormatting sqref="L33:L34">
    <cfRule type="containsText" dxfId="3375" priority="3385" operator="containsText" text="%">
      <formula>NOT(ISERROR(SEARCH("%",L33)))</formula>
    </cfRule>
  </conditionalFormatting>
  <conditionalFormatting sqref="L33:L34">
    <cfRule type="containsText" dxfId="3374" priority="3384" operator="containsText" text="%">
      <formula>NOT(ISERROR(SEARCH("%",L33)))</formula>
    </cfRule>
  </conditionalFormatting>
  <conditionalFormatting sqref="L33:L34">
    <cfRule type="containsText" dxfId="3373" priority="3383" operator="containsText" text="%">
      <formula>NOT(ISERROR(SEARCH("%",L33)))</formula>
    </cfRule>
  </conditionalFormatting>
  <conditionalFormatting sqref="L33:L34">
    <cfRule type="containsText" dxfId="3372" priority="3382" operator="containsText" text="%">
      <formula>NOT(ISERROR(SEARCH("%",L33)))</formula>
    </cfRule>
  </conditionalFormatting>
  <conditionalFormatting sqref="L33:L34">
    <cfRule type="containsText" dxfId="3371" priority="3381" operator="containsText" text="%">
      <formula>NOT(ISERROR(SEARCH("%",L33)))</formula>
    </cfRule>
  </conditionalFormatting>
  <conditionalFormatting sqref="L33:L34">
    <cfRule type="containsText" dxfId="3370" priority="3378" operator="containsText" text="%">
      <formula>NOT(ISERROR(SEARCH("%",L33)))</formula>
    </cfRule>
  </conditionalFormatting>
  <conditionalFormatting sqref="L33:L34">
    <cfRule type="containsText" dxfId="3369" priority="3377" operator="containsText" text="%">
      <formula>NOT(ISERROR(SEARCH("%",L33)))</formula>
    </cfRule>
  </conditionalFormatting>
  <conditionalFormatting sqref="L33:L34">
    <cfRule type="containsText" dxfId="3368" priority="3376" operator="containsText" text="%">
      <formula>NOT(ISERROR(SEARCH("%",L33)))</formula>
    </cfRule>
  </conditionalFormatting>
  <conditionalFormatting sqref="L33:L34">
    <cfRule type="containsText" dxfId="3367" priority="3374" operator="containsText" text="%">
      <formula>NOT(ISERROR(SEARCH("%",L33)))</formula>
    </cfRule>
  </conditionalFormatting>
  <conditionalFormatting sqref="L33:L34">
    <cfRule type="containsText" dxfId="3366" priority="3372" operator="containsText" text="%">
      <formula>NOT(ISERROR(SEARCH("%",L33)))</formula>
    </cfRule>
  </conditionalFormatting>
  <conditionalFormatting sqref="L33:L34">
    <cfRule type="containsText" dxfId="3365" priority="3371" operator="containsText" text="%">
      <formula>NOT(ISERROR(SEARCH("%",L33)))</formula>
    </cfRule>
  </conditionalFormatting>
  <conditionalFormatting sqref="L33:L34">
    <cfRule type="containsText" dxfId="3364" priority="3370" operator="containsText" text="%">
      <formula>NOT(ISERROR(SEARCH("%",L33)))</formula>
    </cfRule>
  </conditionalFormatting>
  <conditionalFormatting sqref="L33:L34">
    <cfRule type="containsText" dxfId="3363" priority="3369" operator="containsText" text="%">
      <formula>NOT(ISERROR(SEARCH("%",L33)))</formula>
    </cfRule>
  </conditionalFormatting>
  <conditionalFormatting sqref="L33:L34">
    <cfRule type="containsText" dxfId="3362" priority="3368" operator="containsText" text="%">
      <formula>NOT(ISERROR(SEARCH("%",L33)))</formula>
    </cfRule>
  </conditionalFormatting>
  <conditionalFormatting sqref="L33:L34">
    <cfRule type="containsText" dxfId="3361" priority="3367" operator="containsText" text="%">
      <formula>NOT(ISERROR(SEARCH("%",L33)))</formula>
    </cfRule>
  </conditionalFormatting>
  <conditionalFormatting sqref="L33:L34">
    <cfRule type="containsText" dxfId="3360" priority="3366" operator="containsText" text="%">
      <formula>NOT(ISERROR(SEARCH("%",L33)))</formula>
    </cfRule>
  </conditionalFormatting>
  <conditionalFormatting sqref="L33:L34">
    <cfRule type="containsText" dxfId="3359" priority="3365" operator="containsText" text="%">
      <formula>NOT(ISERROR(SEARCH("%",L33)))</formula>
    </cfRule>
  </conditionalFormatting>
  <conditionalFormatting sqref="L33:L34">
    <cfRule type="containsText" dxfId="3358" priority="3364" operator="containsText" text="%">
      <formula>NOT(ISERROR(SEARCH("%",L33)))</formula>
    </cfRule>
  </conditionalFormatting>
  <conditionalFormatting sqref="L33:L34">
    <cfRule type="containsText" dxfId="3357" priority="3363" operator="containsText" text="%">
      <formula>NOT(ISERROR(SEARCH("%",L33)))</formula>
    </cfRule>
  </conditionalFormatting>
  <conditionalFormatting sqref="L34">
    <cfRule type="containsText" dxfId="3356" priority="3362" operator="containsText" text="%">
      <formula>NOT(ISERROR(SEARCH("%",L34)))</formula>
    </cfRule>
  </conditionalFormatting>
  <conditionalFormatting sqref="L34">
    <cfRule type="containsText" dxfId="3355" priority="3361" operator="containsText" text="%">
      <formula>NOT(ISERROR(SEARCH("%",L34)))</formula>
    </cfRule>
  </conditionalFormatting>
  <conditionalFormatting sqref="L34">
    <cfRule type="containsText" dxfId="3354" priority="3360" operator="containsText" text="%">
      <formula>NOT(ISERROR(SEARCH("%",L34)))</formula>
    </cfRule>
  </conditionalFormatting>
  <conditionalFormatting sqref="L34">
    <cfRule type="containsText" dxfId="3353" priority="3359" operator="containsText" text="%">
      <formula>NOT(ISERROR(SEARCH("%",L34)))</formula>
    </cfRule>
  </conditionalFormatting>
  <conditionalFormatting sqref="L33:L34">
    <cfRule type="containsText" dxfId="3352" priority="3358" operator="containsText" text="%">
      <formula>NOT(ISERROR(SEARCH("%",L33)))</formula>
    </cfRule>
  </conditionalFormatting>
  <conditionalFormatting sqref="L33:L34">
    <cfRule type="containsText" dxfId="3351" priority="3357" operator="containsText" text="%">
      <formula>NOT(ISERROR(SEARCH("%",L33)))</formula>
    </cfRule>
  </conditionalFormatting>
  <conditionalFormatting sqref="L33:L34">
    <cfRule type="containsText" dxfId="3350" priority="3356" operator="containsText" text="%">
      <formula>NOT(ISERROR(SEARCH("%",L33)))</formula>
    </cfRule>
  </conditionalFormatting>
  <conditionalFormatting sqref="L33:L34">
    <cfRule type="containsText" dxfId="3349" priority="3355" operator="containsText" text="%">
      <formula>NOT(ISERROR(SEARCH("%",L33)))</formula>
    </cfRule>
  </conditionalFormatting>
  <conditionalFormatting sqref="L33:L34">
    <cfRule type="containsText" dxfId="3348" priority="3354" operator="containsText" text="%">
      <formula>NOT(ISERROR(SEARCH("%",L33)))</formula>
    </cfRule>
  </conditionalFormatting>
  <conditionalFormatting sqref="L33:L34">
    <cfRule type="containsText" dxfId="3347" priority="3353" operator="containsText" text="%">
      <formula>NOT(ISERROR(SEARCH("%",L33)))</formula>
    </cfRule>
  </conditionalFormatting>
  <conditionalFormatting sqref="L33:L34">
    <cfRule type="containsText" dxfId="3346" priority="3352" operator="containsText" text="%">
      <formula>NOT(ISERROR(SEARCH("%",L33)))</formula>
    </cfRule>
  </conditionalFormatting>
  <conditionalFormatting sqref="L33:L34">
    <cfRule type="containsText" dxfId="3345" priority="3351" operator="containsText" text="%">
      <formula>NOT(ISERROR(SEARCH("%",L33)))</formula>
    </cfRule>
  </conditionalFormatting>
  <conditionalFormatting sqref="L33:L34">
    <cfRule type="containsText" dxfId="3344" priority="3350" operator="containsText" text="%">
      <formula>NOT(ISERROR(SEARCH("%",L33)))</formula>
    </cfRule>
  </conditionalFormatting>
  <conditionalFormatting sqref="L33:L34">
    <cfRule type="containsText" dxfId="3343" priority="3349" operator="containsText" text="%">
      <formula>NOT(ISERROR(SEARCH("%",L33)))</formula>
    </cfRule>
  </conditionalFormatting>
  <conditionalFormatting sqref="L34">
    <cfRule type="containsText" dxfId="3342" priority="3348" operator="containsText" text="%">
      <formula>NOT(ISERROR(SEARCH("%",L34)))</formula>
    </cfRule>
  </conditionalFormatting>
  <conditionalFormatting sqref="L34">
    <cfRule type="containsText" dxfId="3341" priority="3347" operator="containsText" text="%">
      <formula>NOT(ISERROR(SEARCH("%",L34)))</formula>
    </cfRule>
  </conditionalFormatting>
  <conditionalFormatting sqref="L34">
    <cfRule type="containsText" dxfId="3340" priority="3346" operator="containsText" text="%">
      <formula>NOT(ISERROR(SEARCH("%",L34)))</formula>
    </cfRule>
  </conditionalFormatting>
  <conditionalFormatting sqref="L34">
    <cfRule type="containsText" dxfId="3339" priority="3345" operator="containsText" text="%">
      <formula>NOT(ISERROR(SEARCH("%",L34)))</formula>
    </cfRule>
  </conditionalFormatting>
  <conditionalFormatting sqref="L33">
    <cfRule type="containsText" dxfId="3338" priority="3344" operator="containsText" text="%">
      <formula>NOT(ISERROR(SEARCH("%",L33)))</formula>
    </cfRule>
  </conditionalFormatting>
  <conditionalFormatting sqref="L33">
    <cfRule type="containsText" dxfId="3337" priority="3343" operator="containsText" text="%">
      <formula>NOT(ISERROR(SEARCH("%",L33)))</formula>
    </cfRule>
  </conditionalFormatting>
  <conditionalFormatting sqref="L33">
    <cfRule type="containsText" dxfId="3336" priority="3342" operator="containsText" text="%">
      <formula>NOT(ISERROR(SEARCH("%",L33)))</formula>
    </cfRule>
  </conditionalFormatting>
  <conditionalFormatting sqref="L33">
    <cfRule type="containsText" dxfId="3335" priority="3341" operator="containsText" text="%">
      <formula>NOT(ISERROR(SEARCH("%",L33)))</formula>
    </cfRule>
  </conditionalFormatting>
  <conditionalFormatting sqref="L33">
    <cfRule type="containsText" dxfId="3334" priority="3340" operator="containsText" text="%">
      <formula>NOT(ISERROR(SEARCH("%",L33)))</formula>
    </cfRule>
  </conditionalFormatting>
  <conditionalFormatting sqref="L33">
    <cfRule type="containsText" dxfId="3333" priority="3339" operator="containsText" text="%">
      <formula>NOT(ISERROR(SEARCH("%",L33)))</formula>
    </cfRule>
  </conditionalFormatting>
  <conditionalFormatting sqref="L34">
    <cfRule type="containsText" dxfId="3332" priority="3338" operator="containsText" text="%">
      <formula>NOT(ISERROR(SEARCH("%",L34)))</formula>
    </cfRule>
  </conditionalFormatting>
  <conditionalFormatting sqref="L34">
    <cfRule type="containsText" dxfId="3331" priority="3337" operator="containsText" text="%">
      <formula>NOT(ISERROR(SEARCH("%",L34)))</formula>
    </cfRule>
  </conditionalFormatting>
  <conditionalFormatting sqref="L34">
    <cfRule type="containsText" dxfId="3330" priority="3336" operator="containsText" text="%">
      <formula>NOT(ISERROR(SEARCH("%",L34)))</formula>
    </cfRule>
  </conditionalFormatting>
  <conditionalFormatting sqref="L34">
    <cfRule type="containsText" dxfId="3329" priority="3335" operator="containsText" text="%">
      <formula>NOT(ISERROR(SEARCH("%",L34)))</formula>
    </cfRule>
  </conditionalFormatting>
  <conditionalFormatting sqref="L34">
    <cfRule type="containsText" dxfId="3328" priority="3334" operator="containsText" text="%">
      <formula>NOT(ISERROR(SEARCH("%",L34)))</formula>
    </cfRule>
  </conditionalFormatting>
  <conditionalFormatting sqref="L34">
    <cfRule type="containsText" dxfId="3327" priority="3333" operator="containsText" text="%">
      <formula>NOT(ISERROR(SEARCH("%",L34)))</formula>
    </cfRule>
  </conditionalFormatting>
  <conditionalFormatting sqref="L34">
    <cfRule type="containsText" dxfId="3326" priority="3332" operator="containsText" text="%">
      <formula>NOT(ISERROR(SEARCH("%",L34)))</formula>
    </cfRule>
  </conditionalFormatting>
  <conditionalFormatting sqref="L34">
    <cfRule type="containsText" dxfId="3325" priority="3331" operator="containsText" text="%">
      <formula>NOT(ISERROR(SEARCH("%",L34)))</formula>
    </cfRule>
  </conditionalFormatting>
  <conditionalFormatting sqref="L34">
    <cfRule type="containsText" dxfId="3324" priority="3330" operator="containsText" text="%">
      <formula>NOT(ISERROR(SEARCH("%",L34)))</formula>
    </cfRule>
  </conditionalFormatting>
  <conditionalFormatting sqref="L34">
    <cfRule type="containsText" dxfId="3323" priority="3329" operator="containsText" text="%">
      <formula>NOT(ISERROR(SEARCH("%",L34)))</formula>
    </cfRule>
  </conditionalFormatting>
  <conditionalFormatting sqref="L34">
    <cfRule type="containsText" dxfId="3322" priority="3315" operator="containsText" text="%">
      <formula>NOT(ISERROR(SEARCH("%",L34)))</formula>
    </cfRule>
  </conditionalFormatting>
  <conditionalFormatting sqref="L34">
    <cfRule type="containsText" dxfId="3321" priority="3314" operator="containsText" text="%">
      <formula>NOT(ISERROR(SEARCH("%",L34)))</formula>
    </cfRule>
  </conditionalFormatting>
  <conditionalFormatting sqref="L34">
    <cfRule type="containsText" dxfId="3320" priority="3310" operator="containsText" text="%">
      <formula>NOT(ISERROR(SEARCH("%",L34)))</formula>
    </cfRule>
  </conditionalFormatting>
  <conditionalFormatting sqref="L34">
    <cfRule type="containsText" dxfId="3319" priority="3328" operator="containsText" text="%">
      <formula>NOT(ISERROR(SEARCH("%",L34)))</formula>
    </cfRule>
  </conditionalFormatting>
  <conditionalFormatting sqref="L34">
    <cfRule type="containsText" dxfId="3318" priority="3308" operator="containsText" text="%">
      <formula>NOT(ISERROR(SEARCH("%",L34)))</formula>
    </cfRule>
  </conditionalFormatting>
  <conditionalFormatting sqref="L34">
    <cfRule type="containsText" dxfId="3317" priority="3327" operator="containsText" text="%">
      <formula>NOT(ISERROR(SEARCH("%",L34)))</formula>
    </cfRule>
  </conditionalFormatting>
  <conditionalFormatting sqref="L34">
    <cfRule type="containsText" dxfId="3316" priority="3326" operator="containsText" text="%">
      <formula>NOT(ISERROR(SEARCH("%",L34)))</formula>
    </cfRule>
  </conditionalFormatting>
  <conditionalFormatting sqref="L34">
    <cfRule type="containsText" dxfId="3315" priority="3325" operator="containsText" text="%">
      <formula>NOT(ISERROR(SEARCH("%",L34)))</formula>
    </cfRule>
  </conditionalFormatting>
  <conditionalFormatting sqref="L34">
    <cfRule type="containsText" dxfId="3314" priority="3324" operator="containsText" text="%">
      <formula>NOT(ISERROR(SEARCH("%",L34)))</formula>
    </cfRule>
  </conditionalFormatting>
  <conditionalFormatting sqref="L34">
    <cfRule type="containsText" dxfId="3313" priority="3323" operator="containsText" text="%">
      <formula>NOT(ISERROR(SEARCH("%",L34)))</formula>
    </cfRule>
  </conditionalFormatting>
  <conditionalFormatting sqref="L34">
    <cfRule type="containsText" dxfId="3312" priority="3322" operator="containsText" text="%">
      <formula>NOT(ISERROR(SEARCH("%",L34)))</formula>
    </cfRule>
  </conditionalFormatting>
  <conditionalFormatting sqref="L34">
    <cfRule type="containsText" dxfId="3311" priority="3321" operator="containsText" text="%">
      <formula>NOT(ISERROR(SEARCH("%",L34)))</formula>
    </cfRule>
  </conditionalFormatting>
  <conditionalFormatting sqref="L34">
    <cfRule type="containsText" dxfId="3310" priority="3320" operator="containsText" text="%">
      <formula>NOT(ISERROR(SEARCH("%",L34)))</formula>
    </cfRule>
  </conditionalFormatting>
  <conditionalFormatting sqref="L34">
    <cfRule type="containsText" dxfId="3309" priority="3319" operator="containsText" text="%">
      <formula>NOT(ISERROR(SEARCH("%",L34)))</formula>
    </cfRule>
  </conditionalFormatting>
  <conditionalFormatting sqref="L34">
    <cfRule type="containsText" dxfId="3308" priority="3318" operator="containsText" text="%">
      <formula>NOT(ISERROR(SEARCH("%",L34)))</formula>
    </cfRule>
  </conditionalFormatting>
  <conditionalFormatting sqref="L34">
    <cfRule type="containsText" dxfId="3307" priority="3317" operator="containsText" text="%">
      <formula>NOT(ISERROR(SEARCH("%",L34)))</formula>
    </cfRule>
  </conditionalFormatting>
  <conditionalFormatting sqref="L34">
    <cfRule type="containsText" dxfId="3306" priority="3316" operator="containsText" text="%">
      <formula>NOT(ISERROR(SEARCH("%",L34)))</formula>
    </cfRule>
  </conditionalFormatting>
  <conditionalFormatting sqref="L34">
    <cfRule type="containsText" dxfId="3305" priority="3313" operator="containsText" text="%">
      <formula>NOT(ISERROR(SEARCH("%",L34)))</formula>
    </cfRule>
  </conditionalFormatting>
  <conditionalFormatting sqref="L34">
    <cfRule type="containsText" dxfId="3304" priority="3312" operator="containsText" text="%">
      <formula>NOT(ISERROR(SEARCH("%",L34)))</formula>
    </cfRule>
  </conditionalFormatting>
  <conditionalFormatting sqref="L34">
    <cfRule type="containsText" dxfId="3303" priority="3311" operator="containsText" text="%">
      <formula>NOT(ISERROR(SEARCH("%",L34)))</formula>
    </cfRule>
  </conditionalFormatting>
  <conditionalFormatting sqref="L34">
    <cfRule type="containsText" dxfId="3302" priority="3309" operator="containsText" text="%">
      <formula>NOT(ISERROR(SEARCH("%",L34)))</formula>
    </cfRule>
  </conditionalFormatting>
  <conditionalFormatting sqref="L34">
    <cfRule type="containsText" dxfId="3301" priority="3307" operator="containsText" text="%">
      <formula>NOT(ISERROR(SEARCH("%",L34)))</formula>
    </cfRule>
  </conditionalFormatting>
  <conditionalFormatting sqref="L34">
    <cfRule type="containsText" dxfId="3300" priority="3306" operator="containsText" text="%">
      <formula>NOT(ISERROR(SEARCH("%",L34)))</formula>
    </cfRule>
  </conditionalFormatting>
  <conditionalFormatting sqref="L34">
    <cfRule type="containsText" dxfId="3299" priority="3305" operator="containsText" text="%">
      <formula>NOT(ISERROR(SEARCH("%",L34)))</formula>
    </cfRule>
  </conditionalFormatting>
  <conditionalFormatting sqref="L34">
    <cfRule type="containsText" dxfId="3298" priority="3304" operator="containsText" text="%">
      <formula>NOT(ISERROR(SEARCH("%",L34)))</formula>
    </cfRule>
  </conditionalFormatting>
  <conditionalFormatting sqref="L34">
    <cfRule type="containsText" dxfId="3297" priority="3303" operator="containsText" text="%">
      <formula>NOT(ISERROR(SEARCH("%",L34)))</formula>
    </cfRule>
  </conditionalFormatting>
  <conditionalFormatting sqref="L34">
    <cfRule type="containsText" dxfId="3296" priority="3302" operator="containsText" text="%">
      <formula>NOT(ISERROR(SEARCH("%",L34)))</formula>
    </cfRule>
  </conditionalFormatting>
  <conditionalFormatting sqref="L34">
    <cfRule type="containsText" dxfId="3295" priority="3301" operator="containsText" text="%">
      <formula>NOT(ISERROR(SEARCH("%",L34)))</formula>
    </cfRule>
  </conditionalFormatting>
  <conditionalFormatting sqref="L34">
    <cfRule type="containsText" dxfId="3294" priority="3300" operator="containsText" text="%">
      <formula>NOT(ISERROR(SEARCH("%",L34)))</formula>
    </cfRule>
  </conditionalFormatting>
  <conditionalFormatting sqref="L34">
    <cfRule type="containsText" dxfId="3293" priority="3299" operator="containsText" text="%">
      <formula>NOT(ISERROR(SEARCH("%",L34)))</formula>
    </cfRule>
  </conditionalFormatting>
  <conditionalFormatting sqref="L34">
    <cfRule type="containsText" dxfId="3292" priority="3298" operator="containsText" text="%">
      <formula>NOT(ISERROR(SEARCH("%",L34)))</formula>
    </cfRule>
  </conditionalFormatting>
  <conditionalFormatting sqref="L34">
    <cfRule type="containsText" dxfId="3291" priority="3297" operator="containsText" text="%">
      <formula>NOT(ISERROR(SEARCH("%",L34)))</formula>
    </cfRule>
  </conditionalFormatting>
  <conditionalFormatting sqref="L34">
    <cfRule type="containsText" dxfId="3290" priority="3296" operator="containsText" text="%">
      <formula>NOT(ISERROR(SEARCH("%",L34)))</formula>
    </cfRule>
  </conditionalFormatting>
  <conditionalFormatting sqref="L34">
    <cfRule type="containsText" dxfId="3289" priority="3295" operator="containsText" text="%">
      <formula>NOT(ISERROR(SEARCH("%",L34)))</formula>
    </cfRule>
  </conditionalFormatting>
  <conditionalFormatting sqref="L34">
    <cfRule type="containsText" dxfId="3288" priority="3294" operator="containsText" text="%">
      <formula>NOT(ISERROR(SEARCH("%",L34)))</formula>
    </cfRule>
  </conditionalFormatting>
  <conditionalFormatting sqref="L34">
    <cfRule type="containsText" dxfId="3287" priority="3293" operator="containsText" text="%">
      <formula>NOT(ISERROR(SEARCH("%",L34)))</formula>
    </cfRule>
  </conditionalFormatting>
  <conditionalFormatting sqref="L34">
    <cfRule type="containsText" dxfId="3286" priority="3292" operator="containsText" text="%">
      <formula>NOT(ISERROR(SEARCH("%",L34)))</formula>
    </cfRule>
  </conditionalFormatting>
  <conditionalFormatting sqref="L34">
    <cfRule type="containsText" dxfId="3285" priority="3291" operator="containsText" text="%">
      <formula>NOT(ISERROR(SEARCH("%",L34)))</formula>
    </cfRule>
  </conditionalFormatting>
  <conditionalFormatting sqref="L34">
    <cfRule type="containsText" dxfId="3284" priority="3290" operator="containsText" text="%">
      <formula>NOT(ISERROR(SEARCH("%",L34)))</formula>
    </cfRule>
  </conditionalFormatting>
  <conditionalFormatting sqref="L34">
    <cfRule type="containsText" dxfId="3283" priority="3289" operator="containsText" text="%">
      <formula>NOT(ISERROR(SEARCH("%",L34)))</formula>
    </cfRule>
  </conditionalFormatting>
  <conditionalFormatting sqref="L34">
    <cfRule type="containsText" dxfId="3282" priority="3288" operator="containsText" text="%">
      <formula>NOT(ISERROR(SEARCH("%",L34)))</formula>
    </cfRule>
  </conditionalFormatting>
  <conditionalFormatting sqref="L34">
    <cfRule type="containsText" dxfId="3281" priority="3287" operator="containsText" text="%">
      <formula>NOT(ISERROR(SEARCH("%",L34)))</formula>
    </cfRule>
  </conditionalFormatting>
  <conditionalFormatting sqref="L34">
    <cfRule type="containsText" dxfId="3280" priority="3286" operator="containsText" text="%">
      <formula>NOT(ISERROR(SEARCH("%",L34)))</formula>
    </cfRule>
  </conditionalFormatting>
  <conditionalFormatting sqref="L34">
    <cfRule type="containsText" dxfId="3279" priority="3285" operator="containsText" text="%">
      <formula>NOT(ISERROR(SEARCH("%",L34)))</formula>
    </cfRule>
  </conditionalFormatting>
  <conditionalFormatting sqref="L34">
    <cfRule type="containsText" dxfId="3278" priority="3284" operator="containsText" text="%">
      <formula>NOT(ISERROR(SEARCH("%",L34)))</formula>
    </cfRule>
  </conditionalFormatting>
  <conditionalFormatting sqref="L34">
    <cfRule type="containsText" dxfId="3277" priority="3283" operator="containsText" text="%">
      <formula>NOT(ISERROR(SEARCH("%",L34)))</formula>
    </cfRule>
  </conditionalFormatting>
  <conditionalFormatting sqref="L34">
    <cfRule type="containsText" dxfId="3276" priority="3282" operator="containsText" text="%">
      <formula>NOT(ISERROR(SEARCH("%",L34)))</formula>
    </cfRule>
  </conditionalFormatting>
  <conditionalFormatting sqref="L34">
    <cfRule type="containsText" dxfId="3275" priority="3281" operator="containsText" text="%">
      <formula>NOT(ISERROR(SEARCH("%",L34)))</formula>
    </cfRule>
  </conditionalFormatting>
  <conditionalFormatting sqref="L34">
    <cfRule type="containsText" dxfId="3274" priority="3280" operator="containsText" text="%">
      <formula>NOT(ISERROR(SEARCH("%",L34)))</formula>
    </cfRule>
  </conditionalFormatting>
  <conditionalFormatting sqref="M33:M34">
    <cfRule type="containsText" dxfId="3273" priority="3279" operator="containsText" text="%">
      <formula>NOT(ISERROR(SEARCH("%",M33)))</formula>
    </cfRule>
  </conditionalFormatting>
  <conditionalFormatting sqref="M33:M34">
    <cfRule type="containsText" dxfId="3272" priority="3278" operator="containsText" text="%">
      <formula>NOT(ISERROR(SEARCH("%",M33)))</formula>
    </cfRule>
  </conditionalFormatting>
  <conditionalFormatting sqref="M33:M34">
    <cfRule type="containsText" dxfId="3271" priority="3277" operator="containsText" text="%">
      <formula>NOT(ISERROR(SEARCH("%",M33)))</formula>
    </cfRule>
  </conditionalFormatting>
  <conditionalFormatting sqref="M33:M34">
    <cfRule type="containsText" dxfId="3270" priority="3276" operator="containsText" text="%">
      <formula>NOT(ISERROR(SEARCH("%",M33)))</formula>
    </cfRule>
  </conditionalFormatting>
  <conditionalFormatting sqref="M33:M34">
    <cfRule type="containsText" dxfId="3269" priority="3275" operator="containsText" text="%">
      <formula>NOT(ISERROR(SEARCH("%",M33)))</formula>
    </cfRule>
  </conditionalFormatting>
  <conditionalFormatting sqref="M33:M34">
    <cfRule type="containsText" dxfId="3268" priority="3274" operator="containsText" text="%">
      <formula>NOT(ISERROR(SEARCH("%",M33)))</formula>
    </cfRule>
  </conditionalFormatting>
  <conditionalFormatting sqref="M33:M34">
    <cfRule type="containsText" dxfId="3267" priority="3258" operator="containsText" text="%">
      <formula>NOT(ISERROR(SEARCH("%",M33)))</formula>
    </cfRule>
  </conditionalFormatting>
  <conditionalFormatting sqref="M33:M34">
    <cfRule type="containsText" dxfId="3266" priority="3257" operator="containsText" text="%">
      <formula>NOT(ISERROR(SEARCH("%",M33)))</formula>
    </cfRule>
  </conditionalFormatting>
  <conditionalFormatting sqref="M33:M34">
    <cfRule type="containsText" dxfId="3265" priority="3253" operator="containsText" text="%">
      <formula>NOT(ISERROR(SEARCH("%",M33)))</formula>
    </cfRule>
  </conditionalFormatting>
  <conditionalFormatting sqref="M33:M34">
    <cfRule type="containsText" dxfId="3264" priority="3273" operator="containsText" text="%">
      <formula>NOT(ISERROR(SEARCH("%",M33)))</formula>
    </cfRule>
  </conditionalFormatting>
  <conditionalFormatting sqref="M33">
    <cfRule type="containsText" dxfId="3263" priority="3272" operator="containsText" text="%">
      <formula>NOT(ISERROR(SEARCH("%",M33)))</formula>
    </cfRule>
  </conditionalFormatting>
  <conditionalFormatting sqref="M33">
    <cfRule type="containsText" dxfId="3262" priority="3271" operator="containsText" text="%">
      <formula>NOT(ISERROR(SEARCH("%",M33)))</formula>
    </cfRule>
  </conditionalFormatting>
  <conditionalFormatting sqref="M33:M34">
    <cfRule type="containsText" dxfId="3261" priority="3251" operator="containsText" text="%">
      <formula>NOT(ISERROR(SEARCH("%",M33)))</formula>
    </cfRule>
  </conditionalFormatting>
  <conditionalFormatting sqref="M33:M34">
    <cfRule type="containsText" dxfId="3260" priority="3270" operator="containsText" text="%">
      <formula>NOT(ISERROR(SEARCH("%",M33)))</formula>
    </cfRule>
  </conditionalFormatting>
  <conditionalFormatting sqref="M33:M34">
    <cfRule type="containsText" dxfId="3259" priority="3269" operator="containsText" text="%">
      <formula>NOT(ISERROR(SEARCH("%",M33)))</formula>
    </cfRule>
  </conditionalFormatting>
  <conditionalFormatting sqref="M33:M34">
    <cfRule type="containsText" dxfId="3258" priority="3268" operator="containsText" text="%">
      <formula>NOT(ISERROR(SEARCH("%",M33)))</formula>
    </cfRule>
  </conditionalFormatting>
  <conditionalFormatting sqref="M33:M34">
    <cfRule type="containsText" dxfId="3257" priority="3267" operator="containsText" text="%">
      <formula>NOT(ISERROR(SEARCH("%",M33)))</formula>
    </cfRule>
  </conditionalFormatting>
  <conditionalFormatting sqref="M33:M34">
    <cfRule type="containsText" dxfId="3256" priority="3266" operator="containsText" text="%">
      <formula>NOT(ISERROR(SEARCH("%",M33)))</formula>
    </cfRule>
  </conditionalFormatting>
  <conditionalFormatting sqref="M33:M34">
    <cfRule type="containsText" dxfId="3255" priority="3265" operator="containsText" text="%">
      <formula>NOT(ISERROR(SEARCH("%",M33)))</formula>
    </cfRule>
  </conditionalFormatting>
  <conditionalFormatting sqref="M33:M34">
    <cfRule type="containsText" dxfId="3254" priority="3264" operator="containsText" text="%">
      <formula>NOT(ISERROR(SEARCH("%",M33)))</formula>
    </cfRule>
  </conditionalFormatting>
  <conditionalFormatting sqref="M33:M34">
    <cfRule type="containsText" dxfId="3253" priority="3263" operator="containsText" text="%">
      <formula>NOT(ISERROR(SEARCH("%",M33)))</formula>
    </cfRule>
  </conditionalFormatting>
  <conditionalFormatting sqref="M33:M34">
    <cfRule type="containsText" dxfId="3252" priority="3262" operator="containsText" text="%">
      <formula>NOT(ISERROR(SEARCH("%",M33)))</formula>
    </cfRule>
  </conditionalFormatting>
  <conditionalFormatting sqref="M33:M34">
    <cfRule type="containsText" dxfId="3251" priority="3261" operator="containsText" text="%">
      <formula>NOT(ISERROR(SEARCH("%",M33)))</formula>
    </cfRule>
  </conditionalFormatting>
  <conditionalFormatting sqref="M33:M34">
    <cfRule type="containsText" dxfId="3250" priority="3260" operator="containsText" text="%">
      <formula>NOT(ISERROR(SEARCH("%",M33)))</formula>
    </cfRule>
  </conditionalFormatting>
  <conditionalFormatting sqref="M33:M34">
    <cfRule type="containsText" dxfId="3249" priority="3259" operator="containsText" text="%">
      <formula>NOT(ISERROR(SEARCH("%",M33)))</formula>
    </cfRule>
  </conditionalFormatting>
  <conditionalFormatting sqref="M33:M34">
    <cfRule type="containsText" dxfId="3248" priority="3256" operator="containsText" text="%">
      <formula>NOT(ISERROR(SEARCH("%",M33)))</formula>
    </cfRule>
  </conditionalFormatting>
  <conditionalFormatting sqref="M33:M34">
    <cfRule type="containsText" dxfId="3247" priority="3255" operator="containsText" text="%">
      <formula>NOT(ISERROR(SEARCH("%",M33)))</formula>
    </cfRule>
  </conditionalFormatting>
  <conditionalFormatting sqref="M33:M34">
    <cfRule type="containsText" dxfId="3246" priority="3254" operator="containsText" text="%">
      <formula>NOT(ISERROR(SEARCH("%",M33)))</formula>
    </cfRule>
  </conditionalFormatting>
  <conditionalFormatting sqref="M33:M34">
    <cfRule type="containsText" dxfId="3245" priority="3252" operator="containsText" text="%">
      <formula>NOT(ISERROR(SEARCH("%",M33)))</formula>
    </cfRule>
  </conditionalFormatting>
  <conditionalFormatting sqref="M33:M34">
    <cfRule type="containsText" dxfId="3244" priority="3250" operator="containsText" text="%">
      <formula>NOT(ISERROR(SEARCH("%",M33)))</formula>
    </cfRule>
  </conditionalFormatting>
  <conditionalFormatting sqref="M33:M34">
    <cfRule type="containsText" dxfId="3243" priority="3249" operator="containsText" text="%">
      <formula>NOT(ISERROR(SEARCH("%",M33)))</formula>
    </cfRule>
  </conditionalFormatting>
  <conditionalFormatting sqref="M33:M34">
    <cfRule type="containsText" dxfId="3242" priority="3248" operator="containsText" text="%">
      <formula>NOT(ISERROR(SEARCH("%",M33)))</formula>
    </cfRule>
  </conditionalFormatting>
  <conditionalFormatting sqref="M33:M34">
    <cfRule type="containsText" dxfId="3241" priority="3247" operator="containsText" text="%">
      <formula>NOT(ISERROR(SEARCH("%",M33)))</formula>
    </cfRule>
  </conditionalFormatting>
  <conditionalFormatting sqref="M33:M34">
    <cfRule type="containsText" dxfId="3240" priority="3246" operator="containsText" text="%">
      <formula>NOT(ISERROR(SEARCH("%",M33)))</formula>
    </cfRule>
  </conditionalFormatting>
  <conditionalFormatting sqref="M33:M34">
    <cfRule type="containsText" dxfId="3239" priority="3245" operator="containsText" text="%">
      <formula>NOT(ISERROR(SEARCH("%",M33)))</formula>
    </cfRule>
  </conditionalFormatting>
  <conditionalFormatting sqref="M33:M34">
    <cfRule type="containsText" dxfId="3238" priority="3244" operator="containsText" text="%">
      <formula>NOT(ISERROR(SEARCH("%",M33)))</formula>
    </cfRule>
  </conditionalFormatting>
  <conditionalFormatting sqref="M33:M34">
    <cfRule type="containsText" dxfId="3237" priority="3243" operator="containsText" text="%">
      <formula>NOT(ISERROR(SEARCH("%",M33)))</formula>
    </cfRule>
  </conditionalFormatting>
  <conditionalFormatting sqref="M33:M34">
    <cfRule type="containsText" dxfId="3236" priority="3242" operator="containsText" text="%">
      <formula>NOT(ISERROR(SEARCH("%",M33)))</formula>
    </cfRule>
  </conditionalFormatting>
  <conditionalFormatting sqref="M33:M34">
    <cfRule type="containsText" dxfId="3235" priority="3241" operator="containsText" text="%">
      <formula>NOT(ISERROR(SEARCH("%",M33)))</formula>
    </cfRule>
  </conditionalFormatting>
  <conditionalFormatting sqref="M34">
    <cfRule type="containsText" dxfId="3234" priority="3240" operator="containsText" text="%">
      <formula>NOT(ISERROR(SEARCH("%",M34)))</formula>
    </cfRule>
  </conditionalFormatting>
  <conditionalFormatting sqref="M34">
    <cfRule type="containsText" dxfId="3233" priority="3239" operator="containsText" text="%">
      <formula>NOT(ISERROR(SEARCH("%",M34)))</formula>
    </cfRule>
  </conditionalFormatting>
  <conditionalFormatting sqref="M34">
    <cfRule type="containsText" dxfId="3232" priority="3238" operator="containsText" text="%">
      <formula>NOT(ISERROR(SEARCH("%",M34)))</formula>
    </cfRule>
  </conditionalFormatting>
  <conditionalFormatting sqref="M34">
    <cfRule type="containsText" dxfId="3231" priority="3237" operator="containsText" text="%">
      <formula>NOT(ISERROR(SEARCH("%",M34)))</formula>
    </cfRule>
  </conditionalFormatting>
  <conditionalFormatting sqref="M33:M34">
    <cfRule type="containsText" dxfId="3230" priority="3236" operator="containsText" text="%">
      <formula>NOT(ISERROR(SEARCH("%",M33)))</formula>
    </cfRule>
  </conditionalFormatting>
  <conditionalFormatting sqref="M33:M34">
    <cfRule type="containsText" dxfId="3229" priority="3235" operator="containsText" text="%">
      <formula>NOT(ISERROR(SEARCH("%",M33)))</formula>
    </cfRule>
  </conditionalFormatting>
  <conditionalFormatting sqref="M33:M34">
    <cfRule type="containsText" dxfId="3228" priority="3234" operator="containsText" text="%">
      <formula>NOT(ISERROR(SEARCH("%",M33)))</formula>
    </cfRule>
  </conditionalFormatting>
  <conditionalFormatting sqref="M33:M34">
    <cfRule type="containsText" dxfId="3227" priority="3233" operator="containsText" text="%">
      <formula>NOT(ISERROR(SEARCH("%",M33)))</formula>
    </cfRule>
  </conditionalFormatting>
  <conditionalFormatting sqref="M33:M34">
    <cfRule type="containsText" dxfId="3226" priority="3232" operator="containsText" text="%">
      <formula>NOT(ISERROR(SEARCH("%",M33)))</formula>
    </cfRule>
  </conditionalFormatting>
  <conditionalFormatting sqref="M33:M34">
    <cfRule type="containsText" dxfId="3225" priority="3231" operator="containsText" text="%">
      <formula>NOT(ISERROR(SEARCH("%",M33)))</formula>
    </cfRule>
  </conditionalFormatting>
  <conditionalFormatting sqref="M33:M34">
    <cfRule type="containsText" dxfId="3224" priority="3230" operator="containsText" text="%">
      <formula>NOT(ISERROR(SEARCH("%",M33)))</formula>
    </cfRule>
  </conditionalFormatting>
  <conditionalFormatting sqref="M33:M34">
    <cfRule type="containsText" dxfId="3223" priority="3229" operator="containsText" text="%">
      <formula>NOT(ISERROR(SEARCH("%",M33)))</formula>
    </cfRule>
  </conditionalFormatting>
  <conditionalFormatting sqref="M33:M34">
    <cfRule type="containsText" dxfId="3222" priority="3228" operator="containsText" text="%">
      <formula>NOT(ISERROR(SEARCH("%",M33)))</formula>
    </cfRule>
  </conditionalFormatting>
  <conditionalFormatting sqref="M33:M34">
    <cfRule type="containsText" dxfId="3221" priority="3227" operator="containsText" text="%">
      <formula>NOT(ISERROR(SEARCH("%",M33)))</formula>
    </cfRule>
  </conditionalFormatting>
  <conditionalFormatting sqref="M34">
    <cfRule type="containsText" dxfId="3220" priority="3226" operator="containsText" text="%">
      <formula>NOT(ISERROR(SEARCH("%",M34)))</formula>
    </cfRule>
  </conditionalFormatting>
  <conditionalFormatting sqref="M34">
    <cfRule type="containsText" dxfId="3219" priority="3225" operator="containsText" text="%">
      <formula>NOT(ISERROR(SEARCH("%",M34)))</formula>
    </cfRule>
  </conditionalFormatting>
  <conditionalFormatting sqref="M34">
    <cfRule type="containsText" dxfId="3218" priority="3224" operator="containsText" text="%">
      <formula>NOT(ISERROR(SEARCH("%",M34)))</formula>
    </cfRule>
  </conditionalFormatting>
  <conditionalFormatting sqref="M34">
    <cfRule type="containsText" dxfId="3217" priority="3223" operator="containsText" text="%">
      <formula>NOT(ISERROR(SEARCH("%",M34)))</formula>
    </cfRule>
  </conditionalFormatting>
  <conditionalFormatting sqref="M33:M34">
    <cfRule type="containsText" dxfId="3216" priority="3222" operator="containsText" text="%">
      <formula>NOT(ISERROR(SEARCH("%",M33)))</formula>
    </cfRule>
  </conditionalFormatting>
  <conditionalFormatting sqref="M33:M34">
    <cfRule type="containsText" dxfId="3215" priority="3221" operator="containsText" text="%">
      <formula>NOT(ISERROR(SEARCH("%",M33)))</formula>
    </cfRule>
  </conditionalFormatting>
  <conditionalFormatting sqref="M33:M34">
    <cfRule type="containsText" dxfId="3214" priority="3220" operator="containsText" text="%">
      <formula>NOT(ISERROR(SEARCH("%",M33)))</formula>
    </cfRule>
  </conditionalFormatting>
  <conditionalFormatting sqref="M33:M34">
    <cfRule type="containsText" dxfId="3213" priority="3219" operator="containsText" text="%">
      <formula>NOT(ISERROR(SEARCH("%",M33)))</formula>
    </cfRule>
  </conditionalFormatting>
  <conditionalFormatting sqref="M33:M34">
    <cfRule type="containsText" dxfId="3212" priority="3218" operator="containsText" text="%">
      <formula>NOT(ISERROR(SEARCH("%",M33)))</formula>
    </cfRule>
  </conditionalFormatting>
  <conditionalFormatting sqref="M33:M34">
    <cfRule type="containsText" dxfId="3211" priority="3217" operator="containsText" text="%">
      <formula>NOT(ISERROR(SEARCH("%",M33)))</formula>
    </cfRule>
  </conditionalFormatting>
  <conditionalFormatting sqref="M34">
    <cfRule type="containsText" dxfId="3210" priority="3216" operator="containsText" text="%">
      <formula>NOT(ISERROR(SEARCH("%",M34)))</formula>
    </cfRule>
  </conditionalFormatting>
  <conditionalFormatting sqref="M34">
    <cfRule type="containsText" dxfId="3209" priority="3215" operator="containsText" text="%">
      <formula>NOT(ISERROR(SEARCH("%",M34)))</formula>
    </cfRule>
  </conditionalFormatting>
  <conditionalFormatting sqref="M34">
    <cfRule type="containsText" dxfId="3208" priority="3214" operator="containsText" text="%">
      <formula>NOT(ISERROR(SEARCH("%",M34)))</formula>
    </cfRule>
  </conditionalFormatting>
  <conditionalFormatting sqref="M34">
    <cfRule type="containsText" dxfId="3207" priority="3213" operator="containsText" text="%">
      <formula>NOT(ISERROR(SEARCH("%",M34)))</formula>
    </cfRule>
  </conditionalFormatting>
  <conditionalFormatting sqref="M33:M34">
    <cfRule type="containsText" dxfId="3206" priority="3197" operator="containsText" text="%">
      <formula>NOT(ISERROR(SEARCH("%",M33)))</formula>
    </cfRule>
  </conditionalFormatting>
  <conditionalFormatting sqref="M33:M34">
    <cfRule type="containsText" dxfId="3205" priority="3196" operator="containsText" text="%">
      <formula>NOT(ISERROR(SEARCH("%",M33)))</formula>
    </cfRule>
  </conditionalFormatting>
  <conditionalFormatting sqref="M33:M34">
    <cfRule type="containsText" dxfId="3204" priority="3192" operator="containsText" text="%">
      <formula>NOT(ISERROR(SEARCH("%",M33)))</formula>
    </cfRule>
  </conditionalFormatting>
  <conditionalFormatting sqref="M33:M34">
    <cfRule type="containsText" dxfId="3203" priority="3212" operator="containsText" text="%">
      <formula>NOT(ISERROR(SEARCH("%",M33)))</formula>
    </cfRule>
  </conditionalFormatting>
  <conditionalFormatting sqref="M33">
    <cfRule type="containsText" dxfId="3202" priority="3211" operator="containsText" text="%">
      <formula>NOT(ISERROR(SEARCH("%",M33)))</formula>
    </cfRule>
  </conditionalFormatting>
  <conditionalFormatting sqref="M33">
    <cfRule type="containsText" dxfId="3201" priority="3210" operator="containsText" text="%">
      <formula>NOT(ISERROR(SEARCH("%",M33)))</formula>
    </cfRule>
  </conditionalFormatting>
  <conditionalFormatting sqref="M33:M34">
    <cfRule type="containsText" dxfId="3200" priority="3190" operator="containsText" text="%">
      <formula>NOT(ISERROR(SEARCH("%",M33)))</formula>
    </cfRule>
  </conditionalFormatting>
  <conditionalFormatting sqref="M33:M34">
    <cfRule type="containsText" dxfId="3199" priority="3209" operator="containsText" text="%">
      <formula>NOT(ISERROR(SEARCH("%",M33)))</formula>
    </cfRule>
  </conditionalFormatting>
  <conditionalFormatting sqref="M33:M34">
    <cfRule type="containsText" dxfId="3198" priority="3208" operator="containsText" text="%">
      <formula>NOT(ISERROR(SEARCH("%",M33)))</formula>
    </cfRule>
  </conditionalFormatting>
  <conditionalFormatting sqref="M33:M34">
    <cfRule type="containsText" dxfId="3197" priority="3207" operator="containsText" text="%">
      <formula>NOT(ISERROR(SEARCH("%",M33)))</formula>
    </cfRule>
  </conditionalFormatting>
  <conditionalFormatting sqref="M33:M34">
    <cfRule type="containsText" dxfId="3196" priority="3206" operator="containsText" text="%">
      <formula>NOT(ISERROR(SEARCH("%",M33)))</formula>
    </cfRule>
  </conditionalFormatting>
  <conditionalFormatting sqref="M33:M34">
    <cfRule type="containsText" dxfId="3195" priority="3205" operator="containsText" text="%">
      <formula>NOT(ISERROR(SEARCH("%",M33)))</formula>
    </cfRule>
  </conditionalFormatting>
  <conditionalFormatting sqref="M33:M34">
    <cfRule type="containsText" dxfId="3194" priority="3204" operator="containsText" text="%">
      <formula>NOT(ISERROR(SEARCH("%",M33)))</formula>
    </cfRule>
  </conditionalFormatting>
  <conditionalFormatting sqref="M33:M34">
    <cfRule type="containsText" dxfId="3193" priority="3203" operator="containsText" text="%">
      <formula>NOT(ISERROR(SEARCH("%",M33)))</formula>
    </cfRule>
  </conditionalFormatting>
  <conditionalFormatting sqref="M33:M34">
    <cfRule type="containsText" dxfId="3192" priority="3202" operator="containsText" text="%">
      <formula>NOT(ISERROR(SEARCH("%",M33)))</formula>
    </cfRule>
  </conditionalFormatting>
  <conditionalFormatting sqref="M33:M34">
    <cfRule type="containsText" dxfId="3191" priority="3201" operator="containsText" text="%">
      <formula>NOT(ISERROR(SEARCH("%",M33)))</formula>
    </cfRule>
  </conditionalFormatting>
  <conditionalFormatting sqref="M33:M34">
    <cfRule type="containsText" dxfId="3190" priority="3200" operator="containsText" text="%">
      <formula>NOT(ISERROR(SEARCH("%",M33)))</formula>
    </cfRule>
  </conditionalFormatting>
  <conditionalFormatting sqref="M33:M34">
    <cfRule type="containsText" dxfId="3189" priority="3199" operator="containsText" text="%">
      <formula>NOT(ISERROR(SEARCH("%",M33)))</formula>
    </cfRule>
  </conditionalFormatting>
  <conditionalFormatting sqref="M33:M34">
    <cfRule type="containsText" dxfId="3188" priority="3198" operator="containsText" text="%">
      <formula>NOT(ISERROR(SEARCH("%",M33)))</formula>
    </cfRule>
  </conditionalFormatting>
  <conditionalFormatting sqref="M33:M34">
    <cfRule type="containsText" dxfId="3187" priority="3195" operator="containsText" text="%">
      <formula>NOT(ISERROR(SEARCH("%",M33)))</formula>
    </cfRule>
  </conditionalFormatting>
  <conditionalFormatting sqref="M33:M34">
    <cfRule type="containsText" dxfId="3186" priority="3194" operator="containsText" text="%">
      <formula>NOT(ISERROR(SEARCH("%",M33)))</formula>
    </cfRule>
  </conditionalFormatting>
  <conditionalFormatting sqref="M33:M34">
    <cfRule type="containsText" dxfId="3185" priority="3193" operator="containsText" text="%">
      <formula>NOT(ISERROR(SEARCH("%",M33)))</formula>
    </cfRule>
  </conditionalFormatting>
  <conditionalFormatting sqref="M33:M34">
    <cfRule type="containsText" dxfId="3184" priority="3191" operator="containsText" text="%">
      <formula>NOT(ISERROR(SEARCH("%",M33)))</formula>
    </cfRule>
  </conditionalFormatting>
  <conditionalFormatting sqref="M33:M34">
    <cfRule type="containsText" dxfId="3183" priority="3189" operator="containsText" text="%">
      <formula>NOT(ISERROR(SEARCH("%",M33)))</formula>
    </cfRule>
  </conditionalFormatting>
  <conditionalFormatting sqref="M33:M34">
    <cfRule type="containsText" dxfId="3182" priority="3188" operator="containsText" text="%">
      <formula>NOT(ISERROR(SEARCH("%",M33)))</formula>
    </cfRule>
  </conditionalFormatting>
  <conditionalFormatting sqref="M33:M34">
    <cfRule type="containsText" dxfId="3181" priority="3187" operator="containsText" text="%">
      <formula>NOT(ISERROR(SEARCH("%",M33)))</formula>
    </cfRule>
  </conditionalFormatting>
  <conditionalFormatting sqref="M33:M34">
    <cfRule type="containsText" dxfId="3180" priority="3186" operator="containsText" text="%">
      <formula>NOT(ISERROR(SEARCH("%",M33)))</formula>
    </cfRule>
  </conditionalFormatting>
  <conditionalFormatting sqref="M33:M34">
    <cfRule type="containsText" dxfId="3179" priority="3185" operator="containsText" text="%">
      <formula>NOT(ISERROR(SEARCH("%",M33)))</formula>
    </cfRule>
  </conditionalFormatting>
  <conditionalFormatting sqref="M33:M34">
    <cfRule type="containsText" dxfId="3178" priority="3184" operator="containsText" text="%">
      <formula>NOT(ISERROR(SEARCH("%",M33)))</formula>
    </cfRule>
  </conditionalFormatting>
  <conditionalFormatting sqref="M33:M34">
    <cfRule type="containsText" dxfId="3177" priority="3183" operator="containsText" text="%">
      <formula>NOT(ISERROR(SEARCH("%",M33)))</formula>
    </cfRule>
  </conditionalFormatting>
  <conditionalFormatting sqref="M33:M34">
    <cfRule type="containsText" dxfId="3176" priority="3182" operator="containsText" text="%">
      <formula>NOT(ISERROR(SEARCH("%",M33)))</formula>
    </cfRule>
  </conditionalFormatting>
  <conditionalFormatting sqref="M33:M34">
    <cfRule type="containsText" dxfId="3175" priority="3181" operator="containsText" text="%">
      <formula>NOT(ISERROR(SEARCH("%",M33)))</formula>
    </cfRule>
  </conditionalFormatting>
  <conditionalFormatting sqref="M33:M34">
    <cfRule type="containsText" dxfId="3174" priority="3180" operator="containsText" text="%">
      <formula>NOT(ISERROR(SEARCH("%",M33)))</formula>
    </cfRule>
  </conditionalFormatting>
  <conditionalFormatting sqref="M34">
    <cfRule type="containsText" dxfId="3173" priority="3179" operator="containsText" text="%">
      <formula>NOT(ISERROR(SEARCH("%",M34)))</formula>
    </cfRule>
  </conditionalFormatting>
  <conditionalFormatting sqref="M34">
    <cfRule type="containsText" dxfId="3172" priority="3178" operator="containsText" text="%">
      <formula>NOT(ISERROR(SEARCH("%",M34)))</formula>
    </cfRule>
  </conditionalFormatting>
  <conditionalFormatting sqref="M34">
    <cfRule type="containsText" dxfId="3171" priority="3177" operator="containsText" text="%">
      <formula>NOT(ISERROR(SEARCH("%",M34)))</formula>
    </cfRule>
  </conditionalFormatting>
  <conditionalFormatting sqref="M34">
    <cfRule type="containsText" dxfId="3170" priority="3176" operator="containsText" text="%">
      <formula>NOT(ISERROR(SEARCH("%",M34)))</formula>
    </cfRule>
  </conditionalFormatting>
  <conditionalFormatting sqref="M33:M34">
    <cfRule type="containsText" dxfId="3169" priority="3175" operator="containsText" text="%">
      <formula>NOT(ISERROR(SEARCH("%",M33)))</formula>
    </cfRule>
  </conditionalFormatting>
  <conditionalFormatting sqref="M33:M34">
    <cfRule type="containsText" dxfId="3168" priority="3174" operator="containsText" text="%">
      <formula>NOT(ISERROR(SEARCH("%",M33)))</formula>
    </cfRule>
  </conditionalFormatting>
  <conditionalFormatting sqref="M33:M34">
    <cfRule type="containsText" dxfId="3167" priority="3173" operator="containsText" text="%">
      <formula>NOT(ISERROR(SEARCH("%",M33)))</formula>
    </cfRule>
  </conditionalFormatting>
  <conditionalFormatting sqref="M33:M34">
    <cfRule type="containsText" dxfId="3166" priority="3172" operator="containsText" text="%">
      <formula>NOT(ISERROR(SEARCH("%",M33)))</formula>
    </cfRule>
  </conditionalFormatting>
  <conditionalFormatting sqref="M33:M34">
    <cfRule type="containsText" dxfId="3165" priority="3171" operator="containsText" text="%">
      <formula>NOT(ISERROR(SEARCH("%",M33)))</formula>
    </cfRule>
  </conditionalFormatting>
  <conditionalFormatting sqref="M33:M34">
    <cfRule type="containsText" dxfId="3164" priority="3170" operator="containsText" text="%">
      <formula>NOT(ISERROR(SEARCH("%",M33)))</formula>
    </cfRule>
  </conditionalFormatting>
  <conditionalFormatting sqref="M33:M34">
    <cfRule type="containsText" dxfId="3163" priority="3169" operator="containsText" text="%">
      <formula>NOT(ISERROR(SEARCH("%",M33)))</formula>
    </cfRule>
  </conditionalFormatting>
  <conditionalFormatting sqref="M33:M34">
    <cfRule type="containsText" dxfId="3162" priority="3168" operator="containsText" text="%">
      <formula>NOT(ISERROR(SEARCH("%",M33)))</formula>
    </cfRule>
  </conditionalFormatting>
  <conditionalFormatting sqref="M33:M34">
    <cfRule type="containsText" dxfId="3161" priority="3167" operator="containsText" text="%">
      <formula>NOT(ISERROR(SEARCH("%",M33)))</formula>
    </cfRule>
  </conditionalFormatting>
  <conditionalFormatting sqref="M33:M34">
    <cfRule type="containsText" dxfId="3160" priority="3166" operator="containsText" text="%">
      <formula>NOT(ISERROR(SEARCH("%",M33)))</formula>
    </cfRule>
  </conditionalFormatting>
  <conditionalFormatting sqref="M34">
    <cfRule type="containsText" dxfId="3159" priority="3165" operator="containsText" text="%">
      <formula>NOT(ISERROR(SEARCH("%",M34)))</formula>
    </cfRule>
  </conditionalFormatting>
  <conditionalFormatting sqref="M34">
    <cfRule type="containsText" dxfId="3158" priority="3164" operator="containsText" text="%">
      <formula>NOT(ISERROR(SEARCH("%",M34)))</formula>
    </cfRule>
  </conditionalFormatting>
  <conditionalFormatting sqref="M34">
    <cfRule type="containsText" dxfId="3157" priority="3163" operator="containsText" text="%">
      <formula>NOT(ISERROR(SEARCH("%",M34)))</formula>
    </cfRule>
  </conditionalFormatting>
  <conditionalFormatting sqref="M34">
    <cfRule type="containsText" dxfId="3156" priority="3162" operator="containsText" text="%">
      <formula>NOT(ISERROR(SEARCH("%",M34)))</formula>
    </cfRule>
  </conditionalFormatting>
  <conditionalFormatting sqref="M33">
    <cfRule type="containsText" dxfId="3155" priority="3161" operator="containsText" text="%">
      <formula>NOT(ISERROR(SEARCH("%",M33)))</formula>
    </cfRule>
  </conditionalFormatting>
  <conditionalFormatting sqref="M33">
    <cfRule type="containsText" dxfId="3154" priority="3160" operator="containsText" text="%">
      <formula>NOT(ISERROR(SEARCH("%",M33)))</formula>
    </cfRule>
  </conditionalFormatting>
  <conditionalFormatting sqref="M33">
    <cfRule type="containsText" dxfId="3153" priority="3159" operator="containsText" text="%">
      <formula>NOT(ISERROR(SEARCH("%",M33)))</formula>
    </cfRule>
  </conditionalFormatting>
  <conditionalFormatting sqref="M33">
    <cfRule type="containsText" dxfId="3152" priority="3158" operator="containsText" text="%">
      <formula>NOT(ISERROR(SEARCH("%",M33)))</formula>
    </cfRule>
  </conditionalFormatting>
  <conditionalFormatting sqref="M33">
    <cfRule type="containsText" dxfId="3151" priority="3157" operator="containsText" text="%">
      <formula>NOT(ISERROR(SEARCH("%",M33)))</formula>
    </cfRule>
  </conditionalFormatting>
  <conditionalFormatting sqref="M33">
    <cfRule type="containsText" dxfId="3150" priority="3156" operator="containsText" text="%">
      <formula>NOT(ISERROR(SEARCH("%",M33)))</formula>
    </cfRule>
  </conditionalFormatting>
  <conditionalFormatting sqref="M34">
    <cfRule type="containsText" dxfId="3149" priority="3155" operator="containsText" text="%">
      <formula>NOT(ISERROR(SEARCH("%",M34)))</formula>
    </cfRule>
  </conditionalFormatting>
  <conditionalFormatting sqref="M34">
    <cfRule type="containsText" dxfId="3148" priority="3154" operator="containsText" text="%">
      <formula>NOT(ISERROR(SEARCH("%",M34)))</formula>
    </cfRule>
  </conditionalFormatting>
  <conditionalFormatting sqref="M34">
    <cfRule type="containsText" dxfId="3147" priority="3153" operator="containsText" text="%">
      <formula>NOT(ISERROR(SEARCH("%",M34)))</formula>
    </cfRule>
  </conditionalFormatting>
  <conditionalFormatting sqref="M34">
    <cfRule type="containsText" dxfId="3146" priority="3152" operator="containsText" text="%">
      <formula>NOT(ISERROR(SEARCH("%",M34)))</formula>
    </cfRule>
  </conditionalFormatting>
  <conditionalFormatting sqref="M34">
    <cfRule type="containsText" dxfId="3145" priority="3151" operator="containsText" text="%">
      <formula>NOT(ISERROR(SEARCH("%",M34)))</formula>
    </cfRule>
  </conditionalFormatting>
  <conditionalFormatting sqref="M34">
    <cfRule type="containsText" dxfId="3144" priority="3150" operator="containsText" text="%">
      <formula>NOT(ISERROR(SEARCH("%",M34)))</formula>
    </cfRule>
  </conditionalFormatting>
  <conditionalFormatting sqref="M34">
    <cfRule type="containsText" dxfId="3143" priority="3149" operator="containsText" text="%">
      <formula>NOT(ISERROR(SEARCH("%",M34)))</formula>
    </cfRule>
  </conditionalFormatting>
  <conditionalFormatting sqref="M34">
    <cfRule type="containsText" dxfId="3142" priority="3148" operator="containsText" text="%">
      <formula>NOT(ISERROR(SEARCH("%",M34)))</formula>
    </cfRule>
  </conditionalFormatting>
  <conditionalFormatting sqref="M34">
    <cfRule type="containsText" dxfId="3141" priority="3147" operator="containsText" text="%">
      <formula>NOT(ISERROR(SEARCH("%",M34)))</formula>
    </cfRule>
  </conditionalFormatting>
  <conditionalFormatting sqref="M34">
    <cfRule type="containsText" dxfId="3140" priority="3146" operator="containsText" text="%">
      <formula>NOT(ISERROR(SEARCH("%",M34)))</formula>
    </cfRule>
  </conditionalFormatting>
  <conditionalFormatting sqref="M34">
    <cfRule type="containsText" dxfId="3139" priority="3132" operator="containsText" text="%">
      <formula>NOT(ISERROR(SEARCH("%",M34)))</formula>
    </cfRule>
  </conditionalFormatting>
  <conditionalFormatting sqref="M34">
    <cfRule type="containsText" dxfId="3138" priority="3131" operator="containsText" text="%">
      <formula>NOT(ISERROR(SEARCH("%",M34)))</formula>
    </cfRule>
  </conditionalFormatting>
  <conditionalFormatting sqref="M34">
    <cfRule type="containsText" dxfId="3137" priority="3127" operator="containsText" text="%">
      <formula>NOT(ISERROR(SEARCH("%",M34)))</formula>
    </cfRule>
  </conditionalFormatting>
  <conditionalFormatting sqref="M34">
    <cfRule type="containsText" dxfId="3136" priority="3145" operator="containsText" text="%">
      <formula>NOT(ISERROR(SEARCH("%",M34)))</formula>
    </cfRule>
  </conditionalFormatting>
  <conditionalFormatting sqref="M34">
    <cfRule type="containsText" dxfId="3135" priority="3125" operator="containsText" text="%">
      <formula>NOT(ISERROR(SEARCH("%",M34)))</formula>
    </cfRule>
  </conditionalFormatting>
  <conditionalFormatting sqref="M34">
    <cfRule type="containsText" dxfId="3134" priority="3144" operator="containsText" text="%">
      <formula>NOT(ISERROR(SEARCH("%",M34)))</formula>
    </cfRule>
  </conditionalFormatting>
  <conditionalFormatting sqref="M34">
    <cfRule type="containsText" dxfId="3133" priority="3143" operator="containsText" text="%">
      <formula>NOT(ISERROR(SEARCH("%",M34)))</formula>
    </cfRule>
  </conditionalFormatting>
  <conditionalFormatting sqref="M34">
    <cfRule type="containsText" dxfId="3132" priority="3142" operator="containsText" text="%">
      <formula>NOT(ISERROR(SEARCH("%",M34)))</formula>
    </cfRule>
  </conditionalFormatting>
  <conditionalFormatting sqref="M34">
    <cfRule type="containsText" dxfId="3131" priority="3141" operator="containsText" text="%">
      <formula>NOT(ISERROR(SEARCH("%",M34)))</formula>
    </cfRule>
  </conditionalFormatting>
  <conditionalFormatting sqref="M34">
    <cfRule type="containsText" dxfId="3130" priority="3140" operator="containsText" text="%">
      <formula>NOT(ISERROR(SEARCH("%",M34)))</formula>
    </cfRule>
  </conditionalFormatting>
  <conditionalFormatting sqref="M34">
    <cfRule type="containsText" dxfId="3129" priority="3139" operator="containsText" text="%">
      <formula>NOT(ISERROR(SEARCH("%",M34)))</formula>
    </cfRule>
  </conditionalFormatting>
  <conditionalFormatting sqref="M34">
    <cfRule type="containsText" dxfId="3128" priority="3138" operator="containsText" text="%">
      <formula>NOT(ISERROR(SEARCH("%",M34)))</formula>
    </cfRule>
  </conditionalFormatting>
  <conditionalFormatting sqref="M34">
    <cfRule type="containsText" dxfId="3127" priority="3137" operator="containsText" text="%">
      <formula>NOT(ISERROR(SEARCH("%",M34)))</formula>
    </cfRule>
  </conditionalFormatting>
  <conditionalFormatting sqref="M34">
    <cfRule type="containsText" dxfId="3126" priority="3136" operator="containsText" text="%">
      <formula>NOT(ISERROR(SEARCH("%",M34)))</formula>
    </cfRule>
  </conditionalFormatting>
  <conditionalFormatting sqref="M34">
    <cfRule type="containsText" dxfId="3125" priority="3135" operator="containsText" text="%">
      <formula>NOT(ISERROR(SEARCH("%",M34)))</formula>
    </cfRule>
  </conditionalFormatting>
  <conditionalFormatting sqref="M34">
    <cfRule type="containsText" dxfId="3124" priority="3134" operator="containsText" text="%">
      <formula>NOT(ISERROR(SEARCH("%",M34)))</formula>
    </cfRule>
  </conditionalFormatting>
  <conditionalFormatting sqref="M34">
    <cfRule type="containsText" dxfId="3123" priority="3133" operator="containsText" text="%">
      <formula>NOT(ISERROR(SEARCH("%",M34)))</formula>
    </cfRule>
  </conditionalFormatting>
  <conditionalFormatting sqref="M34">
    <cfRule type="containsText" dxfId="3122" priority="3130" operator="containsText" text="%">
      <formula>NOT(ISERROR(SEARCH("%",M34)))</formula>
    </cfRule>
  </conditionalFormatting>
  <conditionalFormatting sqref="M34">
    <cfRule type="containsText" dxfId="3121" priority="3129" operator="containsText" text="%">
      <formula>NOT(ISERROR(SEARCH("%",M34)))</formula>
    </cfRule>
  </conditionalFormatting>
  <conditionalFormatting sqref="M34">
    <cfRule type="containsText" dxfId="3120" priority="3128" operator="containsText" text="%">
      <formula>NOT(ISERROR(SEARCH("%",M34)))</formula>
    </cfRule>
  </conditionalFormatting>
  <conditionalFormatting sqref="M34">
    <cfRule type="containsText" dxfId="3119" priority="3126" operator="containsText" text="%">
      <formula>NOT(ISERROR(SEARCH("%",M34)))</formula>
    </cfRule>
  </conditionalFormatting>
  <conditionalFormatting sqref="M34">
    <cfRule type="containsText" dxfId="3118" priority="3124" operator="containsText" text="%">
      <formula>NOT(ISERROR(SEARCH("%",M34)))</formula>
    </cfRule>
  </conditionalFormatting>
  <conditionalFormatting sqref="M34">
    <cfRule type="containsText" dxfId="3117" priority="3123" operator="containsText" text="%">
      <formula>NOT(ISERROR(SEARCH("%",M34)))</formula>
    </cfRule>
  </conditionalFormatting>
  <conditionalFormatting sqref="M34">
    <cfRule type="containsText" dxfId="3116" priority="3122" operator="containsText" text="%">
      <formula>NOT(ISERROR(SEARCH("%",M34)))</formula>
    </cfRule>
  </conditionalFormatting>
  <conditionalFormatting sqref="M34">
    <cfRule type="containsText" dxfId="3115" priority="3121" operator="containsText" text="%">
      <formula>NOT(ISERROR(SEARCH("%",M34)))</formula>
    </cfRule>
  </conditionalFormatting>
  <conditionalFormatting sqref="M34">
    <cfRule type="containsText" dxfId="3114" priority="3120" operator="containsText" text="%">
      <formula>NOT(ISERROR(SEARCH("%",M34)))</formula>
    </cfRule>
  </conditionalFormatting>
  <conditionalFormatting sqref="M34">
    <cfRule type="containsText" dxfId="3113" priority="3119" operator="containsText" text="%">
      <formula>NOT(ISERROR(SEARCH("%",M34)))</formula>
    </cfRule>
  </conditionalFormatting>
  <conditionalFormatting sqref="M34">
    <cfRule type="containsText" dxfId="3112" priority="3118" operator="containsText" text="%">
      <formula>NOT(ISERROR(SEARCH("%",M34)))</formula>
    </cfRule>
  </conditionalFormatting>
  <conditionalFormatting sqref="M34">
    <cfRule type="containsText" dxfId="3111" priority="3117" operator="containsText" text="%">
      <formula>NOT(ISERROR(SEARCH("%",M34)))</formula>
    </cfRule>
  </conditionalFormatting>
  <conditionalFormatting sqref="M34">
    <cfRule type="containsText" dxfId="3110" priority="3116" operator="containsText" text="%">
      <formula>NOT(ISERROR(SEARCH("%",M34)))</formula>
    </cfRule>
  </conditionalFormatting>
  <conditionalFormatting sqref="M34">
    <cfRule type="containsText" dxfId="3109" priority="3115" operator="containsText" text="%">
      <formula>NOT(ISERROR(SEARCH("%",M34)))</formula>
    </cfRule>
  </conditionalFormatting>
  <conditionalFormatting sqref="M34">
    <cfRule type="containsText" dxfId="3108" priority="3114" operator="containsText" text="%">
      <formula>NOT(ISERROR(SEARCH("%",M34)))</formula>
    </cfRule>
  </conditionalFormatting>
  <conditionalFormatting sqref="M34">
    <cfRule type="containsText" dxfId="3107" priority="3113" operator="containsText" text="%">
      <formula>NOT(ISERROR(SEARCH("%",M34)))</formula>
    </cfRule>
  </conditionalFormatting>
  <conditionalFormatting sqref="M34">
    <cfRule type="containsText" dxfId="3106" priority="3112" operator="containsText" text="%">
      <formula>NOT(ISERROR(SEARCH("%",M34)))</formula>
    </cfRule>
  </conditionalFormatting>
  <conditionalFormatting sqref="M34">
    <cfRule type="containsText" dxfId="3105" priority="3111" operator="containsText" text="%">
      <formula>NOT(ISERROR(SEARCH("%",M34)))</formula>
    </cfRule>
  </conditionalFormatting>
  <conditionalFormatting sqref="M34">
    <cfRule type="containsText" dxfId="3104" priority="3110" operator="containsText" text="%">
      <formula>NOT(ISERROR(SEARCH("%",M34)))</formula>
    </cfRule>
  </conditionalFormatting>
  <conditionalFormatting sqref="M34">
    <cfRule type="containsText" dxfId="3103" priority="3109" operator="containsText" text="%">
      <formula>NOT(ISERROR(SEARCH("%",M34)))</formula>
    </cfRule>
  </conditionalFormatting>
  <conditionalFormatting sqref="M34">
    <cfRule type="containsText" dxfId="3102" priority="3108" operator="containsText" text="%">
      <formula>NOT(ISERROR(SEARCH("%",M34)))</formula>
    </cfRule>
  </conditionalFormatting>
  <conditionalFormatting sqref="M34">
    <cfRule type="containsText" dxfId="3101" priority="3107" operator="containsText" text="%">
      <formula>NOT(ISERROR(SEARCH("%",M34)))</formula>
    </cfRule>
  </conditionalFormatting>
  <conditionalFormatting sqref="M34">
    <cfRule type="containsText" dxfId="3100" priority="3106" operator="containsText" text="%">
      <formula>NOT(ISERROR(SEARCH("%",M34)))</formula>
    </cfRule>
  </conditionalFormatting>
  <conditionalFormatting sqref="M34">
    <cfRule type="containsText" dxfId="3099" priority="3105" operator="containsText" text="%">
      <formula>NOT(ISERROR(SEARCH("%",M34)))</formula>
    </cfRule>
  </conditionalFormatting>
  <conditionalFormatting sqref="M34">
    <cfRule type="containsText" dxfId="3098" priority="3104" operator="containsText" text="%">
      <formula>NOT(ISERROR(SEARCH("%",M34)))</formula>
    </cfRule>
  </conditionalFormatting>
  <conditionalFormatting sqref="M34">
    <cfRule type="containsText" dxfId="3097" priority="3103" operator="containsText" text="%">
      <formula>NOT(ISERROR(SEARCH("%",M34)))</formula>
    </cfRule>
  </conditionalFormatting>
  <conditionalFormatting sqref="M34">
    <cfRule type="containsText" dxfId="3096" priority="3102" operator="containsText" text="%">
      <formula>NOT(ISERROR(SEARCH("%",M34)))</formula>
    </cfRule>
  </conditionalFormatting>
  <conditionalFormatting sqref="M34">
    <cfRule type="containsText" dxfId="3095" priority="3101" operator="containsText" text="%">
      <formula>NOT(ISERROR(SEARCH("%",M34)))</formula>
    </cfRule>
  </conditionalFormatting>
  <conditionalFormatting sqref="M34">
    <cfRule type="containsText" dxfId="3094" priority="3100" operator="containsText" text="%">
      <formula>NOT(ISERROR(SEARCH("%",M34)))</formula>
    </cfRule>
  </conditionalFormatting>
  <conditionalFormatting sqref="M34">
    <cfRule type="containsText" dxfId="3093" priority="3099" operator="containsText" text="%">
      <formula>NOT(ISERROR(SEARCH("%",M34)))</formula>
    </cfRule>
  </conditionalFormatting>
  <conditionalFormatting sqref="M34">
    <cfRule type="containsText" dxfId="3092" priority="3098" operator="containsText" text="%">
      <formula>NOT(ISERROR(SEARCH("%",M34)))</formula>
    </cfRule>
  </conditionalFormatting>
  <conditionalFormatting sqref="M34">
    <cfRule type="containsText" dxfId="3091" priority="3097" operator="containsText" text="%">
      <formula>NOT(ISERROR(SEARCH("%",M34)))</formula>
    </cfRule>
  </conditionalFormatting>
  <conditionalFormatting sqref="K33:K34">
    <cfRule type="containsText" dxfId="3090" priority="3096" operator="containsText" text="%">
      <formula>NOT(ISERROR(SEARCH("%",K33)))</formula>
    </cfRule>
  </conditionalFormatting>
  <conditionalFormatting sqref="K33:K34">
    <cfRule type="containsText" dxfId="3089" priority="3095" operator="containsText" text="%">
      <formula>NOT(ISERROR(SEARCH("%",K33)))</formula>
    </cfRule>
  </conditionalFormatting>
  <conditionalFormatting sqref="K33:K34">
    <cfRule type="containsText" dxfId="3088" priority="3094" operator="containsText" text="%">
      <formula>NOT(ISERROR(SEARCH("%",K33)))</formula>
    </cfRule>
  </conditionalFormatting>
  <conditionalFormatting sqref="K33:K34">
    <cfRule type="containsText" dxfId="3087" priority="3093" operator="containsText" text="%">
      <formula>NOT(ISERROR(SEARCH("%",K33)))</formula>
    </cfRule>
  </conditionalFormatting>
  <conditionalFormatting sqref="K33:K34">
    <cfRule type="containsText" dxfId="3086" priority="3092" operator="containsText" text="%">
      <formula>NOT(ISERROR(SEARCH("%",K33)))</formula>
    </cfRule>
  </conditionalFormatting>
  <conditionalFormatting sqref="K33:K34">
    <cfRule type="containsText" dxfId="3085" priority="3091" operator="containsText" text="%">
      <formula>NOT(ISERROR(SEARCH("%",K33)))</formula>
    </cfRule>
  </conditionalFormatting>
  <conditionalFormatting sqref="K33:K34">
    <cfRule type="containsText" dxfId="3084" priority="3075" operator="containsText" text="%">
      <formula>NOT(ISERROR(SEARCH("%",K33)))</formula>
    </cfRule>
  </conditionalFormatting>
  <conditionalFormatting sqref="K33:K34">
    <cfRule type="containsText" dxfId="3083" priority="3074" operator="containsText" text="%">
      <formula>NOT(ISERROR(SEARCH("%",K33)))</formula>
    </cfRule>
  </conditionalFormatting>
  <conditionalFormatting sqref="K33:K34">
    <cfRule type="containsText" dxfId="3082" priority="3070" operator="containsText" text="%">
      <formula>NOT(ISERROR(SEARCH("%",K33)))</formula>
    </cfRule>
  </conditionalFormatting>
  <conditionalFormatting sqref="K33:K34">
    <cfRule type="containsText" dxfId="3081" priority="3090" operator="containsText" text="%">
      <formula>NOT(ISERROR(SEARCH("%",K33)))</formula>
    </cfRule>
  </conditionalFormatting>
  <conditionalFormatting sqref="K33">
    <cfRule type="containsText" dxfId="3080" priority="3089" operator="containsText" text="%">
      <formula>NOT(ISERROR(SEARCH("%",K33)))</formula>
    </cfRule>
  </conditionalFormatting>
  <conditionalFormatting sqref="K33">
    <cfRule type="containsText" dxfId="3079" priority="3088" operator="containsText" text="%">
      <formula>NOT(ISERROR(SEARCH("%",K33)))</formula>
    </cfRule>
  </conditionalFormatting>
  <conditionalFormatting sqref="K33:K34">
    <cfRule type="containsText" dxfId="3078" priority="3068" operator="containsText" text="%">
      <formula>NOT(ISERROR(SEARCH("%",K33)))</formula>
    </cfRule>
  </conditionalFormatting>
  <conditionalFormatting sqref="K33:K34">
    <cfRule type="containsText" dxfId="3077" priority="3087" operator="containsText" text="%">
      <formula>NOT(ISERROR(SEARCH("%",K33)))</formula>
    </cfRule>
  </conditionalFormatting>
  <conditionalFormatting sqref="K33:K34">
    <cfRule type="containsText" dxfId="3076" priority="3086" operator="containsText" text="%">
      <formula>NOT(ISERROR(SEARCH("%",K33)))</formula>
    </cfRule>
  </conditionalFormatting>
  <conditionalFormatting sqref="K33:K34">
    <cfRule type="containsText" dxfId="3075" priority="3085" operator="containsText" text="%">
      <formula>NOT(ISERROR(SEARCH("%",K33)))</formula>
    </cfRule>
  </conditionalFormatting>
  <conditionalFormatting sqref="K33:K34">
    <cfRule type="containsText" dxfId="3074" priority="3084" operator="containsText" text="%">
      <formula>NOT(ISERROR(SEARCH("%",K33)))</formula>
    </cfRule>
  </conditionalFormatting>
  <conditionalFormatting sqref="K33:K34">
    <cfRule type="containsText" dxfId="3073" priority="3083" operator="containsText" text="%">
      <formula>NOT(ISERROR(SEARCH("%",K33)))</formula>
    </cfRule>
  </conditionalFormatting>
  <conditionalFormatting sqref="K33:K34">
    <cfRule type="containsText" dxfId="3072" priority="3082" operator="containsText" text="%">
      <formula>NOT(ISERROR(SEARCH("%",K33)))</formula>
    </cfRule>
  </conditionalFormatting>
  <conditionalFormatting sqref="K33:K34">
    <cfRule type="containsText" dxfId="3071" priority="3081" operator="containsText" text="%">
      <formula>NOT(ISERROR(SEARCH("%",K33)))</formula>
    </cfRule>
  </conditionalFormatting>
  <conditionalFormatting sqref="K33:K34">
    <cfRule type="containsText" dxfId="3070" priority="3080" operator="containsText" text="%">
      <formula>NOT(ISERROR(SEARCH("%",K33)))</formula>
    </cfRule>
  </conditionalFormatting>
  <conditionalFormatting sqref="K33:K34">
    <cfRule type="containsText" dxfId="3069" priority="3079" operator="containsText" text="%">
      <formula>NOT(ISERROR(SEARCH("%",K33)))</formula>
    </cfRule>
  </conditionalFormatting>
  <conditionalFormatting sqref="K33:K34">
    <cfRule type="containsText" dxfId="3068" priority="3078" operator="containsText" text="%">
      <formula>NOT(ISERROR(SEARCH("%",K33)))</formula>
    </cfRule>
  </conditionalFormatting>
  <conditionalFormatting sqref="K33:K34">
    <cfRule type="containsText" dxfId="3067" priority="3077" operator="containsText" text="%">
      <formula>NOT(ISERROR(SEARCH("%",K33)))</formula>
    </cfRule>
  </conditionalFormatting>
  <conditionalFormatting sqref="K33:K34">
    <cfRule type="containsText" dxfId="3066" priority="3076" operator="containsText" text="%">
      <formula>NOT(ISERROR(SEARCH("%",K33)))</formula>
    </cfRule>
  </conditionalFormatting>
  <conditionalFormatting sqref="K33:K34">
    <cfRule type="containsText" dxfId="3065" priority="3073" operator="containsText" text="%">
      <formula>NOT(ISERROR(SEARCH("%",K33)))</formula>
    </cfRule>
  </conditionalFormatting>
  <conditionalFormatting sqref="K33:K34">
    <cfRule type="containsText" dxfId="3064" priority="3072" operator="containsText" text="%">
      <formula>NOT(ISERROR(SEARCH("%",K33)))</formula>
    </cfRule>
  </conditionalFormatting>
  <conditionalFormatting sqref="K33:K34">
    <cfRule type="containsText" dxfId="3063" priority="3071" operator="containsText" text="%">
      <formula>NOT(ISERROR(SEARCH("%",K33)))</formula>
    </cfRule>
  </conditionalFormatting>
  <conditionalFormatting sqref="K33:K34">
    <cfRule type="containsText" dxfId="3062" priority="3069" operator="containsText" text="%">
      <formula>NOT(ISERROR(SEARCH("%",K33)))</formula>
    </cfRule>
  </conditionalFormatting>
  <conditionalFormatting sqref="K33:K34">
    <cfRule type="containsText" dxfId="3061" priority="3067" operator="containsText" text="%">
      <formula>NOT(ISERROR(SEARCH("%",K33)))</formula>
    </cfRule>
  </conditionalFormatting>
  <conditionalFormatting sqref="K33:K34">
    <cfRule type="containsText" dxfId="3060" priority="3066" operator="containsText" text="%">
      <formula>NOT(ISERROR(SEARCH("%",K33)))</formula>
    </cfRule>
  </conditionalFormatting>
  <conditionalFormatting sqref="K33:K34">
    <cfRule type="containsText" dxfId="3059" priority="3065" operator="containsText" text="%">
      <formula>NOT(ISERROR(SEARCH("%",K33)))</formula>
    </cfRule>
  </conditionalFormatting>
  <conditionalFormatting sqref="K33:K34">
    <cfRule type="containsText" dxfId="3058" priority="3064" operator="containsText" text="%">
      <formula>NOT(ISERROR(SEARCH("%",K33)))</formula>
    </cfRule>
  </conditionalFormatting>
  <conditionalFormatting sqref="K33:K34">
    <cfRule type="containsText" dxfId="3057" priority="3063" operator="containsText" text="%">
      <formula>NOT(ISERROR(SEARCH("%",K33)))</formula>
    </cfRule>
  </conditionalFormatting>
  <conditionalFormatting sqref="K33:K34">
    <cfRule type="containsText" dxfId="3056" priority="3062" operator="containsText" text="%">
      <formula>NOT(ISERROR(SEARCH("%",K33)))</formula>
    </cfRule>
  </conditionalFormatting>
  <conditionalFormatting sqref="K33:K34">
    <cfRule type="containsText" dxfId="3055" priority="3061" operator="containsText" text="%">
      <formula>NOT(ISERROR(SEARCH("%",K33)))</formula>
    </cfRule>
  </conditionalFormatting>
  <conditionalFormatting sqref="K33:K34">
    <cfRule type="containsText" dxfId="3054" priority="3060" operator="containsText" text="%">
      <formula>NOT(ISERROR(SEARCH("%",K33)))</formula>
    </cfRule>
  </conditionalFormatting>
  <conditionalFormatting sqref="K33:K34">
    <cfRule type="containsText" dxfId="3053" priority="3059" operator="containsText" text="%">
      <formula>NOT(ISERROR(SEARCH("%",K33)))</formula>
    </cfRule>
  </conditionalFormatting>
  <conditionalFormatting sqref="K33:K34">
    <cfRule type="containsText" dxfId="3052" priority="3058" operator="containsText" text="%">
      <formula>NOT(ISERROR(SEARCH("%",K33)))</formula>
    </cfRule>
  </conditionalFormatting>
  <conditionalFormatting sqref="K34">
    <cfRule type="containsText" dxfId="3051" priority="3057" operator="containsText" text="%">
      <formula>NOT(ISERROR(SEARCH("%",K34)))</formula>
    </cfRule>
  </conditionalFormatting>
  <conditionalFormatting sqref="K34">
    <cfRule type="containsText" dxfId="3050" priority="3056" operator="containsText" text="%">
      <formula>NOT(ISERROR(SEARCH("%",K34)))</formula>
    </cfRule>
  </conditionalFormatting>
  <conditionalFormatting sqref="K34">
    <cfRule type="containsText" dxfId="3049" priority="3055" operator="containsText" text="%">
      <formula>NOT(ISERROR(SEARCH("%",K34)))</formula>
    </cfRule>
  </conditionalFormatting>
  <conditionalFormatting sqref="K34">
    <cfRule type="containsText" dxfId="3048" priority="3054" operator="containsText" text="%">
      <formula>NOT(ISERROR(SEARCH("%",K34)))</formula>
    </cfRule>
  </conditionalFormatting>
  <conditionalFormatting sqref="K33:K34">
    <cfRule type="containsText" dxfId="3047" priority="3053" operator="containsText" text="%">
      <formula>NOT(ISERROR(SEARCH("%",K33)))</formula>
    </cfRule>
  </conditionalFormatting>
  <conditionalFormatting sqref="K33:K34">
    <cfRule type="containsText" dxfId="3046" priority="3052" operator="containsText" text="%">
      <formula>NOT(ISERROR(SEARCH("%",K33)))</formula>
    </cfRule>
  </conditionalFormatting>
  <conditionalFormatting sqref="K33:K34">
    <cfRule type="containsText" dxfId="3045" priority="3051" operator="containsText" text="%">
      <formula>NOT(ISERROR(SEARCH("%",K33)))</formula>
    </cfRule>
  </conditionalFormatting>
  <conditionalFormatting sqref="K33:K34">
    <cfRule type="containsText" dxfId="3044" priority="3050" operator="containsText" text="%">
      <formula>NOT(ISERROR(SEARCH("%",K33)))</formula>
    </cfRule>
  </conditionalFormatting>
  <conditionalFormatting sqref="K33:K34">
    <cfRule type="containsText" dxfId="3043" priority="3049" operator="containsText" text="%">
      <formula>NOT(ISERROR(SEARCH("%",K33)))</formula>
    </cfRule>
  </conditionalFormatting>
  <conditionalFormatting sqref="K33:K34">
    <cfRule type="containsText" dxfId="3042" priority="3048" operator="containsText" text="%">
      <formula>NOT(ISERROR(SEARCH("%",K33)))</formula>
    </cfRule>
  </conditionalFormatting>
  <conditionalFormatting sqref="K33:K34">
    <cfRule type="containsText" dxfId="3041" priority="3047" operator="containsText" text="%">
      <formula>NOT(ISERROR(SEARCH("%",K33)))</formula>
    </cfRule>
  </conditionalFormatting>
  <conditionalFormatting sqref="K33:K34">
    <cfRule type="containsText" dxfId="3040" priority="3046" operator="containsText" text="%">
      <formula>NOT(ISERROR(SEARCH("%",K33)))</formula>
    </cfRule>
  </conditionalFormatting>
  <conditionalFormatting sqref="K33:K34">
    <cfRule type="containsText" dxfId="3039" priority="3045" operator="containsText" text="%">
      <formula>NOT(ISERROR(SEARCH("%",K33)))</formula>
    </cfRule>
  </conditionalFormatting>
  <conditionalFormatting sqref="K33:K34">
    <cfRule type="containsText" dxfId="3038" priority="3044" operator="containsText" text="%">
      <formula>NOT(ISERROR(SEARCH("%",K33)))</formula>
    </cfRule>
  </conditionalFormatting>
  <conditionalFormatting sqref="K34">
    <cfRule type="containsText" dxfId="3037" priority="3043" operator="containsText" text="%">
      <formula>NOT(ISERROR(SEARCH("%",K34)))</formula>
    </cfRule>
  </conditionalFormatting>
  <conditionalFormatting sqref="K34">
    <cfRule type="containsText" dxfId="3036" priority="3042" operator="containsText" text="%">
      <formula>NOT(ISERROR(SEARCH("%",K34)))</formula>
    </cfRule>
  </conditionalFormatting>
  <conditionalFormatting sqref="K34">
    <cfRule type="containsText" dxfId="3035" priority="3041" operator="containsText" text="%">
      <formula>NOT(ISERROR(SEARCH("%",K34)))</formula>
    </cfRule>
  </conditionalFormatting>
  <conditionalFormatting sqref="K34">
    <cfRule type="containsText" dxfId="3034" priority="3040" operator="containsText" text="%">
      <formula>NOT(ISERROR(SEARCH("%",K34)))</formula>
    </cfRule>
  </conditionalFormatting>
  <conditionalFormatting sqref="K33:K34">
    <cfRule type="containsText" dxfId="3033" priority="3039" operator="containsText" text="%">
      <formula>NOT(ISERROR(SEARCH("%",K33)))</formula>
    </cfRule>
  </conditionalFormatting>
  <conditionalFormatting sqref="K33:K34">
    <cfRule type="containsText" dxfId="3032" priority="3038" operator="containsText" text="%">
      <formula>NOT(ISERROR(SEARCH("%",K33)))</formula>
    </cfRule>
  </conditionalFormatting>
  <conditionalFormatting sqref="K33:K34">
    <cfRule type="containsText" dxfId="3031" priority="3037" operator="containsText" text="%">
      <formula>NOT(ISERROR(SEARCH("%",K33)))</formula>
    </cfRule>
  </conditionalFormatting>
  <conditionalFormatting sqref="K33:K34">
    <cfRule type="containsText" dxfId="3030" priority="3036" operator="containsText" text="%">
      <formula>NOT(ISERROR(SEARCH("%",K33)))</formula>
    </cfRule>
  </conditionalFormatting>
  <conditionalFormatting sqref="K33:K34">
    <cfRule type="containsText" dxfId="3029" priority="3035" operator="containsText" text="%">
      <formula>NOT(ISERROR(SEARCH("%",K33)))</formula>
    </cfRule>
  </conditionalFormatting>
  <conditionalFormatting sqref="K33:K34">
    <cfRule type="containsText" dxfId="3028" priority="3034" operator="containsText" text="%">
      <formula>NOT(ISERROR(SEARCH("%",K33)))</formula>
    </cfRule>
  </conditionalFormatting>
  <conditionalFormatting sqref="K34">
    <cfRule type="containsText" dxfId="3027" priority="3033" operator="containsText" text="%">
      <formula>NOT(ISERROR(SEARCH("%",K34)))</formula>
    </cfRule>
  </conditionalFormatting>
  <conditionalFormatting sqref="K34">
    <cfRule type="containsText" dxfId="3026" priority="3032" operator="containsText" text="%">
      <formula>NOT(ISERROR(SEARCH("%",K34)))</formula>
    </cfRule>
  </conditionalFormatting>
  <conditionalFormatting sqref="K34">
    <cfRule type="containsText" dxfId="3025" priority="3031" operator="containsText" text="%">
      <formula>NOT(ISERROR(SEARCH("%",K34)))</formula>
    </cfRule>
  </conditionalFormatting>
  <conditionalFormatting sqref="K34">
    <cfRule type="containsText" dxfId="3024" priority="3030" operator="containsText" text="%">
      <formula>NOT(ISERROR(SEARCH("%",K34)))</formula>
    </cfRule>
  </conditionalFormatting>
  <conditionalFormatting sqref="K33:K34">
    <cfRule type="containsText" dxfId="3023" priority="3014" operator="containsText" text="%">
      <formula>NOT(ISERROR(SEARCH("%",K33)))</formula>
    </cfRule>
  </conditionalFormatting>
  <conditionalFormatting sqref="K33:K34">
    <cfRule type="containsText" dxfId="3022" priority="3013" operator="containsText" text="%">
      <formula>NOT(ISERROR(SEARCH("%",K33)))</formula>
    </cfRule>
  </conditionalFormatting>
  <conditionalFormatting sqref="K33:K34">
    <cfRule type="containsText" dxfId="3021" priority="3009" operator="containsText" text="%">
      <formula>NOT(ISERROR(SEARCH("%",K33)))</formula>
    </cfRule>
  </conditionalFormatting>
  <conditionalFormatting sqref="K33:K34">
    <cfRule type="containsText" dxfId="3020" priority="3029" operator="containsText" text="%">
      <formula>NOT(ISERROR(SEARCH("%",K33)))</formula>
    </cfRule>
  </conditionalFormatting>
  <conditionalFormatting sqref="K33">
    <cfRule type="containsText" dxfId="3019" priority="3028" operator="containsText" text="%">
      <formula>NOT(ISERROR(SEARCH("%",K33)))</formula>
    </cfRule>
  </conditionalFormatting>
  <conditionalFormatting sqref="K33">
    <cfRule type="containsText" dxfId="3018" priority="3027" operator="containsText" text="%">
      <formula>NOT(ISERROR(SEARCH("%",K33)))</formula>
    </cfRule>
  </conditionalFormatting>
  <conditionalFormatting sqref="K33:K34">
    <cfRule type="containsText" dxfId="3017" priority="3007" operator="containsText" text="%">
      <formula>NOT(ISERROR(SEARCH("%",K33)))</formula>
    </cfRule>
  </conditionalFormatting>
  <conditionalFormatting sqref="K33:K34">
    <cfRule type="containsText" dxfId="3016" priority="3026" operator="containsText" text="%">
      <formula>NOT(ISERROR(SEARCH("%",K33)))</formula>
    </cfRule>
  </conditionalFormatting>
  <conditionalFormatting sqref="K33:K34">
    <cfRule type="containsText" dxfId="3015" priority="3025" operator="containsText" text="%">
      <formula>NOT(ISERROR(SEARCH("%",K33)))</formula>
    </cfRule>
  </conditionalFormatting>
  <conditionalFormatting sqref="K33:K34">
    <cfRule type="containsText" dxfId="3014" priority="3024" operator="containsText" text="%">
      <formula>NOT(ISERROR(SEARCH("%",K33)))</formula>
    </cfRule>
  </conditionalFormatting>
  <conditionalFormatting sqref="K33:K34">
    <cfRule type="containsText" dxfId="3013" priority="3023" operator="containsText" text="%">
      <formula>NOT(ISERROR(SEARCH("%",K33)))</formula>
    </cfRule>
  </conditionalFormatting>
  <conditionalFormatting sqref="K33:K34">
    <cfRule type="containsText" dxfId="3012" priority="3022" operator="containsText" text="%">
      <formula>NOT(ISERROR(SEARCH("%",K33)))</formula>
    </cfRule>
  </conditionalFormatting>
  <conditionalFormatting sqref="K33:K34">
    <cfRule type="containsText" dxfId="3011" priority="3021" operator="containsText" text="%">
      <formula>NOT(ISERROR(SEARCH("%",K33)))</formula>
    </cfRule>
  </conditionalFormatting>
  <conditionalFormatting sqref="K33:K34">
    <cfRule type="containsText" dxfId="3010" priority="3020" operator="containsText" text="%">
      <formula>NOT(ISERROR(SEARCH("%",K33)))</formula>
    </cfRule>
  </conditionalFormatting>
  <conditionalFormatting sqref="K33:K34">
    <cfRule type="containsText" dxfId="3009" priority="3019" operator="containsText" text="%">
      <formula>NOT(ISERROR(SEARCH("%",K33)))</formula>
    </cfRule>
  </conditionalFormatting>
  <conditionalFormatting sqref="K33:K34">
    <cfRule type="containsText" dxfId="3008" priority="3018" operator="containsText" text="%">
      <formula>NOT(ISERROR(SEARCH("%",K33)))</formula>
    </cfRule>
  </conditionalFormatting>
  <conditionalFormatting sqref="K33:K34">
    <cfRule type="containsText" dxfId="3007" priority="3017" operator="containsText" text="%">
      <formula>NOT(ISERROR(SEARCH("%",K33)))</formula>
    </cfRule>
  </conditionalFormatting>
  <conditionalFormatting sqref="K33:K34">
    <cfRule type="containsText" dxfId="3006" priority="3016" operator="containsText" text="%">
      <formula>NOT(ISERROR(SEARCH("%",K33)))</formula>
    </cfRule>
  </conditionalFormatting>
  <conditionalFormatting sqref="K33:K34">
    <cfRule type="containsText" dxfId="3005" priority="3015" operator="containsText" text="%">
      <formula>NOT(ISERROR(SEARCH("%",K33)))</formula>
    </cfRule>
  </conditionalFormatting>
  <conditionalFormatting sqref="K33:K34">
    <cfRule type="containsText" dxfId="3004" priority="3012" operator="containsText" text="%">
      <formula>NOT(ISERROR(SEARCH("%",K33)))</formula>
    </cfRule>
  </conditionalFormatting>
  <conditionalFormatting sqref="K33:K34">
    <cfRule type="containsText" dxfId="3003" priority="3011" operator="containsText" text="%">
      <formula>NOT(ISERROR(SEARCH("%",K33)))</formula>
    </cfRule>
  </conditionalFormatting>
  <conditionalFormatting sqref="K33:K34">
    <cfRule type="containsText" dxfId="3002" priority="3010" operator="containsText" text="%">
      <formula>NOT(ISERROR(SEARCH("%",K33)))</formula>
    </cfRule>
  </conditionalFormatting>
  <conditionalFormatting sqref="K33:K34">
    <cfRule type="containsText" dxfId="3001" priority="3008" operator="containsText" text="%">
      <formula>NOT(ISERROR(SEARCH("%",K33)))</formula>
    </cfRule>
  </conditionalFormatting>
  <conditionalFormatting sqref="K33:K34">
    <cfRule type="containsText" dxfId="3000" priority="3006" operator="containsText" text="%">
      <formula>NOT(ISERROR(SEARCH("%",K33)))</formula>
    </cfRule>
  </conditionalFormatting>
  <conditionalFormatting sqref="K33:K34">
    <cfRule type="containsText" dxfId="2999" priority="3005" operator="containsText" text="%">
      <formula>NOT(ISERROR(SEARCH("%",K33)))</formula>
    </cfRule>
  </conditionalFormatting>
  <conditionalFormatting sqref="K33:K34">
    <cfRule type="containsText" dxfId="2998" priority="3004" operator="containsText" text="%">
      <formula>NOT(ISERROR(SEARCH("%",K33)))</formula>
    </cfRule>
  </conditionalFormatting>
  <conditionalFormatting sqref="K33:K34">
    <cfRule type="containsText" dxfId="2997" priority="3003" operator="containsText" text="%">
      <formula>NOT(ISERROR(SEARCH("%",K33)))</formula>
    </cfRule>
  </conditionalFormatting>
  <conditionalFormatting sqref="K33:K34">
    <cfRule type="containsText" dxfId="2996" priority="3002" operator="containsText" text="%">
      <formula>NOT(ISERROR(SEARCH("%",K33)))</formula>
    </cfRule>
  </conditionalFormatting>
  <conditionalFormatting sqref="K33:K34">
    <cfRule type="containsText" dxfId="2995" priority="3001" operator="containsText" text="%">
      <formula>NOT(ISERROR(SEARCH("%",K33)))</formula>
    </cfRule>
  </conditionalFormatting>
  <conditionalFormatting sqref="K33:K34">
    <cfRule type="containsText" dxfId="2994" priority="3000" operator="containsText" text="%">
      <formula>NOT(ISERROR(SEARCH("%",K33)))</formula>
    </cfRule>
  </conditionalFormatting>
  <conditionalFormatting sqref="K33:K34">
    <cfRule type="containsText" dxfId="2993" priority="2999" operator="containsText" text="%">
      <formula>NOT(ISERROR(SEARCH("%",K33)))</formula>
    </cfRule>
  </conditionalFormatting>
  <conditionalFormatting sqref="K33:K34">
    <cfRule type="containsText" dxfId="2992" priority="2998" operator="containsText" text="%">
      <formula>NOT(ISERROR(SEARCH("%",K33)))</formula>
    </cfRule>
  </conditionalFormatting>
  <conditionalFormatting sqref="K33:K34">
    <cfRule type="containsText" dxfId="2991" priority="2997" operator="containsText" text="%">
      <formula>NOT(ISERROR(SEARCH("%",K33)))</formula>
    </cfRule>
  </conditionalFormatting>
  <conditionalFormatting sqref="K34">
    <cfRule type="containsText" dxfId="2990" priority="2996" operator="containsText" text="%">
      <formula>NOT(ISERROR(SEARCH("%",K34)))</formula>
    </cfRule>
  </conditionalFormatting>
  <conditionalFormatting sqref="K34">
    <cfRule type="containsText" dxfId="2989" priority="2995" operator="containsText" text="%">
      <formula>NOT(ISERROR(SEARCH("%",K34)))</formula>
    </cfRule>
  </conditionalFormatting>
  <conditionalFormatting sqref="K34">
    <cfRule type="containsText" dxfId="2988" priority="2994" operator="containsText" text="%">
      <formula>NOT(ISERROR(SEARCH("%",K34)))</formula>
    </cfRule>
  </conditionalFormatting>
  <conditionalFormatting sqref="K34">
    <cfRule type="containsText" dxfId="2987" priority="2993" operator="containsText" text="%">
      <formula>NOT(ISERROR(SEARCH("%",K34)))</formula>
    </cfRule>
  </conditionalFormatting>
  <conditionalFormatting sqref="K33:K34">
    <cfRule type="containsText" dxfId="2986" priority="2992" operator="containsText" text="%">
      <formula>NOT(ISERROR(SEARCH("%",K33)))</formula>
    </cfRule>
  </conditionalFormatting>
  <conditionalFormatting sqref="K33:K34">
    <cfRule type="containsText" dxfId="2985" priority="2991" operator="containsText" text="%">
      <formula>NOT(ISERROR(SEARCH("%",K33)))</formula>
    </cfRule>
  </conditionalFormatting>
  <conditionalFormatting sqref="K33:K34">
    <cfRule type="containsText" dxfId="2984" priority="2990" operator="containsText" text="%">
      <formula>NOT(ISERROR(SEARCH("%",K33)))</formula>
    </cfRule>
  </conditionalFormatting>
  <conditionalFormatting sqref="K33:K34">
    <cfRule type="containsText" dxfId="2983" priority="2989" operator="containsText" text="%">
      <formula>NOT(ISERROR(SEARCH("%",K33)))</formula>
    </cfRule>
  </conditionalFormatting>
  <conditionalFormatting sqref="K33:K34">
    <cfRule type="containsText" dxfId="2982" priority="2988" operator="containsText" text="%">
      <formula>NOT(ISERROR(SEARCH("%",K33)))</formula>
    </cfRule>
  </conditionalFormatting>
  <conditionalFormatting sqref="K33:K34">
    <cfRule type="containsText" dxfId="2981" priority="2987" operator="containsText" text="%">
      <formula>NOT(ISERROR(SEARCH("%",K33)))</formula>
    </cfRule>
  </conditionalFormatting>
  <conditionalFormatting sqref="K33:K34">
    <cfRule type="containsText" dxfId="2980" priority="2986" operator="containsText" text="%">
      <formula>NOT(ISERROR(SEARCH("%",K33)))</formula>
    </cfRule>
  </conditionalFormatting>
  <conditionalFormatting sqref="K33:K34">
    <cfRule type="containsText" dxfId="2979" priority="2985" operator="containsText" text="%">
      <formula>NOT(ISERROR(SEARCH("%",K33)))</formula>
    </cfRule>
  </conditionalFormatting>
  <conditionalFormatting sqref="K33:K34">
    <cfRule type="containsText" dxfId="2978" priority="2984" operator="containsText" text="%">
      <formula>NOT(ISERROR(SEARCH("%",K33)))</formula>
    </cfRule>
  </conditionalFormatting>
  <conditionalFormatting sqref="K33:K34">
    <cfRule type="containsText" dxfId="2977" priority="2983" operator="containsText" text="%">
      <formula>NOT(ISERROR(SEARCH("%",K33)))</formula>
    </cfRule>
  </conditionalFormatting>
  <conditionalFormatting sqref="K34">
    <cfRule type="containsText" dxfId="2976" priority="2982" operator="containsText" text="%">
      <formula>NOT(ISERROR(SEARCH("%",K34)))</formula>
    </cfRule>
  </conditionalFormatting>
  <conditionalFormatting sqref="K34">
    <cfRule type="containsText" dxfId="2975" priority="2981" operator="containsText" text="%">
      <formula>NOT(ISERROR(SEARCH("%",K34)))</formula>
    </cfRule>
  </conditionalFormatting>
  <conditionalFormatting sqref="K34">
    <cfRule type="containsText" dxfId="2974" priority="2980" operator="containsText" text="%">
      <formula>NOT(ISERROR(SEARCH("%",K34)))</formula>
    </cfRule>
  </conditionalFormatting>
  <conditionalFormatting sqref="K34">
    <cfRule type="containsText" dxfId="2973" priority="2979" operator="containsText" text="%">
      <formula>NOT(ISERROR(SEARCH("%",K34)))</formula>
    </cfRule>
  </conditionalFormatting>
  <conditionalFormatting sqref="K33">
    <cfRule type="containsText" dxfId="2972" priority="2978" operator="containsText" text="%">
      <formula>NOT(ISERROR(SEARCH("%",K33)))</formula>
    </cfRule>
  </conditionalFormatting>
  <conditionalFormatting sqref="K33">
    <cfRule type="containsText" dxfId="2971" priority="2977" operator="containsText" text="%">
      <formula>NOT(ISERROR(SEARCH("%",K33)))</formula>
    </cfRule>
  </conditionalFormatting>
  <conditionalFormatting sqref="K33">
    <cfRule type="containsText" dxfId="2970" priority="2976" operator="containsText" text="%">
      <formula>NOT(ISERROR(SEARCH("%",K33)))</formula>
    </cfRule>
  </conditionalFormatting>
  <conditionalFormatting sqref="K33">
    <cfRule type="containsText" dxfId="2969" priority="2975" operator="containsText" text="%">
      <formula>NOT(ISERROR(SEARCH("%",K33)))</formula>
    </cfRule>
  </conditionalFormatting>
  <conditionalFormatting sqref="K33">
    <cfRule type="containsText" dxfId="2968" priority="2974" operator="containsText" text="%">
      <formula>NOT(ISERROR(SEARCH("%",K33)))</formula>
    </cfRule>
  </conditionalFormatting>
  <conditionalFormatting sqref="K33">
    <cfRule type="containsText" dxfId="2967" priority="2973" operator="containsText" text="%">
      <formula>NOT(ISERROR(SEARCH("%",K33)))</formula>
    </cfRule>
  </conditionalFormatting>
  <conditionalFormatting sqref="K34">
    <cfRule type="containsText" dxfId="2966" priority="2972" operator="containsText" text="%">
      <formula>NOT(ISERROR(SEARCH("%",K34)))</formula>
    </cfRule>
  </conditionalFormatting>
  <conditionalFormatting sqref="K34">
    <cfRule type="containsText" dxfId="2965" priority="2971" operator="containsText" text="%">
      <formula>NOT(ISERROR(SEARCH("%",K34)))</formula>
    </cfRule>
  </conditionalFormatting>
  <conditionalFormatting sqref="K34">
    <cfRule type="containsText" dxfId="2964" priority="2970" operator="containsText" text="%">
      <formula>NOT(ISERROR(SEARCH("%",K34)))</formula>
    </cfRule>
  </conditionalFormatting>
  <conditionalFormatting sqref="K34">
    <cfRule type="containsText" dxfId="2963" priority="2969" operator="containsText" text="%">
      <formula>NOT(ISERROR(SEARCH("%",K34)))</formula>
    </cfRule>
  </conditionalFormatting>
  <conditionalFormatting sqref="K34">
    <cfRule type="containsText" dxfId="2962" priority="2968" operator="containsText" text="%">
      <formula>NOT(ISERROR(SEARCH("%",K34)))</formula>
    </cfRule>
  </conditionalFormatting>
  <conditionalFormatting sqref="K34">
    <cfRule type="containsText" dxfId="2961" priority="2967" operator="containsText" text="%">
      <formula>NOT(ISERROR(SEARCH("%",K34)))</formula>
    </cfRule>
  </conditionalFormatting>
  <conditionalFormatting sqref="K34">
    <cfRule type="containsText" dxfId="2960" priority="2966" operator="containsText" text="%">
      <formula>NOT(ISERROR(SEARCH("%",K34)))</formula>
    </cfRule>
  </conditionalFormatting>
  <conditionalFormatting sqref="K34">
    <cfRule type="containsText" dxfId="2959" priority="2965" operator="containsText" text="%">
      <formula>NOT(ISERROR(SEARCH("%",K34)))</formula>
    </cfRule>
  </conditionalFormatting>
  <conditionalFormatting sqref="K34">
    <cfRule type="containsText" dxfId="2958" priority="2964" operator="containsText" text="%">
      <formula>NOT(ISERROR(SEARCH("%",K34)))</formula>
    </cfRule>
  </conditionalFormatting>
  <conditionalFormatting sqref="K34">
    <cfRule type="containsText" dxfId="2957" priority="2963" operator="containsText" text="%">
      <formula>NOT(ISERROR(SEARCH("%",K34)))</formula>
    </cfRule>
  </conditionalFormatting>
  <conditionalFormatting sqref="K34">
    <cfRule type="containsText" dxfId="2956" priority="2949" operator="containsText" text="%">
      <formula>NOT(ISERROR(SEARCH("%",K34)))</formula>
    </cfRule>
  </conditionalFormatting>
  <conditionalFormatting sqref="K34">
    <cfRule type="containsText" dxfId="2955" priority="2948" operator="containsText" text="%">
      <formula>NOT(ISERROR(SEARCH("%",K34)))</formula>
    </cfRule>
  </conditionalFormatting>
  <conditionalFormatting sqref="K34">
    <cfRule type="containsText" dxfId="2954" priority="2944" operator="containsText" text="%">
      <formula>NOT(ISERROR(SEARCH("%",K34)))</formula>
    </cfRule>
  </conditionalFormatting>
  <conditionalFormatting sqref="K34">
    <cfRule type="containsText" dxfId="2953" priority="2962" operator="containsText" text="%">
      <formula>NOT(ISERROR(SEARCH("%",K34)))</formula>
    </cfRule>
  </conditionalFormatting>
  <conditionalFormatting sqref="K34">
    <cfRule type="containsText" dxfId="2952" priority="2942" operator="containsText" text="%">
      <formula>NOT(ISERROR(SEARCH("%",K34)))</formula>
    </cfRule>
  </conditionalFormatting>
  <conditionalFormatting sqref="K34">
    <cfRule type="containsText" dxfId="2951" priority="2961" operator="containsText" text="%">
      <formula>NOT(ISERROR(SEARCH("%",K34)))</formula>
    </cfRule>
  </conditionalFormatting>
  <conditionalFormatting sqref="K34">
    <cfRule type="containsText" dxfId="2950" priority="2960" operator="containsText" text="%">
      <formula>NOT(ISERROR(SEARCH("%",K34)))</formula>
    </cfRule>
  </conditionalFormatting>
  <conditionalFormatting sqref="K34">
    <cfRule type="containsText" dxfId="2949" priority="2959" operator="containsText" text="%">
      <formula>NOT(ISERROR(SEARCH("%",K34)))</formula>
    </cfRule>
  </conditionalFormatting>
  <conditionalFormatting sqref="K34">
    <cfRule type="containsText" dxfId="2948" priority="2958" operator="containsText" text="%">
      <formula>NOT(ISERROR(SEARCH("%",K34)))</formula>
    </cfRule>
  </conditionalFormatting>
  <conditionalFormatting sqref="K34">
    <cfRule type="containsText" dxfId="2947" priority="2957" operator="containsText" text="%">
      <formula>NOT(ISERROR(SEARCH("%",K34)))</formula>
    </cfRule>
  </conditionalFormatting>
  <conditionalFormatting sqref="K34">
    <cfRule type="containsText" dxfId="2946" priority="2956" operator="containsText" text="%">
      <formula>NOT(ISERROR(SEARCH("%",K34)))</formula>
    </cfRule>
  </conditionalFormatting>
  <conditionalFormatting sqref="K34">
    <cfRule type="containsText" dxfId="2945" priority="2955" operator="containsText" text="%">
      <formula>NOT(ISERROR(SEARCH("%",K34)))</formula>
    </cfRule>
  </conditionalFormatting>
  <conditionalFormatting sqref="K34">
    <cfRule type="containsText" dxfId="2944" priority="2954" operator="containsText" text="%">
      <formula>NOT(ISERROR(SEARCH("%",K34)))</formula>
    </cfRule>
  </conditionalFormatting>
  <conditionalFormatting sqref="K34">
    <cfRule type="containsText" dxfId="2943" priority="2953" operator="containsText" text="%">
      <formula>NOT(ISERROR(SEARCH("%",K34)))</formula>
    </cfRule>
  </conditionalFormatting>
  <conditionalFormatting sqref="K34">
    <cfRule type="containsText" dxfId="2942" priority="2952" operator="containsText" text="%">
      <formula>NOT(ISERROR(SEARCH("%",K34)))</formula>
    </cfRule>
  </conditionalFormatting>
  <conditionalFormatting sqref="K34">
    <cfRule type="containsText" dxfId="2941" priority="2951" operator="containsText" text="%">
      <formula>NOT(ISERROR(SEARCH("%",K34)))</formula>
    </cfRule>
  </conditionalFormatting>
  <conditionalFormatting sqref="K34">
    <cfRule type="containsText" dxfId="2940" priority="2950" operator="containsText" text="%">
      <formula>NOT(ISERROR(SEARCH("%",K34)))</formula>
    </cfRule>
  </conditionalFormatting>
  <conditionalFormatting sqref="K34">
    <cfRule type="containsText" dxfId="2939" priority="2947" operator="containsText" text="%">
      <formula>NOT(ISERROR(SEARCH("%",K34)))</formula>
    </cfRule>
  </conditionalFormatting>
  <conditionalFormatting sqref="K34">
    <cfRule type="containsText" dxfId="2938" priority="2946" operator="containsText" text="%">
      <formula>NOT(ISERROR(SEARCH("%",K34)))</formula>
    </cfRule>
  </conditionalFormatting>
  <conditionalFormatting sqref="K34">
    <cfRule type="containsText" dxfId="2937" priority="2945" operator="containsText" text="%">
      <formula>NOT(ISERROR(SEARCH("%",K34)))</formula>
    </cfRule>
  </conditionalFormatting>
  <conditionalFormatting sqref="K34">
    <cfRule type="containsText" dxfId="2936" priority="2943" operator="containsText" text="%">
      <formula>NOT(ISERROR(SEARCH("%",K34)))</formula>
    </cfRule>
  </conditionalFormatting>
  <conditionalFormatting sqref="K34">
    <cfRule type="containsText" dxfId="2935" priority="2941" operator="containsText" text="%">
      <formula>NOT(ISERROR(SEARCH("%",K34)))</formula>
    </cfRule>
  </conditionalFormatting>
  <conditionalFormatting sqref="K34">
    <cfRule type="containsText" dxfId="2934" priority="2940" operator="containsText" text="%">
      <formula>NOT(ISERROR(SEARCH("%",K34)))</formula>
    </cfRule>
  </conditionalFormatting>
  <conditionalFormatting sqref="K34">
    <cfRule type="containsText" dxfId="2933" priority="2939" operator="containsText" text="%">
      <formula>NOT(ISERROR(SEARCH("%",K34)))</formula>
    </cfRule>
  </conditionalFormatting>
  <conditionalFormatting sqref="K34">
    <cfRule type="containsText" dxfId="2932" priority="2938" operator="containsText" text="%">
      <formula>NOT(ISERROR(SEARCH("%",K34)))</formula>
    </cfRule>
  </conditionalFormatting>
  <conditionalFormatting sqref="K34">
    <cfRule type="containsText" dxfId="2931" priority="2937" operator="containsText" text="%">
      <formula>NOT(ISERROR(SEARCH("%",K34)))</formula>
    </cfRule>
  </conditionalFormatting>
  <conditionalFormatting sqref="K34">
    <cfRule type="containsText" dxfId="2930" priority="2936" operator="containsText" text="%">
      <formula>NOT(ISERROR(SEARCH("%",K34)))</formula>
    </cfRule>
  </conditionalFormatting>
  <conditionalFormatting sqref="K34">
    <cfRule type="containsText" dxfId="2929" priority="2935" operator="containsText" text="%">
      <formula>NOT(ISERROR(SEARCH("%",K34)))</formula>
    </cfRule>
  </conditionalFormatting>
  <conditionalFormatting sqref="K34">
    <cfRule type="containsText" dxfId="2928" priority="2934" operator="containsText" text="%">
      <formula>NOT(ISERROR(SEARCH("%",K34)))</formula>
    </cfRule>
  </conditionalFormatting>
  <conditionalFormatting sqref="K34">
    <cfRule type="containsText" dxfId="2927" priority="2933" operator="containsText" text="%">
      <formula>NOT(ISERROR(SEARCH("%",K34)))</formula>
    </cfRule>
  </conditionalFormatting>
  <conditionalFormatting sqref="K34">
    <cfRule type="containsText" dxfId="2926" priority="2932" operator="containsText" text="%">
      <formula>NOT(ISERROR(SEARCH("%",K34)))</formula>
    </cfRule>
  </conditionalFormatting>
  <conditionalFormatting sqref="K34">
    <cfRule type="containsText" dxfId="2925" priority="2931" operator="containsText" text="%">
      <formula>NOT(ISERROR(SEARCH("%",K34)))</formula>
    </cfRule>
  </conditionalFormatting>
  <conditionalFormatting sqref="K34">
    <cfRule type="containsText" dxfId="2924" priority="2930" operator="containsText" text="%">
      <formula>NOT(ISERROR(SEARCH("%",K34)))</formula>
    </cfRule>
  </conditionalFormatting>
  <conditionalFormatting sqref="K34">
    <cfRule type="containsText" dxfId="2923" priority="2929" operator="containsText" text="%">
      <formula>NOT(ISERROR(SEARCH("%",K34)))</formula>
    </cfRule>
  </conditionalFormatting>
  <conditionalFormatting sqref="K34">
    <cfRule type="containsText" dxfId="2922" priority="2928" operator="containsText" text="%">
      <formula>NOT(ISERROR(SEARCH("%",K34)))</formula>
    </cfRule>
  </conditionalFormatting>
  <conditionalFormatting sqref="K34">
    <cfRule type="containsText" dxfId="2921" priority="2927" operator="containsText" text="%">
      <formula>NOT(ISERROR(SEARCH("%",K34)))</formula>
    </cfRule>
  </conditionalFormatting>
  <conditionalFormatting sqref="K34">
    <cfRule type="containsText" dxfId="2920" priority="2926" operator="containsText" text="%">
      <formula>NOT(ISERROR(SEARCH("%",K34)))</formula>
    </cfRule>
  </conditionalFormatting>
  <conditionalFormatting sqref="K34">
    <cfRule type="containsText" dxfId="2919" priority="2925" operator="containsText" text="%">
      <formula>NOT(ISERROR(SEARCH("%",K34)))</formula>
    </cfRule>
  </conditionalFormatting>
  <conditionalFormatting sqref="K34">
    <cfRule type="containsText" dxfId="2918" priority="2924" operator="containsText" text="%">
      <formula>NOT(ISERROR(SEARCH("%",K34)))</formula>
    </cfRule>
  </conditionalFormatting>
  <conditionalFormatting sqref="K34">
    <cfRule type="containsText" dxfId="2917" priority="2923" operator="containsText" text="%">
      <formula>NOT(ISERROR(SEARCH("%",K34)))</formula>
    </cfRule>
  </conditionalFormatting>
  <conditionalFormatting sqref="K34">
    <cfRule type="containsText" dxfId="2916" priority="2922" operator="containsText" text="%">
      <formula>NOT(ISERROR(SEARCH("%",K34)))</formula>
    </cfRule>
  </conditionalFormatting>
  <conditionalFormatting sqref="K34">
    <cfRule type="containsText" dxfId="2915" priority="2921" operator="containsText" text="%">
      <formula>NOT(ISERROR(SEARCH("%",K34)))</formula>
    </cfRule>
  </conditionalFormatting>
  <conditionalFormatting sqref="K34">
    <cfRule type="containsText" dxfId="2914" priority="2920" operator="containsText" text="%">
      <formula>NOT(ISERROR(SEARCH("%",K34)))</formula>
    </cfRule>
  </conditionalFormatting>
  <conditionalFormatting sqref="K34">
    <cfRule type="containsText" dxfId="2913" priority="2919" operator="containsText" text="%">
      <formula>NOT(ISERROR(SEARCH("%",K34)))</formula>
    </cfRule>
  </conditionalFormatting>
  <conditionalFormatting sqref="K34">
    <cfRule type="containsText" dxfId="2912" priority="2918" operator="containsText" text="%">
      <formula>NOT(ISERROR(SEARCH("%",K34)))</formula>
    </cfRule>
  </conditionalFormatting>
  <conditionalFormatting sqref="K34">
    <cfRule type="containsText" dxfId="2911" priority="2917" operator="containsText" text="%">
      <formula>NOT(ISERROR(SEARCH("%",K34)))</formula>
    </cfRule>
  </conditionalFormatting>
  <conditionalFormatting sqref="K34">
    <cfRule type="containsText" dxfId="2910" priority="2916" operator="containsText" text="%">
      <formula>NOT(ISERROR(SEARCH("%",K34)))</formula>
    </cfRule>
  </conditionalFormatting>
  <conditionalFormatting sqref="K34">
    <cfRule type="containsText" dxfId="2909" priority="2915" operator="containsText" text="%">
      <formula>NOT(ISERROR(SEARCH("%",K34)))</formula>
    </cfRule>
  </conditionalFormatting>
  <conditionalFormatting sqref="K34">
    <cfRule type="containsText" dxfId="2908" priority="2914" operator="containsText" text="%">
      <formula>NOT(ISERROR(SEARCH("%",K34)))</formula>
    </cfRule>
  </conditionalFormatting>
  <conditionalFormatting sqref="L33:L34">
    <cfRule type="containsText" dxfId="2907" priority="2913" operator="containsText" text="%">
      <formula>NOT(ISERROR(SEARCH("%",L33)))</formula>
    </cfRule>
  </conditionalFormatting>
  <conditionalFormatting sqref="L33:L34">
    <cfRule type="containsText" dxfId="2906" priority="2912" operator="containsText" text="%">
      <formula>NOT(ISERROR(SEARCH("%",L33)))</formula>
    </cfRule>
  </conditionalFormatting>
  <conditionalFormatting sqref="L33:L34">
    <cfRule type="containsText" dxfId="2905" priority="2911" operator="containsText" text="%">
      <formula>NOT(ISERROR(SEARCH("%",L33)))</formula>
    </cfRule>
  </conditionalFormatting>
  <conditionalFormatting sqref="L33:L34">
    <cfRule type="containsText" dxfId="2904" priority="2910" operator="containsText" text="%">
      <formula>NOT(ISERROR(SEARCH("%",L33)))</formula>
    </cfRule>
  </conditionalFormatting>
  <conditionalFormatting sqref="L33:L34">
    <cfRule type="containsText" dxfId="2903" priority="2909" operator="containsText" text="%">
      <formula>NOT(ISERROR(SEARCH("%",L33)))</formula>
    </cfRule>
  </conditionalFormatting>
  <conditionalFormatting sqref="L33:L34">
    <cfRule type="containsText" dxfId="2902" priority="2908" operator="containsText" text="%">
      <formula>NOT(ISERROR(SEARCH("%",L33)))</formula>
    </cfRule>
  </conditionalFormatting>
  <conditionalFormatting sqref="L33:L34">
    <cfRule type="containsText" dxfId="2901" priority="2892" operator="containsText" text="%">
      <formula>NOT(ISERROR(SEARCH("%",L33)))</formula>
    </cfRule>
  </conditionalFormatting>
  <conditionalFormatting sqref="L33:L34">
    <cfRule type="containsText" dxfId="2900" priority="2891" operator="containsText" text="%">
      <formula>NOT(ISERROR(SEARCH("%",L33)))</formula>
    </cfRule>
  </conditionalFormatting>
  <conditionalFormatting sqref="L33:L34">
    <cfRule type="containsText" dxfId="2899" priority="2887" operator="containsText" text="%">
      <formula>NOT(ISERROR(SEARCH("%",L33)))</formula>
    </cfRule>
  </conditionalFormatting>
  <conditionalFormatting sqref="L33:L34">
    <cfRule type="containsText" dxfId="2898" priority="2907" operator="containsText" text="%">
      <formula>NOT(ISERROR(SEARCH("%",L33)))</formula>
    </cfRule>
  </conditionalFormatting>
  <conditionalFormatting sqref="L33">
    <cfRule type="containsText" dxfId="2897" priority="2906" operator="containsText" text="%">
      <formula>NOT(ISERROR(SEARCH("%",L33)))</formula>
    </cfRule>
  </conditionalFormatting>
  <conditionalFormatting sqref="L33">
    <cfRule type="containsText" dxfId="2896" priority="2905" operator="containsText" text="%">
      <formula>NOT(ISERROR(SEARCH("%",L33)))</formula>
    </cfRule>
  </conditionalFormatting>
  <conditionalFormatting sqref="L33:L34">
    <cfRule type="containsText" dxfId="2895" priority="2885" operator="containsText" text="%">
      <formula>NOT(ISERROR(SEARCH("%",L33)))</formula>
    </cfRule>
  </conditionalFormatting>
  <conditionalFormatting sqref="L33:L34">
    <cfRule type="containsText" dxfId="2894" priority="2904" operator="containsText" text="%">
      <formula>NOT(ISERROR(SEARCH("%",L33)))</formula>
    </cfRule>
  </conditionalFormatting>
  <conditionalFormatting sqref="L33:L34">
    <cfRule type="containsText" dxfId="2893" priority="2903" operator="containsText" text="%">
      <formula>NOT(ISERROR(SEARCH("%",L33)))</formula>
    </cfRule>
  </conditionalFormatting>
  <conditionalFormatting sqref="L33:L34">
    <cfRule type="containsText" dxfId="2892" priority="2902" operator="containsText" text="%">
      <formula>NOT(ISERROR(SEARCH("%",L33)))</formula>
    </cfRule>
  </conditionalFormatting>
  <conditionalFormatting sqref="L33:L34">
    <cfRule type="containsText" dxfId="2891" priority="2901" operator="containsText" text="%">
      <formula>NOT(ISERROR(SEARCH("%",L33)))</formula>
    </cfRule>
  </conditionalFormatting>
  <conditionalFormatting sqref="L33:L34">
    <cfRule type="containsText" dxfId="2890" priority="2900" operator="containsText" text="%">
      <formula>NOT(ISERROR(SEARCH("%",L33)))</formula>
    </cfRule>
  </conditionalFormatting>
  <conditionalFormatting sqref="L33:L34">
    <cfRule type="containsText" dxfId="2889" priority="2899" operator="containsText" text="%">
      <formula>NOT(ISERROR(SEARCH("%",L33)))</formula>
    </cfRule>
  </conditionalFormatting>
  <conditionalFormatting sqref="L33:L34">
    <cfRule type="containsText" dxfId="2888" priority="2898" operator="containsText" text="%">
      <formula>NOT(ISERROR(SEARCH("%",L33)))</formula>
    </cfRule>
  </conditionalFormatting>
  <conditionalFormatting sqref="L33:L34">
    <cfRule type="containsText" dxfId="2887" priority="2897" operator="containsText" text="%">
      <formula>NOT(ISERROR(SEARCH("%",L33)))</formula>
    </cfRule>
  </conditionalFormatting>
  <conditionalFormatting sqref="L33:L34">
    <cfRule type="containsText" dxfId="2886" priority="2896" operator="containsText" text="%">
      <formula>NOT(ISERROR(SEARCH("%",L33)))</formula>
    </cfRule>
  </conditionalFormatting>
  <conditionalFormatting sqref="L33:L34">
    <cfRule type="containsText" dxfId="2885" priority="2895" operator="containsText" text="%">
      <formula>NOT(ISERROR(SEARCH("%",L33)))</formula>
    </cfRule>
  </conditionalFormatting>
  <conditionalFormatting sqref="L33:L34">
    <cfRule type="containsText" dxfId="2884" priority="2894" operator="containsText" text="%">
      <formula>NOT(ISERROR(SEARCH("%",L33)))</formula>
    </cfRule>
  </conditionalFormatting>
  <conditionalFormatting sqref="L33:L34">
    <cfRule type="containsText" dxfId="2883" priority="2893" operator="containsText" text="%">
      <formula>NOT(ISERROR(SEARCH("%",L33)))</formula>
    </cfRule>
  </conditionalFormatting>
  <conditionalFormatting sqref="L33:L34">
    <cfRule type="containsText" dxfId="2882" priority="2890" operator="containsText" text="%">
      <formula>NOT(ISERROR(SEARCH("%",L33)))</formula>
    </cfRule>
  </conditionalFormatting>
  <conditionalFormatting sqref="L33:L34">
    <cfRule type="containsText" dxfId="2881" priority="2889" operator="containsText" text="%">
      <formula>NOT(ISERROR(SEARCH("%",L33)))</formula>
    </cfRule>
  </conditionalFormatting>
  <conditionalFormatting sqref="L33:L34">
    <cfRule type="containsText" dxfId="2880" priority="2888" operator="containsText" text="%">
      <formula>NOT(ISERROR(SEARCH("%",L33)))</formula>
    </cfRule>
  </conditionalFormatting>
  <conditionalFormatting sqref="L33:L34">
    <cfRule type="containsText" dxfId="2879" priority="2886" operator="containsText" text="%">
      <formula>NOT(ISERROR(SEARCH("%",L33)))</formula>
    </cfRule>
  </conditionalFormatting>
  <conditionalFormatting sqref="L33:L34">
    <cfRule type="containsText" dxfId="2878" priority="2884" operator="containsText" text="%">
      <formula>NOT(ISERROR(SEARCH("%",L33)))</formula>
    </cfRule>
  </conditionalFormatting>
  <conditionalFormatting sqref="L33:L34">
    <cfRule type="containsText" dxfId="2877" priority="2883" operator="containsText" text="%">
      <formula>NOT(ISERROR(SEARCH("%",L33)))</formula>
    </cfRule>
  </conditionalFormatting>
  <conditionalFormatting sqref="L33:L34">
    <cfRule type="containsText" dxfId="2876" priority="2882" operator="containsText" text="%">
      <formula>NOT(ISERROR(SEARCH("%",L33)))</formula>
    </cfRule>
  </conditionalFormatting>
  <conditionalFormatting sqref="L33:L34">
    <cfRule type="containsText" dxfId="2875" priority="2881" operator="containsText" text="%">
      <formula>NOT(ISERROR(SEARCH("%",L33)))</formula>
    </cfRule>
  </conditionalFormatting>
  <conditionalFormatting sqref="L33:L34">
    <cfRule type="containsText" dxfId="2874" priority="2880" operator="containsText" text="%">
      <formula>NOT(ISERROR(SEARCH("%",L33)))</formula>
    </cfRule>
  </conditionalFormatting>
  <conditionalFormatting sqref="L33:L34">
    <cfRule type="containsText" dxfId="2873" priority="2879" operator="containsText" text="%">
      <formula>NOT(ISERROR(SEARCH("%",L33)))</formula>
    </cfRule>
  </conditionalFormatting>
  <conditionalFormatting sqref="L33:L34">
    <cfRule type="containsText" dxfId="2872" priority="2878" operator="containsText" text="%">
      <formula>NOT(ISERROR(SEARCH("%",L33)))</formula>
    </cfRule>
  </conditionalFormatting>
  <conditionalFormatting sqref="L33:L34">
    <cfRule type="containsText" dxfId="2871" priority="2877" operator="containsText" text="%">
      <formula>NOT(ISERROR(SEARCH("%",L33)))</formula>
    </cfRule>
  </conditionalFormatting>
  <conditionalFormatting sqref="L33:L34">
    <cfRule type="containsText" dxfId="2870" priority="2876" operator="containsText" text="%">
      <formula>NOT(ISERROR(SEARCH("%",L33)))</formula>
    </cfRule>
  </conditionalFormatting>
  <conditionalFormatting sqref="L33:L34">
    <cfRule type="containsText" dxfId="2869" priority="2875" operator="containsText" text="%">
      <formula>NOT(ISERROR(SEARCH("%",L33)))</formula>
    </cfRule>
  </conditionalFormatting>
  <conditionalFormatting sqref="L34">
    <cfRule type="containsText" dxfId="2868" priority="2874" operator="containsText" text="%">
      <formula>NOT(ISERROR(SEARCH("%",L34)))</formula>
    </cfRule>
  </conditionalFormatting>
  <conditionalFormatting sqref="L34">
    <cfRule type="containsText" dxfId="2867" priority="2873" operator="containsText" text="%">
      <formula>NOT(ISERROR(SEARCH("%",L34)))</formula>
    </cfRule>
  </conditionalFormatting>
  <conditionalFormatting sqref="L34">
    <cfRule type="containsText" dxfId="2866" priority="2872" operator="containsText" text="%">
      <formula>NOT(ISERROR(SEARCH("%",L34)))</formula>
    </cfRule>
  </conditionalFormatting>
  <conditionalFormatting sqref="L34">
    <cfRule type="containsText" dxfId="2865" priority="2871" operator="containsText" text="%">
      <formula>NOT(ISERROR(SEARCH("%",L34)))</formula>
    </cfRule>
  </conditionalFormatting>
  <conditionalFormatting sqref="L33:L34">
    <cfRule type="containsText" dxfId="2864" priority="2870" operator="containsText" text="%">
      <formula>NOT(ISERROR(SEARCH("%",L33)))</formula>
    </cfRule>
  </conditionalFormatting>
  <conditionalFormatting sqref="L33:L34">
    <cfRule type="containsText" dxfId="2863" priority="2869" operator="containsText" text="%">
      <formula>NOT(ISERROR(SEARCH("%",L33)))</formula>
    </cfRule>
  </conditionalFormatting>
  <conditionalFormatting sqref="L33:L34">
    <cfRule type="containsText" dxfId="2862" priority="2868" operator="containsText" text="%">
      <formula>NOT(ISERROR(SEARCH("%",L33)))</formula>
    </cfRule>
  </conditionalFormatting>
  <conditionalFormatting sqref="L33:L34">
    <cfRule type="containsText" dxfId="2861" priority="2867" operator="containsText" text="%">
      <formula>NOT(ISERROR(SEARCH("%",L33)))</formula>
    </cfRule>
  </conditionalFormatting>
  <conditionalFormatting sqref="L33:L34">
    <cfRule type="containsText" dxfId="2860" priority="2866" operator="containsText" text="%">
      <formula>NOT(ISERROR(SEARCH("%",L33)))</formula>
    </cfRule>
  </conditionalFormatting>
  <conditionalFormatting sqref="L33:L34">
    <cfRule type="containsText" dxfId="2859" priority="2865" operator="containsText" text="%">
      <formula>NOT(ISERROR(SEARCH("%",L33)))</formula>
    </cfRule>
  </conditionalFormatting>
  <conditionalFormatting sqref="L33:L34">
    <cfRule type="containsText" dxfId="2858" priority="2864" operator="containsText" text="%">
      <formula>NOT(ISERROR(SEARCH("%",L33)))</formula>
    </cfRule>
  </conditionalFormatting>
  <conditionalFormatting sqref="L33:L34">
    <cfRule type="containsText" dxfId="2857" priority="2863" operator="containsText" text="%">
      <formula>NOT(ISERROR(SEARCH("%",L33)))</formula>
    </cfRule>
  </conditionalFormatting>
  <conditionalFormatting sqref="L33:L34">
    <cfRule type="containsText" dxfId="2856" priority="2862" operator="containsText" text="%">
      <formula>NOT(ISERROR(SEARCH("%",L33)))</formula>
    </cfRule>
  </conditionalFormatting>
  <conditionalFormatting sqref="L33:L34">
    <cfRule type="containsText" dxfId="2855" priority="2861" operator="containsText" text="%">
      <formula>NOT(ISERROR(SEARCH("%",L33)))</formula>
    </cfRule>
  </conditionalFormatting>
  <conditionalFormatting sqref="L34">
    <cfRule type="containsText" dxfId="2854" priority="2860" operator="containsText" text="%">
      <formula>NOT(ISERROR(SEARCH("%",L34)))</formula>
    </cfRule>
  </conditionalFormatting>
  <conditionalFormatting sqref="L34">
    <cfRule type="containsText" dxfId="2853" priority="2859" operator="containsText" text="%">
      <formula>NOT(ISERROR(SEARCH("%",L34)))</formula>
    </cfRule>
  </conditionalFormatting>
  <conditionalFormatting sqref="L34">
    <cfRule type="containsText" dxfId="2852" priority="2858" operator="containsText" text="%">
      <formula>NOT(ISERROR(SEARCH("%",L34)))</formula>
    </cfRule>
  </conditionalFormatting>
  <conditionalFormatting sqref="L34">
    <cfRule type="containsText" dxfId="2851" priority="2857" operator="containsText" text="%">
      <formula>NOT(ISERROR(SEARCH("%",L34)))</formula>
    </cfRule>
  </conditionalFormatting>
  <conditionalFormatting sqref="L33:L34">
    <cfRule type="containsText" dxfId="2850" priority="2856" operator="containsText" text="%">
      <formula>NOT(ISERROR(SEARCH("%",L33)))</formula>
    </cfRule>
  </conditionalFormatting>
  <conditionalFormatting sqref="L33:L34">
    <cfRule type="containsText" dxfId="2849" priority="2855" operator="containsText" text="%">
      <formula>NOT(ISERROR(SEARCH("%",L33)))</formula>
    </cfRule>
  </conditionalFormatting>
  <conditionalFormatting sqref="L33:L34">
    <cfRule type="containsText" dxfId="2848" priority="2854" operator="containsText" text="%">
      <formula>NOT(ISERROR(SEARCH("%",L33)))</formula>
    </cfRule>
  </conditionalFormatting>
  <conditionalFormatting sqref="L33:L34">
    <cfRule type="containsText" dxfId="2847" priority="2853" operator="containsText" text="%">
      <formula>NOT(ISERROR(SEARCH("%",L33)))</formula>
    </cfRule>
  </conditionalFormatting>
  <conditionalFormatting sqref="L33:L34">
    <cfRule type="containsText" dxfId="2846" priority="2852" operator="containsText" text="%">
      <formula>NOT(ISERROR(SEARCH("%",L33)))</formula>
    </cfRule>
  </conditionalFormatting>
  <conditionalFormatting sqref="L33:L34">
    <cfRule type="containsText" dxfId="2845" priority="2851" operator="containsText" text="%">
      <formula>NOT(ISERROR(SEARCH("%",L33)))</formula>
    </cfRule>
  </conditionalFormatting>
  <conditionalFormatting sqref="L34">
    <cfRule type="containsText" dxfId="2844" priority="2850" operator="containsText" text="%">
      <formula>NOT(ISERROR(SEARCH("%",L34)))</formula>
    </cfRule>
  </conditionalFormatting>
  <conditionalFormatting sqref="L34">
    <cfRule type="containsText" dxfId="2843" priority="2849" operator="containsText" text="%">
      <formula>NOT(ISERROR(SEARCH("%",L34)))</formula>
    </cfRule>
  </conditionalFormatting>
  <conditionalFormatting sqref="L34">
    <cfRule type="containsText" dxfId="2842" priority="2848" operator="containsText" text="%">
      <formula>NOT(ISERROR(SEARCH("%",L34)))</formula>
    </cfRule>
  </conditionalFormatting>
  <conditionalFormatting sqref="L34">
    <cfRule type="containsText" dxfId="2841" priority="2847" operator="containsText" text="%">
      <formula>NOT(ISERROR(SEARCH("%",L34)))</formula>
    </cfRule>
  </conditionalFormatting>
  <conditionalFormatting sqref="L33:L34">
    <cfRule type="containsText" dxfId="2840" priority="2831" operator="containsText" text="%">
      <formula>NOT(ISERROR(SEARCH("%",L33)))</formula>
    </cfRule>
  </conditionalFormatting>
  <conditionalFormatting sqref="L33:L34">
    <cfRule type="containsText" dxfId="2839" priority="2830" operator="containsText" text="%">
      <formula>NOT(ISERROR(SEARCH("%",L33)))</formula>
    </cfRule>
  </conditionalFormatting>
  <conditionalFormatting sqref="L33:L34">
    <cfRule type="containsText" dxfId="2838" priority="2826" operator="containsText" text="%">
      <formula>NOT(ISERROR(SEARCH("%",L33)))</formula>
    </cfRule>
  </conditionalFormatting>
  <conditionalFormatting sqref="L33:L34">
    <cfRule type="containsText" dxfId="2837" priority="2846" operator="containsText" text="%">
      <formula>NOT(ISERROR(SEARCH("%",L33)))</formula>
    </cfRule>
  </conditionalFormatting>
  <conditionalFormatting sqref="L33">
    <cfRule type="containsText" dxfId="2836" priority="2845" operator="containsText" text="%">
      <formula>NOT(ISERROR(SEARCH("%",L33)))</formula>
    </cfRule>
  </conditionalFormatting>
  <conditionalFormatting sqref="L33">
    <cfRule type="containsText" dxfId="2835" priority="2844" operator="containsText" text="%">
      <formula>NOT(ISERROR(SEARCH("%",L33)))</formula>
    </cfRule>
  </conditionalFormatting>
  <conditionalFormatting sqref="L33:L34">
    <cfRule type="containsText" dxfId="2834" priority="2824" operator="containsText" text="%">
      <formula>NOT(ISERROR(SEARCH("%",L33)))</formula>
    </cfRule>
  </conditionalFormatting>
  <conditionalFormatting sqref="L33:L34">
    <cfRule type="containsText" dxfId="2833" priority="2843" operator="containsText" text="%">
      <formula>NOT(ISERROR(SEARCH("%",L33)))</formula>
    </cfRule>
  </conditionalFormatting>
  <conditionalFormatting sqref="L33:L34">
    <cfRule type="containsText" dxfId="2832" priority="2842" operator="containsText" text="%">
      <formula>NOT(ISERROR(SEARCH("%",L33)))</formula>
    </cfRule>
  </conditionalFormatting>
  <conditionalFormatting sqref="L33:L34">
    <cfRule type="containsText" dxfId="2831" priority="2841" operator="containsText" text="%">
      <formula>NOT(ISERROR(SEARCH("%",L33)))</formula>
    </cfRule>
  </conditionalFormatting>
  <conditionalFormatting sqref="L33:L34">
    <cfRule type="containsText" dxfId="2830" priority="2840" operator="containsText" text="%">
      <formula>NOT(ISERROR(SEARCH("%",L33)))</formula>
    </cfRule>
  </conditionalFormatting>
  <conditionalFormatting sqref="L33:L34">
    <cfRule type="containsText" dxfId="2829" priority="2839" operator="containsText" text="%">
      <formula>NOT(ISERROR(SEARCH("%",L33)))</formula>
    </cfRule>
  </conditionalFormatting>
  <conditionalFormatting sqref="L33:L34">
    <cfRule type="containsText" dxfId="2828" priority="2838" operator="containsText" text="%">
      <formula>NOT(ISERROR(SEARCH("%",L33)))</formula>
    </cfRule>
  </conditionalFormatting>
  <conditionalFormatting sqref="L33:L34">
    <cfRule type="containsText" dxfId="2827" priority="2837" operator="containsText" text="%">
      <formula>NOT(ISERROR(SEARCH("%",L33)))</formula>
    </cfRule>
  </conditionalFormatting>
  <conditionalFormatting sqref="L33:L34">
    <cfRule type="containsText" dxfId="2826" priority="2836" operator="containsText" text="%">
      <formula>NOT(ISERROR(SEARCH("%",L33)))</formula>
    </cfRule>
  </conditionalFormatting>
  <conditionalFormatting sqref="L33:L34">
    <cfRule type="containsText" dxfId="2825" priority="2835" operator="containsText" text="%">
      <formula>NOT(ISERROR(SEARCH("%",L33)))</formula>
    </cfRule>
  </conditionalFormatting>
  <conditionalFormatting sqref="L33:L34">
    <cfRule type="containsText" dxfId="2824" priority="2834" operator="containsText" text="%">
      <formula>NOT(ISERROR(SEARCH("%",L33)))</formula>
    </cfRule>
  </conditionalFormatting>
  <conditionalFormatting sqref="L33:L34">
    <cfRule type="containsText" dxfId="2823" priority="2833" operator="containsText" text="%">
      <formula>NOT(ISERROR(SEARCH("%",L33)))</formula>
    </cfRule>
  </conditionalFormatting>
  <conditionalFormatting sqref="L33:L34">
    <cfRule type="containsText" dxfId="2822" priority="2832" operator="containsText" text="%">
      <formula>NOT(ISERROR(SEARCH("%",L33)))</formula>
    </cfRule>
  </conditionalFormatting>
  <conditionalFormatting sqref="L33:L34">
    <cfRule type="containsText" dxfId="2821" priority="2829" operator="containsText" text="%">
      <formula>NOT(ISERROR(SEARCH("%",L33)))</formula>
    </cfRule>
  </conditionalFormatting>
  <conditionalFormatting sqref="L33:L34">
    <cfRule type="containsText" dxfId="2820" priority="2828" operator="containsText" text="%">
      <formula>NOT(ISERROR(SEARCH("%",L33)))</formula>
    </cfRule>
  </conditionalFormatting>
  <conditionalFormatting sqref="L33:L34">
    <cfRule type="containsText" dxfId="2819" priority="2827" operator="containsText" text="%">
      <formula>NOT(ISERROR(SEARCH("%",L33)))</formula>
    </cfRule>
  </conditionalFormatting>
  <conditionalFormatting sqref="L33:L34">
    <cfRule type="containsText" dxfId="2818" priority="2825" operator="containsText" text="%">
      <formula>NOT(ISERROR(SEARCH("%",L33)))</formula>
    </cfRule>
  </conditionalFormatting>
  <conditionalFormatting sqref="L33:L34">
    <cfRule type="containsText" dxfId="2817" priority="2823" operator="containsText" text="%">
      <formula>NOT(ISERROR(SEARCH("%",L33)))</formula>
    </cfRule>
  </conditionalFormatting>
  <conditionalFormatting sqref="L33:L34">
    <cfRule type="containsText" dxfId="2816" priority="2822" operator="containsText" text="%">
      <formula>NOT(ISERROR(SEARCH("%",L33)))</formula>
    </cfRule>
  </conditionalFormatting>
  <conditionalFormatting sqref="L33:L34">
    <cfRule type="containsText" dxfId="2815" priority="2821" operator="containsText" text="%">
      <formula>NOT(ISERROR(SEARCH("%",L33)))</formula>
    </cfRule>
  </conditionalFormatting>
  <conditionalFormatting sqref="L33:L34">
    <cfRule type="containsText" dxfId="2814" priority="2820" operator="containsText" text="%">
      <formula>NOT(ISERROR(SEARCH("%",L33)))</formula>
    </cfRule>
  </conditionalFormatting>
  <conditionalFormatting sqref="L33:L34">
    <cfRule type="containsText" dxfId="2813" priority="2819" operator="containsText" text="%">
      <formula>NOT(ISERROR(SEARCH("%",L33)))</formula>
    </cfRule>
  </conditionalFormatting>
  <conditionalFormatting sqref="L33:L34">
    <cfRule type="containsText" dxfId="2812" priority="2818" operator="containsText" text="%">
      <formula>NOT(ISERROR(SEARCH("%",L33)))</formula>
    </cfRule>
  </conditionalFormatting>
  <conditionalFormatting sqref="L33:L34">
    <cfRule type="containsText" dxfId="2811" priority="2817" operator="containsText" text="%">
      <formula>NOT(ISERROR(SEARCH("%",L33)))</formula>
    </cfRule>
  </conditionalFormatting>
  <conditionalFormatting sqref="L33:L34">
    <cfRule type="containsText" dxfId="2810" priority="2816" operator="containsText" text="%">
      <formula>NOT(ISERROR(SEARCH("%",L33)))</formula>
    </cfRule>
  </conditionalFormatting>
  <conditionalFormatting sqref="L33:L34">
    <cfRule type="containsText" dxfId="2809" priority="2815" operator="containsText" text="%">
      <formula>NOT(ISERROR(SEARCH("%",L33)))</formula>
    </cfRule>
  </conditionalFormatting>
  <conditionalFormatting sqref="L33:L34">
    <cfRule type="containsText" dxfId="2808" priority="2814" operator="containsText" text="%">
      <formula>NOT(ISERROR(SEARCH("%",L33)))</formula>
    </cfRule>
  </conditionalFormatting>
  <conditionalFormatting sqref="L34">
    <cfRule type="containsText" dxfId="2807" priority="2813" operator="containsText" text="%">
      <formula>NOT(ISERROR(SEARCH("%",L34)))</formula>
    </cfRule>
  </conditionalFormatting>
  <conditionalFormatting sqref="L34">
    <cfRule type="containsText" dxfId="2806" priority="2812" operator="containsText" text="%">
      <formula>NOT(ISERROR(SEARCH("%",L34)))</formula>
    </cfRule>
  </conditionalFormatting>
  <conditionalFormatting sqref="L34">
    <cfRule type="containsText" dxfId="2805" priority="2811" operator="containsText" text="%">
      <formula>NOT(ISERROR(SEARCH("%",L34)))</formula>
    </cfRule>
  </conditionalFormatting>
  <conditionalFormatting sqref="L34">
    <cfRule type="containsText" dxfId="2804" priority="2810" operator="containsText" text="%">
      <formula>NOT(ISERROR(SEARCH("%",L34)))</formula>
    </cfRule>
  </conditionalFormatting>
  <conditionalFormatting sqref="L33:L34">
    <cfRule type="containsText" dxfId="2803" priority="2809" operator="containsText" text="%">
      <formula>NOT(ISERROR(SEARCH("%",L33)))</formula>
    </cfRule>
  </conditionalFormatting>
  <conditionalFormatting sqref="L33:L34">
    <cfRule type="containsText" dxfId="2802" priority="2808" operator="containsText" text="%">
      <formula>NOT(ISERROR(SEARCH("%",L33)))</formula>
    </cfRule>
  </conditionalFormatting>
  <conditionalFormatting sqref="L33:L34">
    <cfRule type="containsText" dxfId="2801" priority="2807" operator="containsText" text="%">
      <formula>NOT(ISERROR(SEARCH("%",L33)))</formula>
    </cfRule>
  </conditionalFormatting>
  <conditionalFormatting sqref="L33:L34">
    <cfRule type="containsText" dxfId="2800" priority="2806" operator="containsText" text="%">
      <formula>NOT(ISERROR(SEARCH("%",L33)))</formula>
    </cfRule>
  </conditionalFormatting>
  <conditionalFormatting sqref="L33:L34">
    <cfRule type="containsText" dxfId="2799" priority="2805" operator="containsText" text="%">
      <formula>NOT(ISERROR(SEARCH("%",L33)))</formula>
    </cfRule>
  </conditionalFormatting>
  <conditionalFormatting sqref="L33:L34">
    <cfRule type="containsText" dxfId="2798" priority="2804" operator="containsText" text="%">
      <formula>NOT(ISERROR(SEARCH("%",L33)))</formula>
    </cfRule>
  </conditionalFormatting>
  <conditionalFormatting sqref="L33:L34">
    <cfRule type="containsText" dxfId="2797" priority="2803" operator="containsText" text="%">
      <formula>NOT(ISERROR(SEARCH("%",L33)))</formula>
    </cfRule>
  </conditionalFormatting>
  <conditionalFormatting sqref="L33:L34">
    <cfRule type="containsText" dxfId="2796" priority="2802" operator="containsText" text="%">
      <formula>NOT(ISERROR(SEARCH("%",L33)))</formula>
    </cfRule>
  </conditionalFormatting>
  <conditionalFormatting sqref="L33:L34">
    <cfRule type="containsText" dxfId="2795" priority="2801" operator="containsText" text="%">
      <formula>NOT(ISERROR(SEARCH("%",L33)))</formula>
    </cfRule>
  </conditionalFormatting>
  <conditionalFormatting sqref="L33:L34">
    <cfRule type="containsText" dxfId="2794" priority="2800" operator="containsText" text="%">
      <formula>NOT(ISERROR(SEARCH("%",L33)))</formula>
    </cfRule>
  </conditionalFormatting>
  <conditionalFormatting sqref="L34">
    <cfRule type="containsText" dxfId="2793" priority="2799" operator="containsText" text="%">
      <formula>NOT(ISERROR(SEARCH("%",L34)))</formula>
    </cfRule>
  </conditionalFormatting>
  <conditionalFormatting sqref="L34">
    <cfRule type="containsText" dxfId="2792" priority="2798" operator="containsText" text="%">
      <formula>NOT(ISERROR(SEARCH("%",L34)))</formula>
    </cfRule>
  </conditionalFormatting>
  <conditionalFormatting sqref="L34">
    <cfRule type="containsText" dxfId="2791" priority="2797" operator="containsText" text="%">
      <formula>NOT(ISERROR(SEARCH("%",L34)))</formula>
    </cfRule>
  </conditionalFormatting>
  <conditionalFormatting sqref="L34">
    <cfRule type="containsText" dxfId="2790" priority="2796" operator="containsText" text="%">
      <formula>NOT(ISERROR(SEARCH("%",L34)))</formula>
    </cfRule>
  </conditionalFormatting>
  <conditionalFormatting sqref="L33">
    <cfRule type="containsText" dxfId="2789" priority="2795" operator="containsText" text="%">
      <formula>NOT(ISERROR(SEARCH("%",L33)))</formula>
    </cfRule>
  </conditionalFormatting>
  <conditionalFormatting sqref="L33">
    <cfRule type="containsText" dxfId="2788" priority="2794" operator="containsText" text="%">
      <formula>NOT(ISERROR(SEARCH("%",L33)))</formula>
    </cfRule>
  </conditionalFormatting>
  <conditionalFormatting sqref="L33">
    <cfRule type="containsText" dxfId="2787" priority="2793" operator="containsText" text="%">
      <formula>NOT(ISERROR(SEARCH("%",L33)))</formula>
    </cfRule>
  </conditionalFormatting>
  <conditionalFormatting sqref="L33">
    <cfRule type="containsText" dxfId="2786" priority="2792" operator="containsText" text="%">
      <formula>NOT(ISERROR(SEARCH("%",L33)))</formula>
    </cfRule>
  </conditionalFormatting>
  <conditionalFormatting sqref="L33">
    <cfRule type="containsText" dxfId="2785" priority="2791" operator="containsText" text="%">
      <formula>NOT(ISERROR(SEARCH("%",L33)))</formula>
    </cfRule>
  </conditionalFormatting>
  <conditionalFormatting sqref="L33">
    <cfRule type="containsText" dxfId="2784" priority="2790" operator="containsText" text="%">
      <formula>NOT(ISERROR(SEARCH("%",L33)))</formula>
    </cfRule>
  </conditionalFormatting>
  <conditionalFormatting sqref="L34">
    <cfRule type="containsText" dxfId="2783" priority="2789" operator="containsText" text="%">
      <formula>NOT(ISERROR(SEARCH("%",L34)))</formula>
    </cfRule>
  </conditionalFormatting>
  <conditionalFormatting sqref="L34">
    <cfRule type="containsText" dxfId="2782" priority="2788" operator="containsText" text="%">
      <formula>NOT(ISERROR(SEARCH("%",L34)))</formula>
    </cfRule>
  </conditionalFormatting>
  <conditionalFormatting sqref="L34">
    <cfRule type="containsText" dxfId="2781" priority="2787" operator="containsText" text="%">
      <formula>NOT(ISERROR(SEARCH("%",L34)))</formula>
    </cfRule>
  </conditionalFormatting>
  <conditionalFormatting sqref="L34">
    <cfRule type="containsText" dxfId="2780" priority="2786" operator="containsText" text="%">
      <formula>NOT(ISERROR(SEARCH("%",L34)))</formula>
    </cfRule>
  </conditionalFormatting>
  <conditionalFormatting sqref="L34">
    <cfRule type="containsText" dxfId="2779" priority="2785" operator="containsText" text="%">
      <formula>NOT(ISERROR(SEARCH("%",L34)))</formula>
    </cfRule>
  </conditionalFormatting>
  <conditionalFormatting sqref="L34">
    <cfRule type="containsText" dxfId="2778" priority="2784" operator="containsText" text="%">
      <formula>NOT(ISERROR(SEARCH("%",L34)))</formula>
    </cfRule>
  </conditionalFormatting>
  <conditionalFormatting sqref="L34">
    <cfRule type="containsText" dxfId="2777" priority="2783" operator="containsText" text="%">
      <formula>NOT(ISERROR(SEARCH("%",L34)))</formula>
    </cfRule>
  </conditionalFormatting>
  <conditionalFormatting sqref="L34">
    <cfRule type="containsText" dxfId="2776" priority="2782" operator="containsText" text="%">
      <formula>NOT(ISERROR(SEARCH("%",L34)))</formula>
    </cfRule>
  </conditionalFormatting>
  <conditionalFormatting sqref="L34">
    <cfRule type="containsText" dxfId="2775" priority="2781" operator="containsText" text="%">
      <formula>NOT(ISERROR(SEARCH("%",L34)))</formula>
    </cfRule>
  </conditionalFormatting>
  <conditionalFormatting sqref="L34">
    <cfRule type="containsText" dxfId="2774" priority="2780" operator="containsText" text="%">
      <formula>NOT(ISERROR(SEARCH("%",L34)))</formula>
    </cfRule>
  </conditionalFormatting>
  <conditionalFormatting sqref="L34">
    <cfRule type="containsText" dxfId="2773" priority="2766" operator="containsText" text="%">
      <formula>NOT(ISERROR(SEARCH("%",L34)))</formula>
    </cfRule>
  </conditionalFormatting>
  <conditionalFormatting sqref="L34">
    <cfRule type="containsText" dxfId="2772" priority="2765" operator="containsText" text="%">
      <formula>NOT(ISERROR(SEARCH("%",L34)))</formula>
    </cfRule>
  </conditionalFormatting>
  <conditionalFormatting sqref="L34">
    <cfRule type="containsText" dxfId="2771" priority="2761" operator="containsText" text="%">
      <formula>NOT(ISERROR(SEARCH("%",L34)))</formula>
    </cfRule>
  </conditionalFormatting>
  <conditionalFormatting sqref="L34">
    <cfRule type="containsText" dxfId="2770" priority="2779" operator="containsText" text="%">
      <formula>NOT(ISERROR(SEARCH("%",L34)))</formula>
    </cfRule>
  </conditionalFormatting>
  <conditionalFormatting sqref="L34">
    <cfRule type="containsText" dxfId="2769" priority="2759" operator="containsText" text="%">
      <formula>NOT(ISERROR(SEARCH("%",L34)))</formula>
    </cfRule>
  </conditionalFormatting>
  <conditionalFormatting sqref="L34">
    <cfRule type="containsText" dxfId="2768" priority="2778" operator="containsText" text="%">
      <formula>NOT(ISERROR(SEARCH("%",L34)))</formula>
    </cfRule>
  </conditionalFormatting>
  <conditionalFormatting sqref="L34">
    <cfRule type="containsText" dxfId="2767" priority="2777" operator="containsText" text="%">
      <formula>NOT(ISERROR(SEARCH("%",L34)))</formula>
    </cfRule>
  </conditionalFormatting>
  <conditionalFormatting sqref="L34">
    <cfRule type="containsText" dxfId="2766" priority="2776" operator="containsText" text="%">
      <formula>NOT(ISERROR(SEARCH("%",L34)))</formula>
    </cfRule>
  </conditionalFormatting>
  <conditionalFormatting sqref="L34">
    <cfRule type="containsText" dxfId="2765" priority="2775" operator="containsText" text="%">
      <formula>NOT(ISERROR(SEARCH("%",L34)))</formula>
    </cfRule>
  </conditionalFormatting>
  <conditionalFormatting sqref="L34">
    <cfRule type="containsText" dxfId="2764" priority="2774" operator="containsText" text="%">
      <formula>NOT(ISERROR(SEARCH("%",L34)))</formula>
    </cfRule>
  </conditionalFormatting>
  <conditionalFormatting sqref="L34">
    <cfRule type="containsText" dxfId="2763" priority="2773" operator="containsText" text="%">
      <formula>NOT(ISERROR(SEARCH("%",L34)))</formula>
    </cfRule>
  </conditionalFormatting>
  <conditionalFormatting sqref="L34">
    <cfRule type="containsText" dxfId="2762" priority="2772" operator="containsText" text="%">
      <formula>NOT(ISERROR(SEARCH("%",L34)))</formula>
    </cfRule>
  </conditionalFormatting>
  <conditionalFormatting sqref="L34">
    <cfRule type="containsText" dxfId="2761" priority="2771" operator="containsText" text="%">
      <formula>NOT(ISERROR(SEARCH("%",L34)))</formula>
    </cfRule>
  </conditionalFormatting>
  <conditionalFormatting sqref="L34">
    <cfRule type="containsText" dxfId="2760" priority="2770" operator="containsText" text="%">
      <formula>NOT(ISERROR(SEARCH("%",L34)))</formula>
    </cfRule>
  </conditionalFormatting>
  <conditionalFormatting sqref="L34">
    <cfRule type="containsText" dxfId="2759" priority="2769" operator="containsText" text="%">
      <formula>NOT(ISERROR(SEARCH("%",L34)))</formula>
    </cfRule>
  </conditionalFormatting>
  <conditionalFormatting sqref="L34">
    <cfRule type="containsText" dxfId="2758" priority="2768" operator="containsText" text="%">
      <formula>NOT(ISERROR(SEARCH("%",L34)))</formula>
    </cfRule>
  </conditionalFormatting>
  <conditionalFormatting sqref="L34">
    <cfRule type="containsText" dxfId="2757" priority="2767" operator="containsText" text="%">
      <formula>NOT(ISERROR(SEARCH("%",L34)))</formula>
    </cfRule>
  </conditionalFormatting>
  <conditionalFormatting sqref="L34">
    <cfRule type="containsText" dxfId="2756" priority="2764" operator="containsText" text="%">
      <formula>NOT(ISERROR(SEARCH("%",L34)))</formula>
    </cfRule>
  </conditionalFormatting>
  <conditionalFormatting sqref="L34">
    <cfRule type="containsText" dxfId="2755" priority="2763" operator="containsText" text="%">
      <formula>NOT(ISERROR(SEARCH("%",L34)))</formula>
    </cfRule>
  </conditionalFormatting>
  <conditionalFormatting sqref="L34">
    <cfRule type="containsText" dxfId="2754" priority="2762" operator="containsText" text="%">
      <formula>NOT(ISERROR(SEARCH("%",L34)))</formula>
    </cfRule>
  </conditionalFormatting>
  <conditionalFormatting sqref="L34">
    <cfRule type="containsText" dxfId="2753" priority="2760" operator="containsText" text="%">
      <formula>NOT(ISERROR(SEARCH("%",L34)))</formula>
    </cfRule>
  </conditionalFormatting>
  <conditionalFormatting sqref="L34">
    <cfRule type="containsText" dxfId="2752" priority="2758" operator="containsText" text="%">
      <formula>NOT(ISERROR(SEARCH("%",L34)))</formula>
    </cfRule>
  </conditionalFormatting>
  <conditionalFormatting sqref="L34">
    <cfRule type="containsText" dxfId="2751" priority="2757" operator="containsText" text="%">
      <formula>NOT(ISERROR(SEARCH("%",L34)))</formula>
    </cfRule>
  </conditionalFormatting>
  <conditionalFormatting sqref="L34">
    <cfRule type="containsText" dxfId="2750" priority="2756" operator="containsText" text="%">
      <formula>NOT(ISERROR(SEARCH("%",L34)))</formula>
    </cfRule>
  </conditionalFormatting>
  <conditionalFormatting sqref="L34">
    <cfRule type="containsText" dxfId="2749" priority="2755" operator="containsText" text="%">
      <formula>NOT(ISERROR(SEARCH("%",L34)))</formula>
    </cfRule>
  </conditionalFormatting>
  <conditionalFormatting sqref="L34">
    <cfRule type="containsText" dxfId="2748" priority="2754" operator="containsText" text="%">
      <formula>NOT(ISERROR(SEARCH("%",L34)))</formula>
    </cfRule>
  </conditionalFormatting>
  <conditionalFormatting sqref="L34">
    <cfRule type="containsText" dxfId="2747" priority="2753" operator="containsText" text="%">
      <formula>NOT(ISERROR(SEARCH("%",L34)))</formula>
    </cfRule>
  </conditionalFormatting>
  <conditionalFormatting sqref="L34">
    <cfRule type="containsText" dxfId="2746" priority="2752" operator="containsText" text="%">
      <formula>NOT(ISERROR(SEARCH("%",L34)))</formula>
    </cfRule>
  </conditionalFormatting>
  <conditionalFormatting sqref="L34">
    <cfRule type="containsText" dxfId="2745" priority="2751" operator="containsText" text="%">
      <formula>NOT(ISERROR(SEARCH("%",L34)))</formula>
    </cfRule>
  </conditionalFormatting>
  <conditionalFormatting sqref="L34">
    <cfRule type="containsText" dxfId="2744" priority="2750" operator="containsText" text="%">
      <formula>NOT(ISERROR(SEARCH("%",L34)))</formula>
    </cfRule>
  </conditionalFormatting>
  <conditionalFormatting sqref="L34">
    <cfRule type="containsText" dxfId="2743" priority="2749" operator="containsText" text="%">
      <formula>NOT(ISERROR(SEARCH("%",L34)))</formula>
    </cfRule>
  </conditionalFormatting>
  <conditionalFormatting sqref="L34">
    <cfRule type="containsText" dxfId="2742" priority="2748" operator="containsText" text="%">
      <formula>NOT(ISERROR(SEARCH("%",L34)))</formula>
    </cfRule>
  </conditionalFormatting>
  <conditionalFormatting sqref="L34">
    <cfRule type="containsText" dxfId="2741" priority="2747" operator="containsText" text="%">
      <formula>NOT(ISERROR(SEARCH("%",L34)))</formula>
    </cfRule>
  </conditionalFormatting>
  <conditionalFormatting sqref="L34">
    <cfRule type="containsText" dxfId="2740" priority="2746" operator="containsText" text="%">
      <formula>NOT(ISERROR(SEARCH("%",L34)))</formula>
    </cfRule>
  </conditionalFormatting>
  <conditionalFormatting sqref="L34">
    <cfRule type="containsText" dxfId="2739" priority="2745" operator="containsText" text="%">
      <formula>NOT(ISERROR(SEARCH("%",L34)))</formula>
    </cfRule>
  </conditionalFormatting>
  <conditionalFormatting sqref="L34">
    <cfRule type="containsText" dxfId="2738" priority="2744" operator="containsText" text="%">
      <formula>NOT(ISERROR(SEARCH("%",L34)))</formula>
    </cfRule>
  </conditionalFormatting>
  <conditionalFormatting sqref="L34">
    <cfRule type="containsText" dxfId="2737" priority="2743" operator="containsText" text="%">
      <formula>NOT(ISERROR(SEARCH("%",L34)))</formula>
    </cfRule>
  </conditionalFormatting>
  <conditionalFormatting sqref="L34">
    <cfRule type="containsText" dxfId="2736" priority="2742" operator="containsText" text="%">
      <formula>NOT(ISERROR(SEARCH("%",L34)))</formula>
    </cfRule>
  </conditionalFormatting>
  <conditionalFormatting sqref="L34">
    <cfRule type="containsText" dxfId="2735" priority="2741" operator="containsText" text="%">
      <formula>NOT(ISERROR(SEARCH("%",L34)))</formula>
    </cfRule>
  </conditionalFormatting>
  <conditionalFormatting sqref="L34">
    <cfRule type="containsText" dxfId="2734" priority="2740" operator="containsText" text="%">
      <formula>NOT(ISERROR(SEARCH("%",L34)))</formula>
    </cfRule>
  </conditionalFormatting>
  <conditionalFormatting sqref="L34">
    <cfRule type="containsText" dxfId="2733" priority="2739" operator="containsText" text="%">
      <formula>NOT(ISERROR(SEARCH("%",L34)))</formula>
    </cfRule>
  </conditionalFormatting>
  <conditionalFormatting sqref="L34">
    <cfRule type="containsText" dxfId="2732" priority="2738" operator="containsText" text="%">
      <formula>NOT(ISERROR(SEARCH("%",L34)))</formula>
    </cfRule>
  </conditionalFormatting>
  <conditionalFormatting sqref="L34">
    <cfRule type="containsText" dxfId="2731" priority="2737" operator="containsText" text="%">
      <formula>NOT(ISERROR(SEARCH("%",L34)))</formula>
    </cfRule>
  </conditionalFormatting>
  <conditionalFormatting sqref="L34">
    <cfRule type="containsText" dxfId="2730" priority="2736" operator="containsText" text="%">
      <formula>NOT(ISERROR(SEARCH("%",L34)))</formula>
    </cfRule>
  </conditionalFormatting>
  <conditionalFormatting sqref="L34">
    <cfRule type="containsText" dxfId="2729" priority="2735" operator="containsText" text="%">
      <formula>NOT(ISERROR(SEARCH("%",L34)))</formula>
    </cfRule>
  </conditionalFormatting>
  <conditionalFormatting sqref="L34">
    <cfRule type="containsText" dxfId="2728" priority="2734" operator="containsText" text="%">
      <formula>NOT(ISERROR(SEARCH("%",L34)))</formula>
    </cfRule>
  </conditionalFormatting>
  <conditionalFormatting sqref="L34">
    <cfRule type="containsText" dxfId="2727" priority="2733" operator="containsText" text="%">
      <formula>NOT(ISERROR(SEARCH("%",L34)))</formula>
    </cfRule>
  </conditionalFormatting>
  <conditionalFormatting sqref="L34">
    <cfRule type="containsText" dxfId="2726" priority="2732" operator="containsText" text="%">
      <formula>NOT(ISERROR(SEARCH("%",L34)))</formula>
    </cfRule>
  </conditionalFormatting>
  <conditionalFormatting sqref="L34">
    <cfRule type="containsText" dxfId="2725" priority="2731" operator="containsText" text="%">
      <formula>NOT(ISERROR(SEARCH("%",L34)))</formula>
    </cfRule>
  </conditionalFormatting>
  <conditionalFormatting sqref="F35:F36">
    <cfRule type="containsText" dxfId="2724" priority="2730" operator="containsText" text="%">
      <formula>NOT(ISERROR(SEARCH("%",F35)))</formula>
    </cfRule>
  </conditionalFormatting>
  <conditionalFormatting sqref="F35:F36">
    <cfRule type="containsText" dxfId="2723" priority="2729" operator="containsText" text="%">
      <formula>NOT(ISERROR(SEARCH("%",F35)))</formula>
    </cfRule>
  </conditionalFormatting>
  <conditionalFormatting sqref="F35:F36">
    <cfRule type="containsText" dxfId="2722" priority="2728" operator="containsText" text="%">
      <formula>NOT(ISERROR(SEARCH("%",F35)))</formula>
    </cfRule>
  </conditionalFormatting>
  <conditionalFormatting sqref="F35:F36">
    <cfRule type="containsText" dxfId="2721" priority="2727" operator="containsText" text="%">
      <formula>NOT(ISERROR(SEARCH("%",F35)))</formula>
    </cfRule>
  </conditionalFormatting>
  <conditionalFormatting sqref="F35:F36">
    <cfRule type="containsText" dxfId="2720" priority="2726" operator="containsText" text="%">
      <formula>NOT(ISERROR(SEARCH("%",F35)))</formula>
    </cfRule>
  </conditionalFormatting>
  <conditionalFormatting sqref="F35:F36">
    <cfRule type="containsText" dxfId="2719" priority="2725" operator="containsText" text="%">
      <formula>NOT(ISERROR(SEARCH("%",F35)))</formula>
    </cfRule>
  </conditionalFormatting>
  <conditionalFormatting sqref="F35:F36">
    <cfRule type="containsText" dxfId="2718" priority="2709" operator="containsText" text="%">
      <formula>NOT(ISERROR(SEARCH("%",F35)))</formula>
    </cfRule>
  </conditionalFormatting>
  <conditionalFormatting sqref="F35:F36">
    <cfRule type="containsText" dxfId="2717" priority="2708" operator="containsText" text="%">
      <formula>NOT(ISERROR(SEARCH("%",F35)))</formula>
    </cfRule>
  </conditionalFormatting>
  <conditionalFormatting sqref="F35:F36">
    <cfRule type="containsText" dxfId="2716" priority="2704" operator="containsText" text="%">
      <formula>NOT(ISERROR(SEARCH("%",F35)))</formula>
    </cfRule>
  </conditionalFormatting>
  <conditionalFormatting sqref="F35:F36">
    <cfRule type="containsText" dxfId="2715" priority="2724" operator="containsText" text="%">
      <formula>NOT(ISERROR(SEARCH("%",F35)))</formula>
    </cfRule>
  </conditionalFormatting>
  <conditionalFormatting sqref="F35">
    <cfRule type="containsText" dxfId="2714" priority="2723" operator="containsText" text="%">
      <formula>NOT(ISERROR(SEARCH("%",F35)))</formula>
    </cfRule>
  </conditionalFormatting>
  <conditionalFormatting sqref="F35">
    <cfRule type="containsText" dxfId="2713" priority="2722" operator="containsText" text="%">
      <formula>NOT(ISERROR(SEARCH("%",F35)))</formula>
    </cfRule>
  </conditionalFormatting>
  <conditionalFormatting sqref="F35:F36">
    <cfRule type="containsText" dxfId="2712" priority="2702" operator="containsText" text="%">
      <formula>NOT(ISERROR(SEARCH("%",F35)))</formula>
    </cfRule>
  </conditionalFormatting>
  <conditionalFormatting sqref="F35:F36">
    <cfRule type="containsText" dxfId="2711" priority="2721" operator="containsText" text="%">
      <formula>NOT(ISERROR(SEARCH("%",F35)))</formula>
    </cfRule>
  </conditionalFormatting>
  <conditionalFormatting sqref="F35:F36">
    <cfRule type="containsText" dxfId="2710" priority="2720" operator="containsText" text="%">
      <formula>NOT(ISERROR(SEARCH("%",F35)))</formula>
    </cfRule>
  </conditionalFormatting>
  <conditionalFormatting sqref="F35:F36">
    <cfRule type="containsText" dxfId="2709" priority="2719" operator="containsText" text="%">
      <formula>NOT(ISERROR(SEARCH("%",F35)))</formula>
    </cfRule>
  </conditionalFormatting>
  <conditionalFormatting sqref="F35:F36">
    <cfRule type="containsText" dxfId="2708" priority="2718" operator="containsText" text="%">
      <formula>NOT(ISERROR(SEARCH("%",F35)))</formula>
    </cfRule>
  </conditionalFormatting>
  <conditionalFormatting sqref="F35:F36">
    <cfRule type="containsText" dxfId="2707" priority="2717" operator="containsText" text="%">
      <formula>NOT(ISERROR(SEARCH("%",F35)))</formula>
    </cfRule>
  </conditionalFormatting>
  <conditionalFormatting sqref="F35:F36">
    <cfRule type="containsText" dxfId="2706" priority="2716" operator="containsText" text="%">
      <formula>NOT(ISERROR(SEARCH("%",F35)))</formula>
    </cfRule>
  </conditionalFormatting>
  <conditionalFormatting sqref="F35:F36">
    <cfRule type="containsText" dxfId="2705" priority="2715" operator="containsText" text="%">
      <formula>NOT(ISERROR(SEARCH("%",F35)))</formula>
    </cfRule>
  </conditionalFormatting>
  <conditionalFormatting sqref="F35:F36">
    <cfRule type="containsText" dxfId="2704" priority="2714" operator="containsText" text="%">
      <formula>NOT(ISERROR(SEARCH("%",F35)))</formula>
    </cfRule>
  </conditionalFormatting>
  <conditionalFormatting sqref="F35:F36">
    <cfRule type="containsText" dxfId="2703" priority="2713" operator="containsText" text="%">
      <formula>NOT(ISERROR(SEARCH("%",F35)))</formula>
    </cfRule>
  </conditionalFormatting>
  <conditionalFormatting sqref="F35:F36">
    <cfRule type="containsText" dxfId="2702" priority="2712" operator="containsText" text="%">
      <formula>NOT(ISERROR(SEARCH("%",F35)))</formula>
    </cfRule>
  </conditionalFormatting>
  <conditionalFormatting sqref="F35:F36">
    <cfRule type="containsText" dxfId="2701" priority="2711" operator="containsText" text="%">
      <formula>NOT(ISERROR(SEARCH("%",F35)))</formula>
    </cfRule>
  </conditionalFormatting>
  <conditionalFormatting sqref="F35:F36">
    <cfRule type="containsText" dxfId="2700" priority="2710" operator="containsText" text="%">
      <formula>NOT(ISERROR(SEARCH("%",F35)))</formula>
    </cfRule>
  </conditionalFormatting>
  <conditionalFormatting sqref="F35:F36">
    <cfRule type="containsText" dxfId="2699" priority="2707" operator="containsText" text="%">
      <formula>NOT(ISERROR(SEARCH("%",F35)))</formula>
    </cfRule>
  </conditionalFormatting>
  <conditionalFormatting sqref="F35:F36">
    <cfRule type="containsText" dxfId="2698" priority="2706" operator="containsText" text="%">
      <formula>NOT(ISERROR(SEARCH("%",F35)))</formula>
    </cfRule>
  </conditionalFormatting>
  <conditionalFormatting sqref="F35:F36">
    <cfRule type="containsText" dxfId="2697" priority="2705" operator="containsText" text="%">
      <formula>NOT(ISERROR(SEARCH("%",F35)))</formula>
    </cfRule>
  </conditionalFormatting>
  <conditionalFormatting sqref="F35:F36">
    <cfRule type="containsText" dxfId="2696" priority="2703" operator="containsText" text="%">
      <formula>NOT(ISERROR(SEARCH("%",F35)))</formula>
    </cfRule>
  </conditionalFormatting>
  <conditionalFormatting sqref="F35:F36">
    <cfRule type="containsText" dxfId="2695" priority="2701" operator="containsText" text="%">
      <formula>NOT(ISERROR(SEARCH("%",F35)))</formula>
    </cfRule>
  </conditionalFormatting>
  <conditionalFormatting sqref="F35:F36">
    <cfRule type="containsText" dxfId="2694" priority="2700" operator="containsText" text="%">
      <formula>NOT(ISERROR(SEARCH("%",F35)))</formula>
    </cfRule>
  </conditionalFormatting>
  <conditionalFormatting sqref="F35:F36">
    <cfRule type="containsText" dxfId="2693" priority="2699" operator="containsText" text="%">
      <formula>NOT(ISERROR(SEARCH("%",F35)))</formula>
    </cfRule>
  </conditionalFormatting>
  <conditionalFormatting sqref="F35:F36">
    <cfRule type="containsText" dxfId="2692" priority="2698" operator="containsText" text="%">
      <formula>NOT(ISERROR(SEARCH("%",F35)))</formula>
    </cfRule>
  </conditionalFormatting>
  <conditionalFormatting sqref="F35:F36">
    <cfRule type="containsText" dxfId="2691" priority="2697" operator="containsText" text="%">
      <formula>NOT(ISERROR(SEARCH("%",F35)))</formula>
    </cfRule>
  </conditionalFormatting>
  <conditionalFormatting sqref="F35:F36">
    <cfRule type="containsText" dxfId="2690" priority="2696" operator="containsText" text="%">
      <formula>NOT(ISERROR(SEARCH("%",F35)))</formula>
    </cfRule>
  </conditionalFormatting>
  <conditionalFormatting sqref="F35:F36">
    <cfRule type="containsText" dxfId="2689" priority="2695" operator="containsText" text="%">
      <formula>NOT(ISERROR(SEARCH("%",F35)))</formula>
    </cfRule>
  </conditionalFormatting>
  <conditionalFormatting sqref="F35:F36">
    <cfRule type="containsText" dxfId="2688" priority="2694" operator="containsText" text="%">
      <formula>NOT(ISERROR(SEARCH("%",F35)))</formula>
    </cfRule>
  </conditionalFormatting>
  <conditionalFormatting sqref="F35:F36">
    <cfRule type="containsText" dxfId="2687" priority="2693" operator="containsText" text="%">
      <formula>NOT(ISERROR(SEARCH("%",F35)))</formula>
    </cfRule>
  </conditionalFormatting>
  <conditionalFormatting sqref="F35:F36">
    <cfRule type="containsText" dxfId="2686" priority="2692" operator="containsText" text="%">
      <formula>NOT(ISERROR(SEARCH("%",F35)))</formula>
    </cfRule>
  </conditionalFormatting>
  <conditionalFormatting sqref="F36">
    <cfRule type="containsText" dxfId="2685" priority="2691" operator="containsText" text="%">
      <formula>NOT(ISERROR(SEARCH("%",F36)))</formula>
    </cfRule>
  </conditionalFormatting>
  <conditionalFormatting sqref="F36">
    <cfRule type="containsText" dxfId="2684" priority="2690" operator="containsText" text="%">
      <formula>NOT(ISERROR(SEARCH("%",F36)))</formula>
    </cfRule>
  </conditionalFormatting>
  <conditionalFormatting sqref="F36">
    <cfRule type="containsText" dxfId="2683" priority="2689" operator="containsText" text="%">
      <formula>NOT(ISERROR(SEARCH("%",F36)))</formula>
    </cfRule>
  </conditionalFormatting>
  <conditionalFormatting sqref="F36">
    <cfRule type="containsText" dxfId="2682" priority="2688" operator="containsText" text="%">
      <formula>NOT(ISERROR(SEARCH("%",F36)))</formula>
    </cfRule>
  </conditionalFormatting>
  <conditionalFormatting sqref="F35:F36">
    <cfRule type="containsText" dxfId="2681" priority="2687" operator="containsText" text="%">
      <formula>NOT(ISERROR(SEARCH("%",F35)))</formula>
    </cfRule>
  </conditionalFormatting>
  <conditionalFormatting sqref="F35:F36">
    <cfRule type="containsText" dxfId="2680" priority="2686" operator="containsText" text="%">
      <formula>NOT(ISERROR(SEARCH("%",F35)))</formula>
    </cfRule>
  </conditionalFormatting>
  <conditionalFormatting sqref="F35:F36">
    <cfRule type="containsText" dxfId="2679" priority="2685" operator="containsText" text="%">
      <formula>NOT(ISERROR(SEARCH("%",F35)))</formula>
    </cfRule>
  </conditionalFormatting>
  <conditionalFormatting sqref="F35:F36">
    <cfRule type="containsText" dxfId="2678" priority="2684" operator="containsText" text="%">
      <formula>NOT(ISERROR(SEARCH("%",F35)))</formula>
    </cfRule>
  </conditionalFormatting>
  <conditionalFormatting sqref="F35:F36">
    <cfRule type="containsText" dxfId="2677" priority="2683" operator="containsText" text="%">
      <formula>NOT(ISERROR(SEARCH("%",F35)))</formula>
    </cfRule>
  </conditionalFormatting>
  <conditionalFormatting sqref="F35:F36">
    <cfRule type="containsText" dxfId="2676" priority="2682" operator="containsText" text="%">
      <formula>NOT(ISERROR(SEARCH("%",F35)))</formula>
    </cfRule>
  </conditionalFormatting>
  <conditionalFormatting sqref="F35:F36">
    <cfRule type="containsText" dxfId="2675" priority="2681" operator="containsText" text="%">
      <formula>NOT(ISERROR(SEARCH("%",F35)))</formula>
    </cfRule>
  </conditionalFormatting>
  <conditionalFormatting sqref="F35:F36">
    <cfRule type="containsText" dxfId="2674" priority="2680" operator="containsText" text="%">
      <formula>NOT(ISERROR(SEARCH("%",F35)))</formula>
    </cfRule>
  </conditionalFormatting>
  <conditionalFormatting sqref="F35:F36">
    <cfRule type="containsText" dxfId="2673" priority="2679" operator="containsText" text="%">
      <formula>NOT(ISERROR(SEARCH("%",F35)))</formula>
    </cfRule>
  </conditionalFormatting>
  <conditionalFormatting sqref="F35:F36">
    <cfRule type="containsText" dxfId="2672" priority="2678" operator="containsText" text="%">
      <formula>NOT(ISERROR(SEARCH("%",F35)))</formula>
    </cfRule>
  </conditionalFormatting>
  <conditionalFormatting sqref="F36">
    <cfRule type="containsText" dxfId="2671" priority="2677" operator="containsText" text="%">
      <formula>NOT(ISERROR(SEARCH("%",F36)))</formula>
    </cfRule>
  </conditionalFormatting>
  <conditionalFormatting sqref="F36">
    <cfRule type="containsText" dxfId="2670" priority="2676" operator="containsText" text="%">
      <formula>NOT(ISERROR(SEARCH("%",F36)))</formula>
    </cfRule>
  </conditionalFormatting>
  <conditionalFormatting sqref="F36">
    <cfRule type="containsText" dxfId="2669" priority="2675" operator="containsText" text="%">
      <formula>NOT(ISERROR(SEARCH("%",F36)))</formula>
    </cfRule>
  </conditionalFormatting>
  <conditionalFormatting sqref="F36">
    <cfRule type="containsText" dxfId="2668" priority="2674" operator="containsText" text="%">
      <formula>NOT(ISERROR(SEARCH("%",F36)))</formula>
    </cfRule>
  </conditionalFormatting>
  <conditionalFormatting sqref="F35:F36">
    <cfRule type="containsText" dxfId="2667" priority="2673" operator="containsText" text="%">
      <formula>NOT(ISERROR(SEARCH("%",F35)))</formula>
    </cfRule>
  </conditionalFormatting>
  <conditionalFormatting sqref="F35:F36">
    <cfRule type="containsText" dxfId="2666" priority="2672" operator="containsText" text="%">
      <formula>NOT(ISERROR(SEARCH("%",F35)))</formula>
    </cfRule>
  </conditionalFormatting>
  <conditionalFormatting sqref="F35:F36">
    <cfRule type="containsText" dxfId="2665" priority="2671" operator="containsText" text="%">
      <formula>NOT(ISERROR(SEARCH("%",F35)))</formula>
    </cfRule>
  </conditionalFormatting>
  <conditionalFormatting sqref="F35:F36">
    <cfRule type="containsText" dxfId="2664" priority="2670" operator="containsText" text="%">
      <formula>NOT(ISERROR(SEARCH("%",F35)))</formula>
    </cfRule>
  </conditionalFormatting>
  <conditionalFormatting sqref="F35:F36">
    <cfRule type="containsText" dxfId="2663" priority="2669" operator="containsText" text="%">
      <formula>NOT(ISERROR(SEARCH("%",F35)))</formula>
    </cfRule>
  </conditionalFormatting>
  <conditionalFormatting sqref="F35:F36">
    <cfRule type="containsText" dxfId="2662" priority="2668" operator="containsText" text="%">
      <formula>NOT(ISERROR(SEARCH("%",F35)))</formula>
    </cfRule>
  </conditionalFormatting>
  <conditionalFormatting sqref="F36">
    <cfRule type="containsText" dxfId="2661" priority="2667" operator="containsText" text="%">
      <formula>NOT(ISERROR(SEARCH("%",F36)))</formula>
    </cfRule>
  </conditionalFormatting>
  <conditionalFormatting sqref="F36">
    <cfRule type="containsText" dxfId="2660" priority="2666" operator="containsText" text="%">
      <formula>NOT(ISERROR(SEARCH("%",F36)))</formula>
    </cfRule>
  </conditionalFormatting>
  <conditionalFormatting sqref="F36">
    <cfRule type="containsText" dxfId="2659" priority="2665" operator="containsText" text="%">
      <formula>NOT(ISERROR(SEARCH("%",F36)))</formula>
    </cfRule>
  </conditionalFormatting>
  <conditionalFormatting sqref="F36">
    <cfRule type="containsText" dxfId="2658" priority="2664" operator="containsText" text="%">
      <formula>NOT(ISERROR(SEARCH("%",F36)))</formula>
    </cfRule>
  </conditionalFormatting>
  <conditionalFormatting sqref="F35:F36">
    <cfRule type="containsText" dxfId="2657" priority="2648" operator="containsText" text="%">
      <formula>NOT(ISERROR(SEARCH("%",F35)))</formula>
    </cfRule>
  </conditionalFormatting>
  <conditionalFormatting sqref="F35:F36">
    <cfRule type="containsText" dxfId="2656" priority="2647" operator="containsText" text="%">
      <formula>NOT(ISERROR(SEARCH("%",F35)))</formula>
    </cfRule>
  </conditionalFormatting>
  <conditionalFormatting sqref="F35:F36">
    <cfRule type="containsText" dxfId="2655" priority="2643" operator="containsText" text="%">
      <formula>NOT(ISERROR(SEARCH("%",F35)))</formula>
    </cfRule>
  </conditionalFormatting>
  <conditionalFormatting sqref="F35:F36">
    <cfRule type="containsText" dxfId="2654" priority="2663" operator="containsText" text="%">
      <formula>NOT(ISERROR(SEARCH("%",F35)))</formula>
    </cfRule>
  </conditionalFormatting>
  <conditionalFormatting sqref="F35">
    <cfRule type="containsText" dxfId="2653" priority="2662" operator="containsText" text="%">
      <formula>NOT(ISERROR(SEARCH("%",F35)))</formula>
    </cfRule>
  </conditionalFormatting>
  <conditionalFormatting sqref="F35">
    <cfRule type="containsText" dxfId="2652" priority="2661" operator="containsText" text="%">
      <formula>NOT(ISERROR(SEARCH("%",F35)))</formula>
    </cfRule>
  </conditionalFormatting>
  <conditionalFormatting sqref="F35:F36">
    <cfRule type="containsText" dxfId="2651" priority="2641" operator="containsText" text="%">
      <formula>NOT(ISERROR(SEARCH("%",F35)))</formula>
    </cfRule>
  </conditionalFormatting>
  <conditionalFormatting sqref="F35:F36">
    <cfRule type="containsText" dxfId="2650" priority="2660" operator="containsText" text="%">
      <formula>NOT(ISERROR(SEARCH("%",F35)))</formula>
    </cfRule>
  </conditionalFormatting>
  <conditionalFormatting sqref="F35:F36">
    <cfRule type="containsText" dxfId="2649" priority="2659" operator="containsText" text="%">
      <formula>NOT(ISERROR(SEARCH("%",F35)))</formula>
    </cfRule>
  </conditionalFormatting>
  <conditionalFormatting sqref="F35:F36">
    <cfRule type="containsText" dxfId="2648" priority="2658" operator="containsText" text="%">
      <formula>NOT(ISERROR(SEARCH("%",F35)))</formula>
    </cfRule>
  </conditionalFormatting>
  <conditionalFormatting sqref="F35:F36">
    <cfRule type="containsText" dxfId="2647" priority="2657" operator="containsText" text="%">
      <formula>NOT(ISERROR(SEARCH("%",F35)))</formula>
    </cfRule>
  </conditionalFormatting>
  <conditionalFormatting sqref="F35:F36">
    <cfRule type="containsText" dxfId="2646" priority="2656" operator="containsText" text="%">
      <formula>NOT(ISERROR(SEARCH("%",F35)))</formula>
    </cfRule>
  </conditionalFormatting>
  <conditionalFormatting sqref="F35:F36">
    <cfRule type="containsText" dxfId="2645" priority="2655" operator="containsText" text="%">
      <formula>NOT(ISERROR(SEARCH("%",F35)))</formula>
    </cfRule>
  </conditionalFormatting>
  <conditionalFormatting sqref="F35:F36">
    <cfRule type="containsText" dxfId="2644" priority="2654" operator="containsText" text="%">
      <formula>NOT(ISERROR(SEARCH("%",F35)))</formula>
    </cfRule>
  </conditionalFormatting>
  <conditionalFormatting sqref="F35:F36">
    <cfRule type="containsText" dxfId="2643" priority="2653" operator="containsText" text="%">
      <formula>NOT(ISERROR(SEARCH("%",F35)))</formula>
    </cfRule>
  </conditionalFormatting>
  <conditionalFormatting sqref="F35:F36">
    <cfRule type="containsText" dxfId="2642" priority="2652" operator="containsText" text="%">
      <formula>NOT(ISERROR(SEARCH("%",F35)))</formula>
    </cfRule>
  </conditionalFormatting>
  <conditionalFormatting sqref="F35:F36">
    <cfRule type="containsText" dxfId="2641" priority="2651" operator="containsText" text="%">
      <formula>NOT(ISERROR(SEARCH("%",F35)))</formula>
    </cfRule>
  </conditionalFormatting>
  <conditionalFormatting sqref="F35:F36">
    <cfRule type="containsText" dxfId="2640" priority="2650" operator="containsText" text="%">
      <formula>NOT(ISERROR(SEARCH("%",F35)))</formula>
    </cfRule>
  </conditionalFormatting>
  <conditionalFormatting sqref="F35:F36">
    <cfRule type="containsText" dxfId="2639" priority="2649" operator="containsText" text="%">
      <formula>NOT(ISERROR(SEARCH("%",F35)))</formula>
    </cfRule>
  </conditionalFormatting>
  <conditionalFormatting sqref="F35:F36">
    <cfRule type="containsText" dxfId="2638" priority="2646" operator="containsText" text="%">
      <formula>NOT(ISERROR(SEARCH("%",F35)))</formula>
    </cfRule>
  </conditionalFormatting>
  <conditionalFormatting sqref="F35:F36">
    <cfRule type="containsText" dxfId="2637" priority="2645" operator="containsText" text="%">
      <formula>NOT(ISERROR(SEARCH("%",F35)))</formula>
    </cfRule>
  </conditionalFormatting>
  <conditionalFormatting sqref="F35:F36">
    <cfRule type="containsText" dxfId="2636" priority="2644" operator="containsText" text="%">
      <formula>NOT(ISERROR(SEARCH("%",F35)))</formula>
    </cfRule>
  </conditionalFormatting>
  <conditionalFormatting sqref="F35:F36">
    <cfRule type="containsText" dxfId="2635" priority="2642" operator="containsText" text="%">
      <formula>NOT(ISERROR(SEARCH("%",F35)))</formula>
    </cfRule>
  </conditionalFormatting>
  <conditionalFormatting sqref="F35:F36">
    <cfRule type="containsText" dxfId="2634" priority="2640" operator="containsText" text="%">
      <formula>NOT(ISERROR(SEARCH("%",F35)))</formula>
    </cfRule>
  </conditionalFormatting>
  <conditionalFormatting sqref="F35:F36">
    <cfRule type="containsText" dxfId="2633" priority="2639" operator="containsText" text="%">
      <formula>NOT(ISERROR(SEARCH("%",F35)))</formula>
    </cfRule>
  </conditionalFormatting>
  <conditionalFormatting sqref="F35:F36">
    <cfRule type="containsText" dxfId="2632" priority="2638" operator="containsText" text="%">
      <formula>NOT(ISERROR(SEARCH("%",F35)))</formula>
    </cfRule>
  </conditionalFormatting>
  <conditionalFormatting sqref="F35:F36">
    <cfRule type="containsText" dxfId="2631" priority="2637" operator="containsText" text="%">
      <formula>NOT(ISERROR(SEARCH("%",F35)))</formula>
    </cfRule>
  </conditionalFormatting>
  <conditionalFormatting sqref="F35:F36">
    <cfRule type="containsText" dxfId="2630" priority="2636" operator="containsText" text="%">
      <formula>NOT(ISERROR(SEARCH("%",F35)))</formula>
    </cfRule>
  </conditionalFormatting>
  <conditionalFormatting sqref="F35:F36">
    <cfRule type="containsText" dxfId="2629" priority="2635" operator="containsText" text="%">
      <formula>NOT(ISERROR(SEARCH("%",F35)))</formula>
    </cfRule>
  </conditionalFormatting>
  <conditionalFormatting sqref="F35:F36">
    <cfRule type="containsText" dxfId="2628" priority="2634" operator="containsText" text="%">
      <formula>NOT(ISERROR(SEARCH("%",F35)))</formula>
    </cfRule>
  </conditionalFormatting>
  <conditionalFormatting sqref="F35:F36">
    <cfRule type="containsText" dxfId="2627" priority="2633" operator="containsText" text="%">
      <formula>NOT(ISERROR(SEARCH("%",F35)))</formula>
    </cfRule>
  </conditionalFormatting>
  <conditionalFormatting sqref="F35:F36">
    <cfRule type="containsText" dxfId="2626" priority="2632" operator="containsText" text="%">
      <formula>NOT(ISERROR(SEARCH("%",F35)))</formula>
    </cfRule>
  </conditionalFormatting>
  <conditionalFormatting sqref="F35:F36">
    <cfRule type="containsText" dxfId="2625" priority="2631" operator="containsText" text="%">
      <formula>NOT(ISERROR(SEARCH("%",F35)))</formula>
    </cfRule>
  </conditionalFormatting>
  <conditionalFormatting sqref="F36">
    <cfRule type="containsText" dxfId="2624" priority="2630" operator="containsText" text="%">
      <formula>NOT(ISERROR(SEARCH("%",F36)))</formula>
    </cfRule>
  </conditionalFormatting>
  <conditionalFormatting sqref="F36">
    <cfRule type="containsText" dxfId="2623" priority="2629" operator="containsText" text="%">
      <formula>NOT(ISERROR(SEARCH("%",F36)))</formula>
    </cfRule>
  </conditionalFormatting>
  <conditionalFormatting sqref="F36">
    <cfRule type="containsText" dxfId="2622" priority="2628" operator="containsText" text="%">
      <formula>NOT(ISERROR(SEARCH("%",F36)))</formula>
    </cfRule>
  </conditionalFormatting>
  <conditionalFormatting sqref="F36">
    <cfRule type="containsText" dxfId="2621" priority="2627" operator="containsText" text="%">
      <formula>NOT(ISERROR(SEARCH("%",F36)))</formula>
    </cfRule>
  </conditionalFormatting>
  <conditionalFormatting sqref="F35:F36">
    <cfRule type="containsText" dxfId="2620" priority="2626" operator="containsText" text="%">
      <formula>NOT(ISERROR(SEARCH("%",F35)))</formula>
    </cfRule>
  </conditionalFormatting>
  <conditionalFormatting sqref="F35:F36">
    <cfRule type="containsText" dxfId="2619" priority="2625" operator="containsText" text="%">
      <formula>NOT(ISERROR(SEARCH("%",F35)))</formula>
    </cfRule>
  </conditionalFormatting>
  <conditionalFormatting sqref="F35:F36">
    <cfRule type="containsText" dxfId="2618" priority="2624" operator="containsText" text="%">
      <formula>NOT(ISERROR(SEARCH("%",F35)))</formula>
    </cfRule>
  </conditionalFormatting>
  <conditionalFormatting sqref="F35:F36">
    <cfRule type="containsText" dxfId="2617" priority="2623" operator="containsText" text="%">
      <formula>NOT(ISERROR(SEARCH("%",F35)))</formula>
    </cfRule>
  </conditionalFormatting>
  <conditionalFormatting sqref="F35:F36">
    <cfRule type="containsText" dxfId="2616" priority="2622" operator="containsText" text="%">
      <formula>NOT(ISERROR(SEARCH("%",F35)))</formula>
    </cfRule>
  </conditionalFormatting>
  <conditionalFormatting sqref="F35:F36">
    <cfRule type="containsText" dxfId="2615" priority="2621" operator="containsText" text="%">
      <formula>NOT(ISERROR(SEARCH("%",F35)))</formula>
    </cfRule>
  </conditionalFormatting>
  <conditionalFormatting sqref="F35:F36">
    <cfRule type="containsText" dxfId="2614" priority="2620" operator="containsText" text="%">
      <formula>NOT(ISERROR(SEARCH("%",F35)))</formula>
    </cfRule>
  </conditionalFormatting>
  <conditionalFormatting sqref="F35:F36">
    <cfRule type="containsText" dxfId="2613" priority="2619" operator="containsText" text="%">
      <formula>NOT(ISERROR(SEARCH("%",F35)))</formula>
    </cfRule>
  </conditionalFormatting>
  <conditionalFormatting sqref="F35:F36">
    <cfRule type="containsText" dxfId="2612" priority="2618" operator="containsText" text="%">
      <formula>NOT(ISERROR(SEARCH("%",F35)))</formula>
    </cfRule>
  </conditionalFormatting>
  <conditionalFormatting sqref="F35:F36">
    <cfRule type="containsText" dxfId="2611" priority="2617" operator="containsText" text="%">
      <formula>NOT(ISERROR(SEARCH("%",F35)))</formula>
    </cfRule>
  </conditionalFormatting>
  <conditionalFormatting sqref="F36">
    <cfRule type="containsText" dxfId="2610" priority="2616" operator="containsText" text="%">
      <formula>NOT(ISERROR(SEARCH("%",F36)))</formula>
    </cfRule>
  </conditionalFormatting>
  <conditionalFormatting sqref="F36">
    <cfRule type="containsText" dxfId="2609" priority="2615" operator="containsText" text="%">
      <formula>NOT(ISERROR(SEARCH("%",F36)))</formula>
    </cfRule>
  </conditionalFormatting>
  <conditionalFormatting sqref="F36">
    <cfRule type="containsText" dxfId="2608" priority="2614" operator="containsText" text="%">
      <formula>NOT(ISERROR(SEARCH("%",F36)))</formula>
    </cfRule>
  </conditionalFormatting>
  <conditionalFormatting sqref="F36">
    <cfRule type="containsText" dxfId="2607" priority="2613" operator="containsText" text="%">
      <formula>NOT(ISERROR(SEARCH("%",F36)))</formula>
    </cfRule>
  </conditionalFormatting>
  <conditionalFormatting sqref="F35">
    <cfRule type="containsText" dxfId="2606" priority="2612" operator="containsText" text="%">
      <formula>NOT(ISERROR(SEARCH("%",F35)))</formula>
    </cfRule>
  </conditionalFormatting>
  <conditionalFormatting sqref="F35">
    <cfRule type="containsText" dxfId="2605" priority="2611" operator="containsText" text="%">
      <formula>NOT(ISERROR(SEARCH("%",F35)))</formula>
    </cfRule>
  </conditionalFormatting>
  <conditionalFormatting sqref="F35">
    <cfRule type="containsText" dxfId="2604" priority="2610" operator="containsText" text="%">
      <formula>NOT(ISERROR(SEARCH("%",F35)))</formula>
    </cfRule>
  </conditionalFormatting>
  <conditionalFormatting sqref="F35">
    <cfRule type="containsText" dxfId="2603" priority="2609" operator="containsText" text="%">
      <formula>NOT(ISERROR(SEARCH("%",F35)))</formula>
    </cfRule>
  </conditionalFormatting>
  <conditionalFormatting sqref="F35">
    <cfRule type="containsText" dxfId="2602" priority="2608" operator="containsText" text="%">
      <formula>NOT(ISERROR(SEARCH("%",F35)))</formula>
    </cfRule>
  </conditionalFormatting>
  <conditionalFormatting sqref="F35">
    <cfRule type="containsText" dxfId="2601" priority="2607" operator="containsText" text="%">
      <formula>NOT(ISERROR(SEARCH("%",F35)))</formula>
    </cfRule>
  </conditionalFormatting>
  <conditionalFormatting sqref="F36">
    <cfRule type="containsText" dxfId="2600" priority="2606" operator="containsText" text="%">
      <formula>NOT(ISERROR(SEARCH("%",F36)))</formula>
    </cfRule>
  </conditionalFormatting>
  <conditionalFormatting sqref="F36">
    <cfRule type="containsText" dxfId="2599" priority="2605" operator="containsText" text="%">
      <formula>NOT(ISERROR(SEARCH("%",F36)))</formula>
    </cfRule>
  </conditionalFormatting>
  <conditionalFormatting sqref="F36">
    <cfRule type="containsText" dxfId="2598" priority="2604" operator="containsText" text="%">
      <formula>NOT(ISERROR(SEARCH("%",F36)))</formula>
    </cfRule>
  </conditionalFormatting>
  <conditionalFormatting sqref="F36">
    <cfRule type="containsText" dxfId="2597" priority="2603" operator="containsText" text="%">
      <formula>NOT(ISERROR(SEARCH("%",F36)))</formula>
    </cfRule>
  </conditionalFormatting>
  <conditionalFormatting sqref="F36">
    <cfRule type="containsText" dxfId="2596" priority="2602" operator="containsText" text="%">
      <formula>NOT(ISERROR(SEARCH("%",F36)))</formula>
    </cfRule>
  </conditionalFormatting>
  <conditionalFormatting sqref="F36">
    <cfRule type="containsText" dxfId="2595" priority="2601" operator="containsText" text="%">
      <formula>NOT(ISERROR(SEARCH("%",F36)))</formula>
    </cfRule>
  </conditionalFormatting>
  <conditionalFormatting sqref="F36">
    <cfRule type="containsText" dxfId="2594" priority="2600" operator="containsText" text="%">
      <formula>NOT(ISERROR(SEARCH("%",F36)))</formula>
    </cfRule>
  </conditionalFormatting>
  <conditionalFormatting sqref="F36">
    <cfRule type="containsText" dxfId="2593" priority="2599" operator="containsText" text="%">
      <formula>NOT(ISERROR(SEARCH("%",F36)))</formula>
    </cfRule>
  </conditionalFormatting>
  <conditionalFormatting sqref="F36">
    <cfRule type="containsText" dxfId="2592" priority="2598" operator="containsText" text="%">
      <formula>NOT(ISERROR(SEARCH("%",F36)))</formula>
    </cfRule>
  </conditionalFormatting>
  <conditionalFormatting sqref="F36">
    <cfRule type="containsText" dxfId="2591" priority="2597" operator="containsText" text="%">
      <formula>NOT(ISERROR(SEARCH("%",F36)))</formula>
    </cfRule>
  </conditionalFormatting>
  <conditionalFormatting sqref="F36">
    <cfRule type="containsText" dxfId="2590" priority="2583" operator="containsText" text="%">
      <formula>NOT(ISERROR(SEARCH("%",F36)))</formula>
    </cfRule>
  </conditionalFormatting>
  <conditionalFormatting sqref="F36">
    <cfRule type="containsText" dxfId="2589" priority="2582" operator="containsText" text="%">
      <formula>NOT(ISERROR(SEARCH("%",F36)))</formula>
    </cfRule>
  </conditionalFormatting>
  <conditionalFormatting sqref="F36">
    <cfRule type="containsText" dxfId="2588" priority="2578" operator="containsText" text="%">
      <formula>NOT(ISERROR(SEARCH("%",F36)))</formula>
    </cfRule>
  </conditionalFormatting>
  <conditionalFormatting sqref="F36">
    <cfRule type="containsText" dxfId="2587" priority="2596" operator="containsText" text="%">
      <formula>NOT(ISERROR(SEARCH("%",F36)))</formula>
    </cfRule>
  </conditionalFormatting>
  <conditionalFormatting sqref="F36">
    <cfRule type="containsText" dxfId="2586" priority="2576" operator="containsText" text="%">
      <formula>NOT(ISERROR(SEARCH("%",F36)))</formula>
    </cfRule>
  </conditionalFormatting>
  <conditionalFormatting sqref="F36">
    <cfRule type="containsText" dxfId="2585" priority="2595" operator="containsText" text="%">
      <formula>NOT(ISERROR(SEARCH("%",F36)))</formula>
    </cfRule>
  </conditionalFormatting>
  <conditionalFormatting sqref="F36">
    <cfRule type="containsText" dxfId="2584" priority="2594" operator="containsText" text="%">
      <formula>NOT(ISERROR(SEARCH("%",F36)))</formula>
    </cfRule>
  </conditionalFormatting>
  <conditionalFormatting sqref="F36">
    <cfRule type="containsText" dxfId="2583" priority="2593" operator="containsText" text="%">
      <formula>NOT(ISERROR(SEARCH("%",F36)))</formula>
    </cfRule>
  </conditionalFormatting>
  <conditionalFormatting sqref="F36">
    <cfRule type="containsText" dxfId="2582" priority="2592" operator="containsText" text="%">
      <formula>NOT(ISERROR(SEARCH("%",F36)))</formula>
    </cfRule>
  </conditionalFormatting>
  <conditionalFormatting sqref="F36">
    <cfRule type="containsText" dxfId="2581" priority="2591" operator="containsText" text="%">
      <formula>NOT(ISERROR(SEARCH("%",F36)))</formula>
    </cfRule>
  </conditionalFormatting>
  <conditionalFormatting sqref="F36">
    <cfRule type="containsText" dxfId="2580" priority="2590" operator="containsText" text="%">
      <formula>NOT(ISERROR(SEARCH("%",F36)))</formula>
    </cfRule>
  </conditionalFormatting>
  <conditionalFormatting sqref="F36">
    <cfRule type="containsText" dxfId="2579" priority="2589" operator="containsText" text="%">
      <formula>NOT(ISERROR(SEARCH("%",F36)))</formula>
    </cfRule>
  </conditionalFormatting>
  <conditionalFormatting sqref="F36">
    <cfRule type="containsText" dxfId="2578" priority="2588" operator="containsText" text="%">
      <formula>NOT(ISERROR(SEARCH("%",F36)))</formula>
    </cfRule>
  </conditionalFormatting>
  <conditionalFormatting sqref="F36">
    <cfRule type="containsText" dxfId="2577" priority="2587" operator="containsText" text="%">
      <formula>NOT(ISERROR(SEARCH("%",F36)))</formula>
    </cfRule>
  </conditionalFormatting>
  <conditionalFormatting sqref="F36">
    <cfRule type="containsText" dxfId="2576" priority="2586" operator="containsText" text="%">
      <formula>NOT(ISERROR(SEARCH("%",F36)))</formula>
    </cfRule>
  </conditionalFormatting>
  <conditionalFormatting sqref="F36">
    <cfRule type="containsText" dxfId="2575" priority="2585" operator="containsText" text="%">
      <formula>NOT(ISERROR(SEARCH("%",F36)))</formula>
    </cfRule>
  </conditionalFormatting>
  <conditionalFormatting sqref="F36">
    <cfRule type="containsText" dxfId="2574" priority="2584" operator="containsText" text="%">
      <formula>NOT(ISERROR(SEARCH("%",F36)))</formula>
    </cfRule>
  </conditionalFormatting>
  <conditionalFormatting sqref="F36">
    <cfRule type="containsText" dxfId="2573" priority="2581" operator="containsText" text="%">
      <formula>NOT(ISERROR(SEARCH("%",F36)))</formula>
    </cfRule>
  </conditionalFormatting>
  <conditionalFormatting sqref="F36">
    <cfRule type="containsText" dxfId="2572" priority="2580" operator="containsText" text="%">
      <formula>NOT(ISERROR(SEARCH("%",F36)))</formula>
    </cfRule>
  </conditionalFormatting>
  <conditionalFormatting sqref="F36">
    <cfRule type="containsText" dxfId="2571" priority="2579" operator="containsText" text="%">
      <formula>NOT(ISERROR(SEARCH("%",F36)))</formula>
    </cfRule>
  </conditionalFormatting>
  <conditionalFormatting sqref="F36">
    <cfRule type="containsText" dxfId="2570" priority="2577" operator="containsText" text="%">
      <formula>NOT(ISERROR(SEARCH("%",F36)))</formula>
    </cfRule>
  </conditionalFormatting>
  <conditionalFormatting sqref="F36">
    <cfRule type="containsText" dxfId="2569" priority="2575" operator="containsText" text="%">
      <formula>NOT(ISERROR(SEARCH("%",F36)))</formula>
    </cfRule>
  </conditionalFormatting>
  <conditionalFormatting sqref="F36">
    <cfRule type="containsText" dxfId="2568" priority="2574" operator="containsText" text="%">
      <formula>NOT(ISERROR(SEARCH("%",F36)))</formula>
    </cfRule>
  </conditionalFormatting>
  <conditionalFormatting sqref="F36">
    <cfRule type="containsText" dxfId="2567" priority="2573" operator="containsText" text="%">
      <formula>NOT(ISERROR(SEARCH("%",F36)))</formula>
    </cfRule>
  </conditionalFormatting>
  <conditionalFormatting sqref="F36">
    <cfRule type="containsText" dxfId="2566" priority="2572" operator="containsText" text="%">
      <formula>NOT(ISERROR(SEARCH("%",F36)))</formula>
    </cfRule>
  </conditionalFormatting>
  <conditionalFormatting sqref="F36">
    <cfRule type="containsText" dxfId="2565" priority="2571" operator="containsText" text="%">
      <formula>NOT(ISERROR(SEARCH("%",F36)))</formula>
    </cfRule>
  </conditionalFormatting>
  <conditionalFormatting sqref="F36">
    <cfRule type="containsText" dxfId="2564" priority="2570" operator="containsText" text="%">
      <formula>NOT(ISERROR(SEARCH("%",F36)))</formula>
    </cfRule>
  </conditionalFormatting>
  <conditionalFormatting sqref="F36">
    <cfRule type="containsText" dxfId="2563" priority="2569" operator="containsText" text="%">
      <formula>NOT(ISERROR(SEARCH("%",F36)))</formula>
    </cfRule>
  </conditionalFormatting>
  <conditionalFormatting sqref="F36">
    <cfRule type="containsText" dxfId="2562" priority="2568" operator="containsText" text="%">
      <formula>NOT(ISERROR(SEARCH("%",F36)))</formula>
    </cfRule>
  </conditionalFormatting>
  <conditionalFormatting sqref="F36">
    <cfRule type="containsText" dxfId="2561" priority="2567" operator="containsText" text="%">
      <formula>NOT(ISERROR(SEARCH("%",F36)))</formula>
    </cfRule>
  </conditionalFormatting>
  <conditionalFormatting sqref="F36">
    <cfRule type="containsText" dxfId="2560" priority="2566" operator="containsText" text="%">
      <formula>NOT(ISERROR(SEARCH("%",F36)))</formula>
    </cfRule>
  </conditionalFormatting>
  <conditionalFormatting sqref="F36">
    <cfRule type="containsText" dxfId="2559" priority="2565" operator="containsText" text="%">
      <formula>NOT(ISERROR(SEARCH("%",F36)))</formula>
    </cfRule>
  </conditionalFormatting>
  <conditionalFormatting sqref="F36">
    <cfRule type="containsText" dxfId="2558" priority="2564" operator="containsText" text="%">
      <formula>NOT(ISERROR(SEARCH("%",F36)))</formula>
    </cfRule>
  </conditionalFormatting>
  <conditionalFormatting sqref="F36">
    <cfRule type="containsText" dxfId="2557" priority="2563" operator="containsText" text="%">
      <formula>NOT(ISERROR(SEARCH("%",F36)))</formula>
    </cfRule>
  </conditionalFormatting>
  <conditionalFormatting sqref="F36">
    <cfRule type="containsText" dxfId="2556" priority="2562" operator="containsText" text="%">
      <formula>NOT(ISERROR(SEARCH("%",F36)))</formula>
    </cfRule>
  </conditionalFormatting>
  <conditionalFormatting sqref="F36">
    <cfRule type="containsText" dxfId="2555" priority="2561" operator="containsText" text="%">
      <formula>NOT(ISERROR(SEARCH("%",F36)))</formula>
    </cfRule>
  </conditionalFormatting>
  <conditionalFormatting sqref="F36">
    <cfRule type="containsText" dxfId="2554" priority="2560" operator="containsText" text="%">
      <formula>NOT(ISERROR(SEARCH("%",F36)))</formula>
    </cfRule>
  </conditionalFormatting>
  <conditionalFormatting sqref="F36">
    <cfRule type="containsText" dxfId="2553" priority="2559" operator="containsText" text="%">
      <formula>NOT(ISERROR(SEARCH("%",F36)))</formula>
    </cfRule>
  </conditionalFormatting>
  <conditionalFormatting sqref="F36">
    <cfRule type="containsText" dxfId="2552" priority="2558" operator="containsText" text="%">
      <formula>NOT(ISERROR(SEARCH("%",F36)))</formula>
    </cfRule>
  </conditionalFormatting>
  <conditionalFormatting sqref="F36">
    <cfRule type="containsText" dxfId="2551" priority="2557" operator="containsText" text="%">
      <formula>NOT(ISERROR(SEARCH("%",F36)))</formula>
    </cfRule>
  </conditionalFormatting>
  <conditionalFormatting sqref="F36">
    <cfRule type="containsText" dxfId="2550" priority="2556" operator="containsText" text="%">
      <formula>NOT(ISERROR(SEARCH("%",F36)))</formula>
    </cfRule>
  </conditionalFormatting>
  <conditionalFormatting sqref="F36">
    <cfRule type="containsText" dxfId="2549" priority="2555" operator="containsText" text="%">
      <formula>NOT(ISERROR(SEARCH("%",F36)))</formula>
    </cfRule>
  </conditionalFormatting>
  <conditionalFormatting sqref="F36">
    <cfRule type="containsText" dxfId="2548" priority="2554" operator="containsText" text="%">
      <formula>NOT(ISERROR(SEARCH("%",F36)))</formula>
    </cfRule>
  </conditionalFormatting>
  <conditionalFormatting sqref="F36">
    <cfRule type="containsText" dxfId="2547" priority="2553" operator="containsText" text="%">
      <formula>NOT(ISERROR(SEARCH("%",F36)))</formula>
    </cfRule>
  </conditionalFormatting>
  <conditionalFormatting sqref="F36">
    <cfRule type="containsText" dxfId="2546" priority="2552" operator="containsText" text="%">
      <formula>NOT(ISERROR(SEARCH("%",F36)))</formula>
    </cfRule>
  </conditionalFormatting>
  <conditionalFormatting sqref="F36">
    <cfRule type="containsText" dxfId="2545" priority="2551" operator="containsText" text="%">
      <formula>NOT(ISERROR(SEARCH("%",F36)))</formula>
    </cfRule>
  </conditionalFormatting>
  <conditionalFormatting sqref="F36">
    <cfRule type="containsText" dxfId="2544" priority="2550" operator="containsText" text="%">
      <formula>NOT(ISERROR(SEARCH("%",F36)))</formula>
    </cfRule>
  </conditionalFormatting>
  <conditionalFormatting sqref="F36">
    <cfRule type="containsText" dxfId="2543" priority="2549" operator="containsText" text="%">
      <formula>NOT(ISERROR(SEARCH("%",F36)))</formula>
    </cfRule>
  </conditionalFormatting>
  <conditionalFormatting sqref="F36">
    <cfRule type="containsText" dxfId="2542" priority="2548" operator="containsText" text="%">
      <formula>NOT(ISERROR(SEARCH("%",F36)))</formula>
    </cfRule>
  </conditionalFormatting>
  <conditionalFormatting sqref="H33:H34">
    <cfRule type="containsText" dxfId="2541" priority="2547" operator="containsText" text="%">
      <formula>NOT(ISERROR(SEARCH("%",H33)))</formula>
    </cfRule>
  </conditionalFormatting>
  <conditionalFormatting sqref="H33:H34">
    <cfRule type="containsText" dxfId="2540" priority="2546" operator="containsText" text="%">
      <formula>NOT(ISERROR(SEARCH("%",H33)))</formula>
    </cfRule>
  </conditionalFormatting>
  <conditionalFormatting sqref="H33:H34">
    <cfRule type="containsText" dxfId="2539" priority="2545" operator="containsText" text="%">
      <formula>NOT(ISERROR(SEARCH("%",H33)))</formula>
    </cfRule>
  </conditionalFormatting>
  <conditionalFormatting sqref="H33:H34">
    <cfRule type="containsText" dxfId="2538" priority="2544" operator="containsText" text="%">
      <formula>NOT(ISERROR(SEARCH("%",H33)))</formula>
    </cfRule>
  </conditionalFormatting>
  <conditionalFormatting sqref="H33:H34">
    <cfRule type="containsText" dxfId="2537" priority="2543" operator="containsText" text="%">
      <formula>NOT(ISERROR(SEARCH("%",H33)))</formula>
    </cfRule>
  </conditionalFormatting>
  <conditionalFormatting sqref="H33:H34">
    <cfRule type="containsText" dxfId="2536" priority="2542" operator="containsText" text="%">
      <formula>NOT(ISERROR(SEARCH("%",H33)))</formula>
    </cfRule>
  </conditionalFormatting>
  <conditionalFormatting sqref="H33:H34">
    <cfRule type="containsText" dxfId="2535" priority="2526" operator="containsText" text="%">
      <formula>NOT(ISERROR(SEARCH("%",H33)))</formula>
    </cfRule>
  </conditionalFormatting>
  <conditionalFormatting sqref="H33:H34">
    <cfRule type="containsText" dxfId="2534" priority="2525" operator="containsText" text="%">
      <formula>NOT(ISERROR(SEARCH("%",H33)))</formula>
    </cfRule>
  </conditionalFormatting>
  <conditionalFormatting sqref="H33:H34">
    <cfRule type="containsText" dxfId="2533" priority="2521" operator="containsText" text="%">
      <formula>NOT(ISERROR(SEARCH("%",H33)))</formula>
    </cfRule>
  </conditionalFormatting>
  <conditionalFormatting sqref="H33:H34">
    <cfRule type="containsText" dxfId="2532" priority="2541" operator="containsText" text="%">
      <formula>NOT(ISERROR(SEARCH("%",H33)))</formula>
    </cfRule>
  </conditionalFormatting>
  <conditionalFormatting sqref="H33">
    <cfRule type="containsText" dxfId="2531" priority="2540" operator="containsText" text="%">
      <formula>NOT(ISERROR(SEARCH("%",H33)))</formula>
    </cfRule>
  </conditionalFormatting>
  <conditionalFormatting sqref="H33">
    <cfRule type="containsText" dxfId="2530" priority="2539" operator="containsText" text="%">
      <formula>NOT(ISERROR(SEARCH("%",H33)))</formula>
    </cfRule>
  </conditionalFormatting>
  <conditionalFormatting sqref="H33:H34">
    <cfRule type="containsText" dxfId="2529" priority="2519" operator="containsText" text="%">
      <formula>NOT(ISERROR(SEARCH("%",H33)))</formula>
    </cfRule>
  </conditionalFormatting>
  <conditionalFormatting sqref="H33:H34">
    <cfRule type="containsText" dxfId="2528" priority="2538" operator="containsText" text="%">
      <formula>NOT(ISERROR(SEARCH("%",H33)))</formula>
    </cfRule>
  </conditionalFormatting>
  <conditionalFormatting sqref="H33:H34">
    <cfRule type="containsText" dxfId="2527" priority="2537" operator="containsText" text="%">
      <formula>NOT(ISERROR(SEARCH("%",H33)))</formula>
    </cfRule>
  </conditionalFormatting>
  <conditionalFormatting sqref="H33:H34">
    <cfRule type="containsText" dxfId="2526" priority="2536" operator="containsText" text="%">
      <formula>NOT(ISERROR(SEARCH("%",H33)))</formula>
    </cfRule>
  </conditionalFormatting>
  <conditionalFormatting sqref="H33:H34">
    <cfRule type="containsText" dxfId="2525" priority="2535" operator="containsText" text="%">
      <formula>NOT(ISERROR(SEARCH("%",H33)))</formula>
    </cfRule>
  </conditionalFormatting>
  <conditionalFormatting sqref="H33:H34">
    <cfRule type="containsText" dxfId="2524" priority="2534" operator="containsText" text="%">
      <formula>NOT(ISERROR(SEARCH("%",H33)))</formula>
    </cfRule>
  </conditionalFormatting>
  <conditionalFormatting sqref="H33:H34">
    <cfRule type="containsText" dxfId="2523" priority="2533" operator="containsText" text="%">
      <formula>NOT(ISERROR(SEARCH("%",H33)))</formula>
    </cfRule>
  </conditionalFormatting>
  <conditionalFormatting sqref="H33:H34">
    <cfRule type="containsText" dxfId="2522" priority="2532" operator="containsText" text="%">
      <formula>NOT(ISERROR(SEARCH("%",H33)))</formula>
    </cfRule>
  </conditionalFormatting>
  <conditionalFormatting sqref="H33:H34">
    <cfRule type="containsText" dxfId="2521" priority="2531" operator="containsText" text="%">
      <formula>NOT(ISERROR(SEARCH("%",H33)))</formula>
    </cfRule>
  </conditionalFormatting>
  <conditionalFormatting sqref="H33:H34">
    <cfRule type="containsText" dxfId="2520" priority="2530" operator="containsText" text="%">
      <formula>NOT(ISERROR(SEARCH("%",H33)))</formula>
    </cfRule>
  </conditionalFormatting>
  <conditionalFormatting sqref="H33:H34">
    <cfRule type="containsText" dxfId="2519" priority="2529" operator="containsText" text="%">
      <formula>NOT(ISERROR(SEARCH("%",H33)))</formula>
    </cfRule>
  </conditionalFormatting>
  <conditionalFormatting sqref="H33:H34">
    <cfRule type="containsText" dxfId="2518" priority="2528" operator="containsText" text="%">
      <formula>NOT(ISERROR(SEARCH("%",H33)))</formula>
    </cfRule>
  </conditionalFormatting>
  <conditionalFormatting sqref="H33:H34">
    <cfRule type="containsText" dxfId="2517" priority="2527" operator="containsText" text="%">
      <formula>NOT(ISERROR(SEARCH("%",H33)))</formula>
    </cfRule>
  </conditionalFormatting>
  <conditionalFormatting sqref="H33:H34">
    <cfRule type="containsText" dxfId="2516" priority="2524" operator="containsText" text="%">
      <formula>NOT(ISERROR(SEARCH("%",H33)))</formula>
    </cfRule>
  </conditionalFormatting>
  <conditionalFormatting sqref="H33:H34">
    <cfRule type="containsText" dxfId="2515" priority="2523" operator="containsText" text="%">
      <formula>NOT(ISERROR(SEARCH("%",H33)))</formula>
    </cfRule>
  </conditionalFormatting>
  <conditionalFormatting sqref="H33:H34">
    <cfRule type="containsText" dxfId="2514" priority="2522" operator="containsText" text="%">
      <formula>NOT(ISERROR(SEARCH("%",H33)))</formula>
    </cfRule>
  </conditionalFormatting>
  <conditionalFormatting sqref="H33:H34">
    <cfRule type="containsText" dxfId="2513" priority="2520" operator="containsText" text="%">
      <formula>NOT(ISERROR(SEARCH("%",H33)))</formula>
    </cfRule>
  </conditionalFormatting>
  <conditionalFormatting sqref="H33:H34">
    <cfRule type="containsText" dxfId="2512" priority="2518" operator="containsText" text="%">
      <formula>NOT(ISERROR(SEARCH("%",H33)))</formula>
    </cfRule>
  </conditionalFormatting>
  <conditionalFormatting sqref="H33:H34">
    <cfRule type="containsText" dxfId="2511" priority="2517" operator="containsText" text="%">
      <formula>NOT(ISERROR(SEARCH("%",H33)))</formula>
    </cfRule>
  </conditionalFormatting>
  <conditionalFormatting sqref="H33:H34">
    <cfRule type="containsText" dxfId="2510" priority="2516" operator="containsText" text="%">
      <formula>NOT(ISERROR(SEARCH("%",H33)))</formula>
    </cfRule>
  </conditionalFormatting>
  <conditionalFormatting sqref="H33:H34">
    <cfRule type="containsText" dxfId="2509" priority="2515" operator="containsText" text="%">
      <formula>NOT(ISERROR(SEARCH("%",H33)))</formula>
    </cfRule>
  </conditionalFormatting>
  <conditionalFormatting sqref="H33:H34">
    <cfRule type="containsText" dxfId="2508" priority="2514" operator="containsText" text="%">
      <formula>NOT(ISERROR(SEARCH("%",H33)))</formula>
    </cfRule>
  </conditionalFormatting>
  <conditionalFormatting sqref="H33:H34">
    <cfRule type="containsText" dxfId="2507" priority="2513" operator="containsText" text="%">
      <formula>NOT(ISERROR(SEARCH("%",H33)))</formula>
    </cfRule>
  </conditionalFormatting>
  <conditionalFormatting sqref="H33:H34">
    <cfRule type="containsText" dxfId="2506" priority="2512" operator="containsText" text="%">
      <formula>NOT(ISERROR(SEARCH("%",H33)))</formula>
    </cfRule>
  </conditionalFormatting>
  <conditionalFormatting sqref="H33:H34">
    <cfRule type="containsText" dxfId="2505" priority="2511" operator="containsText" text="%">
      <formula>NOT(ISERROR(SEARCH("%",H33)))</formula>
    </cfRule>
  </conditionalFormatting>
  <conditionalFormatting sqref="H33:H34">
    <cfRule type="containsText" dxfId="2504" priority="2510" operator="containsText" text="%">
      <formula>NOT(ISERROR(SEARCH("%",H33)))</formula>
    </cfRule>
  </conditionalFormatting>
  <conditionalFormatting sqref="H33:H34">
    <cfRule type="containsText" dxfId="2503" priority="2509" operator="containsText" text="%">
      <formula>NOT(ISERROR(SEARCH("%",H33)))</formula>
    </cfRule>
  </conditionalFormatting>
  <conditionalFormatting sqref="H34">
    <cfRule type="containsText" dxfId="2502" priority="2508" operator="containsText" text="%">
      <formula>NOT(ISERROR(SEARCH("%",H34)))</formula>
    </cfRule>
  </conditionalFormatting>
  <conditionalFormatting sqref="H34">
    <cfRule type="containsText" dxfId="2501" priority="2507" operator="containsText" text="%">
      <formula>NOT(ISERROR(SEARCH("%",H34)))</formula>
    </cfRule>
  </conditionalFormatting>
  <conditionalFormatting sqref="H34">
    <cfRule type="containsText" dxfId="2500" priority="2506" operator="containsText" text="%">
      <formula>NOT(ISERROR(SEARCH("%",H34)))</formula>
    </cfRule>
  </conditionalFormatting>
  <conditionalFormatting sqref="H34">
    <cfRule type="containsText" dxfId="2499" priority="2505" operator="containsText" text="%">
      <formula>NOT(ISERROR(SEARCH("%",H34)))</formula>
    </cfRule>
  </conditionalFormatting>
  <conditionalFormatting sqref="H33:H34">
    <cfRule type="containsText" dxfId="2498" priority="2504" operator="containsText" text="%">
      <formula>NOT(ISERROR(SEARCH("%",H33)))</formula>
    </cfRule>
  </conditionalFormatting>
  <conditionalFormatting sqref="H33:H34">
    <cfRule type="containsText" dxfId="2497" priority="2503" operator="containsText" text="%">
      <formula>NOT(ISERROR(SEARCH("%",H33)))</formula>
    </cfRule>
  </conditionalFormatting>
  <conditionalFormatting sqref="H33:H34">
    <cfRule type="containsText" dxfId="2496" priority="2502" operator="containsText" text="%">
      <formula>NOT(ISERROR(SEARCH("%",H33)))</formula>
    </cfRule>
  </conditionalFormatting>
  <conditionalFormatting sqref="H33:H34">
    <cfRule type="containsText" dxfId="2495" priority="2501" operator="containsText" text="%">
      <formula>NOT(ISERROR(SEARCH("%",H33)))</formula>
    </cfRule>
  </conditionalFormatting>
  <conditionalFormatting sqref="H33:H34">
    <cfRule type="containsText" dxfId="2494" priority="2500" operator="containsText" text="%">
      <formula>NOT(ISERROR(SEARCH("%",H33)))</formula>
    </cfRule>
  </conditionalFormatting>
  <conditionalFormatting sqref="H33:H34">
    <cfRule type="containsText" dxfId="2493" priority="2499" operator="containsText" text="%">
      <formula>NOT(ISERROR(SEARCH("%",H33)))</formula>
    </cfRule>
  </conditionalFormatting>
  <conditionalFormatting sqref="H33:H34">
    <cfRule type="containsText" dxfId="2492" priority="2498" operator="containsText" text="%">
      <formula>NOT(ISERROR(SEARCH("%",H33)))</formula>
    </cfRule>
  </conditionalFormatting>
  <conditionalFormatting sqref="H33:H34">
    <cfRule type="containsText" dxfId="2491" priority="2497" operator="containsText" text="%">
      <formula>NOT(ISERROR(SEARCH("%",H33)))</formula>
    </cfRule>
  </conditionalFormatting>
  <conditionalFormatting sqref="H33:H34">
    <cfRule type="containsText" dxfId="2490" priority="2496" operator="containsText" text="%">
      <formula>NOT(ISERROR(SEARCH("%",H33)))</formula>
    </cfRule>
  </conditionalFormatting>
  <conditionalFormatting sqref="H33:H34">
    <cfRule type="containsText" dxfId="2489" priority="2495" operator="containsText" text="%">
      <formula>NOT(ISERROR(SEARCH("%",H33)))</formula>
    </cfRule>
  </conditionalFormatting>
  <conditionalFormatting sqref="H34">
    <cfRule type="containsText" dxfId="2488" priority="2494" operator="containsText" text="%">
      <formula>NOT(ISERROR(SEARCH("%",H34)))</formula>
    </cfRule>
  </conditionalFormatting>
  <conditionalFormatting sqref="H34">
    <cfRule type="containsText" dxfId="2487" priority="2493" operator="containsText" text="%">
      <formula>NOT(ISERROR(SEARCH("%",H34)))</formula>
    </cfRule>
  </conditionalFormatting>
  <conditionalFormatting sqref="H34">
    <cfRule type="containsText" dxfId="2486" priority="2492" operator="containsText" text="%">
      <formula>NOT(ISERROR(SEARCH("%",H34)))</formula>
    </cfRule>
  </conditionalFormatting>
  <conditionalFormatting sqref="H34">
    <cfRule type="containsText" dxfId="2485" priority="2491" operator="containsText" text="%">
      <formula>NOT(ISERROR(SEARCH("%",H34)))</formula>
    </cfRule>
  </conditionalFormatting>
  <conditionalFormatting sqref="H33:H34">
    <cfRule type="containsText" dxfId="2484" priority="2490" operator="containsText" text="%">
      <formula>NOT(ISERROR(SEARCH("%",H33)))</formula>
    </cfRule>
  </conditionalFormatting>
  <conditionalFormatting sqref="H33:H34">
    <cfRule type="containsText" dxfId="2483" priority="2489" operator="containsText" text="%">
      <formula>NOT(ISERROR(SEARCH("%",H33)))</formula>
    </cfRule>
  </conditionalFormatting>
  <conditionalFormatting sqref="H33:H34">
    <cfRule type="containsText" dxfId="2482" priority="2488" operator="containsText" text="%">
      <formula>NOT(ISERROR(SEARCH("%",H33)))</formula>
    </cfRule>
  </conditionalFormatting>
  <conditionalFormatting sqref="H33:H34">
    <cfRule type="containsText" dxfId="2481" priority="2487" operator="containsText" text="%">
      <formula>NOT(ISERROR(SEARCH("%",H33)))</formula>
    </cfRule>
  </conditionalFormatting>
  <conditionalFormatting sqref="H33:H34">
    <cfRule type="containsText" dxfId="2480" priority="2486" operator="containsText" text="%">
      <formula>NOT(ISERROR(SEARCH("%",H33)))</formula>
    </cfRule>
  </conditionalFormatting>
  <conditionalFormatting sqref="H33:H34">
    <cfRule type="containsText" dxfId="2479" priority="2485" operator="containsText" text="%">
      <formula>NOT(ISERROR(SEARCH("%",H33)))</formula>
    </cfRule>
  </conditionalFormatting>
  <conditionalFormatting sqref="H34">
    <cfRule type="containsText" dxfId="2478" priority="2484" operator="containsText" text="%">
      <formula>NOT(ISERROR(SEARCH("%",H34)))</formula>
    </cfRule>
  </conditionalFormatting>
  <conditionalFormatting sqref="H34">
    <cfRule type="containsText" dxfId="2477" priority="2483" operator="containsText" text="%">
      <formula>NOT(ISERROR(SEARCH("%",H34)))</formula>
    </cfRule>
  </conditionalFormatting>
  <conditionalFormatting sqref="H34">
    <cfRule type="containsText" dxfId="2476" priority="2482" operator="containsText" text="%">
      <formula>NOT(ISERROR(SEARCH("%",H34)))</formula>
    </cfRule>
  </conditionalFormatting>
  <conditionalFormatting sqref="H34">
    <cfRule type="containsText" dxfId="2475" priority="2481" operator="containsText" text="%">
      <formula>NOT(ISERROR(SEARCH("%",H34)))</formula>
    </cfRule>
  </conditionalFormatting>
  <conditionalFormatting sqref="H33:H34">
    <cfRule type="containsText" dxfId="2474" priority="2465" operator="containsText" text="%">
      <formula>NOT(ISERROR(SEARCH("%",H33)))</formula>
    </cfRule>
  </conditionalFormatting>
  <conditionalFormatting sqref="H33:H34">
    <cfRule type="containsText" dxfId="2473" priority="2464" operator="containsText" text="%">
      <formula>NOT(ISERROR(SEARCH("%",H33)))</formula>
    </cfRule>
  </conditionalFormatting>
  <conditionalFormatting sqref="H33:H34">
    <cfRule type="containsText" dxfId="2472" priority="2460" operator="containsText" text="%">
      <formula>NOT(ISERROR(SEARCH("%",H33)))</formula>
    </cfRule>
  </conditionalFormatting>
  <conditionalFormatting sqref="H33:H34">
    <cfRule type="containsText" dxfId="2471" priority="2480" operator="containsText" text="%">
      <formula>NOT(ISERROR(SEARCH("%",H33)))</formula>
    </cfRule>
  </conditionalFormatting>
  <conditionalFormatting sqref="H33">
    <cfRule type="containsText" dxfId="2470" priority="2479" operator="containsText" text="%">
      <formula>NOT(ISERROR(SEARCH("%",H33)))</formula>
    </cfRule>
  </conditionalFormatting>
  <conditionalFormatting sqref="H33">
    <cfRule type="containsText" dxfId="2469" priority="2478" operator="containsText" text="%">
      <formula>NOT(ISERROR(SEARCH("%",H33)))</formula>
    </cfRule>
  </conditionalFormatting>
  <conditionalFormatting sqref="H33:H34">
    <cfRule type="containsText" dxfId="2468" priority="2458" operator="containsText" text="%">
      <formula>NOT(ISERROR(SEARCH("%",H33)))</formula>
    </cfRule>
  </conditionalFormatting>
  <conditionalFormatting sqref="H33:H34">
    <cfRule type="containsText" dxfId="2467" priority="2477" operator="containsText" text="%">
      <formula>NOT(ISERROR(SEARCH("%",H33)))</formula>
    </cfRule>
  </conditionalFormatting>
  <conditionalFormatting sqref="H33:H34">
    <cfRule type="containsText" dxfId="2466" priority="2476" operator="containsText" text="%">
      <formula>NOT(ISERROR(SEARCH("%",H33)))</formula>
    </cfRule>
  </conditionalFormatting>
  <conditionalFormatting sqref="H33:H34">
    <cfRule type="containsText" dxfId="2465" priority="2475" operator="containsText" text="%">
      <formula>NOT(ISERROR(SEARCH("%",H33)))</formula>
    </cfRule>
  </conditionalFormatting>
  <conditionalFormatting sqref="H33:H34">
    <cfRule type="containsText" dxfId="2464" priority="2474" operator="containsText" text="%">
      <formula>NOT(ISERROR(SEARCH("%",H33)))</formula>
    </cfRule>
  </conditionalFormatting>
  <conditionalFormatting sqref="H33:H34">
    <cfRule type="containsText" dxfId="2463" priority="2473" operator="containsText" text="%">
      <formula>NOT(ISERROR(SEARCH("%",H33)))</formula>
    </cfRule>
  </conditionalFormatting>
  <conditionalFormatting sqref="H33:H34">
    <cfRule type="containsText" dxfId="2462" priority="2472" operator="containsText" text="%">
      <formula>NOT(ISERROR(SEARCH("%",H33)))</formula>
    </cfRule>
  </conditionalFormatting>
  <conditionalFormatting sqref="H33:H34">
    <cfRule type="containsText" dxfId="2461" priority="2471" operator="containsText" text="%">
      <formula>NOT(ISERROR(SEARCH("%",H33)))</formula>
    </cfRule>
  </conditionalFormatting>
  <conditionalFormatting sqref="H33:H34">
    <cfRule type="containsText" dxfId="2460" priority="2470" operator="containsText" text="%">
      <formula>NOT(ISERROR(SEARCH("%",H33)))</formula>
    </cfRule>
  </conditionalFormatting>
  <conditionalFormatting sqref="H33:H34">
    <cfRule type="containsText" dxfId="2459" priority="2469" operator="containsText" text="%">
      <formula>NOT(ISERROR(SEARCH("%",H33)))</formula>
    </cfRule>
  </conditionalFormatting>
  <conditionalFormatting sqref="H33:H34">
    <cfRule type="containsText" dxfId="2458" priority="2468" operator="containsText" text="%">
      <formula>NOT(ISERROR(SEARCH("%",H33)))</formula>
    </cfRule>
  </conditionalFormatting>
  <conditionalFormatting sqref="H33:H34">
    <cfRule type="containsText" dxfId="2457" priority="2467" operator="containsText" text="%">
      <formula>NOT(ISERROR(SEARCH("%",H33)))</formula>
    </cfRule>
  </conditionalFormatting>
  <conditionalFormatting sqref="H33:H34">
    <cfRule type="containsText" dxfId="2456" priority="2466" operator="containsText" text="%">
      <formula>NOT(ISERROR(SEARCH("%",H33)))</formula>
    </cfRule>
  </conditionalFormatting>
  <conditionalFormatting sqref="H33:H34">
    <cfRule type="containsText" dxfId="2455" priority="2463" operator="containsText" text="%">
      <formula>NOT(ISERROR(SEARCH("%",H33)))</formula>
    </cfRule>
  </conditionalFormatting>
  <conditionalFormatting sqref="H33:H34">
    <cfRule type="containsText" dxfId="2454" priority="2462" operator="containsText" text="%">
      <formula>NOT(ISERROR(SEARCH("%",H33)))</formula>
    </cfRule>
  </conditionalFormatting>
  <conditionalFormatting sqref="H33:H34">
    <cfRule type="containsText" dxfId="2453" priority="2461" operator="containsText" text="%">
      <formula>NOT(ISERROR(SEARCH("%",H33)))</formula>
    </cfRule>
  </conditionalFormatting>
  <conditionalFormatting sqref="H33:H34">
    <cfRule type="containsText" dxfId="2452" priority="2459" operator="containsText" text="%">
      <formula>NOT(ISERROR(SEARCH("%",H33)))</formula>
    </cfRule>
  </conditionalFormatting>
  <conditionalFormatting sqref="H33:H34">
    <cfRule type="containsText" dxfId="2451" priority="2457" operator="containsText" text="%">
      <formula>NOT(ISERROR(SEARCH("%",H33)))</formula>
    </cfRule>
  </conditionalFormatting>
  <conditionalFormatting sqref="H33:H34">
    <cfRule type="containsText" dxfId="2450" priority="2456" operator="containsText" text="%">
      <formula>NOT(ISERROR(SEARCH("%",H33)))</formula>
    </cfRule>
  </conditionalFormatting>
  <conditionalFormatting sqref="H33:H34">
    <cfRule type="containsText" dxfId="2449" priority="2455" operator="containsText" text="%">
      <formula>NOT(ISERROR(SEARCH("%",H33)))</formula>
    </cfRule>
  </conditionalFormatting>
  <conditionalFormatting sqref="H33:H34">
    <cfRule type="containsText" dxfId="2448" priority="2454" operator="containsText" text="%">
      <formula>NOT(ISERROR(SEARCH("%",H33)))</formula>
    </cfRule>
  </conditionalFormatting>
  <conditionalFormatting sqref="H33:H34">
    <cfRule type="containsText" dxfId="2447" priority="2453" operator="containsText" text="%">
      <formula>NOT(ISERROR(SEARCH("%",H33)))</formula>
    </cfRule>
  </conditionalFormatting>
  <conditionalFormatting sqref="H33:H34">
    <cfRule type="containsText" dxfId="2446" priority="2452" operator="containsText" text="%">
      <formula>NOT(ISERROR(SEARCH("%",H33)))</formula>
    </cfRule>
  </conditionalFormatting>
  <conditionalFormatting sqref="H33:H34">
    <cfRule type="containsText" dxfId="2445" priority="2451" operator="containsText" text="%">
      <formula>NOT(ISERROR(SEARCH("%",H33)))</formula>
    </cfRule>
  </conditionalFormatting>
  <conditionalFormatting sqref="H33:H34">
    <cfRule type="containsText" dxfId="2444" priority="2450" operator="containsText" text="%">
      <formula>NOT(ISERROR(SEARCH("%",H33)))</formula>
    </cfRule>
  </conditionalFormatting>
  <conditionalFormatting sqref="H33:H34">
    <cfRule type="containsText" dxfId="2443" priority="2449" operator="containsText" text="%">
      <formula>NOT(ISERROR(SEARCH("%",H33)))</formula>
    </cfRule>
  </conditionalFormatting>
  <conditionalFormatting sqref="H33:H34">
    <cfRule type="containsText" dxfId="2442" priority="2448" operator="containsText" text="%">
      <formula>NOT(ISERROR(SEARCH("%",H33)))</formula>
    </cfRule>
  </conditionalFormatting>
  <conditionalFormatting sqref="H34">
    <cfRule type="containsText" dxfId="2441" priority="2447" operator="containsText" text="%">
      <formula>NOT(ISERROR(SEARCH("%",H34)))</formula>
    </cfRule>
  </conditionalFormatting>
  <conditionalFormatting sqref="H34">
    <cfRule type="containsText" dxfId="2440" priority="2446" operator="containsText" text="%">
      <formula>NOT(ISERROR(SEARCH("%",H34)))</formula>
    </cfRule>
  </conditionalFormatting>
  <conditionalFormatting sqref="H34">
    <cfRule type="containsText" dxfId="2439" priority="2445" operator="containsText" text="%">
      <formula>NOT(ISERROR(SEARCH("%",H34)))</formula>
    </cfRule>
  </conditionalFormatting>
  <conditionalFormatting sqref="H34">
    <cfRule type="containsText" dxfId="2438" priority="2444" operator="containsText" text="%">
      <formula>NOT(ISERROR(SEARCH("%",H34)))</formula>
    </cfRule>
  </conditionalFormatting>
  <conditionalFormatting sqref="H33:H34">
    <cfRule type="containsText" dxfId="2437" priority="2443" operator="containsText" text="%">
      <formula>NOT(ISERROR(SEARCH("%",H33)))</formula>
    </cfRule>
  </conditionalFormatting>
  <conditionalFormatting sqref="H33:H34">
    <cfRule type="containsText" dxfId="2436" priority="2442" operator="containsText" text="%">
      <formula>NOT(ISERROR(SEARCH("%",H33)))</formula>
    </cfRule>
  </conditionalFormatting>
  <conditionalFormatting sqref="H33:H34">
    <cfRule type="containsText" dxfId="2435" priority="2441" operator="containsText" text="%">
      <formula>NOT(ISERROR(SEARCH("%",H33)))</formula>
    </cfRule>
  </conditionalFormatting>
  <conditionalFormatting sqref="H33:H34">
    <cfRule type="containsText" dxfId="2434" priority="2440" operator="containsText" text="%">
      <formula>NOT(ISERROR(SEARCH("%",H33)))</formula>
    </cfRule>
  </conditionalFormatting>
  <conditionalFormatting sqref="H33:H34">
    <cfRule type="containsText" dxfId="2433" priority="2439" operator="containsText" text="%">
      <formula>NOT(ISERROR(SEARCH("%",H33)))</formula>
    </cfRule>
  </conditionalFormatting>
  <conditionalFormatting sqref="H33:H34">
    <cfRule type="containsText" dxfId="2432" priority="2438" operator="containsText" text="%">
      <formula>NOT(ISERROR(SEARCH("%",H33)))</formula>
    </cfRule>
  </conditionalFormatting>
  <conditionalFormatting sqref="H33:H34">
    <cfRule type="containsText" dxfId="2431" priority="2437" operator="containsText" text="%">
      <formula>NOT(ISERROR(SEARCH("%",H33)))</formula>
    </cfRule>
  </conditionalFormatting>
  <conditionalFormatting sqref="H33:H34">
    <cfRule type="containsText" dxfId="2430" priority="2436" operator="containsText" text="%">
      <formula>NOT(ISERROR(SEARCH("%",H33)))</formula>
    </cfRule>
  </conditionalFormatting>
  <conditionalFormatting sqref="H33:H34">
    <cfRule type="containsText" dxfId="2429" priority="2435" operator="containsText" text="%">
      <formula>NOT(ISERROR(SEARCH("%",H33)))</formula>
    </cfRule>
  </conditionalFormatting>
  <conditionalFormatting sqref="H33:H34">
    <cfRule type="containsText" dxfId="2428" priority="2434" operator="containsText" text="%">
      <formula>NOT(ISERROR(SEARCH("%",H33)))</formula>
    </cfRule>
  </conditionalFormatting>
  <conditionalFormatting sqref="H34">
    <cfRule type="containsText" dxfId="2427" priority="2433" operator="containsText" text="%">
      <formula>NOT(ISERROR(SEARCH("%",H34)))</formula>
    </cfRule>
  </conditionalFormatting>
  <conditionalFormatting sqref="H34">
    <cfRule type="containsText" dxfId="2426" priority="2432" operator="containsText" text="%">
      <formula>NOT(ISERROR(SEARCH("%",H34)))</formula>
    </cfRule>
  </conditionalFormatting>
  <conditionalFormatting sqref="H34">
    <cfRule type="containsText" dxfId="2425" priority="2431" operator="containsText" text="%">
      <formula>NOT(ISERROR(SEARCH("%",H34)))</formula>
    </cfRule>
  </conditionalFormatting>
  <conditionalFormatting sqref="H34">
    <cfRule type="containsText" dxfId="2424" priority="2430" operator="containsText" text="%">
      <formula>NOT(ISERROR(SEARCH("%",H34)))</formula>
    </cfRule>
  </conditionalFormatting>
  <conditionalFormatting sqref="H33">
    <cfRule type="containsText" dxfId="2423" priority="2429" operator="containsText" text="%">
      <formula>NOT(ISERROR(SEARCH("%",H33)))</formula>
    </cfRule>
  </conditionalFormatting>
  <conditionalFormatting sqref="H33">
    <cfRule type="containsText" dxfId="2422" priority="2428" operator="containsText" text="%">
      <formula>NOT(ISERROR(SEARCH("%",H33)))</formula>
    </cfRule>
  </conditionalFormatting>
  <conditionalFormatting sqref="H33">
    <cfRule type="containsText" dxfId="2421" priority="2427" operator="containsText" text="%">
      <formula>NOT(ISERROR(SEARCH("%",H33)))</formula>
    </cfRule>
  </conditionalFormatting>
  <conditionalFormatting sqref="H33">
    <cfRule type="containsText" dxfId="2420" priority="2426" operator="containsText" text="%">
      <formula>NOT(ISERROR(SEARCH("%",H33)))</formula>
    </cfRule>
  </conditionalFormatting>
  <conditionalFormatting sqref="H33">
    <cfRule type="containsText" dxfId="2419" priority="2425" operator="containsText" text="%">
      <formula>NOT(ISERROR(SEARCH("%",H33)))</formula>
    </cfRule>
  </conditionalFormatting>
  <conditionalFormatting sqref="H33">
    <cfRule type="containsText" dxfId="2418" priority="2424" operator="containsText" text="%">
      <formula>NOT(ISERROR(SEARCH("%",H33)))</formula>
    </cfRule>
  </conditionalFormatting>
  <conditionalFormatting sqref="H34">
    <cfRule type="containsText" dxfId="2417" priority="2423" operator="containsText" text="%">
      <formula>NOT(ISERROR(SEARCH("%",H34)))</formula>
    </cfRule>
  </conditionalFormatting>
  <conditionalFormatting sqref="H34">
    <cfRule type="containsText" dxfId="2416" priority="2422" operator="containsText" text="%">
      <formula>NOT(ISERROR(SEARCH("%",H34)))</formula>
    </cfRule>
  </conditionalFormatting>
  <conditionalFormatting sqref="H34">
    <cfRule type="containsText" dxfId="2415" priority="2421" operator="containsText" text="%">
      <formula>NOT(ISERROR(SEARCH("%",H34)))</formula>
    </cfRule>
  </conditionalFormatting>
  <conditionalFormatting sqref="H34">
    <cfRule type="containsText" dxfId="2414" priority="2420" operator="containsText" text="%">
      <formula>NOT(ISERROR(SEARCH("%",H34)))</formula>
    </cfRule>
  </conditionalFormatting>
  <conditionalFormatting sqref="H34">
    <cfRule type="containsText" dxfId="2413" priority="2419" operator="containsText" text="%">
      <formula>NOT(ISERROR(SEARCH("%",H34)))</formula>
    </cfRule>
  </conditionalFormatting>
  <conditionalFormatting sqref="H34">
    <cfRule type="containsText" dxfId="2412" priority="2418" operator="containsText" text="%">
      <formula>NOT(ISERROR(SEARCH("%",H34)))</formula>
    </cfRule>
  </conditionalFormatting>
  <conditionalFormatting sqref="H34">
    <cfRule type="containsText" dxfId="2411" priority="2417" operator="containsText" text="%">
      <formula>NOT(ISERROR(SEARCH("%",H34)))</formula>
    </cfRule>
  </conditionalFormatting>
  <conditionalFormatting sqref="H34">
    <cfRule type="containsText" dxfId="2410" priority="2416" operator="containsText" text="%">
      <formula>NOT(ISERROR(SEARCH("%",H34)))</formula>
    </cfRule>
  </conditionalFormatting>
  <conditionalFormatting sqref="H34">
    <cfRule type="containsText" dxfId="2409" priority="2415" operator="containsText" text="%">
      <formula>NOT(ISERROR(SEARCH("%",H34)))</formula>
    </cfRule>
  </conditionalFormatting>
  <conditionalFormatting sqref="H34">
    <cfRule type="containsText" dxfId="2408" priority="2414" operator="containsText" text="%">
      <formula>NOT(ISERROR(SEARCH("%",H34)))</formula>
    </cfRule>
  </conditionalFormatting>
  <conditionalFormatting sqref="H34">
    <cfRule type="containsText" dxfId="2407" priority="2400" operator="containsText" text="%">
      <formula>NOT(ISERROR(SEARCH("%",H34)))</formula>
    </cfRule>
  </conditionalFormatting>
  <conditionalFormatting sqref="H34">
    <cfRule type="containsText" dxfId="2406" priority="2399" operator="containsText" text="%">
      <formula>NOT(ISERROR(SEARCH("%",H34)))</formula>
    </cfRule>
  </conditionalFormatting>
  <conditionalFormatting sqref="H34">
    <cfRule type="containsText" dxfId="2405" priority="2395" operator="containsText" text="%">
      <formula>NOT(ISERROR(SEARCH("%",H34)))</formula>
    </cfRule>
  </conditionalFormatting>
  <conditionalFormatting sqref="H34">
    <cfRule type="containsText" dxfId="2404" priority="2413" operator="containsText" text="%">
      <formula>NOT(ISERROR(SEARCH("%",H34)))</formula>
    </cfRule>
  </conditionalFormatting>
  <conditionalFormatting sqref="H34">
    <cfRule type="containsText" dxfId="2403" priority="2393" operator="containsText" text="%">
      <formula>NOT(ISERROR(SEARCH("%",H34)))</formula>
    </cfRule>
  </conditionalFormatting>
  <conditionalFormatting sqref="H34">
    <cfRule type="containsText" dxfId="2402" priority="2412" operator="containsText" text="%">
      <formula>NOT(ISERROR(SEARCH("%",H34)))</formula>
    </cfRule>
  </conditionalFormatting>
  <conditionalFormatting sqref="H34">
    <cfRule type="containsText" dxfId="2401" priority="2411" operator="containsText" text="%">
      <formula>NOT(ISERROR(SEARCH("%",H34)))</formula>
    </cfRule>
  </conditionalFormatting>
  <conditionalFormatting sqref="H34">
    <cfRule type="containsText" dxfId="2400" priority="2410" operator="containsText" text="%">
      <formula>NOT(ISERROR(SEARCH("%",H34)))</formula>
    </cfRule>
  </conditionalFormatting>
  <conditionalFormatting sqref="H34">
    <cfRule type="containsText" dxfId="2399" priority="2409" operator="containsText" text="%">
      <formula>NOT(ISERROR(SEARCH("%",H34)))</formula>
    </cfRule>
  </conditionalFormatting>
  <conditionalFormatting sqref="H34">
    <cfRule type="containsText" dxfId="2398" priority="2408" operator="containsText" text="%">
      <formula>NOT(ISERROR(SEARCH("%",H34)))</formula>
    </cfRule>
  </conditionalFormatting>
  <conditionalFormatting sqref="H34">
    <cfRule type="containsText" dxfId="2397" priority="2407" operator="containsText" text="%">
      <formula>NOT(ISERROR(SEARCH("%",H34)))</formula>
    </cfRule>
  </conditionalFormatting>
  <conditionalFormatting sqref="H34">
    <cfRule type="containsText" dxfId="2396" priority="2406" operator="containsText" text="%">
      <formula>NOT(ISERROR(SEARCH("%",H34)))</formula>
    </cfRule>
  </conditionalFormatting>
  <conditionalFormatting sqref="H34">
    <cfRule type="containsText" dxfId="2395" priority="2405" operator="containsText" text="%">
      <formula>NOT(ISERROR(SEARCH("%",H34)))</formula>
    </cfRule>
  </conditionalFormatting>
  <conditionalFormatting sqref="H34">
    <cfRule type="containsText" dxfId="2394" priority="2404" operator="containsText" text="%">
      <formula>NOT(ISERROR(SEARCH("%",H34)))</formula>
    </cfRule>
  </conditionalFormatting>
  <conditionalFormatting sqref="H34">
    <cfRule type="containsText" dxfId="2393" priority="2403" operator="containsText" text="%">
      <formula>NOT(ISERROR(SEARCH("%",H34)))</formula>
    </cfRule>
  </conditionalFormatting>
  <conditionalFormatting sqref="H34">
    <cfRule type="containsText" dxfId="2392" priority="2402" operator="containsText" text="%">
      <formula>NOT(ISERROR(SEARCH("%",H34)))</formula>
    </cfRule>
  </conditionalFormatting>
  <conditionalFormatting sqref="H34">
    <cfRule type="containsText" dxfId="2391" priority="2401" operator="containsText" text="%">
      <formula>NOT(ISERROR(SEARCH("%",H34)))</formula>
    </cfRule>
  </conditionalFormatting>
  <conditionalFormatting sqref="H34">
    <cfRule type="containsText" dxfId="2390" priority="2398" operator="containsText" text="%">
      <formula>NOT(ISERROR(SEARCH("%",H34)))</formula>
    </cfRule>
  </conditionalFormatting>
  <conditionalFormatting sqref="H34">
    <cfRule type="containsText" dxfId="2389" priority="2397" operator="containsText" text="%">
      <formula>NOT(ISERROR(SEARCH("%",H34)))</formula>
    </cfRule>
  </conditionalFormatting>
  <conditionalFormatting sqref="H34">
    <cfRule type="containsText" dxfId="2388" priority="2396" operator="containsText" text="%">
      <formula>NOT(ISERROR(SEARCH("%",H34)))</formula>
    </cfRule>
  </conditionalFormatting>
  <conditionalFormatting sqref="H34">
    <cfRule type="containsText" dxfId="2387" priority="2394" operator="containsText" text="%">
      <formula>NOT(ISERROR(SEARCH("%",H34)))</formula>
    </cfRule>
  </conditionalFormatting>
  <conditionalFormatting sqref="H34">
    <cfRule type="containsText" dxfId="2386" priority="2392" operator="containsText" text="%">
      <formula>NOT(ISERROR(SEARCH("%",H34)))</formula>
    </cfRule>
  </conditionalFormatting>
  <conditionalFormatting sqref="H34">
    <cfRule type="containsText" dxfId="2385" priority="2391" operator="containsText" text="%">
      <formula>NOT(ISERROR(SEARCH("%",H34)))</formula>
    </cfRule>
  </conditionalFormatting>
  <conditionalFormatting sqref="H34">
    <cfRule type="containsText" dxfId="2384" priority="2390" operator="containsText" text="%">
      <formula>NOT(ISERROR(SEARCH("%",H34)))</formula>
    </cfRule>
  </conditionalFormatting>
  <conditionalFormatting sqref="H34">
    <cfRule type="containsText" dxfId="2383" priority="2389" operator="containsText" text="%">
      <formula>NOT(ISERROR(SEARCH("%",H34)))</formula>
    </cfRule>
  </conditionalFormatting>
  <conditionalFormatting sqref="H34">
    <cfRule type="containsText" dxfId="2382" priority="2388" operator="containsText" text="%">
      <formula>NOT(ISERROR(SEARCH("%",H34)))</formula>
    </cfRule>
  </conditionalFormatting>
  <conditionalFormatting sqref="H34">
    <cfRule type="containsText" dxfId="2381" priority="2387" operator="containsText" text="%">
      <formula>NOT(ISERROR(SEARCH("%",H34)))</formula>
    </cfRule>
  </conditionalFormatting>
  <conditionalFormatting sqref="H34">
    <cfRule type="containsText" dxfId="2380" priority="2386" operator="containsText" text="%">
      <formula>NOT(ISERROR(SEARCH("%",H34)))</formula>
    </cfRule>
  </conditionalFormatting>
  <conditionalFormatting sqref="H34">
    <cfRule type="containsText" dxfId="2379" priority="2385" operator="containsText" text="%">
      <formula>NOT(ISERROR(SEARCH("%",H34)))</formula>
    </cfRule>
  </conditionalFormatting>
  <conditionalFormatting sqref="H34">
    <cfRule type="containsText" dxfId="2378" priority="2384" operator="containsText" text="%">
      <formula>NOT(ISERROR(SEARCH("%",H34)))</formula>
    </cfRule>
  </conditionalFormatting>
  <conditionalFormatting sqref="H34">
    <cfRule type="containsText" dxfId="2377" priority="2383" operator="containsText" text="%">
      <formula>NOT(ISERROR(SEARCH("%",H34)))</formula>
    </cfRule>
  </conditionalFormatting>
  <conditionalFormatting sqref="H34">
    <cfRule type="containsText" dxfId="2376" priority="2382" operator="containsText" text="%">
      <formula>NOT(ISERROR(SEARCH("%",H34)))</formula>
    </cfRule>
  </conditionalFormatting>
  <conditionalFormatting sqref="H34">
    <cfRule type="containsText" dxfId="2375" priority="2381" operator="containsText" text="%">
      <formula>NOT(ISERROR(SEARCH("%",H34)))</formula>
    </cfRule>
  </conditionalFormatting>
  <conditionalFormatting sqref="H34">
    <cfRule type="containsText" dxfId="2374" priority="2380" operator="containsText" text="%">
      <formula>NOT(ISERROR(SEARCH("%",H34)))</formula>
    </cfRule>
  </conditionalFormatting>
  <conditionalFormatting sqref="H34">
    <cfRule type="containsText" dxfId="2373" priority="2379" operator="containsText" text="%">
      <formula>NOT(ISERROR(SEARCH("%",H34)))</formula>
    </cfRule>
  </conditionalFormatting>
  <conditionalFormatting sqref="H34">
    <cfRule type="containsText" dxfId="2372" priority="2378" operator="containsText" text="%">
      <formula>NOT(ISERROR(SEARCH("%",H34)))</formula>
    </cfRule>
  </conditionalFormatting>
  <conditionalFormatting sqref="H34">
    <cfRule type="containsText" dxfId="2371" priority="2377" operator="containsText" text="%">
      <formula>NOT(ISERROR(SEARCH("%",H34)))</formula>
    </cfRule>
  </conditionalFormatting>
  <conditionalFormatting sqref="H34">
    <cfRule type="containsText" dxfId="2370" priority="2376" operator="containsText" text="%">
      <formula>NOT(ISERROR(SEARCH("%",H34)))</formula>
    </cfRule>
  </conditionalFormatting>
  <conditionalFormatting sqref="H34">
    <cfRule type="containsText" dxfId="2369" priority="2375" operator="containsText" text="%">
      <formula>NOT(ISERROR(SEARCH("%",H34)))</formula>
    </cfRule>
  </conditionalFormatting>
  <conditionalFormatting sqref="H34">
    <cfRule type="containsText" dxfId="2368" priority="2374" operator="containsText" text="%">
      <formula>NOT(ISERROR(SEARCH("%",H34)))</formula>
    </cfRule>
  </conditionalFormatting>
  <conditionalFormatting sqref="H34">
    <cfRule type="containsText" dxfId="2367" priority="2373" operator="containsText" text="%">
      <formula>NOT(ISERROR(SEARCH("%",H34)))</formula>
    </cfRule>
  </conditionalFormatting>
  <conditionalFormatting sqref="H34">
    <cfRule type="containsText" dxfId="2366" priority="2372" operator="containsText" text="%">
      <formula>NOT(ISERROR(SEARCH("%",H34)))</formula>
    </cfRule>
  </conditionalFormatting>
  <conditionalFormatting sqref="H34">
    <cfRule type="containsText" dxfId="2365" priority="2371" operator="containsText" text="%">
      <formula>NOT(ISERROR(SEARCH("%",H34)))</formula>
    </cfRule>
  </conditionalFormatting>
  <conditionalFormatting sqref="H34">
    <cfRule type="containsText" dxfId="2364" priority="2370" operator="containsText" text="%">
      <formula>NOT(ISERROR(SEARCH("%",H34)))</formula>
    </cfRule>
  </conditionalFormatting>
  <conditionalFormatting sqref="H34">
    <cfRule type="containsText" dxfId="2363" priority="2369" operator="containsText" text="%">
      <formula>NOT(ISERROR(SEARCH("%",H34)))</formula>
    </cfRule>
  </conditionalFormatting>
  <conditionalFormatting sqref="H34">
    <cfRule type="containsText" dxfId="2362" priority="2368" operator="containsText" text="%">
      <formula>NOT(ISERROR(SEARCH("%",H34)))</formula>
    </cfRule>
  </conditionalFormatting>
  <conditionalFormatting sqref="H34">
    <cfRule type="containsText" dxfId="2361" priority="2367" operator="containsText" text="%">
      <formula>NOT(ISERROR(SEARCH("%",H34)))</formula>
    </cfRule>
  </conditionalFormatting>
  <conditionalFormatting sqref="H34">
    <cfRule type="containsText" dxfId="2360" priority="2366" operator="containsText" text="%">
      <formula>NOT(ISERROR(SEARCH("%",H34)))</formula>
    </cfRule>
  </conditionalFormatting>
  <conditionalFormatting sqref="H34">
    <cfRule type="containsText" dxfId="2359" priority="2365" operator="containsText" text="%">
      <formula>NOT(ISERROR(SEARCH("%",H34)))</formula>
    </cfRule>
  </conditionalFormatting>
  <conditionalFormatting sqref="G33:G34">
    <cfRule type="containsText" dxfId="2358" priority="2364" operator="containsText" text="%">
      <formula>NOT(ISERROR(SEARCH("%",G33)))</formula>
    </cfRule>
  </conditionalFormatting>
  <conditionalFormatting sqref="G33:G34">
    <cfRule type="containsText" dxfId="2357" priority="2363" operator="containsText" text="%">
      <formula>NOT(ISERROR(SEARCH("%",G33)))</formula>
    </cfRule>
  </conditionalFormatting>
  <conditionalFormatting sqref="G33:G34">
    <cfRule type="containsText" dxfId="2356" priority="2362" operator="containsText" text="%">
      <formula>NOT(ISERROR(SEARCH("%",G33)))</formula>
    </cfRule>
  </conditionalFormatting>
  <conditionalFormatting sqref="G33:G34">
    <cfRule type="containsText" dxfId="2355" priority="2361" operator="containsText" text="%">
      <formula>NOT(ISERROR(SEARCH("%",G33)))</formula>
    </cfRule>
  </conditionalFormatting>
  <conditionalFormatting sqref="G33:G34">
    <cfRule type="containsText" dxfId="2354" priority="2360" operator="containsText" text="%">
      <formula>NOT(ISERROR(SEARCH("%",G33)))</formula>
    </cfRule>
  </conditionalFormatting>
  <conditionalFormatting sqref="G33:G34">
    <cfRule type="containsText" dxfId="2353" priority="2359" operator="containsText" text="%">
      <formula>NOT(ISERROR(SEARCH("%",G33)))</formula>
    </cfRule>
  </conditionalFormatting>
  <conditionalFormatting sqref="G33:G34">
    <cfRule type="containsText" dxfId="2352" priority="2358" operator="containsText" text="%">
      <formula>NOT(ISERROR(SEARCH("%",G33)))</formula>
    </cfRule>
  </conditionalFormatting>
  <conditionalFormatting sqref="G33:G34">
    <cfRule type="containsText" dxfId="2351" priority="2357" operator="containsText" text="%">
      <formula>NOT(ISERROR(SEARCH("%",G33)))</formula>
    </cfRule>
  </conditionalFormatting>
  <conditionalFormatting sqref="G33:G34">
    <cfRule type="containsText" dxfId="2350" priority="2356" operator="containsText" text="%">
      <formula>NOT(ISERROR(SEARCH("%",G33)))</formula>
    </cfRule>
  </conditionalFormatting>
  <conditionalFormatting sqref="G33:G34">
    <cfRule type="containsText" dxfId="2349" priority="2355" operator="containsText" text="%">
      <formula>NOT(ISERROR(SEARCH("%",G33)))</formula>
    </cfRule>
  </conditionalFormatting>
  <conditionalFormatting sqref="G33:G34">
    <cfRule type="containsText" dxfId="2348" priority="2354" operator="containsText" text="%">
      <formula>NOT(ISERROR(SEARCH("%",G33)))</formula>
    </cfRule>
  </conditionalFormatting>
  <conditionalFormatting sqref="G33:G34">
    <cfRule type="containsText" dxfId="2347" priority="2353" operator="containsText" text="%">
      <formula>NOT(ISERROR(SEARCH("%",G33)))</formula>
    </cfRule>
  </conditionalFormatting>
  <conditionalFormatting sqref="G33:G34">
    <cfRule type="containsText" dxfId="2346" priority="2352" operator="containsText" text="%">
      <formula>NOT(ISERROR(SEARCH("%",G33)))</formula>
    </cfRule>
  </conditionalFormatting>
  <conditionalFormatting sqref="G33:G34">
    <cfRule type="containsText" dxfId="2345" priority="2351" operator="containsText" text="%">
      <formula>NOT(ISERROR(SEARCH("%",G33)))</formula>
    </cfRule>
  </conditionalFormatting>
  <conditionalFormatting sqref="G33:G34">
    <cfRule type="containsText" dxfId="2344" priority="2335" operator="containsText" text="%">
      <formula>NOT(ISERROR(SEARCH("%",G33)))</formula>
    </cfRule>
  </conditionalFormatting>
  <conditionalFormatting sqref="G33:G34">
    <cfRule type="containsText" dxfId="2343" priority="2334" operator="containsText" text="%">
      <formula>NOT(ISERROR(SEARCH("%",G33)))</formula>
    </cfRule>
  </conditionalFormatting>
  <conditionalFormatting sqref="G33:G34">
    <cfRule type="containsText" dxfId="2342" priority="2330" operator="containsText" text="%">
      <formula>NOT(ISERROR(SEARCH("%",G33)))</formula>
    </cfRule>
  </conditionalFormatting>
  <conditionalFormatting sqref="G33:G34">
    <cfRule type="containsText" dxfId="2341" priority="2350" operator="containsText" text="%">
      <formula>NOT(ISERROR(SEARCH("%",G33)))</formula>
    </cfRule>
  </conditionalFormatting>
  <conditionalFormatting sqref="G33">
    <cfRule type="containsText" dxfId="2340" priority="2349" operator="containsText" text="%">
      <formula>NOT(ISERROR(SEARCH("%",G33)))</formula>
    </cfRule>
  </conditionalFormatting>
  <conditionalFormatting sqref="G33">
    <cfRule type="containsText" dxfId="2339" priority="2348" operator="containsText" text="%">
      <formula>NOT(ISERROR(SEARCH("%",G33)))</formula>
    </cfRule>
  </conditionalFormatting>
  <conditionalFormatting sqref="G33:G34">
    <cfRule type="containsText" dxfId="2338" priority="2328" operator="containsText" text="%">
      <formula>NOT(ISERROR(SEARCH("%",G33)))</formula>
    </cfRule>
  </conditionalFormatting>
  <conditionalFormatting sqref="G33:G34">
    <cfRule type="containsText" dxfId="2337" priority="2347" operator="containsText" text="%">
      <formula>NOT(ISERROR(SEARCH("%",G33)))</formula>
    </cfRule>
  </conditionalFormatting>
  <conditionalFormatting sqref="G33:G34">
    <cfRule type="containsText" dxfId="2336" priority="2346" operator="containsText" text="%">
      <formula>NOT(ISERROR(SEARCH("%",G33)))</formula>
    </cfRule>
  </conditionalFormatting>
  <conditionalFormatting sqref="G33:G34">
    <cfRule type="containsText" dxfId="2335" priority="2345" operator="containsText" text="%">
      <formula>NOT(ISERROR(SEARCH("%",G33)))</formula>
    </cfRule>
  </conditionalFormatting>
  <conditionalFormatting sqref="G33:G34">
    <cfRule type="containsText" dxfId="2334" priority="2344" operator="containsText" text="%">
      <formula>NOT(ISERROR(SEARCH("%",G33)))</formula>
    </cfRule>
  </conditionalFormatting>
  <conditionalFormatting sqref="G33:G34">
    <cfRule type="containsText" dxfId="2333" priority="2343" operator="containsText" text="%">
      <formula>NOT(ISERROR(SEARCH("%",G33)))</formula>
    </cfRule>
  </conditionalFormatting>
  <conditionalFormatting sqref="G33:G34">
    <cfRule type="containsText" dxfId="2332" priority="2342" operator="containsText" text="%">
      <formula>NOT(ISERROR(SEARCH("%",G33)))</formula>
    </cfRule>
  </conditionalFormatting>
  <conditionalFormatting sqref="G33:G34">
    <cfRule type="containsText" dxfId="2331" priority="2341" operator="containsText" text="%">
      <formula>NOT(ISERROR(SEARCH("%",G33)))</formula>
    </cfRule>
  </conditionalFormatting>
  <conditionalFormatting sqref="G33:G34">
    <cfRule type="containsText" dxfId="2330" priority="2340" operator="containsText" text="%">
      <formula>NOT(ISERROR(SEARCH("%",G33)))</formula>
    </cfRule>
  </conditionalFormatting>
  <conditionalFormatting sqref="G33:G34">
    <cfRule type="containsText" dxfId="2329" priority="2339" operator="containsText" text="%">
      <formula>NOT(ISERROR(SEARCH("%",G33)))</formula>
    </cfRule>
  </conditionalFormatting>
  <conditionalFormatting sqref="G33:G34">
    <cfRule type="containsText" dxfId="2328" priority="2338" operator="containsText" text="%">
      <formula>NOT(ISERROR(SEARCH("%",G33)))</formula>
    </cfRule>
  </conditionalFormatting>
  <conditionalFormatting sqref="G33:G34">
    <cfRule type="containsText" dxfId="2327" priority="2337" operator="containsText" text="%">
      <formula>NOT(ISERROR(SEARCH("%",G33)))</formula>
    </cfRule>
  </conditionalFormatting>
  <conditionalFormatting sqref="G33:G34">
    <cfRule type="containsText" dxfId="2326" priority="2336" operator="containsText" text="%">
      <formula>NOT(ISERROR(SEARCH("%",G33)))</formula>
    </cfRule>
  </conditionalFormatting>
  <conditionalFormatting sqref="G33:G34">
    <cfRule type="containsText" dxfId="2325" priority="2333" operator="containsText" text="%">
      <formula>NOT(ISERROR(SEARCH("%",G33)))</formula>
    </cfRule>
  </conditionalFormatting>
  <conditionalFormatting sqref="G33:G34">
    <cfRule type="containsText" dxfId="2324" priority="2332" operator="containsText" text="%">
      <formula>NOT(ISERROR(SEARCH("%",G33)))</formula>
    </cfRule>
  </conditionalFormatting>
  <conditionalFormatting sqref="G33:G34">
    <cfRule type="containsText" dxfId="2323" priority="2331" operator="containsText" text="%">
      <formula>NOT(ISERROR(SEARCH("%",G33)))</formula>
    </cfRule>
  </conditionalFormatting>
  <conditionalFormatting sqref="G33:G34">
    <cfRule type="containsText" dxfId="2322" priority="2329" operator="containsText" text="%">
      <formula>NOT(ISERROR(SEARCH("%",G33)))</formula>
    </cfRule>
  </conditionalFormatting>
  <conditionalFormatting sqref="G33:G34">
    <cfRule type="containsText" dxfId="2321" priority="2327" operator="containsText" text="%">
      <formula>NOT(ISERROR(SEARCH("%",G33)))</formula>
    </cfRule>
  </conditionalFormatting>
  <conditionalFormatting sqref="G33:G34">
    <cfRule type="containsText" dxfId="2320" priority="2326" operator="containsText" text="%">
      <formula>NOT(ISERROR(SEARCH("%",G33)))</formula>
    </cfRule>
  </conditionalFormatting>
  <conditionalFormatting sqref="G33:G34">
    <cfRule type="containsText" dxfId="2319" priority="2325" operator="containsText" text="%">
      <formula>NOT(ISERROR(SEARCH("%",G33)))</formula>
    </cfRule>
  </conditionalFormatting>
  <conditionalFormatting sqref="G33:G34">
    <cfRule type="containsText" dxfId="2318" priority="2324" operator="containsText" text="%">
      <formula>NOT(ISERROR(SEARCH("%",G33)))</formula>
    </cfRule>
  </conditionalFormatting>
  <conditionalFormatting sqref="G33:G34">
    <cfRule type="containsText" dxfId="2317" priority="2323" operator="containsText" text="%">
      <formula>NOT(ISERROR(SEARCH("%",G33)))</formula>
    </cfRule>
  </conditionalFormatting>
  <conditionalFormatting sqref="G33:G34">
    <cfRule type="containsText" dxfId="2316" priority="2322" operator="containsText" text="%">
      <formula>NOT(ISERROR(SEARCH("%",G33)))</formula>
    </cfRule>
  </conditionalFormatting>
  <conditionalFormatting sqref="G33:G34">
    <cfRule type="containsText" dxfId="2315" priority="2321" operator="containsText" text="%">
      <formula>NOT(ISERROR(SEARCH("%",G33)))</formula>
    </cfRule>
  </conditionalFormatting>
  <conditionalFormatting sqref="G33:G34">
    <cfRule type="containsText" dxfId="2314" priority="2320" operator="containsText" text="%">
      <formula>NOT(ISERROR(SEARCH("%",G33)))</formula>
    </cfRule>
  </conditionalFormatting>
  <conditionalFormatting sqref="G33:G34">
    <cfRule type="containsText" dxfId="2313" priority="2319" operator="containsText" text="%">
      <formula>NOT(ISERROR(SEARCH("%",G33)))</formula>
    </cfRule>
  </conditionalFormatting>
  <conditionalFormatting sqref="G33:G34">
    <cfRule type="containsText" dxfId="2312" priority="2318" operator="containsText" text="%">
      <formula>NOT(ISERROR(SEARCH("%",G33)))</formula>
    </cfRule>
  </conditionalFormatting>
  <conditionalFormatting sqref="G34">
    <cfRule type="containsText" dxfId="2311" priority="2317" operator="containsText" text="%">
      <formula>NOT(ISERROR(SEARCH("%",G34)))</formula>
    </cfRule>
  </conditionalFormatting>
  <conditionalFormatting sqref="G34">
    <cfRule type="containsText" dxfId="2310" priority="2316" operator="containsText" text="%">
      <formula>NOT(ISERROR(SEARCH("%",G34)))</formula>
    </cfRule>
  </conditionalFormatting>
  <conditionalFormatting sqref="G34">
    <cfRule type="containsText" dxfId="2309" priority="2315" operator="containsText" text="%">
      <formula>NOT(ISERROR(SEARCH("%",G34)))</formula>
    </cfRule>
  </conditionalFormatting>
  <conditionalFormatting sqref="G34">
    <cfRule type="containsText" dxfId="2308" priority="2314" operator="containsText" text="%">
      <formula>NOT(ISERROR(SEARCH("%",G34)))</formula>
    </cfRule>
  </conditionalFormatting>
  <conditionalFormatting sqref="G33:G34">
    <cfRule type="containsText" dxfId="2307" priority="2313" operator="containsText" text="%">
      <formula>NOT(ISERROR(SEARCH("%",G33)))</formula>
    </cfRule>
  </conditionalFormatting>
  <conditionalFormatting sqref="G33:G34">
    <cfRule type="containsText" dxfId="2306" priority="2312" operator="containsText" text="%">
      <formula>NOT(ISERROR(SEARCH("%",G33)))</formula>
    </cfRule>
  </conditionalFormatting>
  <conditionalFormatting sqref="G33:G34">
    <cfRule type="containsText" dxfId="2305" priority="2311" operator="containsText" text="%">
      <formula>NOT(ISERROR(SEARCH("%",G33)))</formula>
    </cfRule>
  </conditionalFormatting>
  <conditionalFormatting sqref="G33:G34">
    <cfRule type="containsText" dxfId="2304" priority="2310" operator="containsText" text="%">
      <formula>NOT(ISERROR(SEARCH("%",G33)))</formula>
    </cfRule>
  </conditionalFormatting>
  <conditionalFormatting sqref="G33:G34">
    <cfRule type="containsText" dxfId="2303" priority="2309" operator="containsText" text="%">
      <formula>NOT(ISERROR(SEARCH("%",G33)))</formula>
    </cfRule>
  </conditionalFormatting>
  <conditionalFormatting sqref="G33:G34">
    <cfRule type="containsText" dxfId="2302" priority="2308" operator="containsText" text="%">
      <formula>NOT(ISERROR(SEARCH("%",G33)))</formula>
    </cfRule>
  </conditionalFormatting>
  <conditionalFormatting sqref="G33:G34">
    <cfRule type="containsText" dxfId="2301" priority="2307" operator="containsText" text="%">
      <formula>NOT(ISERROR(SEARCH("%",G33)))</formula>
    </cfRule>
  </conditionalFormatting>
  <conditionalFormatting sqref="G33:G34">
    <cfRule type="containsText" dxfId="2300" priority="2306" operator="containsText" text="%">
      <formula>NOT(ISERROR(SEARCH("%",G33)))</formula>
    </cfRule>
  </conditionalFormatting>
  <conditionalFormatting sqref="G33:G34">
    <cfRule type="containsText" dxfId="2299" priority="2305" operator="containsText" text="%">
      <formula>NOT(ISERROR(SEARCH("%",G33)))</formula>
    </cfRule>
  </conditionalFormatting>
  <conditionalFormatting sqref="G33:G34">
    <cfRule type="containsText" dxfId="2298" priority="2304" operator="containsText" text="%">
      <formula>NOT(ISERROR(SEARCH("%",G33)))</formula>
    </cfRule>
  </conditionalFormatting>
  <conditionalFormatting sqref="G34">
    <cfRule type="containsText" dxfId="2297" priority="2303" operator="containsText" text="%">
      <formula>NOT(ISERROR(SEARCH("%",G34)))</formula>
    </cfRule>
  </conditionalFormatting>
  <conditionalFormatting sqref="G34">
    <cfRule type="containsText" dxfId="2296" priority="2302" operator="containsText" text="%">
      <formula>NOT(ISERROR(SEARCH("%",G34)))</formula>
    </cfRule>
  </conditionalFormatting>
  <conditionalFormatting sqref="G34">
    <cfRule type="containsText" dxfId="2295" priority="2301" operator="containsText" text="%">
      <formula>NOT(ISERROR(SEARCH("%",G34)))</formula>
    </cfRule>
  </conditionalFormatting>
  <conditionalFormatting sqref="G34">
    <cfRule type="containsText" dxfId="2294" priority="2300" operator="containsText" text="%">
      <formula>NOT(ISERROR(SEARCH("%",G34)))</formula>
    </cfRule>
  </conditionalFormatting>
  <conditionalFormatting sqref="G33:G34">
    <cfRule type="containsText" dxfId="2293" priority="2299" operator="containsText" text="%">
      <formula>NOT(ISERROR(SEARCH("%",G33)))</formula>
    </cfRule>
  </conditionalFormatting>
  <conditionalFormatting sqref="G33:G34">
    <cfRule type="containsText" dxfId="2292" priority="2298" operator="containsText" text="%">
      <formula>NOT(ISERROR(SEARCH("%",G33)))</formula>
    </cfRule>
  </conditionalFormatting>
  <conditionalFormatting sqref="G33:G34">
    <cfRule type="containsText" dxfId="2291" priority="2297" operator="containsText" text="%">
      <formula>NOT(ISERROR(SEARCH("%",G33)))</formula>
    </cfRule>
  </conditionalFormatting>
  <conditionalFormatting sqref="G33:G34">
    <cfRule type="containsText" dxfId="2290" priority="2296" operator="containsText" text="%">
      <formula>NOT(ISERROR(SEARCH("%",G33)))</formula>
    </cfRule>
  </conditionalFormatting>
  <conditionalFormatting sqref="G33:G34">
    <cfRule type="containsText" dxfId="2289" priority="2295" operator="containsText" text="%">
      <formula>NOT(ISERROR(SEARCH("%",G33)))</formula>
    </cfRule>
  </conditionalFormatting>
  <conditionalFormatting sqref="G33:G34">
    <cfRule type="containsText" dxfId="2288" priority="2294" operator="containsText" text="%">
      <formula>NOT(ISERROR(SEARCH("%",G33)))</formula>
    </cfRule>
  </conditionalFormatting>
  <conditionalFormatting sqref="G34">
    <cfRule type="containsText" dxfId="2287" priority="2293" operator="containsText" text="%">
      <formula>NOT(ISERROR(SEARCH("%",G34)))</formula>
    </cfRule>
  </conditionalFormatting>
  <conditionalFormatting sqref="G34">
    <cfRule type="containsText" dxfId="2286" priority="2292" operator="containsText" text="%">
      <formula>NOT(ISERROR(SEARCH("%",G34)))</formula>
    </cfRule>
  </conditionalFormatting>
  <conditionalFormatting sqref="G34">
    <cfRule type="containsText" dxfId="2285" priority="2291" operator="containsText" text="%">
      <formula>NOT(ISERROR(SEARCH("%",G34)))</formula>
    </cfRule>
  </conditionalFormatting>
  <conditionalFormatting sqref="G34">
    <cfRule type="containsText" dxfId="2284" priority="2290" operator="containsText" text="%">
      <formula>NOT(ISERROR(SEARCH("%",G34)))</formula>
    </cfRule>
  </conditionalFormatting>
  <conditionalFormatting sqref="G33:G34">
    <cfRule type="containsText" dxfId="2283" priority="2274" operator="containsText" text="%">
      <formula>NOT(ISERROR(SEARCH("%",G33)))</formula>
    </cfRule>
  </conditionalFormatting>
  <conditionalFormatting sqref="G33:G34">
    <cfRule type="containsText" dxfId="2282" priority="2273" operator="containsText" text="%">
      <formula>NOT(ISERROR(SEARCH("%",G33)))</formula>
    </cfRule>
  </conditionalFormatting>
  <conditionalFormatting sqref="G33:G34">
    <cfRule type="containsText" dxfId="2281" priority="2269" operator="containsText" text="%">
      <formula>NOT(ISERROR(SEARCH("%",G33)))</formula>
    </cfRule>
  </conditionalFormatting>
  <conditionalFormatting sqref="G33:G34">
    <cfRule type="containsText" dxfId="2280" priority="2289" operator="containsText" text="%">
      <formula>NOT(ISERROR(SEARCH("%",G33)))</formula>
    </cfRule>
  </conditionalFormatting>
  <conditionalFormatting sqref="G33">
    <cfRule type="containsText" dxfId="2279" priority="2288" operator="containsText" text="%">
      <formula>NOT(ISERROR(SEARCH("%",G33)))</formula>
    </cfRule>
  </conditionalFormatting>
  <conditionalFormatting sqref="G33">
    <cfRule type="containsText" dxfId="2278" priority="2287" operator="containsText" text="%">
      <formula>NOT(ISERROR(SEARCH("%",G33)))</formula>
    </cfRule>
  </conditionalFormatting>
  <conditionalFormatting sqref="G33:G34">
    <cfRule type="containsText" dxfId="2277" priority="2267" operator="containsText" text="%">
      <formula>NOT(ISERROR(SEARCH("%",G33)))</formula>
    </cfRule>
  </conditionalFormatting>
  <conditionalFormatting sqref="G33:G34">
    <cfRule type="containsText" dxfId="2276" priority="2286" operator="containsText" text="%">
      <formula>NOT(ISERROR(SEARCH("%",G33)))</formula>
    </cfRule>
  </conditionalFormatting>
  <conditionalFormatting sqref="G33:G34">
    <cfRule type="containsText" dxfId="2275" priority="2285" operator="containsText" text="%">
      <formula>NOT(ISERROR(SEARCH("%",G33)))</formula>
    </cfRule>
  </conditionalFormatting>
  <conditionalFormatting sqref="G33:G34">
    <cfRule type="containsText" dxfId="2274" priority="2284" operator="containsText" text="%">
      <formula>NOT(ISERROR(SEARCH("%",G33)))</formula>
    </cfRule>
  </conditionalFormatting>
  <conditionalFormatting sqref="G33:G34">
    <cfRule type="containsText" dxfId="2273" priority="2283" operator="containsText" text="%">
      <formula>NOT(ISERROR(SEARCH("%",G33)))</formula>
    </cfRule>
  </conditionalFormatting>
  <conditionalFormatting sqref="G33:G34">
    <cfRule type="containsText" dxfId="2272" priority="2282" operator="containsText" text="%">
      <formula>NOT(ISERROR(SEARCH("%",G33)))</formula>
    </cfRule>
  </conditionalFormatting>
  <conditionalFormatting sqref="G33:G34">
    <cfRule type="containsText" dxfId="2271" priority="2281" operator="containsText" text="%">
      <formula>NOT(ISERROR(SEARCH("%",G33)))</formula>
    </cfRule>
  </conditionalFormatting>
  <conditionalFormatting sqref="G33:G34">
    <cfRule type="containsText" dxfId="2270" priority="2280" operator="containsText" text="%">
      <formula>NOT(ISERROR(SEARCH("%",G33)))</formula>
    </cfRule>
  </conditionalFormatting>
  <conditionalFormatting sqref="G33:G34">
    <cfRule type="containsText" dxfId="2269" priority="2279" operator="containsText" text="%">
      <formula>NOT(ISERROR(SEARCH("%",G33)))</formula>
    </cfRule>
  </conditionalFormatting>
  <conditionalFormatting sqref="G33:G34">
    <cfRule type="containsText" dxfId="2268" priority="2278" operator="containsText" text="%">
      <formula>NOT(ISERROR(SEARCH("%",G33)))</formula>
    </cfRule>
  </conditionalFormatting>
  <conditionalFormatting sqref="G33:G34">
    <cfRule type="containsText" dxfId="2267" priority="2277" operator="containsText" text="%">
      <formula>NOT(ISERROR(SEARCH("%",G33)))</formula>
    </cfRule>
  </conditionalFormatting>
  <conditionalFormatting sqref="G33:G34">
    <cfRule type="containsText" dxfId="2266" priority="2276" operator="containsText" text="%">
      <formula>NOT(ISERROR(SEARCH("%",G33)))</formula>
    </cfRule>
  </conditionalFormatting>
  <conditionalFormatting sqref="G33:G34">
    <cfRule type="containsText" dxfId="2265" priority="2275" operator="containsText" text="%">
      <formula>NOT(ISERROR(SEARCH("%",G33)))</formula>
    </cfRule>
  </conditionalFormatting>
  <conditionalFormatting sqref="G33:G34">
    <cfRule type="containsText" dxfId="2264" priority="2272" operator="containsText" text="%">
      <formula>NOT(ISERROR(SEARCH("%",G33)))</formula>
    </cfRule>
  </conditionalFormatting>
  <conditionalFormatting sqref="G33:G34">
    <cfRule type="containsText" dxfId="2263" priority="2271" operator="containsText" text="%">
      <formula>NOT(ISERROR(SEARCH("%",G33)))</formula>
    </cfRule>
  </conditionalFormatting>
  <conditionalFormatting sqref="G33:G34">
    <cfRule type="containsText" dxfId="2262" priority="2270" operator="containsText" text="%">
      <formula>NOT(ISERROR(SEARCH("%",G33)))</formula>
    </cfRule>
  </conditionalFormatting>
  <conditionalFormatting sqref="G33:G34">
    <cfRule type="containsText" dxfId="2261" priority="2268" operator="containsText" text="%">
      <formula>NOT(ISERROR(SEARCH("%",G33)))</formula>
    </cfRule>
  </conditionalFormatting>
  <conditionalFormatting sqref="G33:G34">
    <cfRule type="containsText" dxfId="2260" priority="2266" operator="containsText" text="%">
      <formula>NOT(ISERROR(SEARCH("%",G33)))</formula>
    </cfRule>
  </conditionalFormatting>
  <conditionalFormatting sqref="G33:G34">
    <cfRule type="containsText" dxfId="2259" priority="2265" operator="containsText" text="%">
      <formula>NOT(ISERROR(SEARCH("%",G33)))</formula>
    </cfRule>
  </conditionalFormatting>
  <conditionalFormatting sqref="G33:G34">
    <cfRule type="containsText" dxfId="2258" priority="2264" operator="containsText" text="%">
      <formula>NOT(ISERROR(SEARCH("%",G33)))</formula>
    </cfRule>
  </conditionalFormatting>
  <conditionalFormatting sqref="G33:G34">
    <cfRule type="containsText" dxfId="2257" priority="2263" operator="containsText" text="%">
      <formula>NOT(ISERROR(SEARCH("%",G33)))</formula>
    </cfRule>
  </conditionalFormatting>
  <conditionalFormatting sqref="G33:G34">
    <cfRule type="containsText" dxfId="2256" priority="2262" operator="containsText" text="%">
      <formula>NOT(ISERROR(SEARCH("%",G33)))</formula>
    </cfRule>
  </conditionalFormatting>
  <conditionalFormatting sqref="G33:G34">
    <cfRule type="containsText" dxfId="2255" priority="2261" operator="containsText" text="%">
      <formula>NOT(ISERROR(SEARCH("%",G33)))</formula>
    </cfRule>
  </conditionalFormatting>
  <conditionalFormatting sqref="G33:G34">
    <cfRule type="containsText" dxfId="2254" priority="2260" operator="containsText" text="%">
      <formula>NOT(ISERROR(SEARCH("%",G33)))</formula>
    </cfRule>
  </conditionalFormatting>
  <conditionalFormatting sqref="G33:G34">
    <cfRule type="containsText" dxfId="2253" priority="2259" operator="containsText" text="%">
      <formula>NOT(ISERROR(SEARCH("%",G33)))</formula>
    </cfRule>
  </conditionalFormatting>
  <conditionalFormatting sqref="G33:G34">
    <cfRule type="containsText" dxfId="2252" priority="2258" operator="containsText" text="%">
      <formula>NOT(ISERROR(SEARCH("%",G33)))</formula>
    </cfRule>
  </conditionalFormatting>
  <conditionalFormatting sqref="G33:G34">
    <cfRule type="containsText" dxfId="2251" priority="2257" operator="containsText" text="%">
      <formula>NOT(ISERROR(SEARCH("%",G33)))</formula>
    </cfRule>
  </conditionalFormatting>
  <conditionalFormatting sqref="G34">
    <cfRule type="containsText" dxfId="2250" priority="2256" operator="containsText" text="%">
      <formula>NOT(ISERROR(SEARCH("%",G34)))</formula>
    </cfRule>
  </conditionalFormatting>
  <conditionalFormatting sqref="G34">
    <cfRule type="containsText" dxfId="2249" priority="2255" operator="containsText" text="%">
      <formula>NOT(ISERROR(SEARCH("%",G34)))</formula>
    </cfRule>
  </conditionalFormatting>
  <conditionalFormatting sqref="G34">
    <cfRule type="containsText" dxfId="2248" priority="2254" operator="containsText" text="%">
      <formula>NOT(ISERROR(SEARCH("%",G34)))</formula>
    </cfRule>
  </conditionalFormatting>
  <conditionalFormatting sqref="G34">
    <cfRule type="containsText" dxfId="2247" priority="2253" operator="containsText" text="%">
      <formula>NOT(ISERROR(SEARCH("%",G34)))</formula>
    </cfRule>
  </conditionalFormatting>
  <conditionalFormatting sqref="G33:G34">
    <cfRule type="containsText" dxfId="2246" priority="2252" operator="containsText" text="%">
      <formula>NOT(ISERROR(SEARCH("%",G33)))</formula>
    </cfRule>
  </conditionalFormatting>
  <conditionalFormatting sqref="G33:G34">
    <cfRule type="containsText" dxfId="2245" priority="2251" operator="containsText" text="%">
      <formula>NOT(ISERROR(SEARCH("%",G33)))</formula>
    </cfRule>
  </conditionalFormatting>
  <conditionalFormatting sqref="G33:G34">
    <cfRule type="containsText" dxfId="2244" priority="2250" operator="containsText" text="%">
      <formula>NOT(ISERROR(SEARCH("%",G33)))</formula>
    </cfRule>
  </conditionalFormatting>
  <conditionalFormatting sqref="G33:G34">
    <cfRule type="containsText" dxfId="2243" priority="2249" operator="containsText" text="%">
      <formula>NOT(ISERROR(SEARCH("%",G33)))</formula>
    </cfRule>
  </conditionalFormatting>
  <conditionalFormatting sqref="G33:G34">
    <cfRule type="containsText" dxfId="2242" priority="2248" operator="containsText" text="%">
      <formula>NOT(ISERROR(SEARCH("%",G33)))</formula>
    </cfRule>
  </conditionalFormatting>
  <conditionalFormatting sqref="G33:G34">
    <cfRule type="containsText" dxfId="2241" priority="2247" operator="containsText" text="%">
      <formula>NOT(ISERROR(SEARCH("%",G33)))</formula>
    </cfRule>
  </conditionalFormatting>
  <conditionalFormatting sqref="G33:G34">
    <cfRule type="containsText" dxfId="2240" priority="2246" operator="containsText" text="%">
      <formula>NOT(ISERROR(SEARCH("%",G33)))</formula>
    </cfRule>
  </conditionalFormatting>
  <conditionalFormatting sqref="G33:G34">
    <cfRule type="containsText" dxfId="2239" priority="2245" operator="containsText" text="%">
      <formula>NOT(ISERROR(SEARCH("%",G33)))</formula>
    </cfRule>
  </conditionalFormatting>
  <conditionalFormatting sqref="G33:G34">
    <cfRule type="containsText" dxfId="2238" priority="2244" operator="containsText" text="%">
      <formula>NOT(ISERROR(SEARCH("%",G33)))</formula>
    </cfRule>
  </conditionalFormatting>
  <conditionalFormatting sqref="G33:G34">
    <cfRule type="containsText" dxfId="2237" priority="2243" operator="containsText" text="%">
      <formula>NOT(ISERROR(SEARCH("%",G33)))</formula>
    </cfRule>
  </conditionalFormatting>
  <conditionalFormatting sqref="G34">
    <cfRule type="containsText" dxfId="2236" priority="2242" operator="containsText" text="%">
      <formula>NOT(ISERROR(SEARCH("%",G34)))</formula>
    </cfRule>
  </conditionalFormatting>
  <conditionalFormatting sqref="G34">
    <cfRule type="containsText" dxfId="2235" priority="2241" operator="containsText" text="%">
      <formula>NOT(ISERROR(SEARCH("%",G34)))</formula>
    </cfRule>
  </conditionalFormatting>
  <conditionalFormatting sqref="G34">
    <cfRule type="containsText" dxfId="2234" priority="2240" operator="containsText" text="%">
      <formula>NOT(ISERROR(SEARCH("%",G34)))</formula>
    </cfRule>
  </conditionalFormatting>
  <conditionalFormatting sqref="G34">
    <cfRule type="containsText" dxfId="2233" priority="2239" operator="containsText" text="%">
      <formula>NOT(ISERROR(SEARCH("%",G34)))</formula>
    </cfRule>
  </conditionalFormatting>
  <conditionalFormatting sqref="G33">
    <cfRule type="containsText" dxfId="2232" priority="2238" operator="containsText" text="%">
      <formula>NOT(ISERROR(SEARCH("%",G33)))</formula>
    </cfRule>
  </conditionalFormatting>
  <conditionalFormatting sqref="G33">
    <cfRule type="containsText" dxfId="2231" priority="2237" operator="containsText" text="%">
      <formula>NOT(ISERROR(SEARCH("%",G33)))</formula>
    </cfRule>
  </conditionalFormatting>
  <conditionalFormatting sqref="G33">
    <cfRule type="containsText" dxfId="2230" priority="2236" operator="containsText" text="%">
      <formula>NOT(ISERROR(SEARCH("%",G33)))</formula>
    </cfRule>
  </conditionalFormatting>
  <conditionalFormatting sqref="G33">
    <cfRule type="containsText" dxfId="2229" priority="2235" operator="containsText" text="%">
      <formula>NOT(ISERROR(SEARCH("%",G33)))</formula>
    </cfRule>
  </conditionalFormatting>
  <conditionalFormatting sqref="G33">
    <cfRule type="containsText" dxfId="2228" priority="2234" operator="containsText" text="%">
      <formula>NOT(ISERROR(SEARCH("%",G33)))</formula>
    </cfRule>
  </conditionalFormatting>
  <conditionalFormatting sqref="G33">
    <cfRule type="containsText" dxfId="2227" priority="2233" operator="containsText" text="%">
      <formula>NOT(ISERROR(SEARCH("%",G33)))</formula>
    </cfRule>
  </conditionalFormatting>
  <conditionalFormatting sqref="G34">
    <cfRule type="containsText" dxfId="2226" priority="2232" operator="containsText" text="%">
      <formula>NOT(ISERROR(SEARCH("%",G34)))</formula>
    </cfRule>
  </conditionalFormatting>
  <conditionalFormatting sqref="G34">
    <cfRule type="containsText" dxfId="2225" priority="2231" operator="containsText" text="%">
      <formula>NOT(ISERROR(SEARCH("%",G34)))</formula>
    </cfRule>
  </conditionalFormatting>
  <conditionalFormatting sqref="G34">
    <cfRule type="containsText" dxfId="2224" priority="2230" operator="containsText" text="%">
      <formula>NOT(ISERROR(SEARCH("%",G34)))</formula>
    </cfRule>
  </conditionalFormatting>
  <conditionalFormatting sqref="G34">
    <cfRule type="containsText" dxfId="2223" priority="2229" operator="containsText" text="%">
      <formula>NOT(ISERROR(SEARCH("%",G34)))</formula>
    </cfRule>
  </conditionalFormatting>
  <conditionalFormatting sqref="G34">
    <cfRule type="containsText" dxfId="2222" priority="2228" operator="containsText" text="%">
      <formula>NOT(ISERROR(SEARCH("%",G34)))</formula>
    </cfRule>
  </conditionalFormatting>
  <conditionalFormatting sqref="G34">
    <cfRule type="containsText" dxfId="2221" priority="2227" operator="containsText" text="%">
      <formula>NOT(ISERROR(SEARCH("%",G34)))</formula>
    </cfRule>
  </conditionalFormatting>
  <conditionalFormatting sqref="G34">
    <cfRule type="containsText" dxfId="2220" priority="2226" operator="containsText" text="%">
      <formula>NOT(ISERROR(SEARCH("%",G34)))</formula>
    </cfRule>
  </conditionalFormatting>
  <conditionalFormatting sqref="G34">
    <cfRule type="containsText" dxfId="2219" priority="2225" operator="containsText" text="%">
      <formula>NOT(ISERROR(SEARCH("%",G34)))</formula>
    </cfRule>
  </conditionalFormatting>
  <conditionalFormatting sqref="G34">
    <cfRule type="containsText" dxfId="2218" priority="2224" operator="containsText" text="%">
      <formula>NOT(ISERROR(SEARCH("%",G34)))</formula>
    </cfRule>
  </conditionalFormatting>
  <conditionalFormatting sqref="G34">
    <cfRule type="containsText" dxfId="2217" priority="2223" operator="containsText" text="%">
      <formula>NOT(ISERROR(SEARCH("%",G34)))</formula>
    </cfRule>
  </conditionalFormatting>
  <conditionalFormatting sqref="G34">
    <cfRule type="containsText" dxfId="2216" priority="2209" operator="containsText" text="%">
      <formula>NOT(ISERROR(SEARCH("%",G34)))</formula>
    </cfRule>
  </conditionalFormatting>
  <conditionalFormatting sqref="G34">
    <cfRule type="containsText" dxfId="2215" priority="2208" operator="containsText" text="%">
      <formula>NOT(ISERROR(SEARCH("%",G34)))</formula>
    </cfRule>
  </conditionalFormatting>
  <conditionalFormatting sqref="G34">
    <cfRule type="containsText" dxfId="2214" priority="2204" operator="containsText" text="%">
      <formula>NOT(ISERROR(SEARCH("%",G34)))</formula>
    </cfRule>
  </conditionalFormatting>
  <conditionalFormatting sqref="G34">
    <cfRule type="containsText" dxfId="2213" priority="2222" operator="containsText" text="%">
      <formula>NOT(ISERROR(SEARCH("%",G34)))</formula>
    </cfRule>
  </conditionalFormatting>
  <conditionalFormatting sqref="G34">
    <cfRule type="containsText" dxfId="2212" priority="2202" operator="containsText" text="%">
      <formula>NOT(ISERROR(SEARCH("%",G34)))</formula>
    </cfRule>
  </conditionalFormatting>
  <conditionalFormatting sqref="G34">
    <cfRule type="containsText" dxfId="2211" priority="2221" operator="containsText" text="%">
      <formula>NOT(ISERROR(SEARCH("%",G34)))</formula>
    </cfRule>
  </conditionalFormatting>
  <conditionalFormatting sqref="G34">
    <cfRule type="containsText" dxfId="2210" priority="2220" operator="containsText" text="%">
      <formula>NOT(ISERROR(SEARCH("%",G34)))</formula>
    </cfRule>
  </conditionalFormatting>
  <conditionalFormatting sqref="G34">
    <cfRule type="containsText" dxfId="2209" priority="2219" operator="containsText" text="%">
      <formula>NOT(ISERROR(SEARCH("%",G34)))</formula>
    </cfRule>
  </conditionalFormatting>
  <conditionalFormatting sqref="G34">
    <cfRule type="containsText" dxfId="2208" priority="2218" operator="containsText" text="%">
      <formula>NOT(ISERROR(SEARCH("%",G34)))</formula>
    </cfRule>
  </conditionalFormatting>
  <conditionalFormatting sqref="G34">
    <cfRule type="containsText" dxfId="2207" priority="2217" operator="containsText" text="%">
      <formula>NOT(ISERROR(SEARCH("%",G34)))</formula>
    </cfRule>
  </conditionalFormatting>
  <conditionalFormatting sqref="G34">
    <cfRule type="containsText" dxfId="2206" priority="2216" operator="containsText" text="%">
      <formula>NOT(ISERROR(SEARCH("%",G34)))</formula>
    </cfRule>
  </conditionalFormatting>
  <conditionalFormatting sqref="G34">
    <cfRule type="containsText" dxfId="2205" priority="2215" operator="containsText" text="%">
      <formula>NOT(ISERROR(SEARCH("%",G34)))</formula>
    </cfRule>
  </conditionalFormatting>
  <conditionalFormatting sqref="G34">
    <cfRule type="containsText" dxfId="2204" priority="2214" operator="containsText" text="%">
      <formula>NOT(ISERROR(SEARCH("%",G34)))</formula>
    </cfRule>
  </conditionalFormatting>
  <conditionalFormatting sqref="G34">
    <cfRule type="containsText" dxfId="2203" priority="2213" operator="containsText" text="%">
      <formula>NOT(ISERROR(SEARCH("%",G34)))</formula>
    </cfRule>
  </conditionalFormatting>
  <conditionalFormatting sqref="G34">
    <cfRule type="containsText" dxfId="2202" priority="2212" operator="containsText" text="%">
      <formula>NOT(ISERROR(SEARCH("%",G34)))</formula>
    </cfRule>
  </conditionalFormatting>
  <conditionalFormatting sqref="G34">
    <cfRule type="containsText" dxfId="2201" priority="2211" operator="containsText" text="%">
      <formula>NOT(ISERROR(SEARCH("%",G34)))</formula>
    </cfRule>
  </conditionalFormatting>
  <conditionalFormatting sqref="G34">
    <cfRule type="containsText" dxfId="2200" priority="2210" operator="containsText" text="%">
      <formula>NOT(ISERROR(SEARCH("%",G34)))</formula>
    </cfRule>
  </conditionalFormatting>
  <conditionalFormatting sqref="G34">
    <cfRule type="containsText" dxfId="2199" priority="2207" operator="containsText" text="%">
      <formula>NOT(ISERROR(SEARCH("%",G34)))</formula>
    </cfRule>
  </conditionalFormatting>
  <conditionalFormatting sqref="G34">
    <cfRule type="containsText" dxfId="2198" priority="2206" operator="containsText" text="%">
      <formula>NOT(ISERROR(SEARCH("%",G34)))</formula>
    </cfRule>
  </conditionalFormatting>
  <conditionalFormatting sqref="G34">
    <cfRule type="containsText" dxfId="2197" priority="2205" operator="containsText" text="%">
      <formula>NOT(ISERROR(SEARCH("%",G34)))</formula>
    </cfRule>
  </conditionalFormatting>
  <conditionalFormatting sqref="G34">
    <cfRule type="containsText" dxfId="2196" priority="2203" operator="containsText" text="%">
      <formula>NOT(ISERROR(SEARCH("%",G34)))</formula>
    </cfRule>
  </conditionalFormatting>
  <conditionalFormatting sqref="G34">
    <cfRule type="containsText" dxfId="2195" priority="2201" operator="containsText" text="%">
      <formula>NOT(ISERROR(SEARCH("%",G34)))</formula>
    </cfRule>
  </conditionalFormatting>
  <conditionalFormatting sqref="G34">
    <cfRule type="containsText" dxfId="2194" priority="2200" operator="containsText" text="%">
      <formula>NOT(ISERROR(SEARCH("%",G34)))</formula>
    </cfRule>
  </conditionalFormatting>
  <conditionalFormatting sqref="G34">
    <cfRule type="containsText" dxfId="2193" priority="2199" operator="containsText" text="%">
      <formula>NOT(ISERROR(SEARCH("%",G34)))</formula>
    </cfRule>
  </conditionalFormatting>
  <conditionalFormatting sqref="G34">
    <cfRule type="containsText" dxfId="2192" priority="2198" operator="containsText" text="%">
      <formula>NOT(ISERROR(SEARCH("%",G34)))</formula>
    </cfRule>
  </conditionalFormatting>
  <conditionalFormatting sqref="G34">
    <cfRule type="containsText" dxfId="2191" priority="2197" operator="containsText" text="%">
      <formula>NOT(ISERROR(SEARCH("%",G34)))</formula>
    </cfRule>
  </conditionalFormatting>
  <conditionalFormatting sqref="G34">
    <cfRule type="containsText" dxfId="2190" priority="2196" operator="containsText" text="%">
      <formula>NOT(ISERROR(SEARCH("%",G34)))</formula>
    </cfRule>
  </conditionalFormatting>
  <conditionalFormatting sqref="G34">
    <cfRule type="containsText" dxfId="2189" priority="2195" operator="containsText" text="%">
      <formula>NOT(ISERROR(SEARCH("%",G34)))</formula>
    </cfRule>
  </conditionalFormatting>
  <conditionalFormatting sqref="G34">
    <cfRule type="containsText" dxfId="2188" priority="2194" operator="containsText" text="%">
      <formula>NOT(ISERROR(SEARCH("%",G34)))</formula>
    </cfRule>
  </conditionalFormatting>
  <conditionalFormatting sqref="G34">
    <cfRule type="containsText" dxfId="2187" priority="2193" operator="containsText" text="%">
      <formula>NOT(ISERROR(SEARCH("%",G34)))</formula>
    </cfRule>
  </conditionalFormatting>
  <conditionalFormatting sqref="G34">
    <cfRule type="containsText" dxfId="2186" priority="2192" operator="containsText" text="%">
      <formula>NOT(ISERROR(SEARCH("%",G34)))</formula>
    </cfRule>
  </conditionalFormatting>
  <conditionalFormatting sqref="G34">
    <cfRule type="containsText" dxfId="2185" priority="2191" operator="containsText" text="%">
      <formula>NOT(ISERROR(SEARCH("%",G34)))</formula>
    </cfRule>
  </conditionalFormatting>
  <conditionalFormatting sqref="G34">
    <cfRule type="containsText" dxfId="2184" priority="2190" operator="containsText" text="%">
      <formula>NOT(ISERROR(SEARCH("%",G34)))</formula>
    </cfRule>
  </conditionalFormatting>
  <conditionalFormatting sqref="G34">
    <cfRule type="containsText" dxfId="2183" priority="2189" operator="containsText" text="%">
      <formula>NOT(ISERROR(SEARCH("%",G34)))</formula>
    </cfRule>
  </conditionalFormatting>
  <conditionalFormatting sqref="G34">
    <cfRule type="containsText" dxfId="2182" priority="2188" operator="containsText" text="%">
      <formula>NOT(ISERROR(SEARCH("%",G34)))</formula>
    </cfRule>
  </conditionalFormatting>
  <conditionalFormatting sqref="G34">
    <cfRule type="containsText" dxfId="2181" priority="2187" operator="containsText" text="%">
      <formula>NOT(ISERROR(SEARCH("%",G34)))</formula>
    </cfRule>
  </conditionalFormatting>
  <conditionalFormatting sqref="G34">
    <cfRule type="containsText" dxfId="2180" priority="2186" operator="containsText" text="%">
      <formula>NOT(ISERROR(SEARCH("%",G34)))</formula>
    </cfRule>
  </conditionalFormatting>
  <conditionalFormatting sqref="G34">
    <cfRule type="containsText" dxfId="2179" priority="2185" operator="containsText" text="%">
      <formula>NOT(ISERROR(SEARCH("%",G34)))</formula>
    </cfRule>
  </conditionalFormatting>
  <conditionalFormatting sqref="G34">
    <cfRule type="containsText" dxfId="2178" priority="2184" operator="containsText" text="%">
      <formula>NOT(ISERROR(SEARCH("%",G34)))</formula>
    </cfRule>
  </conditionalFormatting>
  <conditionalFormatting sqref="G34">
    <cfRule type="containsText" dxfId="2177" priority="2183" operator="containsText" text="%">
      <formula>NOT(ISERROR(SEARCH("%",G34)))</formula>
    </cfRule>
  </conditionalFormatting>
  <conditionalFormatting sqref="G34">
    <cfRule type="containsText" dxfId="2176" priority="2182" operator="containsText" text="%">
      <formula>NOT(ISERROR(SEARCH("%",G34)))</formula>
    </cfRule>
  </conditionalFormatting>
  <conditionalFormatting sqref="G34">
    <cfRule type="containsText" dxfId="2175" priority="2181" operator="containsText" text="%">
      <formula>NOT(ISERROR(SEARCH("%",G34)))</formula>
    </cfRule>
  </conditionalFormatting>
  <conditionalFormatting sqref="G34">
    <cfRule type="containsText" dxfId="2174" priority="2180" operator="containsText" text="%">
      <formula>NOT(ISERROR(SEARCH("%",G34)))</formula>
    </cfRule>
  </conditionalFormatting>
  <conditionalFormatting sqref="G34">
    <cfRule type="containsText" dxfId="2173" priority="2179" operator="containsText" text="%">
      <formula>NOT(ISERROR(SEARCH("%",G34)))</formula>
    </cfRule>
  </conditionalFormatting>
  <conditionalFormatting sqref="G34">
    <cfRule type="containsText" dxfId="2172" priority="2178" operator="containsText" text="%">
      <formula>NOT(ISERROR(SEARCH("%",G34)))</formula>
    </cfRule>
  </conditionalFormatting>
  <conditionalFormatting sqref="G34">
    <cfRule type="containsText" dxfId="2171" priority="2177" operator="containsText" text="%">
      <formula>NOT(ISERROR(SEARCH("%",G34)))</formula>
    </cfRule>
  </conditionalFormatting>
  <conditionalFormatting sqref="G34">
    <cfRule type="containsText" dxfId="2170" priority="2176" operator="containsText" text="%">
      <formula>NOT(ISERROR(SEARCH("%",G34)))</formula>
    </cfRule>
  </conditionalFormatting>
  <conditionalFormatting sqref="G34">
    <cfRule type="containsText" dxfId="2169" priority="2175" operator="containsText" text="%">
      <formula>NOT(ISERROR(SEARCH("%",G34)))</formula>
    </cfRule>
  </conditionalFormatting>
  <conditionalFormatting sqref="G34">
    <cfRule type="containsText" dxfId="2168" priority="2174" operator="containsText" text="%">
      <formula>NOT(ISERROR(SEARCH("%",G34)))</formula>
    </cfRule>
  </conditionalFormatting>
  <conditionalFormatting sqref="F37:M52">
    <cfRule type="containsText" dxfId="2167" priority="2173" operator="containsText" text="%">
      <formula>NOT(ISERROR(SEARCH("%",F37)))</formula>
    </cfRule>
  </conditionalFormatting>
  <conditionalFormatting sqref="F37:M52">
    <cfRule type="containsText" dxfId="2166" priority="2172" operator="containsText" text="%">
      <formula>NOT(ISERROR(SEARCH("%",F37)))</formula>
    </cfRule>
  </conditionalFormatting>
  <conditionalFormatting sqref="G37:G52 K37:K52">
    <cfRule type="containsText" dxfId="2165" priority="2171" operator="containsText" text="%">
      <formula>NOT(ISERROR(SEARCH("%",G37)))</formula>
    </cfRule>
  </conditionalFormatting>
  <conditionalFormatting sqref="G37:G52 K37:K52">
    <cfRule type="containsText" dxfId="2164" priority="2170" operator="containsText" text="%">
      <formula>NOT(ISERROR(SEARCH("%",G37)))</formula>
    </cfRule>
  </conditionalFormatting>
  <conditionalFormatting sqref="H37:H52 L37:L52">
    <cfRule type="containsText" dxfId="2163" priority="2169" operator="containsText" text="%">
      <formula>NOT(ISERROR(SEARCH("%",H37)))</formula>
    </cfRule>
  </conditionalFormatting>
  <conditionalFormatting sqref="H37:H52 L37:L52">
    <cfRule type="containsText" dxfId="2162" priority="2168" operator="containsText" text="%">
      <formula>NOT(ISERROR(SEARCH("%",H37)))</formula>
    </cfRule>
  </conditionalFormatting>
  <conditionalFormatting sqref="I37:I52 M37:M52">
    <cfRule type="containsText" dxfId="2161" priority="2167" operator="containsText" text="%">
      <formula>NOT(ISERROR(SEARCH("%",I37)))</formula>
    </cfRule>
  </conditionalFormatting>
  <conditionalFormatting sqref="I37:I52 M37:M52">
    <cfRule type="containsText" dxfId="2160" priority="2166" operator="containsText" text="%">
      <formula>NOT(ISERROR(SEARCH("%",I37)))</formula>
    </cfRule>
  </conditionalFormatting>
  <conditionalFormatting sqref="I37:I52 M37:M52">
    <cfRule type="containsText" dxfId="2159" priority="2165" operator="containsText" text="%">
      <formula>NOT(ISERROR(SEARCH("%",I37)))</formula>
    </cfRule>
  </conditionalFormatting>
  <conditionalFormatting sqref="H37:H52 L37:L52">
    <cfRule type="containsText" dxfId="2158" priority="2164" operator="containsText" text="%">
      <formula>NOT(ISERROR(SEARCH("%",H37)))</formula>
    </cfRule>
  </conditionalFormatting>
  <conditionalFormatting sqref="H37:H52 L37:L52">
    <cfRule type="containsText" dxfId="2157" priority="2163" operator="containsText" text="%">
      <formula>NOT(ISERROR(SEARCH("%",H37)))</formula>
    </cfRule>
  </conditionalFormatting>
  <conditionalFormatting sqref="H37:H52 L37:L52">
    <cfRule type="containsText" dxfId="2156" priority="2162" operator="containsText" text="%">
      <formula>NOT(ISERROR(SEARCH("%",H37)))</formula>
    </cfRule>
  </conditionalFormatting>
  <conditionalFormatting sqref="H37:H52 L37:L52">
    <cfRule type="containsText" dxfId="2155" priority="2161" operator="containsText" text="%">
      <formula>NOT(ISERROR(SEARCH("%",H37)))</formula>
    </cfRule>
  </conditionalFormatting>
  <conditionalFormatting sqref="G37:G52 K37:K52">
    <cfRule type="containsText" dxfId="2154" priority="2160" operator="containsText" text="%">
      <formula>NOT(ISERROR(SEARCH("%",G37)))</formula>
    </cfRule>
  </conditionalFormatting>
  <conditionalFormatting sqref="G37:G52 K37:K52">
    <cfRule type="containsText" dxfId="2153" priority="2159" operator="containsText" text="%">
      <formula>NOT(ISERROR(SEARCH("%",G37)))</formula>
    </cfRule>
  </conditionalFormatting>
  <conditionalFormatting sqref="G37:G52 K37:K52">
    <cfRule type="containsText" dxfId="2152" priority="2158" operator="containsText" text="%">
      <formula>NOT(ISERROR(SEARCH("%",G37)))</formula>
    </cfRule>
  </conditionalFormatting>
  <conditionalFormatting sqref="G37:G52 K37:K52">
    <cfRule type="containsText" dxfId="2151" priority="2157" operator="containsText" text="%">
      <formula>NOT(ISERROR(SEARCH("%",G37)))</formula>
    </cfRule>
  </conditionalFormatting>
  <conditionalFormatting sqref="G37:G52 K37:K52">
    <cfRule type="containsText" dxfId="2150" priority="2156" operator="containsText" text="%">
      <formula>NOT(ISERROR(SEARCH("%",G37)))</formula>
    </cfRule>
  </conditionalFormatting>
  <conditionalFormatting sqref="G37:G52 K37:K52">
    <cfRule type="containsText" dxfId="2149" priority="2155" operator="containsText" text="%">
      <formula>NOT(ISERROR(SEARCH("%",G37)))</formula>
    </cfRule>
  </conditionalFormatting>
  <conditionalFormatting sqref="H37:H52 L37:L52">
    <cfRule type="containsText" dxfId="2148" priority="2139" operator="containsText" text="%">
      <formula>NOT(ISERROR(SEARCH("%",H37)))</formula>
    </cfRule>
  </conditionalFormatting>
  <conditionalFormatting sqref="H37:H52 L37:L52">
    <cfRule type="containsText" dxfId="2147" priority="2138" operator="containsText" text="%">
      <formula>NOT(ISERROR(SEARCH("%",H37)))</formula>
    </cfRule>
  </conditionalFormatting>
  <conditionalFormatting sqref="H37:H52 L37:L52">
    <cfRule type="containsText" dxfId="2146" priority="2134" operator="containsText" text="%">
      <formula>NOT(ISERROR(SEARCH("%",H37)))</formula>
    </cfRule>
  </conditionalFormatting>
  <conditionalFormatting sqref="H37:H52 L37:L52">
    <cfRule type="containsText" dxfId="2145" priority="2154" operator="containsText" text="%">
      <formula>NOT(ISERROR(SEARCH("%",H37)))</formula>
    </cfRule>
  </conditionalFormatting>
  <conditionalFormatting sqref="H37 H39 L37 L39 H41 L41 H43 L43 H45 L45 H47 L47 H49 L49 H51 L51">
    <cfRule type="containsText" dxfId="2144" priority="2153" operator="containsText" text="%">
      <formula>NOT(ISERROR(SEARCH("%",H37)))</formula>
    </cfRule>
  </conditionalFormatting>
  <conditionalFormatting sqref="H37 H39 L37 L39 H41 L41 H43 L43 H45 L45 H47 L47 H49 L49 H51 L51">
    <cfRule type="containsText" dxfId="2143" priority="2152" operator="containsText" text="%">
      <formula>NOT(ISERROR(SEARCH("%",H37)))</formula>
    </cfRule>
  </conditionalFormatting>
  <conditionalFormatting sqref="H37:H52 L37:L52">
    <cfRule type="containsText" dxfId="2142" priority="2132" operator="containsText" text="%">
      <formula>NOT(ISERROR(SEARCH("%",H37)))</formula>
    </cfRule>
  </conditionalFormatting>
  <conditionalFormatting sqref="H37:H52 L37:L52">
    <cfRule type="containsText" dxfId="2141" priority="2151" operator="containsText" text="%">
      <formula>NOT(ISERROR(SEARCH("%",H37)))</formula>
    </cfRule>
  </conditionalFormatting>
  <conditionalFormatting sqref="H37:H52 L37:L52">
    <cfRule type="containsText" dxfId="2140" priority="2150" operator="containsText" text="%">
      <formula>NOT(ISERROR(SEARCH("%",H37)))</formula>
    </cfRule>
  </conditionalFormatting>
  <conditionalFormatting sqref="H37:H52 L37:L52">
    <cfRule type="containsText" dxfId="2139" priority="2149" operator="containsText" text="%">
      <formula>NOT(ISERROR(SEARCH("%",H37)))</formula>
    </cfRule>
  </conditionalFormatting>
  <conditionalFormatting sqref="H37:H52 L37:L52">
    <cfRule type="containsText" dxfId="2138" priority="2148" operator="containsText" text="%">
      <formula>NOT(ISERROR(SEARCH("%",H37)))</formula>
    </cfRule>
  </conditionalFormatting>
  <conditionalFormatting sqref="H37:H52 L37:L52">
    <cfRule type="containsText" dxfId="2137" priority="2147" operator="containsText" text="%">
      <formula>NOT(ISERROR(SEARCH("%",H37)))</formula>
    </cfRule>
  </conditionalFormatting>
  <conditionalFormatting sqref="H37:H52 L37:L52">
    <cfRule type="containsText" dxfId="2136" priority="2146" operator="containsText" text="%">
      <formula>NOT(ISERROR(SEARCH("%",H37)))</formula>
    </cfRule>
  </conditionalFormatting>
  <conditionalFormatting sqref="H37:H52 L37:L52">
    <cfRule type="containsText" dxfId="2135" priority="2145" operator="containsText" text="%">
      <formula>NOT(ISERROR(SEARCH("%",H37)))</formula>
    </cfRule>
  </conditionalFormatting>
  <conditionalFormatting sqref="H37:H52 L37:L52">
    <cfRule type="containsText" dxfId="2134" priority="2144" operator="containsText" text="%">
      <formula>NOT(ISERROR(SEARCH("%",H37)))</formula>
    </cfRule>
  </conditionalFormatting>
  <conditionalFormatting sqref="H37:H52 L37:L52">
    <cfRule type="containsText" dxfId="2133" priority="2143" operator="containsText" text="%">
      <formula>NOT(ISERROR(SEARCH("%",H37)))</formula>
    </cfRule>
  </conditionalFormatting>
  <conditionalFormatting sqref="H37:H52 L37:L52">
    <cfRule type="containsText" dxfId="2132" priority="2142" operator="containsText" text="%">
      <formula>NOT(ISERROR(SEARCH("%",H37)))</formula>
    </cfRule>
  </conditionalFormatting>
  <conditionalFormatting sqref="H37:H52 L37:L52">
    <cfRule type="containsText" dxfId="2131" priority="2141" operator="containsText" text="%">
      <formula>NOT(ISERROR(SEARCH("%",H37)))</formula>
    </cfRule>
  </conditionalFormatting>
  <conditionalFormatting sqref="H37:H52 L37:L52">
    <cfRule type="containsText" dxfId="2130" priority="2140" operator="containsText" text="%">
      <formula>NOT(ISERROR(SEARCH("%",H37)))</formula>
    </cfRule>
  </conditionalFormatting>
  <conditionalFormatting sqref="H37:H52 L37:L52">
    <cfRule type="containsText" dxfId="2129" priority="2137" operator="containsText" text="%">
      <formula>NOT(ISERROR(SEARCH("%",H37)))</formula>
    </cfRule>
  </conditionalFormatting>
  <conditionalFormatting sqref="H37:H52 L37:L52">
    <cfRule type="containsText" dxfId="2128" priority="2136" operator="containsText" text="%">
      <formula>NOT(ISERROR(SEARCH("%",H37)))</formula>
    </cfRule>
  </conditionalFormatting>
  <conditionalFormatting sqref="H37:H52 L37:L52">
    <cfRule type="containsText" dxfId="2127" priority="2135" operator="containsText" text="%">
      <formula>NOT(ISERROR(SEARCH("%",H37)))</formula>
    </cfRule>
  </conditionalFormatting>
  <conditionalFormatting sqref="H37:H52 L37:L52">
    <cfRule type="containsText" dxfId="2126" priority="2133" operator="containsText" text="%">
      <formula>NOT(ISERROR(SEARCH("%",H37)))</formula>
    </cfRule>
  </conditionalFormatting>
  <conditionalFormatting sqref="H37:H52 L37:L52">
    <cfRule type="containsText" dxfId="2125" priority="2131" operator="containsText" text="%">
      <formula>NOT(ISERROR(SEARCH("%",H37)))</formula>
    </cfRule>
  </conditionalFormatting>
  <conditionalFormatting sqref="H37:H52 L37:L52">
    <cfRule type="containsText" dxfId="2124" priority="2130" operator="containsText" text="%">
      <formula>NOT(ISERROR(SEARCH("%",H37)))</formula>
    </cfRule>
  </conditionalFormatting>
  <conditionalFormatting sqref="H37:H52 L37:L52">
    <cfRule type="containsText" dxfId="2123" priority="2129" operator="containsText" text="%">
      <formula>NOT(ISERROR(SEARCH("%",H37)))</formula>
    </cfRule>
  </conditionalFormatting>
  <conditionalFormatting sqref="H37:H52 L37:L52">
    <cfRule type="containsText" dxfId="2122" priority="2128" operator="containsText" text="%">
      <formula>NOT(ISERROR(SEARCH("%",H37)))</formula>
    </cfRule>
  </conditionalFormatting>
  <conditionalFormatting sqref="H37:H52 L37:L52">
    <cfRule type="containsText" dxfId="2121" priority="2127" operator="containsText" text="%">
      <formula>NOT(ISERROR(SEARCH("%",H37)))</formula>
    </cfRule>
  </conditionalFormatting>
  <conditionalFormatting sqref="H37:H52 L37:L52">
    <cfRule type="containsText" dxfId="2120" priority="2126" operator="containsText" text="%">
      <formula>NOT(ISERROR(SEARCH("%",H37)))</formula>
    </cfRule>
  </conditionalFormatting>
  <conditionalFormatting sqref="H37:H52 L37:L52">
    <cfRule type="containsText" dxfId="2119" priority="2125" operator="containsText" text="%">
      <formula>NOT(ISERROR(SEARCH("%",H37)))</formula>
    </cfRule>
  </conditionalFormatting>
  <conditionalFormatting sqref="H37:H52 L37:L52">
    <cfRule type="containsText" dxfId="2118" priority="2124" operator="containsText" text="%">
      <formula>NOT(ISERROR(SEARCH("%",H37)))</formula>
    </cfRule>
  </conditionalFormatting>
  <conditionalFormatting sqref="H37:H52 L37:L52">
    <cfRule type="containsText" dxfId="2117" priority="2123" operator="containsText" text="%">
      <formula>NOT(ISERROR(SEARCH("%",H37)))</formula>
    </cfRule>
  </conditionalFormatting>
  <conditionalFormatting sqref="H37:H52 L37:L52">
    <cfRule type="containsText" dxfId="2116" priority="2122" operator="containsText" text="%">
      <formula>NOT(ISERROR(SEARCH("%",H37)))</formula>
    </cfRule>
  </conditionalFormatting>
  <conditionalFormatting sqref="H38 H48 H50 H52 L38 L48 L50 L52 H40 L40 H42 L42 H44 L44 H46 L46">
    <cfRule type="containsText" dxfId="2115" priority="2121" operator="containsText" text="%">
      <formula>NOT(ISERROR(SEARCH("%",H38)))</formula>
    </cfRule>
  </conditionalFormatting>
  <conditionalFormatting sqref="H38 H48 H50 H52 L38 L48 L50 L52 H40 L40 H42 L42 H44 L44 H46 L46">
    <cfRule type="containsText" dxfId="2114" priority="2120" operator="containsText" text="%">
      <formula>NOT(ISERROR(SEARCH("%",H38)))</formula>
    </cfRule>
  </conditionalFormatting>
  <conditionalFormatting sqref="H38 H48 H50 H52 L38 L48 L50 L52 H40 L40 H42 L42 H44 L44 H46 L46">
    <cfRule type="containsText" dxfId="2113" priority="2119" operator="containsText" text="%">
      <formula>NOT(ISERROR(SEARCH("%",H38)))</formula>
    </cfRule>
  </conditionalFormatting>
  <conditionalFormatting sqref="H38 H48 H50 H52 L38 L48 L50 L52 H40 L40 H42 L42 H44 L44 H46 L46">
    <cfRule type="containsText" dxfId="2112" priority="2118" operator="containsText" text="%">
      <formula>NOT(ISERROR(SEARCH("%",H38)))</formula>
    </cfRule>
  </conditionalFormatting>
  <conditionalFormatting sqref="H37:H52 L37:L52">
    <cfRule type="containsText" dxfId="2111" priority="2117" operator="containsText" text="%">
      <formula>NOT(ISERROR(SEARCH("%",H37)))</formula>
    </cfRule>
  </conditionalFormatting>
  <conditionalFormatting sqref="H37:H52 L37:L52">
    <cfRule type="containsText" dxfId="2110" priority="2116" operator="containsText" text="%">
      <formula>NOT(ISERROR(SEARCH("%",H37)))</formula>
    </cfRule>
  </conditionalFormatting>
  <conditionalFormatting sqref="H37:H52 L37:L52">
    <cfRule type="containsText" dxfId="2109" priority="2115" operator="containsText" text="%">
      <formula>NOT(ISERROR(SEARCH("%",H37)))</formula>
    </cfRule>
  </conditionalFormatting>
  <conditionalFormatting sqref="H37:H52 L37:L52">
    <cfRule type="containsText" dxfId="2108" priority="2114" operator="containsText" text="%">
      <formula>NOT(ISERROR(SEARCH("%",H37)))</formula>
    </cfRule>
  </conditionalFormatting>
  <conditionalFormatting sqref="H37:H52 L37:L52">
    <cfRule type="containsText" dxfId="2107" priority="2113" operator="containsText" text="%">
      <formula>NOT(ISERROR(SEARCH("%",H37)))</formula>
    </cfRule>
  </conditionalFormatting>
  <conditionalFormatting sqref="H37:H52 L37:L52">
    <cfRule type="containsText" dxfId="2106" priority="2112" operator="containsText" text="%">
      <formula>NOT(ISERROR(SEARCH("%",H37)))</formula>
    </cfRule>
  </conditionalFormatting>
  <conditionalFormatting sqref="H37:H52 L37:L52">
    <cfRule type="containsText" dxfId="2105" priority="2111" operator="containsText" text="%">
      <formula>NOT(ISERROR(SEARCH("%",H37)))</formula>
    </cfRule>
  </conditionalFormatting>
  <conditionalFormatting sqref="H37:H52 L37:L52">
    <cfRule type="containsText" dxfId="2104" priority="2110" operator="containsText" text="%">
      <formula>NOT(ISERROR(SEARCH("%",H37)))</formula>
    </cfRule>
  </conditionalFormatting>
  <conditionalFormatting sqref="H37:H52 L37:L52">
    <cfRule type="containsText" dxfId="2103" priority="2109" operator="containsText" text="%">
      <formula>NOT(ISERROR(SEARCH("%",H37)))</formula>
    </cfRule>
  </conditionalFormatting>
  <conditionalFormatting sqref="H37:H52 L37:L52">
    <cfRule type="containsText" dxfId="2102" priority="2108" operator="containsText" text="%">
      <formula>NOT(ISERROR(SEARCH("%",H37)))</formula>
    </cfRule>
  </conditionalFormatting>
  <conditionalFormatting sqref="H38 H48 H50 H52 L38 L48 L50 L52 H40 L40 H42 L42 H44 L44 H46 L46">
    <cfRule type="containsText" dxfId="2101" priority="2107" operator="containsText" text="%">
      <formula>NOT(ISERROR(SEARCH("%",H38)))</formula>
    </cfRule>
  </conditionalFormatting>
  <conditionalFormatting sqref="H38 H48 H50 H52 L38 L48 L50 L52 H40 L40 H42 L42 H44 L44 H46 L46">
    <cfRule type="containsText" dxfId="2100" priority="2106" operator="containsText" text="%">
      <formula>NOT(ISERROR(SEARCH("%",H38)))</formula>
    </cfRule>
  </conditionalFormatting>
  <conditionalFormatting sqref="H38 H48 H50 H52 L38 L48 L50 L52 H40 L40 H42 L42 H44 L44 H46 L46">
    <cfRule type="containsText" dxfId="2099" priority="2105" operator="containsText" text="%">
      <formula>NOT(ISERROR(SEARCH("%",H38)))</formula>
    </cfRule>
  </conditionalFormatting>
  <conditionalFormatting sqref="H38 H48 H50 H52 L38 L48 L50 L52 H40 L40 H42 L42 H44 L44 H46 L46">
    <cfRule type="containsText" dxfId="2098" priority="2104" operator="containsText" text="%">
      <formula>NOT(ISERROR(SEARCH("%",H38)))</formula>
    </cfRule>
  </conditionalFormatting>
  <conditionalFormatting sqref="H37:H52 L37:L52">
    <cfRule type="containsText" dxfId="2097" priority="2103" operator="containsText" text="%">
      <formula>NOT(ISERROR(SEARCH("%",H37)))</formula>
    </cfRule>
  </conditionalFormatting>
  <conditionalFormatting sqref="H37:H52 L37:L52">
    <cfRule type="containsText" dxfId="2096" priority="2102" operator="containsText" text="%">
      <formula>NOT(ISERROR(SEARCH("%",H37)))</formula>
    </cfRule>
  </conditionalFormatting>
  <conditionalFormatting sqref="H37:H52 L37:L52">
    <cfRule type="containsText" dxfId="2095" priority="2101" operator="containsText" text="%">
      <formula>NOT(ISERROR(SEARCH("%",H37)))</formula>
    </cfRule>
  </conditionalFormatting>
  <conditionalFormatting sqref="H37:H52 L37:L52">
    <cfRule type="containsText" dxfId="2094" priority="2100" operator="containsText" text="%">
      <formula>NOT(ISERROR(SEARCH("%",H37)))</formula>
    </cfRule>
  </conditionalFormatting>
  <conditionalFormatting sqref="H37:H52 L37:L52">
    <cfRule type="containsText" dxfId="2093" priority="2099" operator="containsText" text="%">
      <formula>NOT(ISERROR(SEARCH("%",H37)))</formula>
    </cfRule>
  </conditionalFormatting>
  <conditionalFormatting sqref="H37:H52 L37:L52">
    <cfRule type="containsText" dxfId="2092" priority="2098" operator="containsText" text="%">
      <formula>NOT(ISERROR(SEARCH("%",H37)))</formula>
    </cfRule>
  </conditionalFormatting>
  <conditionalFormatting sqref="H38 H48 H50 H52 L38 L48 L50 L52 H40 L40 H42 L42 H44 L44 H46 L46">
    <cfRule type="containsText" dxfId="2091" priority="2097" operator="containsText" text="%">
      <formula>NOT(ISERROR(SEARCH("%",H38)))</formula>
    </cfRule>
  </conditionalFormatting>
  <conditionalFormatting sqref="H38 H48 H50 H52 L38 L48 L50 L52 H40 L40 H42 L42 H44 L44 H46 L46">
    <cfRule type="containsText" dxfId="2090" priority="2096" operator="containsText" text="%">
      <formula>NOT(ISERROR(SEARCH("%",H38)))</formula>
    </cfRule>
  </conditionalFormatting>
  <conditionalFormatting sqref="H38 H48 H50 H52 L38 L48 L50 L52 H40 L40 H42 L42 H44 L44 H46 L46">
    <cfRule type="containsText" dxfId="2089" priority="2095" operator="containsText" text="%">
      <formula>NOT(ISERROR(SEARCH("%",H38)))</formula>
    </cfRule>
  </conditionalFormatting>
  <conditionalFormatting sqref="H38 H48 H50 H52 L38 L48 L50 L52 H40 L40 H42 L42 H44 L44 H46 L46">
    <cfRule type="containsText" dxfId="2088" priority="2094" operator="containsText" text="%">
      <formula>NOT(ISERROR(SEARCH("%",H38)))</formula>
    </cfRule>
  </conditionalFormatting>
  <conditionalFormatting sqref="H37:H52 L37:L52">
    <cfRule type="containsText" dxfId="2087" priority="2078" operator="containsText" text="%">
      <formula>NOT(ISERROR(SEARCH("%",H37)))</formula>
    </cfRule>
  </conditionalFormatting>
  <conditionalFormatting sqref="H37:H52 L37:L52">
    <cfRule type="containsText" dxfId="2086" priority="2077" operator="containsText" text="%">
      <formula>NOT(ISERROR(SEARCH("%",H37)))</formula>
    </cfRule>
  </conditionalFormatting>
  <conditionalFormatting sqref="H37:H52 L37:L52">
    <cfRule type="containsText" dxfId="2085" priority="2073" operator="containsText" text="%">
      <formula>NOT(ISERROR(SEARCH("%",H37)))</formula>
    </cfRule>
  </conditionalFormatting>
  <conditionalFormatting sqref="H37:H52 L37:L52">
    <cfRule type="containsText" dxfId="2084" priority="2093" operator="containsText" text="%">
      <formula>NOT(ISERROR(SEARCH("%",H37)))</formula>
    </cfRule>
  </conditionalFormatting>
  <conditionalFormatting sqref="H37 H39 L37 L39 H41 L41 H43 L43 H45 L45 H47 L47 H49 L49 H51 L51">
    <cfRule type="containsText" dxfId="2083" priority="2092" operator="containsText" text="%">
      <formula>NOT(ISERROR(SEARCH("%",H37)))</formula>
    </cfRule>
  </conditionalFormatting>
  <conditionalFormatting sqref="H37 H39 L37 L39 H41 L41 H43 L43 H45 L45 H47 L47 H49 L49 H51 L51">
    <cfRule type="containsText" dxfId="2082" priority="2091" operator="containsText" text="%">
      <formula>NOT(ISERROR(SEARCH("%",H37)))</formula>
    </cfRule>
  </conditionalFormatting>
  <conditionalFormatting sqref="H37:H52 L37:L52">
    <cfRule type="containsText" dxfId="2081" priority="2071" operator="containsText" text="%">
      <formula>NOT(ISERROR(SEARCH("%",H37)))</formula>
    </cfRule>
  </conditionalFormatting>
  <conditionalFormatting sqref="H37:H52 L37:L52">
    <cfRule type="containsText" dxfId="2080" priority="2090" operator="containsText" text="%">
      <formula>NOT(ISERROR(SEARCH("%",H37)))</formula>
    </cfRule>
  </conditionalFormatting>
  <conditionalFormatting sqref="H37:H52 L37:L52">
    <cfRule type="containsText" dxfId="2079" priority="2089" operator="containsText" text="%">
      <formula>NOT(ISERROR(SEARCH("%",H37)))</formula>
    </cfRule>
  </conditionalFormatting>
  <conditionalFormatting sqref="H37:H52 L37:L52">
    <cfRule type="containsText" dxfId="2078" priority="2088" operator="containsText" text="%">
      <formula>NOT(ISERROR(SEARCH("%",H37)))</formula>
    </cfRule>
  </conditionalFormatting>
  <conditionalFormatting sqref="H37:H52 L37:L52">
    <cfRule type="containsText" dxfId="2077" priority="2087" operator="containsText" text="%">
      <formula>NOT(ISERROR(SEARCH("%",H37)))</formula>
    </cfRule>
  </conditionalFormatting>
  <conditionalFormatting sqref="H37:H52 L37:L52">
    <cfRule type="containsText" dxfId="2076" priority="2086" operator="containsText" text="%">
      <formula>NOT(ISERROR(SEARCH("%",H37)))</formula>
    </cfRule>
  </conditionalFormatting>
  <conditionalFormatting sqref="H37:H52 L37:L52">
    <cfRule type="containsText" dxfId="2075" priority="2085" operator="containsText" text="%">
      <formula>NOT(ISERROR(SEARCH("%",H37)))</formula>
    </cfRule>
  </conditionalFormatting>
  <conditionalFormatting sqref="H37:H52 L37:L52">
    <cfRule type="containsText" dxfId="2074" priority="2084" operator="containsText" text="%">
      <formula>NOT(ISERROR(SEARCH("%",H37)))</formula>
    </cfRule>
  </conditionalFormatting>
  <conditionalFormatting sqref="H37:H52 L37:L52">
    <cfRule type="containsText" dxfId="2073" priority="2083" operator="containsText" text="%">
      <formula>NOT(ISERROR(SEARCH("%",H37)))</formula>
    </cfRule>
  </conditionalFormatting>
  <conditionalFormatting sqref="H37:H52 L37:L52">
    <cfRule type="containsText" dxfId="2072" priority="2082" operator="containsText" text="%">
      <formula>NOT(ISERROR(SEARCH("%",H37)))</formula>
    </cfRule>
  </conditionalFormatting>
  <conditionalFormatting sqref="H37:H52 L37:L52">
    <cfRule type="containsText" dxfId="2071" priority="2081" operator="containsText" text="%">
      <formula>NOT(ISERROR(SEARCH("%",H37)))</formula>
    </cfRule>
  </conditionalFormatting>
  <conditionalFormatting sqref="H37:H52 L37:L52">
    <cfRule type="containsText" dxfId="2070" priority="2080" operator="containsText" text="%">
      <formula>NOT(ISERROR(SEARCH("%",H37)))</formula>
    </cfRule>
  </conditionalFormatting>
  <conditionalFormatting sqref="H37:H52 L37:L52">
    <cfRule type="containsText" dxfId="2069" priority="2079" operator="containsText" text="%">
      <formula>NOT(ISERROR(SEARCH("%",H37)))</formula>
    </cfRule>
  </conditionalFormatting>
  <conditionalFormatting sqref="H37:H52 L37:L52">
    <cfRule type="containsText" dxfId="2068" priority="2076" operator="containsText" text="%">
      <formula>NOT(ISERROR(SEARCH("%",H37)))</formula>
    </cfRule>
  </conditionalFormatting>
  <conditionalFormatting sqref="H37:H52 L37:L52">
    <cfRule type="containsText" dxfId="2067" priority="2075" operator="containsText" text="%">
      <formula>NOT(ISERROR(SEARCH("%",H37)))</formula>
    </cfRule>
  </conditionalFormatting>
  <conditionalFormatting sqref="H37:H52 L37:L52">
    <cfRule type="containsText" dxfId="2066" priority="2074" operator="containsText" text="%">
      <formula>NOT(ISERROR(SEARCH("%",H37)))</formula>
    </cfRule>
  </conditionalFormatting>
  <conditionalFormatting sqref="H37:H52 L37:L52">
    <cfRule type="containsText" dxfId="2065" priority="2072" operator="containsText" text="%">
      <formula>NOT(ISERROR(SEARCH("%",H37)))</formula>
    </cfRule>
  </conditionalFormatting>
  <conditionalFormatting sqref="H37:H52 L37:L52">
    <cfRule type="containsText" dxfId="2064" priority="2070" operator="containsText" text="%">
      <formula>NOT(ISERROR(SEARCH("%",H37)))</formula>
    </cfRule>
  </conditionalFormatting>
  <conditionalFormatting sqref="H37:H52 L37:L52">
    <cfRule type="containsText" dxfId="2063" priority="2069" operator="containsText" text="%">
      <formula>NOT(ISERROR(SEARCH("%",H37)))</formula>
    </cfRule>
  </conditionalFormatting>
  <conditionalFormatting sqref="H37:H52 L37:L52">
    <cfRule type="containsText" dxfId="2062" priority="2068" operator="containsText" text="%">
      <formula>NOT(ISERROR(SEARCH("%",H37)))</formula>
    </cfRule>
  </conditionalFormatting>
  <conditionalFormatting sqref="H37:H52 L37:L52">
    <cfRule type="containsText" dxfId="2061" priority="2067" operator="containsText" text="%">
      <formula>NOT(ISERROR(SEARCH("%",H37)))</formula>
    </cfRule>
  </conditionalFormatting>
  <conditionalFormatting sqref="H37:H52 L37:L52">
    <cfRule type="containsText" dxfId="2060" priority="2066" operator="containsText" text="%">
      <formula>NOT(ISERROR(SEARCH("%",H37)))</formula>
    </cfRule>
  </conditionalFormatting>
  <conditionalFormatting sqref="H37:H52 L37:L52">
    <cfRule type="containsText" dxfId="2059" priority="2065" operator="containsText" text="%">
      <formula>NOT(ISERROR(SEARCH("%",H37)))</formula>
    </cfRule>
  </conditionalFormatting>
  <conditionalFormatting sqref="H37:H52 L37:L52">
    <cfRule type="containsText" dxfId="2058" priority="2064" operator="containsText" text="%">
      <formula>NOT(ISERROR(SEARCH("%",H37)))</formula>
    </cfRule>
  </conditionalFormatting>
  <conditionalFormatting sqref="H37:H52 L37:L52">
    <cfRule type="containsText" dxfId="2057" priority="2063" operator="containsText" text="%">
      <formula>NOT(ISERROR(SEARCH("%",H37)))</formula>
    </cfRule>
  </conditionalFormatting>
  <conditionalFormatting sqref="H37:H52 L37:L52">
    <cfRule type="containsText" dxfId="2056" priority="2062" operator="containsText" text="%">
      <formula>NOT(ISERROR(SEARCH("%",H37)))</formula>
    </cfRule>
  </conditionalFormatting>
  <conditionalFormatting sqref="H37:H52 L37:L52">
    <cfRule type="containsText" dxfId="2055" priority="2061" operator="containsText" text="%">
      <formula>NOT(ISERROR(SEARCH("%",H37)))</formula>
    </cfRule>
  </conditionalFormatting>
  <conditionalFormatting sqref="H38 H48 H50 H52 L38 L48 L50 L52 H40 L40 H42 L42 H44 L44 H46 L46">
    <cfRule type="containsText" dxfId="2054" priority="2060" operator="containsText" text="%">
      <formula>NOT(ISERROR(SEARCH("%",H38)))</formula>
    </cfRule>
  </conditionalFormatting>
  <conditionalFormatting sqref="H38 H48 H50 H52 L38 L48 L50 L52 H40 L40 H42 L42 H44 L44 H46 L46">
    <cfRule type="containsText" dxfId="2053" priority="2059" operator="containsText" text="%">
      <formula>NOT(ISERROR(SEARCH("%",H38)))</formula>
    </cfRule>
  </conditionalFormatting>
  <conditionalFormatting sqref="H38 H48 H50 H52 L38 L48 L50 L52 H40 L40 H42 L42 H44 L44 H46 L46">
    <cfRule type="containsText" dxfId="2052" priority="2058" operator="containsText" text="%">
      <formula>NOT(ISERROR(SEARCH("%",H38)))</formula>
    </cfRule>
  </conditionalFormatting>
  <conditionalFormatting sqref="H38 H48 H50 H52 L38 L48 L50 L52 H40 L40 H42 L42 H44 L44 H46 L46">
    <cfRule type="containsText" dxfId="2051" priority="2057" operator="containsText" text="%">
      <formula>NOT(ISERROR(SEARCH("%",H38)))</formula>
    </cfRule>
  </conditionalFormatting>
  <conditionalFormatting sqref="H37:H52 L37:L52">
    <cfRule type="containsText" dxfId="2050" priority="2056" operator="containsText" text="%">
      <formula>NOT(ISERROR(SEARCH("%",H37)))</formula>
    </cfRule>
  </conditionalFormatting>
  <conditionalFormatting sqref="H37:H52 L37:L52">
    <cfRule type="containsText" dxfId="2049" priority="2055" operator="containsText" text="%">
      <formula>NOT(ISERROR(SEARCH("%",H37)))</formula>
    </cfRule>
  </conditionalFormatting>
  <conditionalFormatting sqref="H37:H52 L37:L52">
    <cfRule type="containsText" dxfId="2048" priority="2054" operator="containsText" text="%">
      <formula>NOT(ISERROR(SEARCH("%",H37)))</formula>
    </cfRule>
  </conditionalFormatting>
  <conditionalFormatting sqref="H37:H52 L37:L52">
    <cfRule type="containsText" dxfId="2047" priority="2053" operator="containsText" text="%">
      <formula>NOT(ISERROR(SEARCH("%",H37)))</formula>
    </cfRule>
  </conditionalFormatting>
  <conditionalFormatting sqref="H37:H52 L37:L52">
    <cfRule type="containsText" dxfId="2046" priority="2052" operator="containsText" text="%">
      <formula>NOT(ISERROR(SEARCH("%",H37)))</formula>
    </cfRule>
  </conditionalFormatting>
  <conditionalFormatting sqref="H37:H52 L37:L52">
    <cfRule type="containsText" dxfId="2045" priority="2051" operator="containsText" text="%">
      <formula>NOT(ISERROR(SEARCH("%",H37)))</formula>
    </cfRule>
  </conditionalFormatting>
  <conditionalFormatting sqref="H37:H52 L37:L52">
    <cfRule type="containsText" dxfId="2044" priority="2050" operator="containsText" text="%">
      <formula>NOT(ISERROR(SEARCH("%",H37)))</formula>
    </cfRule>
  </conditionalFormatting>
  <conditionalFormatting sqref="H37:H52 L37:L52">
    <cfRule type="containsText" dxfId="2043" priority="2049" operator="containsText" text="%">
      <formula>NOT(ISERROR(SEARCH("%",H37)))</formula>
    </cfRule>
  </conditionalFormatting>
  <conditionalFormatting sqref="H37:H52 L37:L52">
    <cfRule type="containsText" dxfId="2042" priority="2048" operator="containsText" text="%">
      <formula>NOT(ISERROR(SEARCH("%",H37)))</formula>
    </cfRule>
  </conditionalFormatting>
  <conditionalFormatting sqref="H37:H52 L37:L52">
    <cfRule type="containsText" dxfId="2041" priority="2047" operator="containsText" text="%">
      <formula>NOT(ISERROR(SEARCH("%",H37)))</formula>
    </cfRule>
  </conditionalFormatting>
  <conditionalFormatting sqref="H38 H48 H50 H52 L38 L48 L50 L52 H40 L40 H42 L42 H44 L44 H46 L46">
    <cfRule type="containsText" dxfId="2040" priority="2046" operator="containsText" text="%">
      <formula>NOT(ISERROR(SEARCH("%",H38)))</formula>
    </cfRule>
  </conditionalFormatting>
  <conditionalFormatting sqref="H38 H48 H50 H52 L38 L48 L50 L52 H40 L40 H42 L42 H44 L44 H46 L46">
    <cfRule type="containsText" dxfId="2039" priority="2045" operator="containsText" text="%">
      <formula>NOT(ISERROR(SEARCH("%",H38)))</formula>
    </cfRule>
  </conditionalFormatting>
  <conditionalFormatting sqref="H38 H48 H50 H52 L38 L48 L50 L52 H40 L40 H42 L42 H44 L44 H46 L46">
    <cfRule type="containsText" dxfId="2038" priority="2044" operator="containsText" text="%">
      <formula>NOT(ISERROR(SEARCH("%",H38)))</formula>
    </cfRule>
  </conditionalFormatting>
  <conditionalFormatting sqref="H38 H48 H50 H52 L38 L48 L50 L52 H40 L40 H42 L42 H44 L44 H46 L46">
    <cfRule type="containsText" dxfId="2037" priority="2043" operator="containsText" text="%">
      <formula>NOT(ISERROR(SEARCH("%",H38)))</formula>
    </cfRule>
  </conditionalFormatting>
  <conditionalFormatting sqref="H37 H39 L37 L39 H41 L41 H43 L43 H45 L45 H47 L47 H49 L49 H51 L51">
    <cfRule type="containsText" dxfId="2036" priority="2042" operator="containsText" text="%">
      <formula>NOT(ISERROR(SEARCH("%",H37)))</formula>
    </cfRule>
  </conditionalFormatting>
  <conditionalFormatting sqref="H37 H39 L37 L39 H41 L41 H43 L43 H45 L45 H47 L47 H49 L49 H51 L51">
    <cfRule type="containsText" dxfId="2035" priority="2041" operator="containsText" text="%">
      <formula>NOT(ISERROR(SEARCH("%",H37)))</formula>
    </cfRule>
  </conditionalFormatting>
  <conditionalFormatting sqref="H37 H39 L37 L39 H41 L41 H43 L43 H45 L45 H47 L47 H49 L49 H51 L51">
    <cfRule type="containsText" dxfId="2034" priority="2040" operator="containsText" text="%">
      <formula>NOT(ISERROR(SEARCH("%",H37)))</formula>
    </cfRule>
  </conditionalFormatting>
  <conditionalFormatting sqref="H37 H39 L37 L39 H41 L41 H43 L43 H45 L45 H47 L47 H49 L49 H51 L51">
    <cfRule type="containsText" dxfId="2033" priority="2039" operator="containsText" text="%">
      <formula>NOT(ISERROR(SEARCH("%",H37)))</formula>
    </cfRule>
  </conditionalFormatting>
  <conditionalFormatting sqref="H37 H39 L37 L39 H41 L41 H43 L43 H45 L45 H47 L47 H49 L49 H51 L51">
    <cfRule type="containsText" dxfId="2032" priority="2038" operator="containsText" text="%">
      <formula>NOT(ISERROR(SEARCH("%",H37)))</formula>
    </cfRule>
  </conditionalFormatting>
  <conditionalFormatting sqref="H37 H39 L37 L39 H41 L41 H43 L43 H45 L45 H47 L47 H49 L49 H51 L51">
    <cfRule type="containsText" dxfId="2031" priority="2037" operator="containsText" text="%">
      <formula>NOT(ISERROR(SEARCH("%",H37)))</formula>
    </cfRule>
  </conditionalFormatting>
  <conditionalFormatting sqref="H38 H48 H50 H52 L38 L48 L50 L52 H40 L40 H42 L42 H44 L44 H46 L46">
    <cfRule type="containsText" dxfId="2030" priority="2036" operator="containsText" text="%">
      <formula>NOT(ISERROR(SEARCH("%",H38)))</formula>
    </cfRule>
  </conditionalFormatting>
  <conditionalFormatting sqref="H38 H48 H50 H52 L38 L48 L50 L52 H40 L40 H42 L42 H44 L44 H46 L46">
    <cfRule type="containsText" dxfId="2029" priority="2035" operator="containsText" text="%">
      <formula>NOT(ISERROR(SEARCH("%",H38)))</formula>
    </cfRule>
  </conditionalFormatting>
  <conditionalFormatting sqref="H38 H48 H50 H52 L38 L48 L50 L52 H40 L40 H42 L42 H44 L44 H46 L46">
    <cfRule type="containsText" dxfId="2028" priority="2034" operator="containsText" text="%">
      <formula>NOT(ISERROR(SEARCH("%",H38)))</formula>
    </cfRule>
  </conditionalFormatting>
  <conditionalFormatting sqref="H38 H48 H50 H52 L38 L48 L50 L52 H40 L40 H42 L42 H44 L44 H46 L46">
    <cfRule type="containsText" dxfId="2027" priority="2033" operator="containsText" text="%">
      <formula>NOT(ISERROR(SEARCH("%",H38)))</formula>
    </cfRule>
  </conditionalFormatting>
  <conditionalFormatting sqref="H38 H48 H50 H52 L38 L48 L50 L52 H40 L40 H42 L42 H44 L44 H46 L46">
    <cfRule type="containsText" dxfId="2026" priority="2032" operator="containsText" text="%">
      <formula>NOT(ISERROR(SEARCH("%",H38)))</formula>
    </cfRule>
  </conditionalFormatting>
  <conditionalFormatting sqref="H38 H48 H50 H52 L38 L48 L50 L52 H40 L40 H42 L42 H44 L44 H46 L46">
    <cfRule type="containsText" dxfId="2025" priority="2031" operator="containsText" text="%">
      <formula>NOT(ISERROR(SEARCH("%",H38)))</formula>
    </cfRule>
  </conditionalFormatting>
  <conditionalFormatting sqref="H38 H48 H50 H52 L38 L48 L50 L52 H40 L40 H42 L42 H44 L44 H46 L46">
    <cfRule type="containsText" dxfId="2024" priority="2030" operator="containsText" text="%">
      <formula>NOT(ISERROR(SEARCH("%",H38)))</formula>
    </cfRule>
  </conditionalFormatting>
  <conditionalFormatting sqref="H38 H48 H50 H52 L38 L48 L50 L52 H40 L40 H42 L42 H44 L44 H46 L46">
    <cfRule type="containsText" dxfId="2023" priority="2029" operator="containsText" text="%">
      <formula>NOT(ISERROR(SEARCH("%",H38)))</formula>
    </cfRule>
  </conditionalFormatting>
  <conditionalFormatting sqref="H38 H48 H50 H52 L38 L48 L50 L52 H40 L40 H42 L42 H44 L44 H46 L46">
    <cfRule type="containsText" dxfId="2022" priority="2028" operator="containsText" text="%">
      <formula>NOT(ISERROR(SEARCH("%",H38)))</formula>
    </cfRule>
  </conditionalFormatting>
  <conditionalFormatting sqref="H38 H48 H50 H52 L38 L48 L50 L52 H40 L40 H42 L42 H44 L44 H46 L46">
    <cfRule type="containsText" dxfId="2021" priority="2027" operator="containsText" text="%">
      <formula>NOT(ISERROR(SEARCH("%",H38)))</formula>
    </cfRule>
  </conditionalFormatting>
  <conditionalFormatting sqref="H38 H48 H50 H52 L38 L48 L50 L52 H40 L40 H42 L42 H44 L44 H46 L46">
    <cfRule type="containsText" dxfId="2020" priority="2013" operator="containsText" text="%">
      <formula>NOT(ISERROR(SEARCH("%",H38)))</formula>
    </cfRule>
  </conditionalFormatting>
  <conditionalFormatting sqref="H38 H48 H50 H52 L38 L48 L50 L52 H40 L40 H42 L42 H44 L44 H46 L46">
    <cfRule type="containsText" dxfId="2019" priority="2012" operator="containsText" text="%">
      <formula>NOT(ISERROR(SEARCH("%",H38)))</formula>
    </cfRule>
  </conditionalFormatting>
  <conditionalFormatting sqref="H38 H48 H50 H52 L38 L48 L50 L52 H40 L40 H42 L42 H44 L44 H46 L46">
    <cfRule type="containsText" dxfId="2018" priority="2008" operator="containsText" text="%">
      <formula>NOT(ISERROR(SEARCH("%",H38)))</formula>
    </cfRule>
  </conditionalFormatting>
  <conditionalFormatting sqref="H38 H48 H50 H52 L38 L48 L50 L52 H40 L40 H42 L42 H44 L44 H46 L46">
    <cfRule type="containsText" dxfId="2017" priority="2026" operator="containsText" text="%">
      <formula>NOT(ISERROR(SEARCH("%",H38)))</formula>
    </cfRule>
  </conditionalFormatting>
  <conditionalFormatting sqref="H38 H48 H50 H52 L38 L48 L50 L52 H40 L40 H42 L42 H44 L44 H46 L46">
    <cfRule type="containsText" dxfId="2016" priority="2006" operator="containsText" text="%">
      <formula>NOT(ISERROR(SEARCH("%",H38)))</formula>
    </cfRule>
  </conditionalFormatting>
  <conditionalFormatting sqref="H38 H48 H50 H52 L38 L48 L50 L52 H40 L40 H42 L42 H44 L44 H46 L46">
    <cfRule type="containsText" dxfId="2015" priority="2025" operator="containsText" text="%">
      <formula>NOT(ISERROR(SEARCH("%",H38)))</formula>
    </cfRule>
  </conditionalFormatting>
  <conditionalFormatting sqref="H38 H48 H50 H52 L38 L48 L50 L52 H40 L40 H42 L42 H44 L44 H46 L46">
    <cfRule type="containsText" dxfId="2014" priority="2024" operator="containsText" text="%">
      <formula>NOT(ISERROR(SEARCH("%",H38)))</formula>
    </cfRule>
  </conditionalFormatting>
  <conditionalFormatting sqref="H38 H48 H50 H52 L38 L48 L50 L52 H40 L40 H42 L42 H44 L44 H46 L46">
    <cfRule type="containsText" dxfId="2013" priority="2023" operator="containsText" text="%">
      <formula>NOT(ISERROR(SEARCH("%",H38)))</formula>
    </cfRule>
  </conditionalFormatting>
  <conditionalFormatting sqref="H38 H48 H50 H52 L38 L48 L50 L52 H40 L40 H42 L42 H44 L44 H46 L46">
    <cfRule type="containsText" dxfId="2012" priority="2022" operator="containsText" text="%">
      <formula>NOT(ISERROR(SEARCH("%",H38)))</formula>
    </cfRule>
  </conditionalFormatting>
  <conditionalFormatting sqref="H38 H48 H50 H52 L38 L48 L50 L52 H40 L40 H42 L42 H44 L44 H46 L46">
    <cfRule type="containsText" dxfId="2011" priority="2021" operator="containsText" text="%">
      <formula>NOT(ISERROR(SEARCH("%",H38)))</formula>
    </cfRule>
  </conditionalFormatting>
  <conditionalFormatting sqref="H38 H48 H50 H52 L38 L48 L50 L52 H40 L40 H42 L42 H44 L44 H46 L46">
    <cfRule type="containsText" dxfId="2010" priority="2020" operator="containsText" text="%">
      <formula>NOT(ISERROR(SEARCH("%",H38)))</formula>
    </cfRule>
  </conditionalFormatting>
  <conditionalFormatting sqref="H38 H48 H50 H52 L38 L48 L50 L52 H40 L40 H42 L42 H44 L44 H46 L46">
    <cfRule type="containsText" dxfId="2009" priority="2019" operator="containsText" text="%">
      <formula>NOT(ISERROR(SEARCH("%",H38)))</formula>
    </cfRule>
  </conditionalFormatting>
  <conditionalFormatting sqref="H38 H48 H50 H52 L38 L48 L50 L52 H40 L40 H42 L42 H44 L44 H46 L46">
    <cfRule type="containsText" dxfId="2008" priority="2018" operator="containsText" text="%">
      <formula>NOT(ISERROR(SEARCH("%",H38)))</formula>
    </cfRule>
  </conditionalFormatting>
  <conditionalFormatting sqref="H38 H48 H50 H52 L38 L48 L50 L52 H40 L40 H42 L42 H44 L44 H46 L46">
    <cfRule type="containsText" dxfId="2007" priority="2017" operator="containsText" text="%">
      <formula>NOT(ISERROR(SEARCH("%",H38)))</formula>
    </cfRule>
  </conditionalFormatting>
  <conditionalFormatting sqref="H38 H48 H50 H52 L38 L48 L50 L52 H40 L40 H42 L42 H44 L44 H46 L46">
    <cfRule type="containsText" dxfId="2006" priority="2016" operator="containsText" text="%">
      <formula>NOT(ISERROR(SEARCH("%",H38)))</formula>
    </cfRule>
  </conditionalFormatting>
  <conditionalFormatting sqref="H38 H48 H50 H52 L38 L48 L50 L52 H40 L40 H42 L42 H44 L44 H46 L46">
    <cfRule type="containsText" dxfId="2005" priority="2015" operator="containsText" text="%">
      <formula>NOT(ISERROR(SEARCH("%",H38)))</formula>
    </cfRule>
  </conditionalFormatting>
  <conditionalFormatting sqref="H38 H48 H50 H52 L38 L48 L50 L52 H40 L40 H42 L42 H44 L44 H46 L46">
    <cfRule type="containsText" dxfId="2004" priority="2014" operator="containsText" text="%">
      <formula>NOT(ISERROR(SEARCH("%",H38)))</formula>
    </cfRule>
  </conditionalFormatting>
  <conditionalFormatting sqref="H38 H48 H50 H52 L38 L48 L50 L52 H40 L40 H42 L42 H44 L44 H46 L46">
    <cfRule type="containsText" dxfId="2003" priority="2011" operator="containsText" text="%">
      <formula>NOT(ISERROR(SEARCH("%",H38)))</formula>
    </cfRule>
  </conditionalFormatting>
  <conditionalFormatting sqref="H38 H48 H50 H52 L38 L48 L50 L52 H40 L40 H42 L42 H44 L44 H46 L46">
    <cfRule type="containsText" dxfId="2002" priority="2010" operator="containsText" text="%">
      <formula>NOT(ISERROR(SEARCH("%",H38)))</formula>
    </cfRule>
  </conditionalFormatting>
  <conditionalFormatting sqref="H38 H48 H50 H52 L38 L48 L50 L52 H40 L40 H42 L42 H44 L44 H46 L46">
    <cfRule type="containsText" dxfId="2001" priority="2009" operator="containsText" text="%">
      <formula>NOT(ISERROR(SEARCH("%",H38)))</formula>
    </cfRule>
  </conditionalFormatting>
  <conditionalFormatting sqref="H38 H48 H50 H52 L38 L48 L50 L52 H40 L40 H42 L42 H44 L44 H46 L46">
    <cfRule type="containsText" dxfId="2000" priority="2007" operator="containsText" text="%">
      <formula>NOT(ISERROR(SEARCH("%",H38)))</formula>
    </cfRule>
  </conditionalFormatting>
  <conditionalFormatting sqref="H38 H48 H50 H52 L38 L48 L50 L52 H40 L40 H42 L42 H44 L44 H46 L46">
    <cfRule type="containsText" dxfId="1999" priority="2005" operator="containsText" text="%">
      <formula>NOT(ISERROR(SEARCH("%",H38)))</formula>
    </cfRule>
  </conditionalFormatting>
  <conditionalFormatting sqref="H38 H48 H50 H52 L38 L48 L50 L52 H40 L40 H42 L42 H44 L44 H46 L46">
    <cfRule type="containsText" dxfId="1998" priority="2004" operator="containsText" text="%">
      <formula>NOT(ISERROR(SEARCH("%",H38)))</formula>
    </cfRule>
  </conditionalFormatting>
  <conditionalFormatting sqref="H38 H48 H50 H52 L38 L48 L50 L52 H40 L40 H42 L42 H44 L44 H46 L46">
    <cfRule type="containsText" dxfId="1997" priority="2003" operator="containsText" text="%">
      <formula>NOT(ISERROR(SEARCH("%",H38)))</formula>
    </cfRule>
  </conditionalFormatting>
  <conditionalFormatting sqref="H38 H48 H50 H52 L38 L48 L50 L52 H40 L40 H42 L42 H44 L44 H46 L46">
    <cfRule type="containsText" dxfId="1996" priority="2002" operator="containsText" text="%">
      <formula>NOT(ISERROR(SEARCH("%",H38)))</formula>
    </cfRule>
  </conditionalFormatting>
  <conditionalFormatting sqref="H38 H48 H50 H52 L38 L48 L50 L52 H40 L40 H42 L42 H44 L44 H46 L46">
    <cfRule type="containsText" dxfId="1995" priority="2001" operator="containsText" text="%">
      <formula>NOT(ISERROR(SEARCH("%",H38)))</formula>
    </cfRule>
  </conditionalFormatting>
  <conditionalFormatting sqref="H38 H48 H50 H52 L38 L48 L50 L52 H40 L40 H42 L42 H44 L44 H46 L46">
    <cfRule type="containsText" dxfId="1994" priority="2000" operator="containsText" text="%">
      <formula>NOT(ISERROR(SEARCH("%",H38)))</formula>
    </cfRule>
  </conditionalFormatting>
  <conditionalFormatting sqref="H38 H48 H50 H52 L38 L48 L50 L52 H40 L40 H42 L42 H44 L44 H46 L46">
    <cfRule type="containsText" dxfId="1993" priority="1999" operator="containsText" text="%">
      <formula>NOT(ISERROR(SEARCH("%",H38)))</formula>
    </cfRule>
  </conditionalFormatting>
  <conditionalFormatting sqref="H38 H48 H50 H52 L38 L48 L50 L52 H40 L40 H42 L42 H44 L44 H46 L46">
    <cfRule type="containsText" dxfId="1992" priority="1998" operator="containsText" text="%">
      <formula>NOT(ISERROR(SEARCH("%",H38)))</formula>
    </cfRule>
  </conditionalFormatting>
  <conditionalFormatting sqref="H38 H48 H50 H52 L38 L48 L50 L52 H40 L40 H42 L42 H44 L44 H46 L46">
    <cfRule type="containsText" dxfId="1991" priority="1997" operator="containsText" text="%">
      <formula>NOT(ISERROR(SEARCH("%",H38)))</formula>
    </cfRule>
  </conditionalFormatting>
  <conditionalFormatting sqref="H38 H48 H50 H52 L38 L48 L50 L52 H40 L40 H42 L42 H44 L44 H46 L46">
    <cfRule type="containsText" dxfId="1990" priority="1996" operator="containsText" text="%">
      <formula>NOT(ISERROR(SEARCH("%",H38)))</formula>
    </cfRule>
  </conditionalFormatting>
  <conditionalFormatting sqref="H38 H48 H50 H52 L38 L48 L50 L52 H40 L40 H42 L42 H44 L44 H46 L46">
    <cfRule type="containsText" dxfId="1989" priority="1995" operator="containsText" text="%">
      <formula>NOT(ISERROR(SEARCH("%",H38)))</formula>
    </cfRule>
  </conditionalFormatting>
  <conditionalFormatting sqref="H38 H48 H50 H52 L38 L48 L50 L52 H40 L40 H42 L42 H44 L44 H46 L46">
    <cfRule type="containsText" dxfId="1988" priority="1994" operator="containsText" text="%">
      <formula>NOT(ISERROR(SEARCH("%",H38)))</formula>
    </cfRule>
  </conditionalFormatting>
  <conditionalFormatting sqref="H38 H48 H50 H52 L38 L48 L50 L52 H40 L40 H42 L42 H44 L44 H46 L46">
    <cfRule type="containsText" dxfId="1987" priority="1993" operator="containsText" text="%">
      <formula>NOT(ISERROR(SEARCH("%",H38)))</formula>
    </cfRule>
  </conditionalFormatting>
  <conditionalFormatting sqref="H38 H48 H50 H52 L38 L48 L50 L52 H40 L40 H42 L42 H44 L44 H46 L46">
    <cfRule type="containsText" dxfId="1986" priority="1992" operator="containsText" text="%">
      <formula>NOT(ISERROR(SEARCH("%",H38)))</formula>
    </cfRule>
  </conditionalFormatting>
  <conditionalFormatting sqref="H38 H48 H50 H52 L38 L48 L50 L52 H40 L40 H42 L42 H44 L44 H46 L46">
    <cfRule type="containsText" dxfId="1985" priority="1991" operator="containsText" text="%">
      <formula>NOT(ISERROR(SEARCH("%",H38)))</formula>
    </cfRule>
  </conditionalFormatting>
  <conditionalFormatting sqref="H38 H48 H50 H52 L38 L48 L50 L52 H40 L40 H42 L42 H44 L44 H46 L46">
    <cfRule type="containsText" dxfId="1984" priority="1990" operator="containsText" text="%">
      <formula>NOT(ISERROR(SEARCH("%",H38)))</formula>
    </cfRule>
  </conditionalFormatting>
  <conditionalFormatting sqref="H38 H48 H50 H52 L38 L48 L50 L52 H40 L40 H42 L42 H44 L44 H46 L46">
    <cfRule type="containsText" dxfId="1983" priority="1989" operator="containsText" text="%">
      <formula>NOT(ISERROR(SEARCH("%",H38)))</formula>
    </cfRule>
  </conditionalFormatting>
  <conditionalFormatting sqref="H38 H48 H50 H52 L38 L48 L50 L52 H40 L40 H42 L42 H44 L44 H46 L46">
    <cfRule type="containsText" dxfId="1982" priority="1988" operator="containsText" text="%">
      <formula>NOT(ISERROR(SEARCH("%",H38)))</formula>
    </cfRule>
  </conditionalFormatting>
  <conditionalFormatting sqref="H38 H48 H50 H52 L38 L48 L50 L52 H40 L40 H42 L42 H44 L44 H46 L46">
    <cfRule type="containsText" dxfId="1981" priority="1987" operator="containsText" text="%">
      <formula>NOT(ISERROR(SEARCH("%",H38)))</formula>
    </cfRule>
  </conditionalFormatting>
  <conditionalFormatting sqref="H38 H48 H50 H52 L38 L48 L50 L52 H40 L40 H42 L42 H44 L44 H46 L46">
    <cfRule type="containsText" dxfId="1980" priority="1986" operator="containsText" text="%">
      <formula>NOT(ISERROR(SEARCH("%",H38)))</formula>
    </cfRule>
  </conditionalFormatting>
  <conditionalFormatting sqref="H38 H48 H50 H52 L38 L48 L50 L52 H40 L40 H42 L42 H44 L44 H46 L46">
    <cfRule type="containsText" dxfId="1979" priority="1985" operator="containsText" text="%">
      <formula>NOT(ISERROR(SEARCH("%",H38)))</formula>
    </cfRule>
  </conditionalFormatting>
  <conditionalFormatting sqref="H38 H48 H50 H52 L38 L48 L50 L52 H40 L40 H42 L42 H44 L44 H46 L46">
    <cfRule type="containsText" dxfId="1978" priority="1984" operator="containsText" text="%">
      <formula>NOT(ISERROR(SEARCH("%",H38)))</formula>
    </cfRule>
  </conditionalFormatting>
  <conditionalFormatting sqref="H38 H48 H50 H52 L38 L48 L50 L52 H40 L40 H42 L42 H44 L44 H46 L46">
    <cfRule type="containsText" dxfId="1977" priority="1983" operator="containsText" text="%">
      <formula>NOT(ISERROR(SEARCH("%",H38)))</formula>
    </cfRule>
  </conditionalFormatting>
  <conditionalFormatting sqref="H38 H48 H50 H52 L38 L48 L50 L52 H40 L40 H42 L42 H44 L44 H46 L46">
    <cfRule type="containsText" dxfId="1976" priority="1982" operator="containsText" text="%">
      <formula>NOT(ISERROR(SEARCH("%",H38)))</formula>
    </cfRule>
  </conditionalFormatting>
  <conditionalFormatting sqref="H38 H48 H50 H52 L38 L48 L50 L52 H40 L40 H42 L42 H44 L44 H46 L46">
    <cfRule type="containsText" dxfId="1975" priority="1981" operator="containsText" text="%">
      <formula>NOT(ISERROR(SEARCH("%",H38)))</formula>
    </cfRule>
  </conditionalFormatting>
  <conditionalFormatting sqref="H38 H48 H50 H52 L38 L48 L50 L52 H40 L40 H42 L42 H44 L44 H46 L46">
    <cfRule type="containsText" dxfId="1974" priority="1980" operator="containsText" text="%">
      <formula>NOT(ISERROR(SEARCH("%",H38)))</formula>
    </cfRule>
  </conditionalFormatting>
  <conditionalFormatting sqref="H38 H48 H50 H52 L38 L48 L50 L52 H40 L40 H42 L42 H44 L44 H46 L46">
    <cfRule type="containsText" dxfId="1973" priority="1979" operator="containsText" text="%">
      <formula>NOT(ISERROR(SEARCH("%",H38)))</formula>
    </cfRule>
  </conditionalFormatting>
  <conditionalFormatting sqref="H38 H48 H50 H52 L38 L48 L50 L52 H40 L40 H42 L42 H44 L44 H46 L46">
    <cfRule type="containsText" dxfId="1972" priority="1978" operator="containsText" text="%">
      <formula>NOT(ISERROR(SEARCH("%",H38)))</formula>
    </cfRule>
  </conditionalFormatting>
  <conditionalFormatting sqref="I37:I52 M37:M52">
    <cfRule type="containsText" dxfId="1971" priority="1977" operator="containsText" text="%">
      <formula>NOT(ISERROR(SEARCH("%",I37)))</formula>
    </cfRule>
  </conditionalFormatting>
  <conditionalFormatting sqref="I37:I52 M37:M52">
    <cfRule type="containsText" dxfId="1970" priority="1976" operator="containsText" text="%">
      <formula>NOT(ISERROR(SEARCH("%",I37)))</formula>
    </cfRule>
  </conditionalFormatting>
  <conditionalFormatting sqref="I37:I52 M37:M52">
    <cfRule type="containsText" dxfId="1969" priority="1975" operator="containsText" text="%">
      <formula>NOT(ISERROR(SEARCH("%",I37)))</formula>
    </cfRule>
  </conditionalFormatting>
  <conditionalFormatting sqref="I37:I52 M37:M52">
    <cfRule type="containsText" dxfId="1968" priority="1974" operator="containsText" text="%">
      <formula>NOT(ISERROR(SEARCH("%",I37)))</formula>
    </cfRule>
  </conditionalFormatting>
  <conditionalFormatting sqref="I37:I52 M37:M52">
    <cfRule type="containsText" dxfId="1967" priority="1973" operator="containsText" text="%">
      <formula>NOT(ISERROR(SEARCH("%",I37)))</formula>
    </cfRule>
  </conditionalFormatting>
  <conditionalFormatting sqref="I37:I52 M37:M52">
    <cfRule type="containsText" dxfId="1966" priority="1972" operator="containsText" text="%">
      <formula>NOT(ISERROR(SEARCH("%",I37)))</formula>
    </cfRule>
  </conditionalFormatting>
  <conditionalFormatting sqref="I37:I52 M37:M52">
    <cfRule type="containsText" dxfId="1965" priority="1956" operator="containsText" text="%">
      <formula>NOT(ISERROR(SEARCH("%",I37)))</formula>
    </cfRule>
  </conditionalFormatting>
  <conditionalFormatting sqref="I37:I52 M37:M52">
    <cfRule type="containsText" dxfId="1964" priority="1955" operator="containsText" text="%">
      <formula>NOT(ISERROR(SEARCH("%",I37)))</formula>
    </cfRule>
  </conditionalFormatting>
  <conditionalFormatting sqref="I37:I52 M37:M52">
    <cfRule type="containsText" dxfId="1963" priority="1951" operator="containsText" text="%">
      <formula>NOT(ISERROR(SEARCH("%",I37)))</formula>
    </cfRule>
  </conditionalFormatting>
  <conditionalFormatting sqref="I37:I52 M37:M52">
    <cfRule type="containsText" dxfId="1962" priority="1971" operator="containsText" text="%">
      <formula>NOT(ISERROR(SEARCH("%",I37)))</formula>
    </cfRule>
  </conditionalFormatting>
  <conditionalFormatting sqref="I37 I39 M37 M39 I41 M41 I43 M43 I45 M45 I47 M47 I49 M49 I51 M51">
    <cfRule type="containsText" dxfId="1961" priority="1970" operator="containsText" text="%">
      <formula>NOT(ISERROR(SEARCH("%",I37)))</formula>
    </cfRule>
  </conditionalFormatting>
  <conditionalFormatting sqref="I37 I39 M37 M39 I41 M41 I43 M43 I45 M45 I47 M47 I49 M49 I51 M51">
    <cfRule type="containsText" dxfId="1960" priority="1969" operator="containsText" text="%">
      <formula>NOT(ISERROR(SEARCH("%",I37)))</formula>
    </cfRule>
  </conditionalFormatting>
  <conditionalFormatting sqref="I37:I52 M37:M52">
    <cfRule type="containsText" dxfId="1959" priority="1949" operator="containsText" text="%">
      <formula>NOT(ISERROR(SEARCH("%",I37)))</formula>
    </cfRule>
  </conditionalFormatting>
  <conditionalFormatting sqref="I37:I52 M37:M52">
    <cfRule type="containsText" dxfId="1958" priority="1968" operator="containsText" text="%">
      <formula>NOT(ISERROR(SEARCH("%",I37)))</formula>
    </cfRule>
  </conditionalFormatting>
  <conditionalFormatting sqref="I37:I52 M37:M52">
    <cfRule type="containsText" dxfId="1957" priority="1967" operator="containsText" text="%">
      <formula>NOT(ISERROR(SEARCH("%",I37)))</formula>
    </cfRule>
  </conditionalFormatting>
  <conditionalFormatting sqref="I37:I52 M37:M52">
    <cfRule type="containsText" dxfId="1956" priority="1966" operator="containsText" text="%">
      <formula>NOT(ISERROR(SEARCH("%",I37)))</formula>
    </cfRule>
  </conditionalFormatting>
  <conditionalFormatting sqref="I37:I52 M37:M52">
    <cfRule type="containsText" dxfId="1955" priority="1965" operator="containsText" text="%">
      <formula>NOT(ISERROR(SEARCH("%",I37)))</formula>
    </cfRule>
  </conditionalFormatting>
  <conditionalFormatting sqref="I37:I52 M37:M52">
    <cfRule type="containsText" dxfId="1954" priority="1964" operator="containsText" text="%">
      <formula>NOT(ISERROR(SEARCH("%",I37)))</formula>
    </cfRule>
  </conditionalFormatting>
  <conditionalFormatting sqref="I37:I52 M37:M52">
    <cfRule type="containsText" dxfId="1953" priority="1963" operator="containsText" text="%">
      <formula>NOT(ISERROR(SEARCH("%",I37)))</formula>
    </cfRule>
  </conditionalFormatting>
  <conditionalFormatting sqref="I37:I52 M37:M52">
    <cfRule type="containsText" dxfId="1952" priority="1962" operator="containsText" text="%">
      <formula>NOT(ISERROR(SEARCH("%",I37)))</formula>
    </cfRule>
  </conditionalFormatting>
  <conditionalFormatting sqref="I37:I52 M37:M52">
    <cfRule type="containsText" dxfId="1951" priority="1961" operator="containsText" text="%">
      <formula>NOT(ISERROR(SEARCH("%",I37)))</formula>
    </cfRule>
  </conditionalFormatting>
  <conditionalFormatting sqref="I37:I52 M37:M52">
    <cfRule type="containsText" dxfId="1950" priority="1960" operator="containsText" text="%">
      <formula>NOT(ISERROR(SEARCH("%",I37)))</formula>
    </cfRule>
  </conditionalFormatting>
  <conditionalFormatting sqref="I37:I52 M37:M52">
    <cfRule type="containsText" dxfId="1949" priority="1959" operator="containsText" text="%">
      <formula>NOT(ISERROR(SEARCH("%",I37)))</formula>
    </cfRule>
  </conditionalFormatting>
  <conditionalFormatting sqref="I37:I52 M37:M52">
    <cfRule type="containsText" dxfId="1948" priority="1958" operator="containsText" text="%">
      <formula>NOT(ISERROR(SEARCH("%",I37)))</formula>
    </cfRule>
  </conditionalFormatting>
  <conditionalFormatting sqref="I37:I52 M37:M52">
    <cfRule type="containsText" dxfId="1947" priority="1957" operator="containsText" text="%">
      <formula>NOT(ISERROR(SEARCH("%",I37)))</formula>
    </cfRule>
  </conditionalFormatting>
  <conditionalFormatting sqref="I37:I52 M37:M52">
    <cfRule type="containsText" dxfId="1946" priority="1954" operator="containsText" text="%">
      <formula>NOT(ISERROR(SEARCH("%",I37)))</formula>
    </cfRule>
  </conditionalFormatting>
  <conditionalFormatting sqref="I37:I52 M37:M52">
    <cfRule type="containsText" dxfId="1945" priority="1953" operator="containsText" text="%">
      <formula>NOT(ISERROR(SEARCH("%",I37)))</formula>
    </cfRule>
  </conditionalFormatting>
  <conditionalFormatting sqref="I37:I52 M37:M52">
    <cfRule type="containsText" dxfId="1944" priority="1952" operator="containsText" text="%">
      <formula>NOT(ISERROR(SEARCH("%",I37)))</formula>
    </cfRule>
  </conditionalFormatting>
  <conditionalFormatting sqref="I37:I52 M37:M52">
    <cfRule type="containsText" dxfId="1943" priority="1950" operator="containsText" text="%">
      <formula>NOT(ISERROR(SEARCH("%",I37)))</formula>
    </cfRule>
  </conditionalFormatting>
  <conditionalFormatting sqref="I37:I52 M37:M52">
    <cfRule type="containsText" dxfId="1942" priority="1948" operator="containsText" text="%">
      <formula>NOT(ISERROR(SEARCH("%",I37)))</formula>
    </cfRule>
  </conditionalFormatting>
  <conditionalFormatting sqref="I37:I52 M37:M52">
    <cfRule type="containsText" dxfId="1941" priority="1947" operator="containsText" text="%">
      <formula>NOT(ISERROR(SEARCH("%",I37)))</formula>
    </cfRule>
  </conditionalFormatting>
  <conditionalFormatting sqref="I37:I52 M37:M52">
    <cfRule type="containsText" dxfId="1940" priority="1946" operator="containsText" text="%">
      <formula>NOT(ISERROR(SEARCH("%",I37)))</formula>
    </cfRule>
  </conditionalFormatting>
  <conditionalFormatting sqref="I37:I52 M37:M52">
    <cfRule type="containsText" dxfId="1939" priority="1945" operator="containsText" text="%">
      <formula>NOT(ISERROR(SEARCH("%",I37)))</formula>
    </cfRule>
  </conditionalFormatting>
  <conditionalFormatting sqref="I37:I52 M37:M52">
    <cfRule type="containsText" dxfId="1938" priority="1944" operator="containsText" text="%">
      <formula>NOT(ISERROR(SEARCH("%",I37)))</formula>
    </cfRule>
  </conditionalFormatting>
  <conditionalFormatting sqref="I37:I52 M37:M52">
    <cfRule type="containsText" dxfId="1937" priority="1943" operator="containsText" text="%">
      <formula>NOT(ISERROR(SEARCH("%",I37)))</formula>
    </cfRule>
  </conditionalFormatting>
  <conditionalFormatting sqref="I37:I52 M37:M52">
    <cfRule type="containsText" dxfId="1936" priority="1942" operator="containsText" text="%">
      <formula>NOT(ISERROR(SEARCH("%",I37)))</formula>
    </cfRule>
  </conditionalFormatting>
  <conditionalFormatting sqref="I37:I52 M37:M52">
    <cfRule type="containsText" dxfId="1935" priority="1941" operator="containsText" text="%">
      <formula>NOT(ISERROR(SEARCH("%",I37)))</formula>
    </cfRule>
  </conditionalFormatting>
  <conditionalFormatting sqref="I37:I52 M37:M52">
    <cfRule type="containsText" dxfId="1934" priority="1940" operator="containsText" text="%">
      <formula>NOT(ISERROR(SEARCH("%",I37)))</formula>
    </cfRule>
  </conditionalFormatting>
  <conditionalFormatting sqref="I37:I52 M37:M52">
    <cfRule type="containsText" dxfId="1933" priority="1939" operator="containsText" text="%">
      <formula>NOT(ISERROR(SEARCH("%",I37)))</formula>
    </cfRule>
  </conditionalFormatting>
  <conditionalFormatting sqref="I38 I48 I50 I52 M38 M48 M50 M52 I40 M40 I42 M42 I44 M44 I46 M46">
    <cfRule type="containsText" dxfId="1932" priority="1938" operator="containsText" text="%">
      <formula>NOT(ISERROR(SEARCH("%",I38)))</formula>
    </cfRule>
  </conditionalFormatting>
  <conditionalFormatting sqref="I38 I48 I50 I52 M38 M48 M50 M52 I40 M40 I42 M42 I44 M44 I46 M46">
    <cfRule type="containsText" dxfId="1931" priority="1937" operator="containsText" text="%">
      <formula>NOT(ISERROR(SEARCH("%",I38)))</formula>
    </cfRule>
  </conditionalFormatting>
  <conditionalFormatting sqref="I38 I48 I50 I52 M38 M48 M50 M52 I40 M40 I42 M42 I44 M44 I46 M46">
    <cfRule type="containsText" dxfId="1930" priority="1936" operator="containsText" text="%">
      <formula>NOT(ISERROR(SEARCH("%",I38)))</formula>
    </cfRule>
  </conditionalFormatting>
  <conditionalFormatting sqref="I38 I48 I50 I52 M38 M48 M50 M52 I40 M40 I42 M42 I44 M44 I46 M46">
    <cfRule type="containsText" dxfId="1929" priority="1935" operator="containsText" text="%">
      <formula>NOT(ISERROR(SEARCH("%",I38)))</formula>
    </cfRule>
  </conditionalFormatting>
  <conditionalFormatting sqref="I37:I52 M37:M52">
    <cfRule type="containsText" dxfId="1928" priority="1934" operator="containsText" text="%">
      <formula>NOT(ISERROR(SEARCH("%",I37)))</formula>
    </cfRule>
  </conditionalFormatting>
  <conditionalFormatting sqref="I37:I52 M37:M52">
    <cfRule type="containsText" dxfId="1927" priority="1933" operator="containsText" text="%">
      <formula>NOT(ISERROR(SEARCH("%",I37)))</formula>
    </cfRule>
  </conditionalFormatting>
  <conditionalFormatting sqref="I37:I52 M37:M52">
    <cfRule type="containsText" dxfId="1926" priority="1932" operator="containsText" text="%">
      <formula>NOT(ISERROR(SEARCH("%",I37)))</formula>
    </cfRule>
  </conditionalFormatting>
  <conditionalFormatting sqref="I37:I52 M37:M52">
    <cfRule type="containsText" dxfId="1925" priority="1931" operator="containsText" text="%">
      <formula>NOT(ISERROR(SEARCH("%",I37)))</formula>
    </cfRule>
  </conditionalFormatting>
  <conditionalFormatting sqref="I37:I52 M37:M52">
    <cfRule type="containsText" dxfId="1924" priority="1930" operator="containsText" text="%">
      <formula>NOT(ISERROR(SEARCH("%",I37)))</formula>
    </cfRule>
  </conditionalFormatting>
  <conditionalFormatting sqref="I37:I52 M37:M52">
    <cfRule type="containsText" dxfId="1923" priority="1929" operator="containsText" text="%">
      <formula>NOT(ISERROR(SEARCH("%",I37)))</formula>
    </cfRule>
  </conditionalFormatting>
  <conditionalFormatting sqref="I37:I52 M37:M52">
    <cfRule type="containsText" dxfId="1922" priority="1928" operator="containsText" text="%">
      <formula>NOT(ISERROR(SEARCH("%",I37)))</formula>
    </cfRule>
  </conditionalFormatting>
  <conditionalFormatting sqref="I37:I52 M37:M52">
    <cfRule type="containsText" dxfId="1921" priority="1927" operator="containsText" text="%">
      <formula>NOT(ISERROR(SEARCH("%",I37)))</formula>
    </cfRule>
  </conditionalFormatting>
  <conditionalFormatting sqref="I37:I52 M37:M52">
    <cfRule type="containsText" dxfId="1920" priority="1926" operator="containsText" text="%">
      <formula>NOT(ISERROR(SEARCH("%",I37)))</formula>
    </cfRule>
  </conditionalFormatting>
  <conditionalFormatting sqref="I37:I52 M37:M52">
    <cfRule type="containsText" dxfId="1919" priority="1925" operator="containsText" text="%">
      <formula>NOT(ISERROR(SEARCH("%",I37)))</formula>
    </cfRule>
  </conditionalFormatting>
  <conditionalFormatting sqref="I38 I48 I50 I52 M38 M48 M50 M52 I40 M40 I42 M42 I44 M44 I46 M46">
    <cfRule type="containsText" dxfId="1918" priority="1924" operator="containsText" text="%">
      <formula>NOT(ISERROR(SEARCH("%",I38)))</formula>
    </cfRule>
  </conditionalFormatting>
  <conditionalFormatting sqref="I38 I48 I50 I52 M38 M48 M50 M52 I40 M40 I42 M42 I44 M44 I46 M46">
    <cfRule type="containsText" dxfId="1917" priority="1923" operator="containsText" text="%">
      <formula>NOT(ISERROR(SEARCH("%",I38)))</formula>
    </cfRule>
  </conditionalFormatting>
  <conditionalFormatting sqref="I38 I48 I50 I52 M38 M48 M50 M52 I40 M40 I42 M42 I44 M44 I46 M46">
    <cfRule type="containsText" dxfId="1916" priority="1922" operator="containsText" text="%">
      <formula>NOT(ISERROR(SEARCH("%",I38)))</formula>
    </cfRule>
  </conditionalFormatting>
  <conditionalFormatting sqref="I38 I48 I50 I52 M38 M48 M50 M52 I40 M40 I42 M42 I44 M44 I46 M46">
    <cfRule type="containsText" dxfId="1915" priority="1921" operator="containsText" text="%">
      <formula>NOT(ISERROR(SEARCH("%",I38)))</formula>
    </cfRule>
  </conditionalFormatting>
  <conditionalFormatting sqref="I37:I52 M37:M52">
    <cfRule type="containsText" dxfId="1914" priority="1920" operator="containsText" text="%">
      <formula>NOT(ISERROR(SEARCH("%",I37)))</formula>
    </cfRule>
  </conditionalFormatting>
  <conditionalFormatting sqref="I37:I52 M37:M52">
    <cfRule type="containsText" dxfId="1913" priority="1919" operator="containsText" text="%">
      <formula>NOT(ISERROR(SEARCH("%",I37)))</formula>
    </cfRule>
  </conditionalFormatting>
  <conditionalFormatting sqref="I37:I52 M37:M52">
    <cfRule type="containsText" dxfId="1912" priority="1918" operator="containsText" text="%">
      <formula>NOT(ISERROR(SEARCH("%",I37)))</formula>
    </cfRule>
  </conditionalFormatting>
  <conditionalFormatting sqref="I37:I52 M37:M52">
    <cfRule type="containsText" dxfId="1911" priority="1917" operator="containsText" text="%">
      <formula>NOT(ISERROR(SEARCH("%",I37)))</formula>
    </cfRule>
  </conditionalFormatting>
  <conditionalFormatting sqref="I37:I52 M37:M52">
    <cfRule type="containsText" dxfId="1910" priority="1916" operator="containsText" text="%">
      <formula>NOT(ISERROR(SEARCH("%",I37)))</formula>
    </cfRule>
  </conditionalFormatting>
  <conditionalFormatting sqref="I37:I52 M37:M52">
    <cfRule type="containsText" dxfId="1909" priority="1915" operator="containsText" text="%">
      <formula>NOT(ISERROR(SEARCH("%",I37)))</formula>
    </cfRule>
  </conditionalFormatting>
  <conditionalFormatting sqref="I38 I48 I50 I52 M38 M48 M50 M52 I40 M40 I42 M42 I44 M44 I46 M46">
    <cfRule type="containsText" dxfId="1908" priority="1914" operator="containsText" text="%">
      <formula>NOT(ISERROR(SEARCH("%",I38)))</formula>
    </cfRule>
  </conditionalFormatting>
  <conditionalFormatting sqref="I38 I48 I50 I52 M38 M48 M50 M52 I40 M40 I42 M42 I44 M44 I46 M46">
    <cfRule type="containsText" dxfId="1907" priority="1913" operator="containsText" text="%">
      <formula>NOT(ISERROR(SEARCH("%",I38)))</formula>
    </cfRule>
  </conditionalFormatting>
  <conditionalFormatting sqref="I38 I48 I50 I52 M38 M48 M50 M52 I40 M40 I42 M42 I44 M44 I46 M46">
    <cfRule type="containsText" dxfId="1906" priority="1912" operator="containsText" text="%">
      <formula>NOT(ISERROR(SEARCH("%",I38)))</formula>
    </cfRule>
  </conditionalFormatting>
  <conditionalFormatting sqref="I38 I48 I50 I52 M38 M48 M50 M52 I40 M40 I42 M42 I44 M44 I46 M46">
    <cfRule type="containsText" dxfId="1905" priority="1911" operator="containsText" text="%">
      <formula>NOT(ISERROR(SEARCH("%",I38)))</formula>
    </cfRule>
  </conditionalFormatting>
  <conditionalFormatting sqref="I37:I52 M37:M52">
    <cfRule type="containsText" dxfId="1904" priority="1895" operator="containsText" text="%">
      <formula>NOT(ISERROR(SEARCH("%",I37)))</formula>
    </cfRule>
  </conditionalFormatting>
  <conditionalFormatting sqref="I37:I52 M37:M52">
    <cfRule type="containsText" dxfId="1903" priority="1894" operator="containsText" text="%">
      <formula>NOT(ISERROR(SEARCH("%",I37)))</formula>
    </cfRule>
  </conditionalFormatting>
  <conditionalFormatting sqref="I37:I52 M37:M52">
    <cfRule type="containsText" dxfId="1902" priority="1890" operator="containsText" text="%">
      <formula>NOT(ISERROR(SEARCH("%",I37)))</formula>
    </cfRule>
  </conditionalFormatting>
  <conditionalFormatting sqref="I37:I52 M37:M52">
    <cfRule type="containsText" dxfId="1901" priority="1910" operator="containsText" text="%">
      <formula>NOT(ISERROR(SEARCH("%",I37)))</formula>
    </cfRule>
  </conditionalFormatting>
  <conditionalFormatting sqref="I37 I39 M37 M39 I41 M41 I43 M43 I45 M45 I47 M47 I49 M49 I51 M51">
    <cfRule type="containsText" dxfId="1900" priority="1909" operator="containsText" text="%">
      <formula>NOT(ISERROR(SEARCH("%",I37)))</formula>
    </cfRule>
  </conditionalFormatting>
  <conditionalFormatting sqref="I37 I39 M37 M39 I41 M41 I43 M43 I45 M45 I47 M47 I49 M49 I51 M51">
    <cfRule type="containsText" dxfId="1899" priority="1908" operator="containsText" text="%">
      <formula>NOT(ISERROR(SEARCH("%",I37)))</formula>
    </cfRule>
  </conditionalFormatting>
  <conditionalFormatting sqref="I37:I52 M37:M52">
    <cfRule type="containsText" dxfId="1898" priority="1888" operator="containsText" text="%">
      <formula>NOT(ISERROR(SEARCH("%",I37)))</formula>
    </cfRule>
  </conditionalFormatting>
  <conditionalFormatting sqref="I37:I52 M37:M52">
    <cfRule type="containsText" dxfId="1897" priority="1907" operator="containsText" text="%">
      <formula>NOT(ISERROR(SEARCH("%",I37)))</formula>
    </cfRule>
  </conditionalFormatting>
  <conditionalFormatting sqref="I37:I52 M37:M52">
    <cfRule type="containsText" dxfId="1896" priority="1906" operator="containsText" text="%">
      <formula>NOT(ISERROR(SEARCH("%",I37)))</formula>
    </cfRule>
  </conditionalFormatting>
  <conditionalFormatting sqref="I37:I52 M37:M52">
    <cfRule type="containsText" dxfId="1895" priority="1905" operator="containsText" text="%">
      <formula>NOT(ISERROR(SEARCH("%",I37)))</formula>
    </cfRule>
  </conditionalFormatting>
  <conditionalFormatting sqref="I37:I52 M37:M52">
    <cfRule type="containsText" dxfId="1894" priority="1904" operator="containsText" text="%">
      <formula>NOT(ISERROR(SEARCH("%",I37)))</formula>
    </cfRule>
  </conditionalFormatting>
  <conditionalFormatting sqref="I37:I52 M37:M52">
    <cfRule type="containsText" dxfId="1893" priority="1903" operator="containsText" text="%">
      <formula>NOT(ISERROR(SEARCH("%",I37)))</formula>
    </cfRule>
  </conditionalFormatting>
  <conditionalFormatting sqref="I37:I52 M37:M52">
    <cfRule type="containsText" dxfId="1892" priority="1902" operator="containsText" text="%">
      <formula>NOT(ISERROR(SEARCH("%",I37)))</formula>
    </cfRule>
  </conditionalFormatting>
  <conditionalFormatting sqref="I37:I52 M37:M52">
    <cfRule type="containsText" dxfId="1891" priority="1901" operator="containsText" text="%">
      <formula>NOT(ISERROR(SEARCH("%",I37)))</formula>
    </cfRule>
  </conditionalFormatting>
  <conditionalFormatting sqref="I37:I52 M37:M52">
    <cfRule type="containsText" dxfId="1890" priority="1900" operator="containsText" text="%">
      <formula>NOT(ISERROR(SEARCH("%",I37)))</formula>
    </cfRule>
  </conditionalFormatting>
  <conditionalFormatting sqref="I37:I52 M37:M52">
    <cfRule type="containsText" dxfId="1889" priority="1899" operator="containsText" text="%">
      <formula>NOT(ISERROR(SEARCH("%",I37)))</formula>
    </cfRule>
  </conditionalFormatting>
  <conditionalFormatting sqref="I37:I52 M37:M52">
    <cfRule type="containsText" dxfId="1888" priority="1898" operator="containsText" text="%">
      <formula>NOT(ISERROR(SEARCH("%",I37)))</formula>
    </cfRule>
  </conditionalFormatting>
  <conditionalFormatting sqref="I37:I52 M37:M52">
    <cfRule type="containsText" dxfId="1887" priority="1897" operator="containsText" text="%">
      <formula>NOT(ISERROR(SEARCH("%",I37)))</formula>
    </cfRule>
  </conditionalFormatting>
  <conditionalFormatting sqref="I37:I52 M37:M52">
    <cfRule type="containsText" dxfId="1886" priority="1896" operator="containsText" text="%">
      <formula>NOT(ISERROR(SEARCH("%",I37)))</formula>
    </cfRule>
  </conditionalFormatting>
  <conditionalFormatting sqref="I37:I52 M37:M52">
    <cfRule type="containsText" dxfId="1885" priority="1893" operator="containsText" text="%">
      <formula>NOT(ISERROR(SEARCH("%",I37)))</formula>
    </cfRule>
  </conditionalFormatting>
  <conditionalFormatting sqref="I37:I52 M37:M52">
    <cfRule type="containsText" dxfId="1884" priority="1892" operator="containsText" text="%">
      <formula>NOT(ISERROR(SEARCH("%",I37)))</formula>
    </cfRule>
  </conditionalFormatting>
  <conditionalFormatting sqref="I37:I52 M37:M52">
    <cfRule type="containsText" dxfId="1883" priority="1891" operator="containsText" text="%">
      <formula>NOT(ISERROR(SEARCH("%",I37)))</formula>
    </cfRule>
  </conditionalFormatting>
  <conditionalFormatting sqref="I37:I52 M37:M52">
    <cfRule type="containsText" dxfId="1882" priority="1889" operator="containsText" text="%">
      <formula>NOT(ISERROR(SEARCH("%",I37)))</formula>
    </cfRule>
  </conditionalFormatting>
  <conditionalFormatting sqref="I37:I52 M37:M52">
    <cfRule type="containsText" dxfId="1881" priority="1887" operator="containsText" text="%">
      <formula>NOT(ISERROR(SEARCH("%",I37)))</formula>
    </cfRule>
  </conditionalFormatting>
  <conditionalFormatting sqref="I37:I52 M37:M52">
    <cfRule type="containsText" dxfId="1880" priority="1886" operator="containsText" text="%">
      <formula>NOT(ISERROR(SEARCH("%",I37)))</formula>
    </cfRule>
  </conditionalFormatting>
  <conditionalFormatting sqref="I37:I52 M37:M52">
    <cfRule type="containsText" dxfId="1879" priority="1885" operator="containsText" text="%">
      <formula>NOT(ISERROR(SEARCH("%",I37)))</formula>
    </cfRule>
  </conditionalFormatting>
  <conditionalFormatting sqref="I37:I52 M37:M52">
    <cfRule type="containsText" dxfId="1878" priority="1884" operator="containsText" text="%">
      <formula>NOT(ISERROR(SEARCH("%",I37)))</formula>
    </cfRule>
  </conditionalFormatting>
  <conditionalFormatting sqref="I37:I52 M37:M52">
    <cfRule type="containsText" dxfId="1877" priority="1883" operator="containsText" text="%">
      <formula>NOT(ISERROR(SEARCH("%",I37)))</formula>
    </cfRule>
  </conditionalFormatting>
  <conditionalFormatting sqref="I37:I52 M37:M52">
    <cfRule type="containsText" dxfId="1876" priority="1882" operator="containsText" text="%">
      <formula>NOT(ISERROR(SEARCH("%",I37)))</formula>
    </cfRule>
  </conditionalFormatting>
  <conditionalFormatting sqref="I37:I52 M37:M52">
    <cfRule type="containsText" dxfId="1875" priority="1881" operator="containsText" text="%">
      <formula>NOT(ISERROR(SEARCH("%",I37)))</formula>
    </cfRule>
  </conditionalFormatting>
  <conditionalFormatting sqref="I37:I52 M37:M52">
    <cfRule type="containsText" dxfId="1874" priority="1880" operator="containsText" text="%">
      <formula>NOT(ISERROR(SEARCH("%",I37)))</formula>
    </cfRule>
  </conditionalFormatting>
  <conditionalFormatting sqref="I37:I52 M37:M52">
    <cfRule type="containsText" dxfId="1873" priority="1879" operator="containsText" text="%">
      <formula>NOT(ISERROR(SEARCH("%",I37)))</formula>
    </cfRule>
  </conditionalFormatting>
  <conditionalFormatting sqref="I37:I52 M37:M52">
    <cfRule type="containsText" dxfId="1872" priority="1878" operator="containsText" text="%">
      <formula>NOT(ISERROR(SEARCH("%",I37)))</formula>
    </cfRule>
  </conditionalFormatting>
  <conditionalFormatting sqref="I38 I48 I50 I52 M38 M48 M50 M52 I40 M40 I42 M42 I44 M44 I46 M46">
    <cfRule type="containsText" dxfId="1871" priority="1877" operator="containsText" text="%">
      <formula>NOT(ISERROR(SEARCH("%",I38)))</formula>
    </cfRule>
  </conditionalFormatting>
  <conditionalFormatting sqref="I38 I48 I50 I52 M38 M48 M50 M52 I40 M40 I42 M42 I44 M44 I46 M46">
    <cfRule type="containsText" dxfId="1870" priority="1876" operator="containsText" text="%">
      <formula>NOT(ISERROR(SEARCH("%",I38)))</formula>
    </cfRule>
  </conditionalFormatting>
  <conditionalFormatting sqref="I38 I48 I50 I52 M38 M48 M50 M52 I40 M40 I42 M42 I44 M44 I46 M46">
    <cfRule type="containsText" dxfId="1869" priority="1875" operator="containsText" text="%">
      <formula>NOT(ISERROR(SEARCH("%",I38)))</formula>
    </cfRule>
  </conditionalFormatting>
  <conditionalFormatting sqref="I38 I48 I50 I52 M38 M48 M50 M52 I40 M40 I42 M42 I44 M44 I46 M46">
    <cfRule type="containsText" dxfId="1868" priority="1874" operator="containsText" text="%">
      <formula>NOT(ISERROR(SEARCH("%",I38)))</formula>
    </cfRule>
  </conditionalFormatting>
  <conditionalFormatting sqref="I37:I52 M37:M52">
    <cfRule type="containsText" dxfId="1867" priority="1873" operator="containsText" text="%">
      <formula>NOT(ISERROR(SEARCH("%",I37)))</formula>
    </cfRule>
  </conditionalFormatting>
  <conditionalFormatting sqref="I37:I52 M37:M52">
    <cfRule type="containsText" dxfId="1866" priority="1872" operator="containsText" text="%">
      <formula>NOT(ISERROR(SEARCH("%",I37)))</formula>
    </cfRule>
  </conditionalFormatting>
  <conditionalFormatting sqref="I37:I52 M37:M52">
    <cfRule type="containsText" dxfId="1865" priority="1871" operator="containsText" text="%">
      <formula>NOT(ISERROR(SEARCH("%",I37)))</formula>
    </cfRule>
  </conditionalFormatting>
  <conditionalFormatting sqref="I37:I52 M37:M52">
    <cfRule type="containsText" dxfId="1864" priority="1870" operator="containsText" text="%">
      <formula>NOT(ISERROR(SEARCH("%",I37)))</formula>
    </cfRule>
  </conditionalFormatting>
  <conditionalFormatting sqref="I37:I52 M37:M52">
    <cfRule type="containsText" dxfId="1863" priority="1869" operator="containsText" text="%">
      <formula>NOT(ISERROR(SEARCH("%",I37)))</formula>
    </cfRule>
  </conditionalFormatting>
  <conditionalFormatting sqref="I37:I52 M37:M52">
    <cfRule type="containsText" dxfId="1862" priority="1868" operator="containsText" text="%">
      <formula>NOT(ISERROR(SEARCH("%",I37)))</formula>
    </cfRule>
  </conditionalFormatting>
  <conditionalFormatting sqref="I37:I52 M37:M52">
    <cfRule type="containsText" dxfId="1861" priority="1867" operator="containsText" text="%">
      <formula>NOT(ISERROR(SEARCH("%",I37)))</formula>
    </cfRule>
  </conditionalFormatting>
  <conditionalFormatting sqref="I37:I52 M37:M52">
    <cfRule type="containsText" dxfId="1860" priority="1866" operator="containsText" text="%">
      <formula>NOT(ISERROR(SEARCH("%",I37)))</formula>
    </cfRule>
  </conditionalFormatting>
  <conditionalFormatting sqref="I37:I52 M37:M52">
    <cfRule type="containsText" dxfId="1859" priority="1865" operator="containsText" text="%">
      <formula>NOT(ISERROR(SEARCH("%",I37)))</formula>
    </cfRule>
  </conditionalFormatting>
  <conditionalFormatting sqref="I37:I52 M37:M52">
    <cfRule type="containsText" dxfId="1858" priority="1864" operator="containsText" text="%">
      <formula>NOT(ISERROR(SEARCH("%",I37)))</formula>
    </cfRule>
  </conditionalFormatting>
  <conditionalFormatting sqref="I38 I48 I50 I52 M38 M48 M50 M52 I40 M40 I42 M42 I44 M44 I46 M46">
    <cfRule type="containsText" dxfId="1857" priority="1863" operator="containsText" text="%">
      <formula>NOT(ISERROR(SEARCH("%",I38)))</formula>
    </cfRule>
  </conditionalFormatting>
  <conditionalFormatting sqref="I38 I48 I50 I52 M38 M48 M50 M52 I40 M40 I42 M42 I44 M44 I46 M46">
    <cfRule type="containsText" dxfId="1856" priority="1862" operator="containsText" text="%">
      <formula>NOT(ISERROR(SEARCH("%",I38)))</formula>
    </cfRule>
  </conditionalFormatting>
  <conditionalFormatting sqref="I38 I48 I50 I52 M38 M48 M50 M52 I40 M40 I42 M42 I44 M44 I46 M46">
    <cfRule type="containsText" dxfId="1855" priority="1861" operator="containsText" text="%">
      <formula>NOT(ISERROR(SEARCH("%",I38)))</formula>
    </cfRule>
  </conditionalFormatting>
  <conditionalFormatting sqref="I38 I48 I50 I52 M38 M48 M50 M52 I40 M40 I42 M42 I44 M44 I46 M46">
    <cfRule type="containsText" dxfId="1854" priority="1860" operator="containsText" text="%">
      <formula>NOT(ISERROR(SEARCH("%",I38)))</formula>
    </cfRule>
  </conditionalFormatting>
  <conditionalFormatting sqref="I37 I39 M37 M39 I41 M41 I43 M43 I45 M45 I47 M47 I49 M49 I51 M51">
    <cfRule type="containsText" dxfId="1853" priority="1859" operator="containsText" text="%">
      <formula>NOT(ISERROR(SEARCH("%",I37)))</formula>
    </cfRule>
  </conditionalFormatting>
  <conditionalFormatting sqref="I37 I39 M37 M39 I41 M41 I43 M43 I45 M45 I47 M47 I49 M49 I51 M51">
    <cfRule type="containsText" dxfId="1852" priority="1858" operator="containsText" text="%">
      <formula>NOT(ISERROR(SEARCH("%",I37)))</formula>
    </cfRule>
  </conditionalFormatting>
  <conditionalFormatting sqref="I37 I39 M37 M39 I41 M41 I43 M43 I45 M45 I47 M47 I49 M49 I51 M51">
    <cfRule type="containsText" dxfId="1851" priority="1857" operator="containsText" text="%">
      <formula>NOT(ISERROR(SEARCH("%",I37)))</formula>
    </cfRule>
  </conditionalFormatting>
  <conditionalFormatting sqref="I37 I39 M37 M39 I41 M41 I43 M43 I45 M45 I47 M47 I49 M49 I51 M51">
    <cfRule type="containsText" dxfId="1850" priority="1856" operator="containsText" text="%">
      <formula>NOT(ISERROR(SEARCH("%",I37)))</formula>
    </cfRule>
  </conditionalFormatting>
  <conditionalFormatting sqref="I37 I39 M37 M39 I41 M41 I43 M43 I45 M45 I47 M47 I49 M49 I51 M51">
    <cfRule type="containsText" dxfId="1849" priority="1855" operator="containsText" text="%">
      <formula>NOT(ISERROR(SEARCH("%",I37)))</formula>
    </cfRule>
  </conditionalFormatting>
  <conditionalFormatting sqref="I37 I39 M37 M39 I41 M41 I43 M43 I45 M45 I47 M47 I49 M49 I51 M51">
    <cfRule type="containsText" dxfId="1848" priority="1854" operator="containsText" text="%">
      <formula>NOT(ISERROR(SEARCH("%",I37)))</formula>
    </cfRule>
  </conditionalFormatting>
  <conditionalFormatting sqref="I38 I48 I50 I52 M38 M48 M50 M52 I40 M40 I42 M42 I44 M44 I46 M46">
    <cfRule type="containsText" dxfId="1847" priority="1853" operator="containsText" text="%">
      <formula>NOT(ISERROR(SEARCH("%",I38)))</formula>
    </cfRule>
  </conditionalFormatting>
  <conditionalFormatting sqref="I38 I48 I50 I52 M38 M48 M50 M52 I40 M40 I42 M42 I44 M44 I46 M46">
    <cfRule type="containsText" dxfId="1846" priority="1852" operator="containsText" text="%">
      <formula>NOT(ISERROR(SEARCH("%",I38)))</formula>
    </cfRule>
  </conditionalFormatting>
  <conditionalFormatting sqref="I38 I48 I50 I52 M38 M48 M50 M52 I40 M40 I42 M42 I44 M44 I46 M46">
    <cfRule type="containsText" dxfId="1845" priority="1851" operator="containsText" text="%">
      <formula>NOT(ISERROR(SEARCH("%",I38)))</formula>
    </cfRule>
  </conditionalFormatting>
  <conditionalFormatting sqref="I38 I48 I50 I52 M38 M48 M50 M52 I40 M40 I42 M42 I44 M44 I46 M46">
    <cfRule type="containsText" dxfId="1844" priority="1850" operator="containsText" text="%">
      <formula>NOT(ISERROR(SEARCH("%",I38)))</formula>
    </cfRule>
  </conditionalFormatting>
  <conditionalFormatting sqref="I38 I48 I50 I52 M38 M48 M50 M52 I40 M40 I42 M42 I44 M44 I46 M46">
    <cfRule type="containsText" dxfId="1843" priority="1849" operator="containsText" text="%">
      <formula>NOT(ISERROR(SEARCH("%",I38)))</formula>
    </cfRule>
  </conditionalFormatting>
  <conditionalFormatting sqref="I38 I48 I50 I52 M38 M48 M50 M52 I40 M40 I42 M42 I44 M44 I46 M46">
    <cfRule type="containsText" dxfId="1842" priority="1848" operator="containsText" text="%">
      <formula>NOT(ISERROR(SEARCH("%",I38)))</formula>
    </cfRule>
  </conditionalFormatting>
  <conditionalFormatting sqref="I38 I48 I50 I52 M38 M48 M50 M52 I40 M40 I42 M42 I44 M44 I46 M46">
    <cfRule type="containsText" dxfId="1841" priority="1847" operator="containsText" text="%">
      <formula>NOT(ISERROR(SEARCH("%",I38)))</formula>
    </cfRule>
  </conditionalFormatting>
  <conditionalFormatting sqref="I38 I48 I50 I52 M38 M48 M50 M52 I40 M40 I42 M42 I44 M44 I46 M46">
    <cfRule type="containsText" dxfId="1840" priority="1846" operator="containsText" text="%">
      <formula>NOT(ISERROR(SEARCH("%",I38)))</formula>
    </cfRule>
  </conditionalFormatting>
  <conditionalFormatting sqref="I38 I48 I50 I52 M38 M48 M50 M52 I40 M40 I42 M42 I44 M44 I46 M46">
    <cfRule type="containsText" dxfId="1839" priority="1845" operator="containsText" text="%">
      <formula>NOT(ISERROR(SEARCH("%",I38)))</formula>
    </cfRule>
  </conditionalFormatting>
  <conditionalFormatting sqref="I38 I48 I50 I52 M38 M48 M50 M52 I40 M40 I42 M42 I44 M44 I46 M46">
    <cfRule type="containsText" dxfId="1838" priority="1844" operator="containsText" text="%">
      <formula>NOT(ISERROR(SEARCH("%",I38)))</formula>
    </cfRule>
  </conditionalFormatting>
  <conditionalFormatting sqref="I38 I48 I50 I52 M38 M48 M50 M52 I40 M40 I42 M42 I44 M44 I46 M46">
    <cfRule type="containsText" dxfId="1837" priority="1830" operator="containsText" text="%">
      <formula>NOT(ISERROR(SEARCH("%",I38)))</formula>
    </cfRule>
  </conditionalFormatting>
  <conditionalFormatting sqref="I38 I48 I50 I52 M38 M48 M50 M52 I40 M40 I42 M42 I44 M44 I46 M46">
    <cfRule type="containsText" dxfId="1836" priority="1829" operator="containsText" text="%">
      <formula>NOT(ISERROR(SEARCH("%",I38)))</formula>
    </cfRule>
  </conditionalFormatting>
  <conditionalFormatting sqref="I38 I48 I50 I52 M38 M48 M50 M52 I40 M40 I42 M42 I44 M44 I46 M46">
    <cfRule type="containsText" dxfId="1835" priority="1825" operator="containsText" text="%">
      <formula>NOT(ISERROR(SEARCH("%",I38)))</formula>
    </cfRule>
  </conditionalFormatting>
  <conditionalFormatting sqref="I38 I48 I50 I52 M38 M48 M50 M52 I40 M40 I42 M42 I44 M44 I46 M46">
    <cfRule type="containsText" dxfId="1834" priority="1843" operator="containsText" text="%">
      <formula>NOT(ISERROR(SEARCH("%",I38)))</formula>
    </cfRule>
  </conditionalFormatting>
  <conditionalFormatting sqref="I38 I48 I50 I52 M38 M48 M50 M52 I40 M40 I42 M42 I44 M44 I46 M46">
    <cfRule type="containsText" dxfId="1833" priority="1823" operator="containsText" text="%">
      <formula>NOT(ISERROR(SEARCH("%",I38)))</formula>
    </cfRule>
  </conditionalFormatting>
  <conditionalFormatting sqref="I38 I48 I50 I52 M38 M48 M50 M52 I40 M40 I42 M42 I44 M44 I46 M46">
    <cfRule type="containsText" dxfId="1832" priority="1842" operator="containsText" text="%">
      <formula>NOT(ISERROR(SEARCH("%",I38)))</formula>
    </cfRule>
  </conditionalFormatting>
  <conditionalFormatting sqref="I38 I48 I50 I52 M38 M48 M50 M52 I40 M40 I42 M42 I44 M44 I46 M46">
    <cfRule type="containsText" dxfId="1831" priority="1841" operator="containsText" text="%">
      <formula>NOT(ISERROR(SEARCH("%",I38)))</formula>
    </cfRule>
  </conditionalFormatting>
  <conditionalFormatting sqref="I38 I48 I50 I52 M38 M48 M50 M52 I40 M40 I42 M42 I44 M44 I46 M46">
    <cfRule type="containsText" dxfId="1830" priority="1840" operator="containsText" text="%">
      <formula>NOT(ISERROR(SEARCH("%",I38)))</formula>
    </cfRule>
  </conditionalFormatting>
  <conditionalFormatting sqref="I38 I48 I50 I52 M38 M48 M50 M52 I40 M40 I42 M42 I44 M44 I46 M46">
    <cfRule type="containsText" dxfId="1829" priority="1839" operator="containsText" text="%">
      <formula>NOT(ISERROR(SEARCH("%",I38)))</formula>
    </cfRule>
  </conditionalFormatting>
  <conditionalFormatting sqref="I38 I48 I50 I52 M38 M48 M50 M52 I40 M40 I42 M42 I44 M44 I46 M46">
    <cfRule type="containsText" dxfId="1828" priority="1838" operator="containsText" text="%">
      <formula>NOT(ISERROR(SEARCH("%",I38)))</formula>
    </cfRule>
  </conditionalFormatting>
  <conditionalFormatting sqref="I38 I48 I50 I52 M38 M48 M50 M52 I40 M40 I42 M42 I44 M44 I46 M46">
    <cfRule type="containsText" dxfId="1827" priority="1837" operator="containsText" text="%">
      <formula>NOT(ISERROR(SEARCH("%",I38)))</formula>
    </cfRule>
  </conditionalFormatting>
  <conditionalFormatting sqref="I38 I48 I50 I52 M38 M48 M50 M52 I40 M40 I42 M42 I44 M44 I46 M46">
    <cfRule type="containsText" dxfId="1826" priority="1836" operator="containsText" text="%">
      <formula>NOT(ISERROR(SEARCH("%",I38)))</formula>
    </cfRule>
  </conditionalFormatting>
  <conditionalFormatting sqref="I38 I48 I50 I52 M38 M48 M50 M52 I40 M40 I42 M42 I44 M44 I46 M46">
    <cfRule type="containsText" dxfId="1825" priority="1835" operator="containsText" text="%">
      <formula>NOT(ISERROR(SEARCH("%",I38)))</formula>
    </cfRule>
  </conditionalFormatting>
  <conditionalFormatting sqref="I38 I48 I50 I52 M38 M48 M50 M52 I40 M40 I42 M42 I44 M44 I46 M46">
    <cfRule type="containsText" dxfId="1824" priority="1834" operator="containsText" text="%">
      <formula>NOT(ISERROR(SEARCH("%",I38)))</formula>
    </cfRule>
  </conditionalFormatting>
  <conditionalFormatting sqref="I38 I48 I50 I52 M38 M48 M50 M52 I40 M40 I42 M42 I44 M44 I46 M46">
    <cfRule type="containsText" dxfId="1823" priority="1833" operator="containsText" text="%">
      <formula>NOT(ISERROR(SEARCH("%",I38)))</formula>
    </cfRule>
  </conditionalFormatting>
  <conditionalFormatting sqref="I38 I48 I50 I52 M38 M48 M50 M52 I40 M40 I42 M42 I44 M44 I46 M46">
    <cfRule type="containsText" dxfId="1822" priority="1832" operator="containsText" text="%">
      <formula>NOT(ISERROR(SEARCH("%",I38)))</formula>
    </cfRule>
  </conditionalFormatting>
  <conditionalFormatting sqref="I38 I48 I50 I52 M38 M48 M50 M52 I40 M40 I42 M42 I44 M44 I46 M46">
    <cfRule type="containsText" dxfId="1821" priority="1831" operator="containsText" text="%">
      <formula>NOT(ISERROR(SEARCH("%",I38)))</formula>
    </cfRule>
  </conditionalFormatting>
  <conditionalFormatting sqref="I38 I48 I50 I52 M38 M48 M50 M52 I40 M40 I42 M42 I44 M44 I46 M46">
    <cfRule type="containsText" dxfId="1820" priority="1828" operator="containsText" text="%">
      <formula>NOT(ISERROR(SEARCH("%",I38)))</formula>
    </cfRule>
  </conditionalFormatting>
  <conditionalFormatting sqref="I38 I48 I50 I52 M38 M48 M50 M52 I40 M40 I42 M42 I44 M44 I46 M46">
    <cfRule type="containsText" dxfId="1819" priority="1827" operator="containsText" text="%">
      <formula>NOT(ISERROR(SEARCH("%",I38)))</formula>
    </cfRule>
  </conditionalFormatting>
  <conditionalFormatting sqref="I38 I48 I50 I52 M38 M48 M50 M52 I40 M40 I42 M42 I44 M44 I46 M46">
    <cfRule type="containsText" dxfId="1818" priority="1826" operator="containsText" text="%">
      <formula>NOT(ISERROR(SEARCH("%",I38)))</formula>
    </cfRule>
  </conditionalFormatting>
  <conditionalFormatting sqref="I38 I48 I50 I52 M38 M48 M50 M52 I40 M40 I42 M42 I44 M44 I46 M46">
    <cfRule type="containsText" dxfId="1817" priority="1824" operator="containsText" text="%">
      <formula>NOT(ISERROR(SEARCH("%",I38)))</formula>
    </cfRule>
  </conditionalFormatting>
  <conditionalFormatting sqref="I38 I48 I50 I52 M38 M48 M50 M52 I40 M40 I42 M42 I44 M44 I46 M46">
    <cfRule type="containsText" dxfId="1816" priority="1822" operator="containsText" text="%">
      <formula>NOT(ISERROR(SEARCH("%",I38)))</formula>
    </cfRule>
  </conditionalFormatting>
  <conditionalFormatting sqref="I38 I48 I50 I52 M38 M48 M50 M52 I40 M40 I42 M42 I44 M44 I46 M46">
    <cfRule type="containsText" dxfId="1815" priority="1821" operator="containsText" text="%">
      <formula>NOT(ISERROR(SEARCH("%",I38)))</formula>
    </cfRule>
  </conditionalFormatting>
  <conditionalFormatting sqref="I38 I48 I50 I52 M38 M48 M50 M52 I40 M40 I42 M42 I44 M44 I46 M46">
    <cfRule type="containsText" dxfId="1814" priority="1820" operator="containsText" text="%">
      <formula>NOT(ISERROR(SEARCH("%",I38)))</formula>
    </cfRule>
  </conditionalFormatting>
  <conditionalFormatting sqref="I38 I48 I50 I52 M38 M48 M50 M52 I40 M40 I42 M42 I44 M44 I46 M46">
    <cfRule type="containsText" dxfId="1813" priority="1819" operator="containsText" text="%">
      <formula>NOT(ISERROR(SEARCH("%",I38)))</formula>
    </cfRule>
  </conditionalFormatting>
  <conditionalFormatting sqref="I38 I48 I50 I52 M38 M48 M50 M52 I40 M40 I42 M42 I44 M44 I46 M46">
    <cfRule type="containsText" dxfId="1812" priority="1818" operator="containsText" text="%">
      <formula>NOT(ISERROR(SEARCH("%",I38)))</formula>
    </cfRule>
  </conditionalFormatting>
  <conditionalFormatting sqref="I38 I48 I50 I52 M38 M48 M50 M52 I40 M40 I42 M42 I44 M44 I46 M46">
    <cfRule type="containsText" dxfId="1811" priority="1817" operator="containsText" text="%">
      <formula>NOT(ISERROR(SEARCH("%",I38)))</formula>
    </cfRule>
  </conditionalFormatting>
  <conditionalFormatting sqref="I38 I48 I50 I52 M38 M48 M50 M52 I40 M40 I42 M42 I44 M44 I46 M46">
    <cfRule type="containsText" dxfId="1810" priority="1816" operator="containsText" text="%">
      <formula>NOT(ISERROR(SEARCH("%",I38)))</formula>
    </cfRule>
  </conditionalFormatting>
  <conditionalFormatting sqref="I38 I48 I50 I52 M38 M48 M50 M52 I40 M40 I42 M42 I44 M44 I46 M46">
    <cfRule type="containsText" dxfId="1809" priority="1815" operator="containsText" text="%">
      <formula>NOT(ISERROR(SEARCH("%",I38)))</formula>
    </cfRule>
  </conditionalFormatting>
  <conditionalFormatting sqref="I38 I48 I50 I52 M38 M48 M50 M52 I40 M40 I42 M42 I44 M44 I46 M46">
    <cfRule type="containsText" dxfId="1808" priority="1814" operator="containsText" text="%">
      <formula>NOT(ISERROR(SEARCH("%",I38)))</formula>
    </cfRule>
  </conditionalFormatting>
  <conditionalFormatting sqref="I38 I48 I50 I52 M38 M48 M50 M52 I40 M40 I42 M42 I44 M44 I46 M46">
    <cfRule type="containsText" dxfId="1807" priority="1813" operator="containsText" text="%">
      <formula>NOT(ISERROR(SEARCH("%",I38)))</formula>
    </cfRule>
  </conditionalFormatting>
  <conditionalFormatting sqref="I38 I48 I50 I52 M38 M48 M50 M52 I40 M40 I42 M42 I44 M44 I46 M46">
    <cfRule type="containsText" dxfId="1806" priority="1812" operator="containsText" text="%">
      <formula>NOT(ISERROR(SEARCH("%",I38)))</formula>
    </cfRule>
  </conditionalFormatting>
  <conditionalFormatting sqref="I38 I48 I50 I52 M38 M48 M50 M52 I40 M40 I42 M42 I44 M44 I46 M46">
    <cfRule type="containsText" dxfId="1805" priority="1811" operator="containsText" text="%">
      <formula>NOT(ISERROR(SEARCH("%",I38)))</formula>
    </cfRule>
  </conditionalFormatting>
  <conditionalFormatting sqref="I38 I48 I50 I52 M38 M48 M50 M52 I40 M40 I42 M42 I44 M44 I46 M46">
    <cfRule type="containsText" dxfId="1804" priority="1810" operator="containsText" text="%">
      <formula>NOT(ISERROR(SEARCH("%",I38)))</formula>
    </cfRule>
  </conditionalFormatting>
  <conditionalFormatting sqref="I38 I48 I50 I52 M38 M48 M50 M52 I40 M40 I42 M42 I44 M44 I46 M46">
    <cfRule type="containsText" dxfId="1803" priority="1809" operator="containsText" text="%">
      <formula>NOT(ISERROR(SEARCH("%",I38)))</formula>
    </cfRule>
  </conditionalFormatting>
  <conditionalFormatting sqref="I38 I48 I50 I52 M38 M48 M50 M52 I40 M40 I42 M42 I44 M44 I46 M46">
    <cfRule type="containsText" dxfId="1802" priority="1808" operator="containsText" text="%">
      <formula>NOT(ISERROR(SEARCH("%",I38)))</formula>
    </cfRule>
  </conditionalFormatting>
  <conditionalFormatting sqref="I38 I48 I50 I52 M38 M48 M50 M52 I40 M40 I42 M42 I44 M44 I46 M46">
    <cfRule type="containsText" dxfId="1801" priority="1807" operator="containsText" text="%">
      <formula>NOT(ISERROR(SEARCH("%",I38)))</formula>
    </cfRule>
  </conditionalFormatting>
  <conditionalFormatting sqref="I38 I48 I50 I52 M38 M48 M50 M52 I40 M40 I42 M42 I44 M44 I46 M46">
    <cfRule type="containsText" dxfId="1800" priority="1806" operator="containsText" text="%">
      <formula>NOT(ISERROR(SEARCH("%",I38)))</formula>
    </cfRule>
  </conditionalFormatting>
  <conditionalFormatting sqref="I38 I48 I50 I52 M38 M48 M50 M52 I40 M40 I42 M42 I44 M44 I46 M46">
    <cfRule type="containsText" dxfId="1799" priority="1805" operator="containsText" text="%">
      <formula>NOT(ISERROR(SEARCH("%",I38)))</formula>
    </cfRule>
  </conditionalFormatting>
  <conditionalFormatting sqref="I38 I48 I50 I52 M38 M48 M50 M52 I40 M40 I42 M42 I44 M44 I46 M46">
    <cfRule type="containsText" dxfId="1798" priority="1804" operator="containsText" text="%">
      <formula>NOT(ISERROR(SEARCH("%",I38)))</formula>
    </cfRule>
  </conditionalFormatting>
  <conditionalFormatting sqref="I38 I48 I50 I52 M38 M48 M50 M52 I40 M40 I42 M42 I44 M44 I46 M46">
    <cfRule type="containsText" dxfId="1797" priority="1803" operator="containsText" text="%">
      <formula>NOT(ISERROR(SEARCH("%",I38)))</formula>
    </cfRule>
  </conditionalFormatting>
  <conditionalFormatting sqref="I38 I48 I50 I52 M38 M48 M50 M52 I40 M40 I42 M42 I44 M44 I46 M46">
    <cfRule type="containsText" dxfId="1796" priority="1802" operator="containsText" text="%">
      <formula>NOT(ISERROR(SEARCH("%",I38)))</formula>
    </cfRule>
  </conditionalFormatting>
  <conditionalFormatting sqref="I38 I48 I50 I52 M38 M48 M50 M52 I40 M40 I42 M42 I44 M44 I46 M46">
    <cfRule type="containsText" dxfId="1795" priority="1801" operator="containsText" text="%">
      <formula>NOT(ISERROR(SEARCH("%",I38)))</formula>
    </cfRule>
  </conditionalFormatting>
  <conditionalFormatting sqref="I38 I48 I50 I52 M38 M48 M50 M52 I40 M40 I42 M42 I44 M44 I46 M46">
    <cfRule type="containsText" dxfId="1794" priority="1800" operator="containsText" text="%">
      <formula>NOT(ISERROR(SEARCH("%",I38)))</formula>
    </cfRule>
  </conditionalFormatting>
  <conditionalFormatting sqref="I38 I48 I50 I52 M38 M48 M50 M52 I40 M40 I42 M42 I44 M44 I46 M46">
    <cfRule type="containsText" dxfId="1793" priority="1799" operator="containsText" text="%">
      <formula>NOT(ISERROR(SEARCH("%",I38)))</formula>
    </cfRule>
  </conditionalFormatting>
  <conditionalFormatting sqref="I38 I48 I50 I52 M38 M48 M50 M52 I40 M40 I42 M42 I44 M44 I46 M46">
    <cfRule type="containsText" dxfId="1792" priority="1798" operator="containsText" text="%">
      <formula>NOT(ISERROR(SEARCH("%",I38)))</formula>
    </cfRule>
  </conditionalFormatting>
  <conditionalFormatting sqref="I38 I48 I50 I52 M38 M48 M50 M52 I40 M40 I42 M42 I44 M44 I46 M46">
    <cfRule type="containsText" dxfId="1791" priority="1797" operator="containsText" text="%">
      <formula>NOT(ISERROR(SEARCH("%",I38)))</formula>
    </cfRule>
  </conditionalFormatting>
  <conditionalFormatting sqref="I38 I48 I50 I52 M38 M48 M50 M52 I40 M40 I42 M42 I44 M44 I46 M46">
    <cfRule type="containsText" dxfId="1790" priority="1796" operator="containsText" text="%">
      <formula>NOT(ISERROR(SEARCH("%",I38)))</formula>
    </cfRule>
  </conditionalFormatting>
  <conditionalFormatting sqref="I38 I48 I50 I52 M38 M48 M50 M52 I40 M40 I42 M42 I44 M44 I46 M46">
    <cfRule type="containsText" dxfId="1789" priority="1795" operator="containsText" text="%">
      <formula>NOT(ISERROR(SEARCH("%",I38)))</formula>
    </cfRule>
  </conditionalFormatting>
  <conditionalFormatting sqref="G37:G52 K37:K52">
    <cfRule type="containsText" dxfId="1788" priority="1794" operator="containsText" text="%">
      <formula>NOT(ISERROR(SEARCH("%",G37)))</formula>
    </cfRule>
  </conditionalFormatting>
  <conditionalFormatting sqref="G37:G52 K37:K52">
    <cfRule type="containsText" dxfId="1787" priority="1793" operator="containsText" text="%">
      <formula>NOT(ISERROR(SEARCH("%",G37)))</formula>
    </cfRule>
  </conditionalFormatting>
  <conditionalFormatting sqref="G37:G52 K37:K52">
    <cfRule type="containsText" dxfId="1786" priority="1792" operator="containsText" text="%">
      <formula>NOT(ISERROR(SEARCH("%",G37)))</formula>
    </cfRule>
  </conditionalFormatting>
  <conditionalFormatting sqref="G37:G52 K37:K52">
    <cfRule type="containsText" dxfId="1785" priority="1791" operator="containsText" text="%">
      <formula>NOT(ISERROR(SEARCH("%",G37)))</formula>
    </cfRule>
  </conditionalFormatting>
  <conditionalFormatting sqref="G37:G52 K37:K52">
    <cfRule type="containsText" dxfId="1784" priority="1790" operator="containsText" text="%">
      <formula>NOT(ISERROR(SEARCH("%",G37)))</formula>
    </cfRule>
  </conditionalFormatting>
  <conditionalFormatting sqref="G37:G52 K37:K52">
    <cfRule type="containsText" dxfId="1783" priority="1789" operator="containsText" text="%">
      <formula>NOT(ISERROR(SEARCH("%",G37)))</formula>
    </cfRule>
  </conditionalFormatting>
  <conditionalFormatting sqref="G37:G52 K37:K52">
    <cfRule type="containsText" dxfId="1782" priority="1773" operator="containsText" text="%">
      <formula>NOT(ISERROR(SEARCH("%",G37)))</formula>
    </cfRule>
  </conditionalFormatting>
  <conditionalFormatting sqref="G37:G52 K37:K52">
    <cfRule type="containsText" dxfId="1781" priority="1772" operator="containsText" text="%">
      <formula>NOT(ISERROR(SEARCH("%",G37)))</formula>
    </cfRule>
  </conditionalFormatting>
  <conditionalFormatting sqref="G37:G52 K37:K52">
    <cfRule type="containsText" dxfId="1780" priority="1768" operator="containsText" text="%">
      <formula>NOT(ISERROR(SEARCH("%",G37)))</formula>
    </cfRule>
  </conditionalFormatting>
  <conditionalFormatting sqref="G37:G52 K37:K52">
    <cfRule type="containsText" dxfId="1779" priority="1788" operator="containsText" text="%">
      <formula>NOT(ISERROR(SEARCH("%",G37)))</formula>
    </cfRule>
  </conditionalFormatting>
  <conditionalFormatting sqref="G37 G39 K37 K39 G41 K41 G43 K43 G45 K45 G47 K47 G49 K49 G51 K51">
    <cfRule type="containsText" dxfId="1778" priority="1787" operator="containsText" text="%">
      <formula>NOT(ISERROR(SEARCH("%",G37)))</formula>
    </cfRule>
  </conditionalFormatting>
  <conditionalFormatting sqref="G37 G39 K37 K39 G41 K41 G43 K43 G45 K45 G47 K47 G49 K49 G51 K51">
    <cfRule type="containsText" dxfId="1777" priority="1786" operator="containsText" text="%">
      <formula>NOT(ISERROR(SEARCH("%",G37)))</formula>
    </cfRule>
  </conditionalFormatting>
  <conditionalFormatting sqref="G37:G52 K37:K52">
    <cfRule type="containsText" dxfId="1776" priority="1766" operator="containsText" text="%">
      <formula>NOT(ISERROR(SEARCH("%",G37)))</formula>
    </cfRule>
  </conditionalFormatting>
  <conditionalFormatting sqref="G37:G52 K37:K52">
    <cfRule type="containsText" dxfId="1775" priority="1785" operator="containsText" text="%">
      <formula>NOT(ISERROR(SEARCH("%",G37)))</formula>
    </cfRule>
  </conditionalFormatting>
  <conditionalFormatting sqref="G37:G52 K37:K52">
    <cfRule type="containsText" dxfId="1774" priority="1784" operator="containsText" text="%">
      <formula>NOT(ISERROR(SEARCH("%",G37)))</formula>
    </cfRule>
  </conditionalFormatting>
  <conditionalFormatting sqref="G37:G52 K37:K52">
    <cfRule type="containsText" dxfId="1773" priority="1783" operator="containsText" text="%">
      <formula>NOT(ISERROR(SEARCH("%",G37)))</formula>
    </cfRule>
  </conditionalFormatting>
  <conditionalFormatting sqref="G37:G52 K37:K52">
    <cfRule type="containsText" dxfId="1772" priority="1782" operator="containsText" text="%">
      <formula>NOT(ISERROR(SEARCH("%",G37)))</formula>
    </cfRule>
  </conditionalFormatting>
  <conditionalFormatting sqref="G37:G52 K37:K52">
    <cfRule type="containsText" dxfId="1771" priority="1781" operator="containsText" text="%">
      <formula>NOT(ISERROR(SEARCH("%",G37)))</formula>
    </cfRule>
  </conditionalFormatting>
  <conditionalFormatting sqref="G37:G52 K37:K52">
    <cfRule type="containsText" dxfId="1770" priority="1780" operator="containsText" text="%">
      <formula>NOT(ISERROR(SEARCH("%",G37)))</formula>
    </cfRule>
  </conditionalFormatting>
  <conditionalFormatting sqref="G37:G52 K37:K52">
    <cfRule type="containsText" dxfId="1769" priority="1779" operator="containsText" text="%">
      <formula>NOT(ISERROR(SEARCH("%",G37)))</formula>
    </cfRule>
  </conditionalFormatting>
  <conditionalFormatting sqref="G37:G52 K37:K52">
    <cfRule type="containsText" dxfId="1768" priority="1778" operator="containsText" text="%">
      <formula>NOT(ISERROR(SEARCH("%",G37)))</formula>
    </cfRule>
  </conditionalFormatting>
  <conditionalFormatting sqref="G37:G52 K37:K52">
    <cfRule type="containsText" dxfId="1767" priority="1777" operator="containsText" text="%">
      <formula>NOT(ISERROR(SEARCH("%",G37)))</formula>
    </cfRule>
  </conditionalFormatting>
  <conditionalFormatting sqref="G37:G52 K37:K52">
    <cfRule type="containsText" dxfId="1766" priority="1776" operator="containsText" text="%">
      <formula>NOT(ISERROR(SEARCH("%",G37)))</formula>
    </cfRule>
  </conditionalFormatting>
  <conditionalFormatting sqref="G37:G52 K37:K52">
    <cfRule type="containsText" dxfId="1765" priority="1775" operator="containsText" text="%">
      <formula>NOT(ISERROR(SEARCH("%",G37)))</formula>
    </cfRule>
  </conditionalFormatting>
  <conditionalFormatting sqref="G37:G52 K37:K52">
    <cfRule type="containsText" dxfId="1764" priority="1774" operator="containsText" text="%">
      <formula>NOT(ISERROR(SEARCH("%",G37)))</formula>
    </cfRule>
  </conditionalFormatting>
  <conditionalFormatting sqref="G37:G52 K37:K52">
    <cfRule type="containsText" dxfId="1763" priority="1771" operator="containsText" text="%">
      <formula>NOT(ISERROR(SEARCH("%",G37)))</formula>
    </cfRule>
  </conditionalFormatting>
  <conditionalFormatting sqref="G37:G52 K37:K52">
    <cfRule type="containsText" dxfId="1762" priority="1770" operator="containsText" text="%">
      <formula>NOT(ISERROR(SEARCH("%",G37)))</formula>
    </cfRule>
  </conditionalFormatting>
  <conditionalFormatting sqref="G37:G52 K37:K52">
    <cfRule type="containsText" dxfId="1761" priority="1769" operator="containsText" text="%">
      <formula>NOT(ISERROR(SEARCH("%",G37)))</formula>
    </cfRule>
  </conditionalFormatting>
  <conditionalFormatting sqref="G37:G52 K37:K52">
    <cfRule type="containsText" dxfId="1760" priority="1767" operator="containsText" text="%">
      <formula>NOT(ISERROR(SEARCH("%",G37)))</formula>
    </cfRule>
  </conditionalFormatting>
  <conditionalFormatting sqref="G37:G52 K37:K52">
    <cfRule type="containsText" dxfId="1759" priority="1765" operator="containsText" text="%">
      <formula>NOT(ISERROR(SEARCH("%",G37)))</formula>
    </cfRule>
  </conditionalFormatting>
  <conditionalFormatting sqref="G37:G52 K37:K52">
    <cfRule type="containsText" dxfId="1758" priority="1764" operator="containsText" text="%">
      <formula>NOT(ISERROR(SEARCH("%",G37)))</formula>
    </cfRule>
  </conditionalFormatting>
  <conditionalFormatting sqref="G37:G52 K37:K52">
    <cfRule type="containsText" dxfId="1757" priority="1763" operator="containsText" text="%">
      <formula>NOT(ISERROR(SEARCH("%",G37)))</formula>
    </cfRule>
  </conditionalFormatting>
  <conditionalFormatting sqref="G37:G52 K37:K52">
    <cfRule type="containsText" dxfId="1756" priority="1762" operator="containsText" text="%">
      <formula>NOT(ISERROR(SEARCH("%",G37)))</formula>
    </cfRule>
  </conditionalFormatting>
  <conditionalFormatting sqref="G37:G52 K37:K52">
    <cfRule type="containsText" dxfId="1755" priority="1761" operator="containsText" text="%">
      <formula>NOT(ISERROR(SEARCH("%",G37)))</formula>
    </cfRule>
  </conditionalFormatting>
  <conditionalFormatting sqref="G37:G52 K37:K52">
    <cfRule type="containsText" dxfId="1754" priority="1760" operator="containsText" text="%">
      <formula>NOT(ISERROR(SEARCH("%",G37)))</formula>
    </cfRule>
  </conditionalFormatting>
  <conditionalFormatting sqref="G37:G52 K37:K52">
    <cfRule type="containsText" dxfId="1753" priority="1759" operator="containsText" text="%">
      <formula>NOT(ISERROR(SEARCH("%",G37)))</formula>
    </cfRule>
  </conditionalFormatting>
  <conditionalFormatting sqref="G37:G52 K37:K52">
    <cfRule type="containsText" dxfId="1752" priority="1758" operator="containsText" text="%">
      <formula>NOT(ISERROR(SEARCH("%",G37)))</formula>
    </cfRule>
  </conditionalFormatting>
  <conditionalFormatting sqref="G37:G52 K37:K52">
    <cfRule type="containsText" dxfId="1751" priority="1757" operator="containsText" text="%">
      <formula>NOT(ISERROR(SEARCH("%",G37)))</formula>
    </cfRule>
  </conditionalFormatting>
  <conditionalFormatting sqref="G37:G52 K37:K52">
    <cfRule type="containsText" dxfId="1750" priority="1756" operator="containsText" text="%">
      <formula>NOT(ISERROR(SEARCH("%",G37)))</formula>
    </cfRule>
  </conditionalFormatting>
  <conditionalFormatting sqref="G38 G48 G50 G52 K38 K48 K50 K52 G40 K40 G42 K42 G44 K44 G46 K46">
    <cfRule type="containsText" dxfId="1749" priority="1755" operator="containsText" text="%">
      <formula>NOT(ISERROR(SEARCH("%",G38)))</formula>
    </cfRule>
  </conditionalFormatting>
  <conditionalFormatting sqref="G38 G48 G50 G52 K38 K48 K50 K52 G40 K40 G42 K42 G44 K44 G46 K46">
    <cfRule type="containsText" dxfId="1748" priority="1754" operator="containsText" text="%">
      <formula>NOT(ISERROR(SEARCH("%",G38)))</formula>
    </cfRule>
  </conditionalFormatting>
  <conditionalFormatting sqref="G38 G48 G50 G52 K38 K48 K50 K52 G40 K40 G42 K42 G44 K44 G46 K46">
    <cfRule type="containsText" dxfId="1747" priority="1753" operator="containsText" text="%">
      <formula>NOT(ISERROR(SEARCH("%",G38)))</formula>
    </cfRule>
  </conditionalFormatting>
  <conditionalFormatting sqref="G38 G48 G50 G52 K38 K48 K50 K52 G40 K40 G42 K42 G44 K44 G46 K46">
    <cfRule type="containsText" dxfId="1746" priority="1752" operator="containsText" text="%">
      <formula>NOT(ISERROR(SEARCH("%",G38)))</formula>
    </cfRule>
  </conditionalFormatting>
  <conditionalFormatting sqref="G37:G52 K37:K52">
    <cfRule type="containsText" dxfId="1745" priority="1751" operator="containsText" text="%">
      <formula>NOT(ISERROR(SEARCH("%",G37)))</formula>
    </cfRule>
  </conditionalFormatting>
  <conditionalFormatting sqref="G37:G52 K37:K52">
    <cfRule type="containsText" dxfId="1744" priority="1750" operator="containsText" text="%">
      <formula>NOT(ISERROR(SEARCH("%",G37)))</formula>
    </cfRule>
  </conditionalFormatting>
  <conditionalFormatting sqref="G37:G52 K37:K52">
    <cfRule type="containsText" dxfId="1743" priority="1749" operator="containsText" text="%">
      <formula>NOT(ISERROR(SEARCH("%",G37)))</formula>
    </cfRule>
  </conditionalFormatting>
  <conditionalFormatting sqref="G37:G52 K37:K52">
    <cfRule type="containsText" dxfId="1742" priority="1748" operator="containsText" text="%">
      <formula>NOT(ISERROR(SEARCH("%",G37)))</formula>
    </cfRule>
  </conditionalFormatting>
  <conditionalFormatting sqref="G37:G52 K37:K52">
    <cfRule type="containsText" dxfId="1741" priority="1747" operator="containsText" text="%">
      <formula>NOT(ISERROR(SEARCH("%",G37)))</formula>
    </cfRule>
  </conditionalFormatting>
  <conditionalFormatting sqref="G37:G52 K37:K52">
    <cfRule type="containsText" dxfId="1740" priority="1746" operator="containsText" text="%">
      <formula>NOT(ISERROR(SEARCH("%",G37)))</formula>
    </cfRule>
  </conditionalFormatting>
  <conditionalFormatting sqref="G37:G52 K37:K52">
    <cfRule type="containsText" dxfId="1739" priority="1745" operator="containsText" text="%">
      <formula>NOT(ISERROR(SEARCH("%",G37)))</formula>
    </cfRule>
  </conditionalFormatting>
  <conditionalFormatting sqref="G37:G52 K37:K52">
    <cfRule type="containsText" dxfId="1738" priority="1744" operator="containsText" text="%">
      <formula>NOT(ISERROR(SEARCH("%",G37)))</formula>
    </cfRule>
  </conditionalFormatting>
  <conditionalFormatting sqref="G37:G52 K37:K52">
    <cfRule type="containsText" dxfId="1737" priority="1743" operator="containsText" text="%">
      <formula>NOT(ISERROR(SEARCH("%",G37)))</formula>
    </cfRule>
  </conditionalFormatting>
  <conditionalFormatting sqref="G37:G52 K37:K52">
    <cfRule type="containsText" dxfId="1736" priority="1742" operator="containsText" text="%">
      <formula>NOT(ISERROR(SEARCH("%",G37)))</formula>
    </cfRule>
  </conditionalFormatting>
  <conditionalFormatting sqref="G38 G48 G50 G52 K38 K48 K50 K52 G40 K40 G42 K42 G44 K44 G46 K46">
    <cfRule type="containsText" dxfId="1735" priority="1741" operator="containsText" text="%">
      <formula>NOT(ISERROR(SEARCH("%",G38)))</formula>
    </cfRule>
  </conditionalFormatting>
  <conditionalFormatting sqref="G38 G48 G50 G52 K38 K48 K50 K52 G40 K40 G42 K42 G44 K44 G46 K46">
    <cfRule type="containsText" dxfId="1734" priority="1740" operator="containsText" text="%">
      <formula>NOT(ISERROR(SEARCH("%",G38)))</formula>
    </cfRule>
  </conditionalFormatting>
  <conditionalFormatting sqref="G38 G48 G50 G52 K38 K48 K50 K52 G40 K40 G42 K42 G44 K44 G46 K46">
    <cfRule type="containsText" dxfId="1733" priority="1739" operator="containsText" text="%">
      <formula>NOT(ISERROR(SEARCH("%",G38)))</formula>
    </cfRule>
  </conditionalFormatting>
  <conditionalFormatting sqref="G38 G48 G50 G52 K38 K48 K50 K52 G40 K40 G42 K42 G44 K44 G46 K46">
    <cfRule type="containsText" dxfId="1732" priority="1738" operator="containsText" text="%">
      <formula>NOT(ISERROR(SEARCH("%",G38)))</formula>
    </cfRule>
  </conditionalFormatting>
  <conditionalFormatting sqref="G37:G52 K37:K52">
    <cfRule type="containsText" dxfId="1731" priority="1737" operator="containsText" text="%">
      <formula>NOT(ISERROR(SEARCH("%",G37)))</formula>
    </cfRule>
  </conditionalFormatting>
  <conditionalFormatting sqref="G37:G52 K37:K52">
    <cfRule type="containsText" dxfId="1730" priority="1736" operator="containsText" text="%">
      <formula>NOT(ISERROR(SEARCH("%",G37)))</formula>
    </cfRule>
  </conditionalFormatting>
  <conditionalFormatting sqref="G37:G52 K37:K52">
    <cfRule type="containsText" dxfId="1729" priority="1735" operator="containsText" text="%">
      <formula>NOT(ISERROR(SEARCH("%",G37)))</formula>
    </cfRule>
  </conditionalFormatting>
  <conditionalFormatting sqref="G37:G52 K37:K52">
    <cfRule type="containsText" dxfId="1728" priority="1734" operator="containsText" text="%">
      <formula>NOT(ISERROR(SEARCH("%",G37)))</formula>
    </cfRule>
  </conditionalFormatting>
  <conditionalFormatting sqref="G37:G52 K37:K52">
    <cfRule type="containsText" dxfId="1727" priority="1733" operator="containsText" text="%">
      <formula>NOT(ISERROR(SEARCH("%",G37)))</formula>
    </cfRule>
  </conditionalFormatting>
  <conditionalFormatting sqref="G37:G52 K37:K52">
    <cfRule type="containsText" dxfId="1726" priority="1732" operator="containsText" text="%">
      <formula>NOT(ISERROR(SEARCH("%",G37)))</formula>
    </cfRule>
  </conditionalFormatting>
  <conditionalFormatting sqref="G38 G48 G50 G52 K38 K48 K50 K52 G40 K40 G42 K42 G44 K44 G46 K46">
    <cfRule type="containsText" dxfId="1725" priority="1731" operator="containsText" text="%">
      <formula>NOT(ISERROR(SEARCH("%",G38)))</formula>
    </cfRule>
  </conditionalFormatting>
  <conditionalFormatting sqref="G38 G48 G50 G52 K38 K48 K50 K52 G40 K40 G42 K42 G44 K44 G46 K46">
    <cfRule type="containsText" dxfId="1724" priority="1730" operator="containsText" text="%">
      <formula>NOT(ISERROR(SEARCH("%",G38)))</formula>
    </cfRule>
  </conditionalFormatting>
  <conditionalFormatting sqref="G38 G48 G50 G52 K38 K48 K50 K52 G40 K40 G42 K42 G44 K44 G46 K46">
    <cfRule type="containsText" dxfId="1723" priority="1729" operator="containsText" text="%">
      <formula>NOT(ISERROR(SEARCH("%",G38)))</formula>
    </cfRule>
  </conditionalFormatting>
  <conditionalFormatting sqref="G38 G48 G50 G52 K38 K48 K50 K52 G40 K40 G42 K42 G44 K44 G46 K46">
    <cfRule type="containsText" dxfId="1722" priority="1728" operator="containsText" text="%">
      <formula>NOT(ISERROR(SEARCH("%",G38)))</formula>
    </cfRule>
  </conditionalFormatting>
  <conditionalFormatting sqref="G37:G52 K37:K52">
    <cfRule type="containsText" dxfId="1721" priority="1712" operator="containsText" text="%">
      <formula>NOT(ISERROR(SEARCH("%",G37)))</formula>
    </cfRule>
  </conditionalFormatting>
  <conditionalFormatting sqref="G37:G52 K37:K52">
    <cfRule type="containsText" dxfId="1720" priority="1711" operator="containsText" text="%">
      <formula>NOT(ISERROR(SEARCH("%",G37)))</formula>
    </cfRule>
  </conditionalFormatting>
  <conditionalFormatting sqref="G37:G52 K37:K52">
    <cfRule type="containsText" dxfId="1719" priority="1707" operator="containsText" text="%">
      <formula>NOT(ISERROR(SEARCH("%",G37)))</formula>
    </cfRule>
  </conditionalFormatting>
  <conditionalFormatting sqref="G37:G52 K37:K52">
    <cfRule type="containsText" dxfId="1718" priority="1727" operator="containsText" text="%">
      <formula>NOT(ISERROR(SEARCH("%",G37)))</formula>
    </cfRule>
  </conditionalFormatting>
  <conditionalFormatting sqref="G37 G39 K37 K39 G41 K41 G43 K43 G45 K45 G47 K47 G49 K49 G51 K51">
    <cfRule type="containsText" dxfId="1717" priority="1726" operator="containsText" text="%">
      <formula>NOT(ISERROR(SEARCH("%",G37)))</formula>
    </cfRule>
  </conditionalFormatting>
  <conditionalFormatting sqref="G37 G39 K37 K39 G41 K41 G43 K43 G45 K45 G47 K47 G49 K49 G51 K51">
    <cfRule type="containsText" dxfId="1716" priority="1725" operator="containsText" text="%">
      <formula>NOT(ISERROR(SEARCH("%",G37)))</formula>
    </cfRule>
  </conditionalFormatting>
  <conditionalFormatting sqref="G37:G52 K37:K52">
    <cfRule type="containsText" dxfId="1715" priority="1705" operator="containsText" text="%">
      <formula>NOT(ISERROR(SEARCH("%",G37)))</formula>
    </cfRule>
  </conditionalFormatting>
  <conditionalFormatting sqref="G37:G52 K37:K52">
    <cfRule type="containsText" dxfId="1714" priority="1724" operator="containsText" text="%">
      <formula>NOT(ISERROR(SEARCH("%",G37)))</formula>
    </cfRule>
  </conditionalFormatting>
  <conditionalFormatting sqref="G37:G52 K37:K52">
    <cfRule type="containsText" dxfId="1713" priority="1723" operator="containsText" text="%">
      <formula>NOT(ISERROR(SEARCH("%",G37)))</formula>
    </cfRule>
  </conditionalFormatting>
  <conditionalFormatting sqref="G37:G52 K37:K52">
    <cfRule type="containsText" dxfId="1712" priority="1722" operator="containsText" text="%">
      <formula>NOT(ISERROR(SEARCH("%",G37)))</formula>
    </cfRule>
  </conditionalFormatting>
  <conditionalFormatting sqref="G37:G52 K37:K52">
    <cfRule type="containsText" dxfId="1711" priority="1721" operator="containsText" text="%">
      <formula>NOT(ISERROR(SEARCH("%",G37)))</formula>
    </cfRule>
  </conditionalFormatting>
  <conditionalFormatting sqref="G37:G52 K37:K52">
    <cfRule type="containsText" dxfId="1710" priority="1720" operator="containsText" text="%">
      <formula>NOT(ISERROR(SEARCH("%",G37)))</formula>
    </cfRule>
  </conditionalFormatting>
  <conditionalFormatting sqref="G37:G52 K37:K52">
    <cfRule type="containsText" dxfId="1709" priority="1719" operator="containsText" text="%">
      <formula>NOT(ISERROR(SEARCH("%",G37)))</formula>
    </cfRule>
  </conditionalFormatting>
  <conditionalFormatting sqref="G37:G52 K37:K52">
    <cfRule type="containsText" dxfId="1708" priority="1718" operator="containsText" text="%">
      <formula>NOT(ISERROR(SEARCH("%",G37)))</formula>
    </cfRule>
  </conditionalFormatting>
  <conditionalFormatting sqref="G37:G52 K37:K52">
    <cfRule type="containsText" dxfId="1707" priority="1717" operator="containsText" text="%">
      <formula>NOT(ISERROR(SEARCH("%",G37)))</formula>
    </cfRule>
  </conditionalFormatting>
  <conditionalFormatting sqref="G37:G52 K37:K52">
    <cfRule type="containsText" dxfId="1706" priority="1716" operator="containsText" text="%">
      <formula>NOT(ISERROR(SEARCH("%",G37)))</formula>
    </cfRule>
  </conditionalFormatting>
  <conditionalFormatting sqref="G37:G52 K37:K52">
    <cfRule type="containsText" dxfId="1705" priority="1715" operator="containsText" text="%">
      <formula>NOT(ISERROR(SEARCH("%",G37)))</formula>
    </cfRule>
  </conditionalFormatting>
  <conditionalFormatting sqref="G37:G52 K37:K52">
    <cfRule type="containsText" dxfId="1704" priority="1714" operator="containsText" text="%">
      <formula>NOT(ISERROR(SEARCH("%",G37)))</formula>
    </cfRule>
  </conditionalFormatting>
  <conditionalFormatting sqref="G37:G52 K37:K52">
    <cfRule type="containsText" dxfId="1703" priority="1713" operator="containsText" text="%">
      <formula>NOT(ISERROR(SEARCH("%",G37)))</formula>
    </cfRule>
  </conditionalFormatting>
  <conditionalFormatting sqref="G37:G52 K37:K52">
    <cfRule type="containsText" dxfId="1702" priority="1710" operator="containsText" text="%">
      <formula>NOT(ISERROR(SEARCH("%",G37)))</formula>
    </cfRule>
  </conditionalFormatting>
  <conditionalFormatting sqref="G37:G52 K37:K52">
    <cfRule type="containsText" dxfId="1701" priority="1709" operator="containsText" text="%">
      <formula>NOT(ISERROR(SEARCH("%",G37)))</formula>
    </cfRule>
  </conditionalFormatting>
  <conditionalFormatting sqref="G37:G52 K37:K52">
    <cfRule type="containsText" dxfId="1700" priority="1708" operator="containsText" text="%">
      <formula>NOT(ISERROR(SEARCH("%",G37)))</formula>
    </cfRule>
  </conditionalFormatting>
  <conditionalFormatting sqref="G37:G52 K37:K52">
    <cfRule type="containsText" dxfId="1699" priority="1706" operator="containsText" text="%">
      <formula>NOT(ISERROR(SEARCH("%",G37)))</formula>
    </cfRule>
  </conditionalFormatting>
  <conditionalFormatting sqref="G37:G52 K37:K52">
    <cfRule type="containsText" dxfId="1698" priority="1704" operator="containsText" text="%">
      <formula>NOT(ISERROR(SEARCH("%",G37)))</formula>
    </cfRule>
  </conditionalFormatting>
  <conditionalFormatting sqref="G37:G52 K37:K52">
    <cfRule type="containsText" dxfId="1697" priority="1703" operator="containsText" text="%">
      <formula>NOT(ISERROR(SEARCH("%",G37)))</formula>
    </cfRule>
  </conditionalFormatting>
  <conditionalFormatting sqref="G37:G52 K37:K52">
    <cfRule type="containsText" dxfId="1696" priority="1702" operator="containsText" text="%">
      <formula>NOT(ISERROR(SEARCH("%",G37)))</formula>
    </cfRule>
  </conditionalFormatting>
  <conditionalFormatting sqref="G37:G52 K37:K52">
    <cfRule type="containsText" dxfId="1695" priority="1701" operator="containsText" text="%">
      <formula>NOT(ISERROR(SEARCH("%",G37)))</formula>
    </cfRule>
  </conditionalFormatting>
  <conditionalFormatting sqref="G37:G52 K37:K52">
    <cfRule type="containsText" dxfId="1694" priority="1700" operator="containsText" text="%">
      <formula>NOT(ISERROR(SEARCH("%",G37)))</formula>
    </cfRule>
  </conditionalFormatting>
  <conditionalFormatting sqref="G37:G52 K37:K52">
    <cfRule type="containsText" dxfId="1693" priority="1699" operator="containsText" text="%">
      <formula>NOT(ISERROR(SEARCH("%",G37)))</formula>
    </cfRule>
  </conditionalFormatting>
  <conditionalFormatting sqref="G37:G52 K37:K52">
    <cfRule type="containsText" dxfId="1692" priority="1698" operator="containsText" text="%">
      <formula>NOT(ISERROR(SEARCH("%",G37)))</formula>
    </cfRule>
  </conditionalFormatting>
  <conditionalFormatting sqref="G37:G52 K37:K52">
    <cfRule type="containsText" dxfId="1691" priority="1697" operator="containsText" text="%">
      <formula>NOT(ISERROR(SEARCH("%",G37)))</formula>
    </cfRule>
  </conditionalFormatting>
  <conditionalFormatting sqref="G37:G52 K37:K52">
    <cfRule type="containsText" dxfId="1690" priority="1696" operator="containsText" text="%">
      <formula>NOT(ISERROR(SEARCH("%",G37)))</formula>
    </cfRule>
  </conditionalFormatting>
  <conditionalFormatting sqref="G37:G52 K37:K52">
    <cfRule type="containsText" dxfId="1689" priority="1695" operator="containsText" text="%">
      <formula>NOT(ISERROR(SEARCH("%",G37)))</formula>
    </cfRule>
  </conditionalFormatting>
  <conditionalFormatting sqref="G38 G48 G50 G52 K38 K48 K50 K52 G40 K40 G42 K42 G44 K44 G46 K46">
    <cfRule type="containsText" dxfId="1688" priority="1694" operator="containsText" text="%">
      <formula>NOT(ISERROR(SEARCH("%",G38)))</formula>
    </cfRule>
  </conditionalFormatting>
  <conditionalFormatting sqref="G38 G48 G50 G52 K38 K48 K50 K52 G40 K40 G42 K42 G44 K44 G46 K46">
    <cfRule type="containsText" dxfId="1687" priority="1693" operator="containsText" text="%">
      <formula>NOT(ISERROR(SEARCH("%",G38)))</formula>
    </cfRule>
  </conditionalFormatting>
  <conditionalFormatting sqref="G38 G48 G50 G52 K38 K48 K50 K52 G40 K40 G42 K42 G44 K44 G46 K46">
    <cfRule type="containsText" dxfId="1686" priority="1692" operator="containsText" text="%">
      <formula>NOT(ISERROR(SEARCH("%",G38)))</formula>
    </cfRule>
  </conditionalFormatting>
  <conditionalFormatting sqref="G38 G48 G50 G52 K38 K48 K50 K52 G40 K40 G42 K42 G44 K44 G46 K46">
    <cfRule type="containsText" dxfId="1685" priority="1691" operator="containsText" text="%">
      <formula>NOT(ISERROR(SEARCH("%",G38)))</formula>
    </cfRule>
  </conditionalFormatting>
  <conditionalFormatting sqref="G37:G52 K37:K52">
    <cfRule type="containsText" dxfId="1684" priority="1690" operator="containsText" text="%">
      <formula>NOT(ISERROR(SEARCH("%",G37)))</formula>
    </cfRule>
  </conditionalFormatting>
  <conditionalFormatting sqref="G37:G52 K37:K52">
    <cfRule type="containsText" dxfId="1683" priority="1689" operator="containsText" text="%">
      <formula>NOT(ISERROR(SEARCH("%",G37)))</formula>
    </cfRule>
  </conditionalFormatting>
  <conditionalFormatting sqref="G37:G52 K37:K52">
    <cfRule type="containsText" dxfId="1682" priority="1688" operator="containsText" text="%">
      <formula>NOT(ISERROR(SEARCH("%",G37)))</formula>
    </cfRule>
  </conditionalFormatting>
  <conditionalFormatting sqref="G37:G52 K37:K52">
    <cfRule type="containsText" dxfId="1681" priority="1687" operator="containsText" text="%">
      <formula>NOT(ISERROR(SEARCH("%",G37)))</formula>
    </cfRule>
  </conditionalFormatting>
  <conditionalFormatting sqref="G37:G52 K37:K52">
    <cfRule type="containsText" dxfId="1680" priority="1686" operator="containsText" text="%">
      <formula>NOT(ISERROR(SEARCH("%",G37)))</formula>
    </cfRule>
  </conditionalFormatting>
  <conditionalFormatting sqref="G37:G52 K37:K52">
    <cfRule type="containsText" dxfId="1679" priority="1685" operator="containsText" text="%">
      <formula>NOT(ISERROR(SEARCH("%",G37)))</formula>
    </cfRule>
  </conditionalFormatting>
  <conditionalFormatting sqref="G37:G52 K37:K52">
    <cfRule type="containsText" dxfId="1678" priority="1684" operator="containsText" text="%">
      <formula>NOT(ISERROR(SEARCH("%",G37)))</formula>
    </cfRule>
  </conditionalFormatting>
  <conditionalFormatting sqref="G37:G52 K37:K52">
    <cfRule type="containsText" dxfId="1677" priority="1683" operator="containsText" text="%">
      <formula>NOT(ISERROR(SEARCH("%",G37)))</formula>
    </cfRule>
  </conditionalFormatting>
  <conditionalFormatting sqref="G37:G52 K37:K52">
    <cfRule type="containsText" dxfId="1676" priority="1682" operator="containsText" text="%">
      <formula>NOT(ISERROR(SEARCH("%",G37)))</formula>
    </cfRule>
  </conditionalFormatting>
  <conditionalFormatting sqref="G37:G52 K37:K52">
    <cfRule type="containsText" dxfId="1675" priority="1681" operator="containsText" text="%">
      <formula>NOT(ISERROR(SEARCH("%",G37)))</formula>
    </cfRule>
  </conditionalFormatting>
  <conditionalFormatting sqref="G38 G48 G50 G52 K38 K48 K50 K52 G40 K40 G42 K42 G44 K44 G46 K46">
    <cfRule type="containsText" dxfId="1674" priority="1680" operator="containsText" text="%">
      <formula>NOT(ISERROR(SEARCH("%",G38)))</formula>
    </cfRule>
  </conditionalFormatting>
  <conditionalFormatting sqref="G38 G48 G50 G52 K38 K48 K50 K52 G40 K40 G42 K42 G44 K44 G46 K46">
    <cfRule type="containsText" dxfId="1673" priority="1679" operator="containsText" text="%">
      <formula>NOT(ISERROR(SEARCH("%",G38)))</formula>
    </cfRule>
  </conditionalFormatting>
  <conditionalFormatting sqref="G38 G48 G50 G52 K38 K48 K50 K52 G40 K40 G42 K42 G44 K44 G46 K46">
    <cfRule type="containsText" dxfId="1672" priority="1678" operator="containsText" text="%">
      <formula>NOT(ISERROR(SEARCH("%",G38)))</formula>
    </cfRule>
  </conditionalFormatting>
  <conditionalFormatting sqref="G38 G48 G50 G52 K38 K48 K50 K52 G40 K40 G42 K42 G44 K44 G46 K46">
    <cfRule type="containsText" dxfId="1671" priority="1677" operator="containsText" text="%">
      <formula>NOT(ISERROR(SEARCH("%",G38)))</formula>
    </cfRule>
  </conditionalFormatting>
  <conditionalFormatting sqref="G37 G39 K37 K39 G41 K41 G43 K43 G45 K45 G47 K47 G49 K49 G51 K51">
    <cfRule type="containsText" dxfId="1670" priority="1676" operator="containsText" text="%">
      <formula>NOT(ISERROR(SEARCH("%",G37)))</formula>
    </cfRule>
  </conditionalFormatting>
  <conditionalFormatting sqref="G37 G39 K37 K39 G41 K41 G43 K43 G45 K45 G47 K47 G49 K49 G51 K51">
    <cfRule type="containsText" dxfId="1669" priority="1675" operator="containsText" text="%">
      <formula>NOT(ISERROR(SEARCH("%",G37)))</formula>
    </cfRule>
  </conditionalFormatting>
  <conditionalFormatting sqref="G37 G39 K37 K39 G41 K41 G43 K43 G45 K45 G47 K47 G49 K49 G51 K51">
    <cfRule type="containsText" dxfId="1668" priority="1674" operator="containsText" text="%">
      <formula>NOT(ISERROR(SEARCH("%",G37)))</formula>
    </cfRule>
  </conditionalFormatting>
  <conditionalFormatting sqref="G37 G39 K37 K39 G41 K41 G43 K43 G45 K45 G47 K47 G49 K49 G51 K51">
    <cfRule type="containsText" dxfId="1667" priority="1673" operator="containsText" text="%">
      <formula>NOT(ISERROR(SEARCH("%",G37)))</formula>
    </cfRule>
  </conditionalFormatting>
  <conditionalFormatting sqref="G37 G39 K37 K39 G41 K41 G43 K43 G45 K45 G47 K47 G49 K49 G51 K51">
    <cfRule type="containsText" dxfId="1666" priority="1672" operator="containsText" text="%">
      <formula>NOT(ISERROR(SEARCH("%",G37)))</formula>
    </cfRule>
  </conditionalFormatting>
  <conditionalFormatting sqref="G37 G39 K37 K39 G41 K41 G43 K43 G45 K45 G47 K47 G49 K49 G51 K51">
    <cfRule type="containsText" dxfId="1665" priority="1671" operator="containsText" text="%">
      <formula>NOT(ISERROR(SEARCH("%",G37)))</formula>
    </cfRule>
  </conditionalFormatting>
  <conditionalFormatting sqref="G38 G48 G50 G52 K38 K48 K50 K52 G40 K40 G42 K42 G44 K44 G46 K46">
    <cfRule type="containsText" dxfId="1664" priority="1670" operator="containsText" text="%">
      <formula>NOT(ISERROR(SEARCH("%",G38)))</formula>
    </cfRule>
  </conditionalFormatting>
  <conditionalFormatting sqref="G38 G48 G50 G52 K38 K48 K50 K52 G40 K40 G42 K42 G44 K44 G46 K46">
    <cfRule type="containsText" dxfId="1663" priority="1669" operator="containsText" text="%">
      <formula>NOT(ISERROR(SEARCH("%",G38)))</formula>
    </cfRule>
  </conditionalFormatting>
  <conditionalFormatting sqref="G38 G48 G50 G52 K38 K48 K50 K52 G40 K40 G42 K42 G44 K44 G46 K46">
    <cfRule type="containsText" dxfId="1662" priority="1668" operator="containsText" text="%">
      <formula>NOT(ISERROR(SEARCH("%",G38)))</formula>
    </cfRule>
  </conditionalFormatting>
  <conditionalFormatting sqref="G38 G48 G50 G52 K38 K48 K50 K52 G40 K40 G42 K42 G44 K44 G46 K46">
    <cfRule type="containsText" dxfId="1661" priority="1667" operator="containsText" text="%">
      <formula>NOT(ISERROR(SEARCH("%",G38)))</formula>
    </cfRule>
  </conditionalFormatting>
  <conditionalFormatting sqref="G38 G48 G50 G52 K38 K48 K50 K52 G40 K40 G42 K42 G44 K44 G46 K46">
    <cfRule type="containsText" dxfId="1660" priority="1666" operator="containsText" text="%">
      <formula>NOT(ISERROR(SEARCH("%",G38)))</formula>
    </cfRule>
  </conditionalFormatting>
  <conditionalFormatting sqref="G38 G48 G50 G52 K38 K48 K50 K52 G40 K40 G42 K42 G44 K44 G46 K46">
    <cfRule type="containsText" dxfId="1659" priority="1665" operator="containsText" text="%">
      <formula>NOT(ISERROR(SEARCH("%",G38)))</formula>
    </cfRule>
  </conditionalFormatting>
  <conditionalFormatting sqref="G38 G48 G50 G52 K38 K48 K50 K52 G40 K40 G42 K42 G44 K44 G46 K46">
    <cfRule type="containsText" dxfId="1658" priority="1664" operator="containsText" text="%">
      <formula>NOT(ISERROR(SEARCH("%",G38)))</formula>
    </cfRule>
  </conditionalFormatting>
  <conditionalFormatting sqref="G38 G48 G50 G52 K38 K48 K50 K52 G40 K40 G42 K42 G44 K44 G46 K46">
    <cfRule type="containsText" dxfId="1657" priority="1663" operator="containsText" text="%">
      <formula>NOT(ISERROR(SEARCH("%",G38)))</formula>
    </cfRule>
  </conditionalFormatting>
  <conditionalFormatting sqref="G38 G48 G50 G52 K38 K48 K50 K52 G40 K40 G42 K42 G44 K44 G46 K46">
    <cfRule type="containsText" dxfId="1656" priority="1662" operator="containsText" text="%">
      <formula>NOT(ISERROR(SEARCH("%",G38)))</formula>
    </cfRule>
  </conditionalFormatting>
  <conditionalFormatting sqref="G38 G48 G50 G52 K38 K48 K50 K52 G40 K40 G42 K42 G44 K44 G46 K46">
    <cfRule type="containsText" dxfId="1655" priority="1661" operator="containsText" text="%">
      <formula>NOT(ISERROR(SEARCH("%",G38)))</formula>
    </cfRule>
  </conditionalFormatting>
  <conditionalFormatting sqref="G38 G48 G50 G52 K38 K48 K50 K52 G40 K40 G42 K42 G44 K44 G46 K46">
    <cfRule type="containsText" dxfId="1654" priority="1647" operator="containsText" text="%">
      <formula>NOT(ISERROR(SEARCH("%",G38)))</formula>
    </cfRule>
  </conditionalFormatting>
  <conditionalFormatting sqref="G38 G48 G50 G52 K38 K48 K50 K52 G40 K40 G42 K42 G44 K44 G46 K46">
    <cfRule type="containsText" dxfId="1653" priority="1646" operator="containsText" text="%">
      <formula>NOT(ISERROR(SEARCH("%",G38)))</formula>
    </cfRule>
  </conditionalFormatting>
  <conditionalFormatting sqref="G38 G48 G50 G52 K38 K48 K50 K52 G40 K40 G42 K42 G44 K44 G46 K46">
    <cfRule type="containsText" dxfId="1652" priority="1642" operator="containsText" text="%">
      <formula>NOT(ISERROR(SEARCH("%",G38)))</formula>
    </cfRule>
  </conditionalFormatting>
  <conditionalFormatting sqref="G38 G48 G50 G52 K38 K48 K50 K52 G40 K40 G42 K42 G44 K44 G46 K46">
    <cfRule type="containsText" dxfId="1651" priority="1660" operator="containsText" text="%">
      <formula>NOT(ISERROR(SEARCH("%",G38)))</formula>
    </cfRule>
  </conditionalFormatting>
  <conditionalFormatting sqref="G38 G48 G50 G52 K38 K48 K50 K52 G40 K40 G42 K42 G44 K44 G46 K46">
    <cfRule type="containsText" dxfId="1650" priority="1640" operator="containsText" text="%">
      <formula>NOT(ISERROR(SEARCH("%",G38)))</formula>
    </cfRule>
  </conditionalFormatting>
  <conditionalFormatting sqref="G38 G48 G50 G52 K38 K48 K50 K52 G40 K40 G42 K42 G44 K44 G46 K46">
    <cfRule type="containsText" dxfId="1649" priority="1659" operator="containsText" text="%">
      <formula>NOT(ISERROR(SEARCH("%",G38)))</formula>
    </cfRule>
  </conditionalFormatting>
  <conditionalFormatting sqref="G38 G48 G50 G52 K38 K48 K50 K52 G40 K40 G42 K42 G44 K44 G46 K46">
    <cfRule type="containsText" dxfId="1648" priority="1658" operator="containsText" text="%">
      <formula>NOT(ISERROR(SEARCH("%",G38)))</formula>
    </cfRule>
  </conditionalFormatting>
  <conditionalFormatting sqref="G38 G48 G50 G52 K38 K48 K50 K52 G40 K40 G42 K42 G44 K44 G46 K46">
    <cfRule type="containsText" dxfId="1647" priority="1657" operator="containsText" text="%">
      <formula>NOT(ISERROR(SEARCH("%",G38)))</formula>
    </cfRule>
  </conditionalFormatting>
  <conditionalFormatting sqref="G38 G48 G50 G52 K38 K48 K50 K52 G40 K40 G42 K42 G44 K44 G46 K46">
    <cfRule type="containsText" dxfId="1646" priority="1656" operator="containsText" text="%">
      <formula>NOT(ISERROR(SEARCH("%",G38)))</formula>
    </cfRule>
  </conditionalFormatting>
  <conditionalFormatting sqref="G38 G48 G50 G52 K38 K48 K50 K52 G40 K40 G42 K42 G44 K44 G46 K46">
    <cfRule type="containsText" dxfId="1645" priority="1655" operator="containsText" text="%">
      <formula>NOT(ISERROR(SEARCH("%",G38)))</formula>
    </cfRule>
  </conditionalFormatting>
  <conditionalFormatting sqref="G38 G48 G50 G52 K38 K48 K50 K52 G40 K40 G42 K42 G44 K44 G46 K46">
    <cfRule type="containsText" dxfId="1644" priority="1654" operator="containsText" text="%">
      <formula>NOT(ISERROR(SEARCH("%",G38)))</formula>
    </cfRule>
  </conditionalFormatting>
  <conditionalFormatting sqref="G38 G48 G50 G52 K38 K48 K50 K52 G40 K40 G42 K42 G44 K44 G46 K46">
    <cfRule type="containsText" dxfId="1643" priority="1653" operator="containsText" text="%">
      <formula>NOT(ISERROR(SEARCH("%",G38)))</formula>
    </cfRule>
  </conditionalFormatting>
  <conditionalFormatting sqref="G38 G48 G50 G52 K38 K48 K50 K52 G40 K40 G42 K42 G44 K44 G46 K46">
    <cfRule type="containsText" dxfId="1642" priority="1652" operator="containsText" text="%">
      <formula>NOT(ISERROR(SEARCH("%",G38)))</formula>
    </cfRule>
  </conditionalFormatting>
  <conditionalFormatting sqref="G38 G48 G50 G52 K38 K48 K50 K52 G40 K40 G42 K42 G44 K44 G46 K46">
    <cfRule type="containsText" dxfId="1641" priority="1651" operator="containsText" text="%">
      <formula>NOT(ISERROR(SEARCH("%",G38)))</formula>
    </cfRule>
  </conditionalFormatting>
  <conditionalFormatting sqref="G38 G48 G50 G52 K38 K48 K50 K52 G40 K40 G42 K42 G44 K44 G46 K46">
    <cfRule type="containsText" dxfId="1640" priority="1650" operator="containsText" text="%">
      <formula>NOT(ISERROR(SEARCH("%",G38)))</formula>
    </cfRule>
  </conditionalFormatting>
  <conditionalFormatting sqref="G38 G48 G50 G52 K38 K48 K50 K52 G40 K40 G42 K42 G44 K44 G46 K46">
    <cfRule type="containsText" dxfId="1639" priority="1649" operator="containsText" text="%">
      <formula>NOT(ISERROR(SEARCH("%",G38)))</formula>
    </cfRule>
  </conditionalFormatting>
  <conditionalFormatting sqref="G38 G48 G50 G52 K38 K48 K50 K52 G40 K40 G42 K42 G44 K44 G46 K46">
    <cfRule type="containsText" dxfId="1638" priority="1648" operator="containsText" text="%">
      <formula>NOT(ISERROR(SEARCH("%",G38)))</formula>
    </cfRule>
  </conditionalFormatting>
  <conditionalFormatting sqref="G38 G48 G50 G52 K38 K48 K50 K52 G40 K40 G42 K42 G44 K44 G46 K46">
    <cfRule type="containsText" dxfId="1637" priority="1645" operator="containsText" text="%">
      <formula>NOT(ISERROR(SEARCH("%",G38)))</formula>
    </cfRule>
  </conditionalFormatting>
  <conditionalFormatting sqref="G38 G48 G50 G52 K38 K48 K50 K52 G40 K40 G42 K42 G44 K44 G46 K46">
    <cfRule type="containsText" dxfId="1636" priority="1644" operator="containsText" text="%">
      <formula>NOT(ISERROR(SEARCH("%",G38)))</formula>
    </cfRule>
  </conditionalFormatting>
  <conditionalFormatting sqref="G38 G48 G50 G52 K38 K48 K50 K52 G40 K40 G42 K42 G44 K44 G46 K46">
    <cfRule type="containsText" dxfId="1635" priority="1643" operator="containsText" text="%">
      <formula>NOT(ISERROR(SEARCH("%",G38)))</formula>
    </cfRule>
  </conditionalFormatting>
  <conditionalFormatting sqref="G38 G48 G50 G52 K38 K48 K50 K52 G40 K40 G42 K42 G44 K44 G46 K46">
    <cfRule type="containsText" dxfId="1634" priority="1641" operator="containsText" text="%">
      <formula>NOT(ISERROR(SEARCH("%",G38)))</formula>
    </cfRule>
  </conditionalFormatting>
  <conditionalFormatting sqref="G38 G48 G50 G52 K38 K48 K50 K52 G40 K40 G42 K42 G44 K44 G46 K46">
    <cfRule type="containsText" dxfId="1633" priority="1639" operator="containsText" text="%">
      <formula>NOT(ISERROR(SEARCH("%",G38)))</formula>
    </cfRule>
  </conditionalFormatting>
  <conditionalFormatting sqref="G38 G48 G50 G52 K38 K48 K50 K52 G40 K40 G42 K42 G44 K44 G46 K46">
    <cfRule type="containsText" dxfId="1632" priority="1638" operator="containsText" text="%">
      <formula>NOT(ISERROR(SEARCH("%",G38)))</formula>
    </cfRule>
  </conditionalFormatting>
  <conditionalFormatting sqref="G38 G48 G50 G52 K38 K48 K50 K52 G40 K40 G42 K42 G44 K44 G46 K46">
    <cfRule type="containsText" dxfId="1631" priority="1637" operator="containsText" text="%">
      <formula>NOT(ISERROR(SEARCH("%",G38)))</formula>
    </cfRule>
  </conditionalFormatting>
  <conditionalFormatting sqref="G38 G48 G50 G52 K38 K48 K50 K52 G40 K40 G42 K42 G44 K44 G46 K46">
    <cfRule type="containsText" dxfId="1630" priority="1636" operator="containsText" text="%">
      <formula>NOT(ISERROR(SEARCH("%",G38)))</formula>
    </cfRule>
  </conditionalFormatting>
  <conditionalFormatting sqref="G38 G48 G50 G52 K38 K48 K50 K52 G40 K40 G42 K42 G44 K44 G46 K46">
    <cfRule type="containsText" dxfId="1629" priority="1635" operator="containsText" text="%">
      <formula>NOT(ISERROR(SEARCH("%",G38)))</formula>
    </cfRule>
  </conditionalFormatting>
  <conditionalFormatting sqref="G38 G48 G50 G52 K38 K48 K50 K52 G40 K40 G42 K42 G44 K44 G46 K46">
    <cfRule type="containsText" dxfId="1628" priority="1634" operator="containsText" text="%">
      <formula>NOT(ISERROR(SEARCH("%",G38)))</formula>
    </cfRule>
  </conditionalFormatting>
  <conditionalFormatting sqref="G38 G48 G50 G52 K38 K48 K50 K52 G40 K40 G42 K42 G44 K44 G46 K46">
    <cfRule type="containsText" dxfId="1627" priority="1633" operator="containsText" text="%">
      <formula>NOT(ISERROR(SEARCH("%",G38)))</formula>
    </cfRule>
  </conditionalFormatting>
  <conditionalFormatting sqref="G38 G48 G50 G52 K38 K48 K50 K52 G40 K40 G42 K42 G44 K44 G46 K46">
    <cfRule type="containsText" dxfId="1626" priority="1632" operator="containsText" text="%">
      <formula>NOT(ISERROR(SEARCH("%",G38)))</formula>
    </cfRule>
  </conditionalFormatting>
  <conditionalFormatting sqref="G38 G48 G50 G52 K38 K48 K50 K52 G40 K40 G42 K42 G44 K44 G46 K46">
    <cfRule type="containsText" dxfId="1625" priority="1631" operator="containsText" text="%">
      <formula>NOT(ISERROR(SEARCH("%",G38)))</formula>
    </cfRule>
  </conditionalFormatting>
  <conditionalFormatting sqref="G38 G48 G50 G52 K38 K48 K50 K52 G40 K40 G42 K42 G44 K44 G46 K46">
    <cfRule type="containsText" dxfId="1624" priority="1630" operator="containsText" text="%">
      <formula>NOT(ISERROR(SEARCH("%",G38)))</formula>
    </cfRule>
  </conditionalFormatting>
  <conditionalFormatting sqref="G38 G48 G50 G52 K38 K48 K50 K52 G40 K40 G42 K42 G44 K44 G46 K46">
    <cfRule type="containsText" dxfId="1623" priority="1629" operator="containsText" text="%">
      <formula>NOT(ISERROR(SEARCH("%",G38)))</formula>
    </cfRule>
  </conditionalFormatting>
  <conditionalFormatting sqref="G38 G48 G50 G52 K38 K48 K50 K52 G40 K40 G42 K42 G44 K44 G46 K46">
    <cfRule type="containsText" dxfId="1622" priority="1628" operator="containsText" text="%">
      <formula>NOT(ISERROR(SEARCH("%",G38)))</formula>
    </cfRule>
  </conditionalFormatting>
  <conditionalFormatting sqref="G38 G48 G50 G52 K38 K48 K50 K52 G40 K40 G42 K42 G44 K44 G46 K46">
    <cfRule type="containsText" dxfId="1621" priority="1627" operator="containsText" text="%">
      <formula>NOT(ISERROR(SEARCH("%",G38)))</formula>
    </cfRule>
  </conditionalFormatting>
  <conditionalFormatting sqref="G38 G48 G50 G52 K38 K48 K50 K52 G40 K40 G42 K42 G44 K44 G46 K46">
    <cfRule type="containsText" dxfId="1620" priority="1626" operator="containsText" text="%">
      <formula>NOT(ISERROR(SEARCH("%",G38)))</formula>
    </cfRule>
  </conditionalFormatting>
  <conditionalFormatting sqref="G38 G48 G50 G52 K38 K48 K50 K52 G40 K40 G42 K42 G44 K44 G46 K46">
    <cfRule type="containsText" dxfId="1619" priority="1625" operator="containsText" text="%">
      <formula>NOT(ISERROR(SEARCH("%",G38)))</formula>
    </cfRule>
  </conditionalFormatting>
  <conditionalFormatting sqref="G38 G48 G50 G52 K38 K48 K50 K52 G40 K40 G42 K42 G44 K44 G46 K46">
    <cfRule type="containsText" dxfId="1618" priority="1624" operator="containsText" text="%">
      <formula>NOT(ISERROR(SEARCH("%",G38)))</formula>
    </cfRule>
  </conditionalFormatting>
  <conditionalFormatting sqref="G38 G48 G50 G52 K38 K48 K50 K52 G40 K40 G42 K42 G44 K44 G46 K46">
    <cfRule type="containsText" dxfId="1617" priority="1623" operator="containsText" text="%">
      <formula>NOT(ISERROR(SEARCH("%",G38)))</formula>
    </cfRule>
  </conditionalFormatting>
  <conditionalFormatting sqref="G38 G48 G50 G52 K38 K48 K50 K52 G40 K40 G42 K42 G44 K44 G46 K46">
    <cfRule type="containsText" dxfId="1616" priority="1622" operator="containsText" text="%">
      <formula>NOT(ISERROR(SEARCH("%",G38)))</formula>
    </cfRule>
  </conditionalFormatting>
  <conditionalFormatting sqref="G38 G48 G50 G52 K38 K48 K50 K52 G40 K40 G42 K42 G44 K44 G46 K46">
    <cfRule type="containsText" dxfId="1615" priority="1621" operator="containsText" text="%">
      <formula>NOT(ISERROR(SEARCH("%",G38)))</formula>
    </cfRule>
  </conditionalFormatting>
  <conditionalFormatting sqref="G38 G48 G50 G52 K38 K48 K50 K52 G40 K40 G42 K42 G44 K44 G46 K46">
    <cfRule type="containsText" dxfId="1614" priority="1620" operator="containsText" text="%">
      <formula>NOT(ISERROR(SEARCH("%",G38)))</formula>
    </cfRule>
  </conditionalFormatting>
  <conditionalFormatting sqref="G38 G48 G50 G52 K38 K48 K50 K52 G40 K40 G42 K42 G44 K44 G46 K46">
    <cfRule type="containsText" dxfId="1613" priority="1619" operator="containsText" text="%">
      <formula>NOT(ISERROR(SEARCH("%",G38)))</formula>
    </cfRule>
  </conditionalFormatting>
  <conditionalFormatting sqref="G38 G48 G50 G52 K38 K48 K50 K52 G40 K40 G42 K42 G44 K44 G46 K46">
    <cfRule type="containsText" dxfId="1612" priority="1618" operator="containsText" text="%">
      <formula>NOT(ISERROR(SEARCH("%",G38)))</formula>
    </cfRule>
  </conditionalFormatting>
  <conditionalFormatting sqref="G38 G48 G50 G52 K38 K48 K50 K52 G40 K40 G42 K42 G44 K44 G46 K46">
    <cfRule type="containsText" dxfId="1611" priority="1617" operator="containsText" text="%">
      <formula>NOT(ISERROR(SEARCH("%",G38)))</formula>
    </cfRule>
  </conditionalFormatting>
  <conditionalFormatting sqref="G38 G48 G50 G52 K38 K48 K50 K52 G40 K40 G42 K42 G44 K44 G46 K46">
    <cfRule type="containsText" dxfId="1610" priority="1616" operator="containsText" text="%">
      <formula>NOT(ISERROR(SEARCH("%",G38)))</formula>
    </cfRule>
  </conditionalFormatting>
  <conditionalFormatting sqref="G38 G48 G50 G52 K38 K48 K50 K52 G40 K40 G42 K42 G44 K44 G46 K46">
    <cfRule type="containsText" dxfId="1609" priority="1615" operator="containsText" text="%">
      <formula>NOT(ISERROR(SEARCH("%",G38)))</formula>
    </cfRule>
  </conditionalFormatting>
  <conditionalFormatting sqref="G38 G48 G50 G52 K38 K48 K50 K52 G40 K40 G42 K42 G44 K44 G46 K46">
    <cfRule type="containsText" dxfId="1608" priority="1614" operator="containsText" text="%">
      <formula>NOT(ISERROR(SEARCH("%",G38)))</formula>
    </cfRule>
  </conditionalFormatting>
  <conditionalFormatting sqref="G38 G48 G50 G52 K38 K48 K50 K52 G40 K40 G42 K42 G44 K44 G46 K46">
    <cfRule type="containsText" dxfId="1607" priority="1613" operator="containsText" text="%">
      <formula>NOT(ISERROR(SEARCH("%",G38)))</formula>
    </cfRule>
  </conditionalFormatting>
  <conditionalFormatting sqref="G38 G48 G50 G52 K38 K48 K50 K52 G40 K40 G42 K42 G44 K44 G46 K46">
    <cfRule type="containsText" dxfId="1606" priority="1612" operator="containsText" text="%">
      <formula>NOT(ISERROR(SEARCH("%",G38)))</formula>
    </cfRule>
  </conditionalFormatting>
  <conditionalFormatting sqref="F37:F52 J37:J52">
    <cfRule type="containsText" dxfId="1605" priority="1611" operator="containsText" text="%">
      <formula>NOT(ISERROR(SEARCH("%",F37)))</formula>
    </cfRule>
  </conditionalFormatting>
  <conditionalFormatting sqref="F37:F52 J37:J52">
    <cfRule type="containsText" dxfId="1604" priority="1610" operator="containsText" text="%">
      <formula>NOT(ISERROR(SEARCH("%",F37)))</formula>
    </cfRule>
  </conditionalFormatting>
  <conditionalFormatting sqref="F37:F52 J37:J52">
    <cfRule type="containsText" dxfId="1603" priority="1609" operator="containsText" text="%">
      <formula>NOT(ISERROR(SEARCH("%",F37)))</formula>
    </cfRule>
  </conditionalFormatting>
  <conditionalFormatting sqref="F37:F52 J37:J52">
    <cfRule type="containsText" dxfId="1602" priority="1608" operator="containsText" text="%">
      <formula>NOT(ISERROR(SEARCH("%",F37)))</formula>
    </cfRule>
  </conditionalFormatting>
  <conditionalFormatting sqref="F37:F52 J37:J52">
    <cfRule type="containsText" dxfId="1601" priority="1607" operator="containsText" text="%">
      <formula>NOT(ISERROR(SEARCH("%",F37)))</formula>
    </cfRule>
  </conditionalFormatting>
  <conditionalFormatting sqref="F37:F52 J37:J52">
    <cfRule type="containsText" dxfId="1600" priority="1606" operator="containsText" text="%">
      <formula>NOT(ISERROR(SEARCH("%",F37)))</formula>
    </cfRule>
  </conditionalFormatting>
  <conditionalFormatting sqref="F37:F52 J37:J52">
    <cfRule type="containsText" dxfId="1599" priority="1605" operator="containsText" text="%">
      <formula>NOT(ISERROR(SEARCH("%",F37)))</formula>
    </cfRule>
  </conditionalFormatting>
  <conditionalFormatting sqref="F37:F52 J37:J52">
    <cfRule type="containsText" dxfId="1598" priority="1604" operator="containsText" text="%">
      <formula>NOT(ISERROR(SEARCH("%",F37)))</formula>
    </cfRule>
  </conditionalFormatting>
  <conditionalFormatting sqref="F37:F52 J37:J52">
    <cfRule type="containsText" dxfId="1597" priority="1603" operator="containsText" text="%">
      <formula>NOT(ISERROR(SEARCH("%",F37)))</formula>
    </cfRule>
  </conditionalFormatting>
  <conditionalFormatting sqref="F37:F52 J37:J52">
    <cfRule type="containsText" dxfId="1596" priority="1602" operator="containsText" text="%">
      <formula>NOT(ISERROR(SEARCH("%",F37)))</formula>
    </cfRule>
  </conditionalFormatting>
  <conditionalFormatting sqref="F37:F52 J37:J52">
    <cfRule type="containsText" dxfId="1595" priority="1601" operator="containsText" text="%">
      <formula>NOT(ISERROR(SEARCH("%",F37)))</formula>
    </cfRule>
  </conditionalFormatting>
  <conditionalFormatting sqref="F37:F52 J37:J52">
    <cfRule type="containsText" dxfId="1594" priority="1600" operator="containsText" text="%">
      <formula>NOT(ISERROR(SEARCH("%",F37)))</formula>
    </cfRule>
  </conditionalFormatting>
  <conditionalFormatting sqref="F37:F52 J37:J52">
    <cfRule type="containsText" dxfId="1593" priority="1599" operator="containsText" text="%">
      <formula>NOT(ISERROR(SEARCH("%",F37)))</formula>
    </cfRule>
  </conditionalFormatting>
  <conditionalFormatting sqref="F37:F52 J37:J52">
    <cfRule type="containsText" dxfId="1592" priority="1598" operator="containsText" text="%">
      <formula>NOT(ISERROR(SEARCH("%",F37)))</formula>
    </cfRule>
  </conditionalFormatting>
  <conditionalFormatting sqref="F37:F52 J37:J52">
    <cfRule type="containsText" dxfId="1591" priority="1582" operator="containsText" text="%">
      <formula>NOT(ISERROR(SEARCH("%",F37)))</formula>
    </cfRule>
  </conditionalFormatting>
  <conditionalFormatting sqref="F37:F52 J37:J52">
    <cfRule type="containsText" dxfId="1590" priority="1581" operator="containsText" text="%">
      <formula>NOT(ISERROR(SEARCH("%",F37)))</formula>
    </cfRule>
  </conditionalFormatting>
  <conditionalFormatting sqref="F37:F52 J37:J52">
    <cfRule type="containsText" dxfId="1589" priority="1577" operator="containsText" text="%">
      <formula>NOT(ISERROR(SEARCH("%",F37)))</formula>
    </cfRule>
  </conditionalFormatting>
  <conditionalFormatting sqref="F37:F52 J37:J52">
    <cfRule type="containsText" dxfId="1588" priority="1597" operator="containsText" text="%">
      <formula>NOT(ISERROR(SEARCH("%",F37)))</formula>
    </cfRule>
  </conditionalFormatting>
  <conditionalFormatting sqref="F37 F39 J37 J39 F41 J41 F43 J43 F45 J45 F47 J47 F49 J49 F51 J51">
    <cfRule type="containsText" dxfId="1587" priority="1596" operator="containsText" text="%">
      <formula>NOT(ISERROR(SEARCH("%",F37)))</formula>
    </cfRule>
  </conditionalFormatting>
  <conditionalFormatting sqref="F37 F39 J37 J39 F41 J41 F43 J43 F45 J45 F47 J47 F49 J49 F51 J51">
    <cfRule type="containsText" dxfId="1586" priority="1595" operator="containsText" text="%">
      <formula>NOT(ISERROR(SEARCH("%",F37)))</formula>
    </cfRule>
  </conditionalFormatting>
  <conditionalFormatting sqref="F37:F52 J37:J52">
    <cfRule type="containsText" dxfId="1585" priority="1575" operator="containsText" text="%">
      <formula>NOT(ISERROR(SEARCH("%",F37)))</formula>
    </cfRule>
  </conditionalFormatting>
  <conditionalFormatting sqref="F37:F52 J37:J52">
    <cfRule type="containsText" dxfId="1584" priority="1594" operator="containsText" text="%">
      <formula>NOT(ISERROR(SEARCH("%",F37)))</formula>
    </cfRule>
  </conditionalFormatting>
  <conditionalFormatting sqref="F37:F52 J37:J52">
    <cfRule type="containsText" dxfId="1583" priority="1593" operator="containsText" text="%">
      <formula>NOT(ISERROR(SEARCH("%",F37)))</formula>
    </cfRule>
  </conditionalFormatting>
  <conditionalFormatting sqref="F37:F52 J37:J52">
    <cfRule type="containsText" dxfId="1582" priority="1592" operator="containsText" text="%">
      <formula>NOT(ISERROR(SEARCH("%",F37)))</formula>
    </cfRule>
  </conditionalFormatting>
  <conditionalFormatting sqref="F37:F52 J37:J52">
    <cfRule type="containsText" dxfId="1581" priority="1591" operator="containsText" text="%">
      <formula>NOT(ISERROR(SEARCH("%",F37)))</formula>
    </cfRule>
  </conditionalFormatting>
  <conditionalFormatting sqref="F37:F52 J37:J52">
    <cfRule type="containsText" dxfId="1580" priority="1590" operator="containsText" text="%">
      <formula>NOT(ISERROR(SEARCH("%",F37)))</formula>
    </cfRule>
  </conditionalFormatting>
  <conditionalFormatting sqref="F37:F52 J37:J52">
    <cfRule type="containsText" dxfId="1579" priority="1589" operator="containsText" text="%">
      <formula>NOT(ISERROR(SEARCH("%",F37)))</formula>
    </cfRule>
  </conditionalFormatting>
  <conditionalFormatting sqref="F37:F52 J37:J52">
    <cfRule type="containsText" dxfId="1578" priority="1588" operator="containsText" text="%">
      <formula>NOT(ISERROR(SEARCH("%",F37)))</formula>
    </cfRule>
  </conditionalFormatting>
  <conditionalFormatting sqref="F37:F52 J37:J52">
    <cfRule type="containsText" dxfId="1577" priority="1587" operator="containsText" text="%">
      <formula>NOT(ISERROR(SEARCH("%",F37)))</formula>
    </cfRule>
  </conditionalFormatting>
  <conditionalFormatting sqref="F37:F52 J37:J52">
    <cfRule type="containsText" dxfId="1576" priority="1586" operator="containsText" text="%">
      <formula>NOT(ISERROR(SEARCH("%",F37)))</formula>
    </cfRule>
  </conditionalFormatting>
  <conditionalFormatting sqref="F37:F52 J37:J52">
    <cfRule type="containsText" dxfId="1575" priority="1585" operator="containsText" text="%">
      <formula>NOT(ISERROR(SEARCH("%",F37)))</formula>
    </cfRule>
  </conditionalFormatting>
  <conditionalFormatting sqref="F37:F52 J37:J52">
    <cfRule type="containsText" dxfId="1574" priority="1584" operator="containsText" text="%">
      <formula>NOT(ISERROR(SEARCH("%",F37)))</formula>
    </cfRule>
  </conditionalFormatting>
  <conditionalFormatting sqref="F37:F52 J37:J52">
    <cfRule type="containsText" dxfId="1573" priority="1583" operator="containsText" text="%">
      <formula>NOT(ISERROR(SEARCH("%",F37)))</formula>
    </cfRule>
  </conditionalFormatting>
  <conditionalFormatting sqref="F37:F52 J37:J52">
    <cfRule type="containsText" dxfId="1572" priority="1580" operator="containsText" text="%">
      <formula>NOT(ISERROR(SEARCH("%",F37)))</formula>
    </cfRule>
  </conditionalFormatting>
  <conditionalFormatting sqref="F37:F52 J37:J52">
    <cfRule type="containsText" dxfId="1571" priority="1579" operator="containsText" text="%">
      <formula>NOT(ISERROR(SEARCH("%",F37)))</formula>
    </cfRule>
  </conditionalFormatting>
  <conditionalFormatting sqref="F37:F52 J37:J52">
    <cfRule type="containsText" dxfId="1570" priority="1578" operator="containsText" text="%">
      <formula>NOT(ISERROR(SEARCH("%",F37)))</formula>
    </cfRule>
  </conditionalFormatting>
  <conditionalFormatting sqref="F37:F52 J37:J52">
    <cfRule type="containsText" dxfId="1569" priority="1576" operator="containsText" text="%">
      <formula>NOT(ISERROR(SEARCH("%",F37)))</formula>
    </cfRule>
  </conditionalFormatting>
  <conditionalFormatting sqref="F37:F52 J37:J52">
    <cfRule type="containsText" dxfId="1568" priority="1574" operator="containsText" text="%">
      <formula>NOT(ISERROR(SEARCH("%",F37)))</formula>
    </cfRule>
  </conditionalFormatting>
  <conditionalFormatting sqref="F37:F52 J37:J52">
    <cfRule type="containsText" dxfId="1567" priority="1573" operator="containsText" text="%">
      <formula>NOT(ISERROR(SEARCH("%",F37)))</formula>
    </cfRule>
  </conditionalFormatting>
  <conditionalFormatting sqref="F37:F52 J37:J52">
    <cfRule type="containsText" dxfId="1566" priority="1572" operator="containsText" text="%">
      <formula>NOT(ISERROR(SEARCH("%",F37)))</formula>
    </cfRule>
  </conditionalFormatting>
  <conditionalFormatting sqref="F37:F52 J37:J52">
    <cfRule type="containsText" dxfId="1565" priority="1571" operator="containsText" text="%">
      <formula>NOT(ISERROR(SEARCH("%",F37)))</formula>
    </cfRule>
  </conditionalFormatting>
  <conditionalFormatting sqref="F37:F52 J37:J52">
    <cfRule type="containsText" dxfId="1564" priority="1570" operator="containsText" text="%">
      <formula>NOT(ISERROR(SEARCH("%",F37)))</formula>
    </cfRule>
  </conditionalFormatting>
  <conditionalFormatting sqref="F37:F52 J37:J52">
    <cfRule type="containsText" dxfId="1563" priority="1569" operator="containsText" text="%">
      <formula>NOT(ISERROR(SEARCH("%",F37)))</formula>
    </cfRule>
  </conditionalFormatting>
  <conditionalFormatting sqref="F37:F52 J37:J52">
    <cfRule type="containsText" dxfId="1562" priority="1568" operator="containsText" text="%">
      <formula>NOT(ISERROR(SEARCH("%",F37)))</formula>
    </cfRule>
  </conditionalFormatting>
  <conditionalFormatting sqref="F37:F52 J37:J52">
    <cfRule type="containsText" dxfId="1561" priority="1567" operator="containsText" text="%">
      <formula>NOT(ISERROR(SEARCH("%",F37)))</formula>
    </cfRule>
  </conditionalFormatting>
  <conditionalFormatting sqref="F37:F52 J37:J52">
    <cfRule type="containsText" dxfId="1560" priority="1566" operator="containsText" text="%">
      <formula>NOT(ISERROR(SEARCH("%",F37)))</formula>
    </cfRule>
  </conditionalFormatting>
  <conditionalFormatting sqref="F37:F52 J37:J52">
    <cfRule type="containsText" dxfId="1559" priority="1565" operator="containsText" text="%">
      <formula>NOT(ISERROR(SEARCH("%",F37)))</formula>
    </cfRule>
  </conditionalFormatting>
  <conditionalFormatting sqref="F38 F48 F50 F52 J38 J48 J50 J52 F40 J40 F42 J42 F44 J44 F46 J46">
    <cfRule type="containsText" dxfId="1558" priority="1564" operator="containsText" text="%">
      <formula>NOT(ISERROR(SEARCH("%",F38)))</formula>
    </cfRule>
  </conditionalFormatting>
  <conditionalFormatting sqref="F38 F48 F50 F52 J38 J48 J50 J52 F40 J40 F42 J42 F44 J44 F46 J46">
    <cfRule type="containsText" dxfId="1557" priority="1563" operator="containsText" text="%">
      <formula>NOT(ISERROR(SEARCH("%",F38)))</formula>
    </cfRule>
  </conditionalFormatting>
  <conditionalFormatting sqref="F38 F48 F50 F52 J38 J48 J50 J52 F40 J40 F42 J42 F44 J44 F46 J46">
    <cfRule type="containsText" dxfId="1556" priority="1562" operator="containsText" text="%">
      <formula>NOT(ISERROR(SEARCH("%",F38)))</formula>
    </cfRule>
  </conditionalFormatting>
  <conditionalFormatting sqref="F38 F48 F50 F52 J38 J48 J50 J52 F40 J40 F42 J42 F44 J44 F46 J46">
    <cfRule type="containsText" dxfId="1555" priority="1561" operator="containsText" text="%">
      <formula>NOT(ISERROR(SEARCH("%",F38)))</formula>
    </cfRule>
  </conditionalFormatting>
  <conditionalFormatting sqref="F37:F52 J37:J52">
    <cfRule type="containsText" dxfId="1554" priority="1560" operator="containsText" text="%">
      <formula>NOT(ISERROR(SEARCH("%",F37)))</formula>
    </cfRule>
  </conditionalFormatting>
  <conditionalFormatting sqref="F37:F52 J37:J52">
    <cfRule type="containsText" dxfId="1553" priority="1559" operator="containsText" text="%">
      <formula>NOT(ISERROR(SEARCH("%",F37)))</formula>
    </cfRule>
  </conditionalFormatting>
  <conditionalFormatting sqref="F37:F52 J37:J52">
    <cfRule type="containsText" dxfId="1552" priority="1558" operator="containsText" text="%">
      <formula>NOT(ISERROR(SEARCH("%",F37)))</formula>
    </cfRule>
  </conditionalFormatting>
  <conditionalFormatting sqref="F37:F52 J37:J52">
    <cfRule type="containsText" dxfId="1551" priority="1557" operator="containsText" text="%">
      <formula>NOT(ISERROR(SEARCH("%",F37)))</formula>
    </cfRule>
  </conditionalFormatting>
  <conditionalFormatting sqref="F37:F52 J37:J52">
    <cfRule type="containsText" dxfId="1550" priority="1556" operator="containsText" text="%">
      <formula>NOT(ISERROR(SEARCH("%",F37)))</formula>
    </cfRule>
  </conditionalFormatting>
  <conditionalFormatting sqref="F37:F52 J37:J52">
    <cfRule type="containsText" dxfId="1549" priority="1555" operator="containsText" text="%">
      <formula>NOT(ISERROR(SEARCH("%",F37)))</formula>
    </cfRule>
  </conditionalFormatting>
  <conditionalFormatting sqref="F37:F52 J37:J52">
    <cfRule type="containsText" dxfId="1548" priority="1554" operator="containsText" text="%">
      <formula>NOT(ISERROR(SEARCH("%",F37)))</formula>
    </cfRule>
  </conditionalFormatting>
  <conditionalFormatting sqref="F37:F52 J37:J52">
    <cfRule type="containsText" dxfId="1547" priority="1553" operator="containsText" text="%">
      <formula>NOT(ISERROR(SEARCH("%",F37)))</formula>
    </cfRule>
  </conditionalFormatting>
  <conditionalFormatting sqref="F37:F52 J37:J52">
    <cfRule type="containsText" dxfId="1546" priority="1552" operator="containsText" text="%">
      <formula>NOT(ISERROR(SEARCH("%",F37)))</formula>
    </cfRule>
  </conditionalFormatting>
  <conditionalFormatting sqref="F37:F52 J37:J52">
    <cfRule type="containsText" dxfId="1545" priority="1551" operator="containsText" text="%">
      <formula>NOT(ISERROR(SEARCH("%",F37)))</formula>
    </cfRule>
  </conditionalFormatting>
  <conditionalFormatting sqref="F38 F48 F50 F52 J38 J48 J50 J52 F40 J40 F42 J42 F44 J44 F46 J46">
    <cfRule type="containsText" dxfId="1544" priority="1550" operator="containsText" text="%">
      <formula>NOT(ISERROR(SEARCH("%",F38)))</formula>
    </cfRule>
  </conditionalFormatting>
  <conditionalFormatting sqref="F38 F48 F50 F52 J38 J48 J50 J52 F40 J40 F42 J42 F44 J44 F46 J46">
    <cfRule type="containsText" dxfId="1543" priority="1549" operator="containsText" text="%">
      <formula>NOT(ISERROR(SEARCH("%",F38)))</formula>
    </cfRule>
  </conditionalFormatting>
  <conditionalFormatting sqref="F38 F48 F50 F52 J38 J48 J50 J52 F40 J40 F42 J42 F44 J44 F46 J46">
    <cfRule type="containsText" dxfId="1542" priority="1548" operator="containsText" text="%">
      <formula>NOT(ISERROR(SEARCH("%",F38)))</formula>
    </cfRule>
  </conditionalFormatting>
  <conditionalFormatting sqref="F38 F48 F50 F52 J38 J48 J50 J52 F40 J40 F42 J42 F44 J44 F46 J46">
    <cfRule type="containsText" dxfId="1541" priority="1547" operator="containsText" text="%">
      <formula>NOT(ISERROR(SEARCH("%",F38)))</formula>
    </cfRule>
  </conditionalFormatting>
  <conditionalFormatting sqref="F37:F52 J37:J52">
    <cfRule type="containsText" dxfId="1540" priority="1546" operator="containsText" text="%">
      <formula>NOT(ISERROR(SEARCH("%",F37)))</formula>
    </cfRule>
  </conditionalFormatting>
  <conditionalFormatting sqref="F37:F52 J37:J52">
    <cfRule type="containsText" dxfId="1539" priority="1545" operator="containsText" text="%">
      <formula>NOT(ISERROR(SEARCH("%",F37)))</formula>
    </cfRule>
  </conditionalFormatting>
  <conditionalFormatting sqref="F37:F52 J37:J52">
    <cfRule type="containsText" dxfId="1538" priority="1544" operator="containsText" text="%">
      <formula>NOT(ISERROR(SEARCH("%",F37)))</formula>
    </cfRule>
  </conditionalFormatting>
  <conditionalFormatting sqref="F37:F52 J37:J52">
    <cfRule type="containsText" dxfId="1537" priority="1543" operator="containsText" text="%">
      <formula>NOT(ISERROR(SEARCH("%",F37)))</formula>
    </cfRule>
  </conditionalFormatting>
  <conditionalFormatting sqref="F37:F52 J37:J52">
    <cfRule type="containsText" dxfId="1536" priority="1542" operator="containsText" text="%">
      <formula>NOT(ISERROR(SEARCH("%",F37)))</formula>
    </cfRule>
  </conditionalFormatting>
  <conditionalFormatting sqref="F37:F52 J37:J52">
    <cfRule type="containsText" dxfId="1535" priority="1541" operator="containsText" text="%">
      <formula>NOT(ISERROR(SEARCH("%",F37)))</formula>
    </cfRule>
  </conditionalFormatting>
  <conditionalFormatting sqref="F38 F48 F50 F52 J38 J48 J50 J52 F40 J40 F42 J42 F44 J44 F46 J46">
    <cfRule type="containsText" dxfId="1534" priority="1540" operator="containsText" text="%">
      <formula>NOT(ISERROR(SEARCH("%",F38)))</formula>
    </cfRule>
  </conditionalFormatting>
  <conditionalFormatting sqref="F38 F48 F50 F52 J38 J48 J50 J52 F40 J40 F42 J42 F44 J44 F46 J46">
    <cfRule type="containsText" dxfId="1533" priority="1539" operator="containsText" text="%">
      <formula>NOT(ISERROR(SEARCH("%",F38)))</formula>
    </cfRule>
  </conditionalFormatting>
  <conditionalFormatting sqref="F38 F48 F50 F52 J38 J48 J50 J52 F40 J40 F42 J42 F44 J44 F46 J46">
    <cfRule type="containsText" dxfId="1532" priority="1538" operator="containsText" text="%">
      <formula>NOT(ISERROR(SEARCH("%",F38)))</formula>
    </cfRule>
  </conditionalFormatting>
  <conditionalFormatting sqref="F38 F48 F50 F52 J38 J48 J50 J52 F40 J40 F42 J42 F44 J44 F46 J46">
    <cfRule type="containsText" dxfId="1531" priority="1537" operator="containsText" text="%">
      <formula>NOT(ISERROR(SEARCH("%",F38)))</formula>
    </cfRule>
  </conditionalFormatting>
  <conditionalFormatting sqref="F37:F52 J37:J52">
    <cfRule type="containsText" dxfId="1530" priority="1521" operator="containsText" text="%">
      <formula>NOT(ISERROR(SEARCH("%",F37)))</formula>
    </cfRule>
  </conditionalFormatting>
  <conditionalFormatting sqref="F37:F52 J37:J52">
    <cfRule type="containsText" dxfId="1529" priority="1520" operator="containsText" text="%">
      <formula>NOT(ISERROR(SEARCH("%",F37)))</formula>
    </cfRule>
  </conditionalFormatting>
  <conditionalFormatting sqref="F37:F52 J37:J52">
    <cfRule type="containsText" dxfId="1528" priority="1516" operator="containsText" text="%">
      <formula>NOT(ISERROR(SEARCH("%",F37)))</formula>
    </cfRule>
  </conditionalFormatting>
  <conditionalFormatting sqref="F37:F52 J37:J52">
    <cfRule type="containsText" dxfId="1527" priority="1536" operator="containsText" text="%">
      <formula>NOT(ISERROR(SEARCH("%",F37)))</formula>
    </cfRule>
  </conditionalFormatting>
  <conditionalFormatting sqref="F37 F39 J37 J39 F41 J41 F43 J43 F45 J45 F47 J47 F49 J49 F51 J51">
    <cfRule type="containsText" dxfId="1526" priority="1535" operator="containsText" text="%">
      <formula>NOT(ISERROR(SEARCH("%",F37)))</formula>
    </cfRule>
  </conditionalFormatting>
  <conditionalFormatting sqref="F37 F39 J37 J39 F41 J41 F43 J43 F45 J45 F47 J47 F49 J49 F51 J51">
    <cfRule type="containsText" dxfId="1525" priority="1534" operator="containsText" text="%">
      <formula>NOT(ISERROR(SEARCH("%",F37)))</formula>
    </cfRule>
  </conditionalFormatting>
  <conditionalFormatting sqref="F37:F52 J37:J52">
    <cfRule type="containsText" dxfId="1524" priority="1514" operator="containsText" text="%">
      <formula>NOT(ISERROR(SEARCH("%",F37)))</formula>
    </cfRule>
  </conditionalFormatting>
  <conditionalFormatting sqref="F37:F52 J37:J52">
    <cfRule type="containsText" dxfId="1523" priority="1533" operator="containsText" text="%">
      <formula>NOT(ISERROR(SEARCH("%",F37)))</formula>
    </cfRule>
  </conditionalFormatting>
  <conditionalFormatting sqref="F37:F52 J37:J52">
    <cfRule type="containsText" dxfId="1522" priority="1532" operator="containsText" text="%">
      <formula>NOT(ISERROR(SEARCH("%",F37)))</formula>
    </cfRule>
  </conditionalFormatting>
  <conditionalFormatting sqref="F37:F52 J37:J52">
    <cfRule type="containsText" dxfId="1521" priority="1531" operator="containsText" text="%">
      <formula>NOT(ISERROR(SEARCH("%",F37)))</formula>
    </cfRule>
  </conditionalFormatting>
  <conditionalFormatting sqref="F37:F52 J37:J52">
    <cfRule type="containsText" dxfId="1520" priority="1530" operator="containsText" text="%">
      <formula>NOT(ISERROR(SEARCH("%",F37)))</formula>
    </cfRule>
  </conditionalFormatting>
  <conditionalFormatting sqref="F37:F52 J37:J52">
    <cfRule type="containsText" dxfId="1519" priority="1529" operator="containsText" text="%">
      <formula>NOT(ISERROR(SEARCH("%",F37)))</formula>
    </cfRule>
  </conditionalFormatting>
  <conditionalFormatting sqref="F37:F52 J37:J52">
    <cfRule type="containsText" dxfId="1518" priority="1528" operator="containsText" text="%">
      <formula>NOT(ISERROR(SEARCH("%",F37)))</formula>
    </cfRule>
  </conditionalFormatting>
  <conditionalFormatting sqref="F37:F52 J37:J52">
    <cfRule type="containsText" dxfId="1517" priority="1527" operator="containsText" text="%">
      <formula>NOT(ISERROR(SEARCH("%",F37)))</formula>
    </cfRule>
  </conditionalFormatting>
  <conditionalFormatting sqref="F37:F52 J37:J52">
    <cfRule type="containsText" dxfId="1516" priority="1526" operator="containsText" text="%">
      <formula>NOT(ISERROR(SEARCH("%",F37)))</formula>
    </cfRule>
  </conditionalFormatting>
  <conditionalFormatting sqref="F37:F52 J37:J52">
    <cfRule type="containsText" dxfId="1515" priority="1525" operator="containsText" text="%">
      <formula>NOT(ISERROR(SEARCH("%",F37)))</formula>
    </cfRule>
  </conditionalFormatting>
  <conditionalFormatting sqref="F37:F52 J37:J52">
    <cfRule type="containsText" dxfId="1514" priority="1524" operator="containsText" text="%">
      <formula>NOT(ISERROR(SEARCH("%",F37)))</formula>
    </cfRule>
  </conditionalFormatting>
  <conditionalFormatting sqref="F37:F52 J37:J52">
    <cfRule type="containsText" dxfId="1513" priority="1523" operator="containsText" text="%">
      <formula>NOT(ISERROR(SEARCH("%",F37)))</formula>
    </cfRule>
  </conditionalFormatting>
  <conditionalFormatting sqref="F37:F52 J37:J52">
    <cfRule type="containsText" dxfId="1512" priority="1522" operator="containsText" text="%">
      <formula>NOT(ISERROR(SEARCH("%",F37)))</formula>
    </cfRule>
  </conditionalFormatting>
  <conditionalFormatting sqref="F37:F52 J37:J52">
    <cfRule type="containsText" dxfId="1511" priority="1519" operator="containsText" text="%">
      <formula>NOT(ISERROR(SEARCH("%",F37)))</formula>
    </cfRule>
  </conditionalFormatting>
  <conditionalFormatting sqref="F37:F52 J37:J52">
    <cfRule type="containsText" dxfId="1510" priority="1518" operator="containsText" text="%">
      <formula>NOT(ISERROR(SEARCH("%",F37)))</formula>
    </cfRule>
  </conditionalFormatting>
  <conditionalFormatting sqref="F37:F52 J37:J52">
    <cfRule type="containsText" dxfId="1509" priority="1517" operator="containsText" text="%">
      <formula>NOT(ISERROR(SEARCH("%",F37)))</formula>
    </cfRule>
  </conditionalFormatting>
  <conditionalFormatting sqref="F37:F52 J37:J52">
    <cfRule type="containsText" dxfId="1508" priority="1515" operator="containsText" text="%">
      <formula>NOT(ISERROR(SEARCH("%",F37)))</formula>
    </cfRule>
  </conditionalFormatting>
  <conditionalFormatting sqref="F37:F52 J37:J52">
    <cfRule type="containsText" dxfId="1507" priority="1513" operator="containsText" text="%">
      <formula>NOT(ISERROR(SEARCH("%",F37)))</formula>
    </cfRule>
  </conditionalFormatting>
  <conditionalFormatting sqref="F37:F52 J37:J52">
    <cfRule type="containsText" dxfId="1506" priority="1512" operator="containsText" text="%">
      <formula>NOT(ISERROR(SEARCH("%",F37)))</formula>
    </cfRule>
  </conditionalFormatting>
  <conditionalFormatting sqref="F37:F52 J37:J52">
    <cfRule type="containsText" dxfId="1505" priority="1511" operator="containsText" text="%">
      <formula>NOT(ISERROR(SEARCH("%",F37)))</formula>
    </cfRule>
  </conditionalFormatting>
  <conditionalFormatting sqref="F37:F52 J37:J52">
    <cfRule type="containsText" dxfId="1504" priority="1510" operator="containsText" text="%">
      <formula>NOT(ISERROR(SEARCH("%",F37)))</formula>
    </cfRule>
  </conditionalFormatting>
  <conditionalFormatting sqref="F37:F52 J37:J52">
    <cfRule type="containsText" dxfId="1503" priority="1509" operator="containsText" text="%">
      <formula>NOT(ISERROR(SEARCH("%",F37)))</formula>
    </cfRule>
  </conditionalFormatting>
  <conditionalFormatting sqref="F37:F52 J37:J52">
    <cfRule type="containsText" dxfId="1502" priority="1508" operator="containsText" text="%">
      <formula>NOT(ISERROR(SEARCH("%",F37)))</formula>
    </cfRule>
  </conditionalFormatting>
  <conditionalFormatting sqref="F37:F52 J37:J52">
    <cfRule type="containsText" dxfId="1501" priority="1507" operator="containsText" text="%">
      <formula>NOT(ISERROR(SEARCH("%",F37)))</formula>
    </cfRule>
  </conditionalFormatting>
  <conditionalFormatting sqref="F37:F52 J37:J52">
    <cfRule type="containsText" dxfId="1500" priority="1506" operator="containsText" text="%">
      <formula>NOT(ISERROR(SEARCH("%",F37)))</formula>
    </cfRule>
  </conditionalFormatting>
  <conditionalFormatting sqref="F37:F52 J37:J52">
    <cfRule type="containsText" dxfId="1499" priority="1505" operator="containsText" text="%">
      <formula>NOT(ISERROR(SEARCH("%",F37)))</formula>
    </cfRule>
  </conditionalFormatting>
  <conditionalFormatting sqref="F37:F52 J37:J52">
    <cfRule type="containsText" dxfId="1498" priority="1504" operator="containsText" text="%">
      <formula>NOT(ISERROR(SEARCH("%",F37)))</formula>
    </cfRule>
  </conditionalFormatting>
  <conditionalFormatting sqref="F38 F48 F50 F52 J38 J48 J50 J52 F40 J40 F42 J42 F44 J44 F46 J46">
    <cfRule type="containsText" dxfId="1497" priority="1503" operator="containsText" text="%">
      <formula>NOT(ISERROR(SEARCH("%",F38)))</formula>
    </cfRule>
  </conditionalFormatting>
  <conditionalFormatting sqref="F38 F48 F50 F52 J38 J48 J50 J52 F40 J40 F42 J42 F44 J44 F46 J46">
    <cfRule type="containsText" dxfId="1496" priority="1502" operator="containsText" text="%">
      <formula>NOT(ISERROR(SEARCH("%",F38)))</formula>
    </cfRule>
  </conditionalFormatting>
  <conditionalFormatting sqref="F38 F48 F50 F52 J38 J48 J50 J52 F40 J40 F42 J42 F44 J44 F46 J46">
    <cfRule type="containsText" dxfId="1495" priority="1501" operator="containsText" text="%">
      <formula>NOT(ISERROR(SEARCH("%",F38)))</formula>
    </cfRule>
  </conditionalFormatting>
  <conditionalFormatting sqref="F38 F48 F50 F52 J38 J48 J50 J52 F40 J40 F42 J42 F44 J44 F46 J46">
    <cfRule type="containsText" dxfId="1494" priority="1500" operator="containsText" text="%">
      <formula>NOT(ISERROR(SEARCH("%",F38)))</formula>
    </cfRule>
  </conditionalFormatting>
  <conditionalFormatting sqref="F37:F52 J37:J52">
    <cfRule type="containsText" dxfId="1493" priority="1499" operator="containsText" text="%">
      <formula>NOT(ISERROR(SEARCH("%",F37)))</formula>
    </cfRule>
  </conditionalFormatting>
  <conditionalFormatting sqref="F37:F52 J37:J52">
    <cfRule type="containsText" dxfId="1492" priority="1498" operator="containsText" text="%">
      <formula>NOT(ISERROR(SEARCH("%",F37)))</formula>
    </cfRule>
  </conditionalFormatting>
  <conditionalFormatting sqref="F37:F52 J37:J52">
    <cfRule type="containsText" dxfId="1491" priority="1497" operator="containsText" text="%">
      <formula>NOT(ISERROR(SEARCH("%",F37)))</formula>
    </cfRule>
  </conditionalFormatting>
  <conditionalFormatting sqref="F37:F52 J37:J52">
    <cfRule type="containsText" dxfId="1490" priority="1496" operator="containsText" text="%">
      <formula>NOT(ISERROR(SEARCH("%",F37)))</formula>
    </cfRule>
  </conditionalFormatting>
  <conditionalFormatting sqref="F37:F52 J37:J52">
    <cfRule type="containsText" dxfId="1489" priority="1495" operator="containsText" text="%">
      <formula>NOT(ISERROR(SEARCH("%",F37)))</formula>
    </cfRule>
  </conditionalFormatting>
  <conditionalFormatting sqref="F37:F52 J37:J52">
    <cfRule type="containsText" dxfId="1488" priority="1494" operator="containsText" text="%">
      <formula>NOT(ISERROR(SEARCH("%",F37)))</formula>
    </cfRule>
  </conditionalFormatting>
  <conditionalFormatting sqref="F37:F52 J37:J52">
    <cfRule type="containsText" dxfId="1487" priority="1493" operator="containsText" text="%">
      <formula>NOT(ISERROR(SEARCH("%",F37)))</formula>
    </cfRule>
  </conditionalFormatting>
  <conditionalFormatting sqref="F37:F52 J37:J52">
    <cfRule type="containsText" dxfId="1486" priority="1492" operator="containsText" text="%">
      <formula>NOT(ISERROR(SEARCH("%",F37)))</formula>
    </cfRule>
  </conditionalFormatting>
  <conditionalFormatting sqref="F37:F52 J37:J52">
    <cfRule type="containsText" dxfId="1485" priority="1491" operator="containsText" text="%">
      <formula>NOT(ISERROR(SEARCH("%",F37)))</formula>
    </cfRule>
  </conditionalFormatting>
  <conditionalFormatting sqref="F37:F52 J37:J52">
    <cfRule type="containsText" dxfId="1484" priority="1490" operator="containsText" text="%">
      <formula>NOT(ISERROR(SEARCH("%",F37)))</formula>
    </cfRule>
  </conditionalFormatting>
  <conditionalFormatting sqref="F38 F48 F50 F52 J38 J48 J50 J52 F40 J40 F42 J42 F44 J44 F46 J46">
    <cfRule type="containsText" dxfId="1483" priority="1489" operator="containsText" text="%">
      <formula>NOT(ISERROR(SEARCH("%",F38)))</formula>
    </cfRule>
  </conditionalFormatting>
  <conditionalFormatting sqref="F38 F48 F50 F52 J38 J48 J50 J52 F40 J40 F42 J42 F44 J44 F46 J46">
    <cfRule type="containsText" dxfId="1482" priority="1488" operator="containsText" text="%">
      <formula>NOT(ISERROR(SEARCH("%",F38)))</formula>
    </cfRule>
  </conditionalFormatting>
  <conditionalFormatting sqref="F38 F48 F50 F52 J38 J48 J50 J52 F40 J40 F42 J42 F44 J44 F46 J46">
    <cfRule type="containsText" dxfId="1481" priority="1487" operator="containsText" text="%">
      <formula>NOT(ISERROR(SEARCH("%",F38)))</formula>
    </cfRule>
  </conditionalFormatting>
  <conditionalFormatting sqref="F38 F48 F50 F52 J38 J48 J50 J52 F40 J40 F42 J42 F44 J44 F46 J46">
    <cfRule type="containsText" dxfId="1480" priority="1486" operator="containsText" text="%">
      <formula>NOT(ISERROR(SEARCH("%",F38)))</formula>
    </cfRule>
  </conditionalFormatting>
  <conditionalFormatting sqref="F37 F39 J37 J39 F41 J41 F43 J43 F45 J45 F47 J47 F49 J49 F51 J51">
    <cfRule type="containsText" dxfId="1479" priority="1485" operator="containsText" text="%">
      <formula>NOT(ISERROR(SEARCH("%",F37)))</formula>
    </cfRule>
  </conditionalFormatting>
  <conditionalFormatting sqref="F37 F39 J37 J39 F41 J41 F43 J43 F45 J45 F47 J47 F49 J49 F51 J51">
    <cfRule type="containsText" dxfId="1478" priority="1484" operator="containsText" text="%">
      <formula>NOT(ISERROR(SEARCH("%",F37)))</formula>
    </cfRule>
  </conditionalFormatting>
  <conditionalFormatting sqref="F37 F39 J37 J39 F41 J41 F43 J43 F45 J45 F47 J47 F49 J49 F51 J51">
    <cfRule type="containsText" dxfId="1477" priority="1483" operator="containsText" text="%">
      <formula>NOT(ISERROR(SEARCH("%",F37)))</formula>
    </cfRule>
  </conditionalFormatting>
  <conditionalFormatting sqref="F37 F39 J37 J39 F41 J41 F43 J43 F45 J45 F47 J47 F49 J49 F51 J51">
    <cfRule type="containsText" dxfId="1476" priority="1482" operator="containsText" text="%">
      <formula>NOT(ISERROR(SEARCH("%",F37)))</formula>
    </cfRule>
  </conditionalFormatting>
  <conditionalFormatting sqref="F37 F39 J37 J39 F41 J41 F43 J43 F45 J45 F47 J47 F49 J49 F51 J51">
    <cfRule type="containsText" dxfId="1475" priority="1481" operator="containsText" text="%">
      <formula>NOT(ISERROR(SEARCH("%",F37)))</formula>
    </cfRule>
  </conditionalFormatting>
  <conditionalFormatting sqref="F37 F39 J37 J39 F41 J41 F43 J43 F45 J45 F47 J47 F49 J49 F51 J51">
    <cfRule type="containsText" dxfId="1474" priority="1480" operator="containsText" text="%">
      <formula>NOT(ISERROR(SEARCH("%",F37)))</formula>
    </cfRule>
  </conditionalFormatting>
  <conditionalFormatting sqref="F38 F48 F50 F52 J38 J48 J50 J52 F40 J40 F42 J42 F44 J44 F46 J46">
    <cfRule type="containsText" dxfId="1473" priority="1479" operator="containsText" text="%">
      <formula>NOT(ISERROR(SEARCH("%",F38)))</formula>
    </cfRule>
  </conditionalFormatting>
  <conditionalFormatting sqref="F38 F48 F50 F52 J38 J48 J50 J52 F40 J40 F42 J42 F44 J44 F46 J46">
    <cfRule type="containsText" dxfId="1472" priority="1478" operator="containsText" text="%">
      <formula>NOT(ISERROR(SEARCH("%",F38)))</formula>
    </cfRule>
  </conditionalFormatting>
  <conditionalFormatting sqref="F38 F48 F50 F52 J38 J48 J50 J52 F40 J40 F42 J42 F44 J44 F46 J46">
    <cfRule type="containsText" dxfId="1471" priority="1477" operator="containsText" text="%">
      <formula>NOT(ISERROR(SEARCH("%",F38)))</formula>
    </cfRule>
  </conditionalFormatting>
  <conditionalFormatting sqref="F38 F48 F50 F52 J38 J48 J50 J52 F40 J40 F42 J42 F44 J44 F46 J46">
    <cfRule type="containsText" dxfId="1470" priority="1476" operator="containsText" text="%">
      <formula>NOT(ISERROR(SEARCH("%",F38)))</formula>
    </cfRule>
  </conditionalFormatting>
  <conditionalFormatting sqref="F38 F48 F50 F52 J38 J48 J50 J52 F40 J40 F42 J42 F44 J44 F46 J46">
    <cfRule type="containsText" dxfId="1469" priority="1475" operator="containsText" text="%">
      <formula>NOT(ISERROR(SEARCH("%",F38)))</formula>
    </cfRule>
  </conditionalFormatting>
  <conditionalFormatting sqref="F38 F48 F50 F52 J38 J48 J50 J52 F40 J40 F42 J42 F44 J44 F46 J46">
    <cfRule type="containsText" dxfId="1468" priority="1474" operator="containsText" text="%">
      <formula>NOT(ISERROR(SEARCH("%",F38)))</formula>
    </cfRule>
  </conditionalFormatting>
  <conditionalFormatting sqref="F38 F48 F50 F52 J38 J48 J50 J52 F40 J40 F42 J42 F44 J44 F46 J46">
    <cfRule type="containsText" dxfId="1467" priority="1473" operator="containsText" text="%">
      <formula>NOT(ISERROR(SEARCH("%",F38)))</formula>
    </cfRule>
  </conditionalFormatting>
  <conditionalFormatting sqref="F38 F48 F50 F52 J38 J48 J50 J52 F40 J40 F42 J42 F44 J44 F46 J46">
    <cfRule type="containsText" dxfId="1466" priority="1472" operator="containsText" text="%">
      <formula>NOT(ISERROR(SEARCH("%",F38)))</formula>
    </cfRule>
  </conditionalFormatting>
  <conditionalFormatting sqref="F38 F48 F50 F52 J38 J48 J50 J52 F40 J40 F42 J42 F44 J44 F46 J46">
    <cfRule type="containsText" dxfId="1465" priority="1471" operator="containsText" text="%">
      <formula>NOT(ISERROR(SEARCH("%",F38)))</formula>
    </cfRule>
  </conditionalFormatting>
  <conditionalFormatting sqref="F38 F48 F50 F52 J38 J48 J50 J52 F40 J40 F42 J42 F44 J44 F46 J46">
    <cfRule type="containsText" dxfId="1464" priority="1470" operator="containsText" text="%">
      <formula>NOT(ISERROR(SEARCH("%",F38)))</formula>
    </cfRule>
  </conditionalFormatting>
  <conditionalFormatting sqref="F38 F48 F50 F52 J38 J48 J50 J52 F40 J40 F42 J42 F44 J44 F46 J46">
    <cfRule type="containsText" dxfId="1463" priority="1456" operator="containsText" text="%">
      <formula>NOT(ISERROR(SEARCH("%",F38)))</formula>
    </cfRule>
  </conditionalFormatting>
  <conditionalFormatting sqref="F38 F48 F50 F52 J38 J48 J50 J52 F40 J40 F42 J42 F44 J44 F46 J46">
    <cfRule type="containsText" dxfId="1462" priority="1455" operator="containsText" text="%">
      <formula>NOT(ISERROR(SEARCH("%",F38)))</formula>
    </cfRule>
  </conditionalFormatting>
  <conditionalFormatting sqref="F38 F48 F50 F52 J38 J48 J50 J52 F40 J40 F42 J42 F44 J44 F46 J46">
    <cfRule type="containsText" dxfId="1461" priority="1451" operator="containsText" text="%">
      <formula>NOT(ISERROR(SEARCH("%",F38)))</formula>
    </cfRule>
  </conditionalFormatting>
  <conditionalFormatting sqref="F38 F48 F50 F52 J38 J48 J50 J52 F40 J40 F42 J42 F44 J44 F46 J46">
    <cfRule type="containsText" dxfId="1460" priority="1469" operator="containsText" text="%">
      <formula>NOT(ISERROR(SEARCH("%",F38)))</formula>
    </cfRule>
  </conditionalFormatting>
  <conditionalFormatting sqref="F38 F48 F50 F52 J38 J48 J50 J52 F40 J40 F42 J42 F44 J44 F46 J46">
    <cfRule type="containsText" dxfId="1459" priority="1449" operator="containsText" text="%">
      <formula>NOT(ISERROR(SEARCH("%",F38)))</formula>
    </cfRule>
  </conditionalFormatting>
  <conditionalFormatting sqref="F38 F48 F50 F52 J38 J48 J50 J52 F40 J40 F42 J42 F44 J44 F46 J46">
    <cfRule type="containsText" dxfId="1458" priority="1468" operator="containsText" text="%">
      <formula>NOT(ISERROR(SEARCH("%",F38)))</formula>
    </cfRule>
  </conditionalFormatting>
  <conditionalFormatting sqref="F38 F48 F50 F52 J38 J48 J50 J52 F40 J40 F42 J42 F44 J44 F46 J46">
    <cfRule type="containsText" dxfId="1457" priority="1467" operator="containsText" text="%">
      <formula>NOT(ISERROR(SEARCH("%",F38)))</formula>
    </cfRule>
  </conditionalFormatting>
  <conditionalFormatting sqref="F38 F48 F50 F52 J38 J48 J50 J52 F40 J40 F42 J42 F44 J44 F46 J46">
    <cfRule type="containsText" dxfId="1456" priority="1466" operator="containsText" text="%">
      <formula>NOT(ISERROR(SEARCH("%",F38)))</formula>
    </cfRule>
  </conditionalFormatting>
  <conditionalFormatting sqref="F38 F48 F50 F52 J38 J48 J50 J52 F40 J40 F42 J42 F44 J44 F46 J46">
    <cfRule type="containsText" dxfId="1455" priority="1465" operator="containsText" text="%">
      <formula>NOT(ISERROR(SEARCH("%",F38)))</formula>
    </cfRule>
  </conditionalFormatting>
  <conditionalFormatting sqref="F38 F48 F50 F52 J38 J48 J50 J52 F40 J40 F42 J42 F44 J44 F46 J46">
    <cfRule type="containsText" dxfId="1454" priority="1464" operator="containsText" text="%">
      <formula>NOT(ISERROR(SEARCH("%",F38)))</formula>
    </cfRule>
  </conditionalFormatting>
  <conditionalFormatting sqref="F38 F48 F50 F52 J38 J48 J50 J52 F40 J40 F42 J42 F44 J44 F46 J46">
    <cfRule type="containsText" dxfId="1453" priority="1463" operator="containsText" text="%">
      <formula>NOT(ISERROR(SEARCH("%",F38)))</formula>
    </cfRule>
  </conditionalFormatting>
  <conditionalFormatting sqref="F38 F48 F50 F52 J38 J48 J50 J52 F40 J40 F42 J42 F44 J44 F46 J46">
    <cfRule type="containsText" dxfId="1452" priority="1462" operator="containsText" text="%">
      <formula>NOT(ISERROR(SEARCH("%",F38)))</formula>
    </cfRule>
  </conditionalFormatting>
  <conditionalFormatting sqref="F38 F48 F50 F52 J38 J48 J50 J52 F40 J40 F42 J42 F44 J44 F46 J46">
    <cfRule type="containsText" dxfId="1451" priority="1461" operator="containsText" text="%">
      <formula>NOT(ISERROR(SEARCH("%",F38)))</formula>
    </cfRule>
  </conditionalFormatting>
  <conditionalFormatting sqref="F38 F48 F50 F52 J38 J48 J50 J52 F40 J40 F42 J42 F44 J44 F46 J46">
    <cfRule type="containsText" dxfId="1450" priority="1460" operator="containsText" text="%">
      <formula>NOT(ISERROR(SEARCH("%",F38)))</formula>
    </cfRule>
  </conditionalFormatting>
  <conditionalFormatting sqref="F38 F48 F50 F52 J38 J48 J50 J52 F40 J40 F42 J42 F44 J44 F46 J46">
    <cfRule type="containsText" dxfId="1449" priority="1459" operator="containsText" text="%">
      <formula>NOT(ISERROR(SEARCH("%",F38)))</formula>
    </cfRule>
  </conditionalFormatting>
  <conditionalFormatting sqref="F38 F48 F50 F52 J38 J48 J50 J52 F40 J40 F42 J42 F44 J44 F46 J46">
    <cfRule type="containsText" dxfId="1448" priority="1458" operator="containsText" text="%">
      <formula>NOT(ISERROR(SEARCH("%",F38)))</formula>
    </cfRule>
  </conditionalFormatting>
  <conditionalFormatting sqref="F38 F48 F50 F52 J38 J48 J50 J52 F40 J40 F42 J42 F44 J44 F46 J46">
    <cfRule type="containsText" dxfId="1447" priority="1457" operator="containsText" text="%">
      <formula>NOT(ISERROR(SEARCH("%",F38)))</formula>
    </cfRule>
  </conditionalFormatting>
  <conditionalFormatting sqref="F38 F48 F50 F52 J38 J48 J50 J52 F40 J40 F42 J42 F44 J44 F46 J46">
    <cfRule type="containsText" dxfId="1446" priority="1454" operator="containsText" text="%">
      <formula>NOT(ISERROR(SEARCH("%",F38)))</formula>
    </cfRule>
  </conditionalFormatting>
  <conditionalFormatting sqref="F38 F48 F50 F52 J38 J48 J50 J52 F40 J40 F42 J42 F44 J44 F46 J46">
    <cfRule type="containsText" dxfId="1445" priority="1453" operator="containsText" text="%">
      <formula>NOT(ISERROR(SEARCH("%",F38)))</formula>
    </cfRule>
  </conditionalFormatting>
  <conditionalFormatting sqref="F38 F48 F50 F52 J38 J48 J50 J52 F40 J40 F42 J42 F44 J44 F46 J46">
    <cfRule type="containsText" dxfId="1444" priority="1452" operator="containsText" text="%">
      <formula>NOT(ISERROR(SEARCH("%",F38)))</formula>
    </cfRule>
  </conditionalFormatting>
  <conditionalFormatting sqref="F38 F48 F50 F52 J38 J48 J50 J52 F40 J40 F42 J42 F44 J44 F46 J46">
    <cfRule type="containsText" dxfId="1443" priority="1450" operator="containsText" text="%">
      <formula>NOT(ISERROR(SEARCH("%",F38)))</formula>
    </cfRule>
  </conditionalFormatting>
  <conditionalFormatting sqref="F38 F48 F50 F52 J38 J48 J50 J52 F40 J40 F42 J42 F44 J44 F46 J46">
    <cfRule type="containsText" dxfId="1442" priority="1448" operator="containsText" text="%">
      <formula>NOT(ISERROR(SEARCH("%",F38)))</formula>
    </cfRule>
  </conditionalFormatting>
  <conditionalFormatting sqref="F38 F48 F50 F52 J38 J48 J50 J52 F40 J40 F42 J42 F44 J44 F46 J46">
    <cfRule type="containsText" dxfId="1441" priority="1447" operator="containsText" text="%">
      <formula>NOT(ISERROR(SEARCH("%",F38)))</formula>
    </cfRule>
  </conditionalFormatting>
  <conditionalFormatting sqref="F38 F48 F50 F52 J38 J48 J50 J52 F40 J40 F42 J42 F44 J44 F46 J46">
    <cfRule type="containsText" dxfId="1440" priority="1446" operator="containsText" text="%">
      <formula>NOT(ISERROR(SEARCH("%",F38)))</formula>
    </cfRule>
  </conditionalFormatting>
  <conditionalFormatting sqref="F38 F48 F50 F52 J38 J48 J50 J52 F40 J40 F42 J42 F44 J44 F46 J46">
    <cfRule type="containsText" dxfId="1439" priority="1445" operator="containsText" text="%">
      <formula>NOT(ISERROR(SEARCH("%",F38)))</formula>
    </cfRule>
  </conditionalFormatting>
  <conditionalFormatting sqref="F38 F48 F50 F52 J38 J48 J50 J52 F40 J40 F42 J42 F44 J44 F46 J46">
    <cfRule type="containsText" dxfId="1438" priority="1444" operator="containsText" text="%">
      <formula>NOT(ISERROR(SEARCH("%",F38)))</formula>
    </cfRule>
  </conditionalFormatting>
  <conditionalFormatting sqref="F38 F48 F50 F52 J38 J48 J50 J52 F40 J40 F42 J42 F44 J44 F46 J46">
    <cfRule type="containsText" dxfId="1437" priority="1443" operator="containsText" text="%">
      <formula>NOT(ISERROR(SEARCH("%",F38)))</formula>
    </cfRule>
  </conditionalFormatting>
  <conditionalFormatting sqref="F38 F48 F50 F52 J38 J48 J50 J52 F40 J40 F42 J42 F44 J44 F46 J46">
    <cfRule type="containsText" dxfId="1436" priority="1442" operator="containsText" text="%">
      <formula>NOT(ISERROR(SEARCH("%",F38)))</formula>
    </cfRule>
  </conditionalFormatting>
  <conditionalFormatting sqref="F38 F48 F50 F52 J38 J48 J50 J52 F40 J40 F42 J42 F44 J44 F46 J46">
    <cfRule type="containsText" dxfId="1435" priority="1441" operator="containsText" text="%">
      <formula>NOT(ISERROR(SEARCH("%",F38)))</formula>
    </cfRule>
  </conditionalFormatting>
  <conditionalFormatting sqref="F38 F48 F50 F52 J38 J48 J50 J52 F40 J40 F42 J42 F44 J44 F46 J46">
    <cfRule type="containsText" dxfId="1434" priority="1440" operator="containsText" text="%">
      <formula>NOT(ISERROR(SEARCH("%",F38)))</formula>
    </cfRule>
  </conditionalFormatting>
  <conditionalFormatting sqref="F38 F48 F50 F52 J38 J48 J50 J52 F40 J40 F42 J42 F44 J44 F46 J46">
    <cfRule type="containsText" dxfId="1433" priority="1439" operator="containsText" text="%">
      <formula>NOT(ISERROR(SEARCH("%",F38)))</formula>
    </cfRule>
  </conditionalFormatting>
  <conditionalFormatting sqref="F38 F48 F50 F52 J38 J48 J50 J52 F40 J40 F42 J42 F44 J44 F46 J46">
    <cfRule type="containsText" dxfId="1432" priority="1438" operator="containsText" text="%">
      <formula>NOT(ISERROR(SEARCH("%",F38)))</formula>
    </cfRule>
  </conditionalFormatting>
  <conditionalFormatting sqref="F38 F48 F50 F52 J38 J48 J50 J52 F40 J40 F42 J42 F44 J44 F46 J46">
    <cfRule type="containsText" dxfId="1431" priority="1437" operator="containsText" text="%">
      <formula>NOT(ISERROR(SEARCH("%",F38)))</formula>
    </cfRule>
  </conditionalFormatting>
  <conditionalFormatting sqref="F38 F48 F50 F52 J38 J48 J50 J52 F40 J40 F42 J42 F44 J44 F46 J46">
    <cfRule type="containsText" dxfId="1430" priority="1436" operator="containsText" text="%">
      <formula>NOT(ISERROR(SEARCH("%",F38)))</formula>
    </cfRule>
  </conditionalFormatting>
  <conditionalFormatting sqref="F38 F48 F50 F52 J38 J48 J50 J52 F40 J40 F42 J42 F44 J44 F46 J46">
    <cfRule type="containsText" dxfId="1429" priority="1435" operator="containsText" text="%">
      <formula>NOT(ISERROR(SEARCH("%",F38)))</formula>
    </cfRule>
  </conditionalFormatting>
  <conditionalFormatting sqref="F38 F48 F50 F52 J38 J48 J50 J52 F40 J40 F42 J42 F44 J44 F46 J46">
    <cfRule type="containsText" dxfId="1428" priority="1434" operator="containsText" text="%">
      <formula>NOT(ISERROR(SEARCH("%",F38)))</formula>
    </cfRule>
  </conditionalFormatting>
  <conditionalFormatting sqref="F38 F48 F50 F52 J38 J48 J50 J52 F40 J40 F42 J42 F44 J44 F46 J46">
    <cfRule type="containsText" dxfId="1427" priority="1433" operator="containsText" text="%">
      <formula>NOT(ISERROR(SEARCH("%",F38)))</formula>
    </cfRule>
  </conditionalFormatting>
  <conditionalFormatting sqref="F38 F48 F50 F52 J38 J48 J50 J52 F40 J40 F42 J42 F44 J44 F46 J46">
    <cfRule type="containsText" dxfId="1426" priority="1432" operator="containsText" text="%">
      <formula>NOT(ISERROR(SEARCH("%",F38)))</formula>
    </cfRule>
  </conditionalFormatting>
  <conditionalFormatting sqref="F38 F48 F50 F52 J38 J48 J50 J52 F40 J40 F42 J42 F44 J44 F46 J46">
    <cfRule type="containsText" dxfId="1425" priority="1431" operator="containsText" text="%">
      <formula>NOT(ISERROR(SEARCH("%",F38)))</formula>
    </cfRule>
  </conditionalFormatting>
  <conditionalFormatting sqref="F38 F48 F50 F52 J38 J48 J50 J52 F40 J40 F42 J42 F44 J44 F46 J46">
    <cfRule type="containsText" dxfId="1424" priority="1430" operator="containsText" text="%">
      <formula>NOT(ISERROR(SEARCH("%",F38)))</formula>
    </cfRule>
  </conditionalFormatting>
  <conditionalFormatting sqref="F38 F48 F50 F52 J38 J48 J50 J52 F40 J40 F42 J42 F44 J44 F46 J46">
    <cfRule type="containsText" dxfId="1423" priority="1429" operator="containsText" text="%">
      <formula>NOT(ISERROR(SEARCH("%",F38)))</formula>
    </cfRule>
  </conditionalFormatting>
  <conditionalFormatting sqref="F38 F48 F50 F52 J38 J48 J50 J52 F40 J40 F42 J42 F44 J44 F46 J46">
    <cfRule type="containsText" dxfId="1422" priority="1428" operator="containsText" text="%">
      <formula>NOT(ISERROR(SEARCH("%",F38)))</formula>
    </cfRule>
  </conditionalFormatting>
  <conditionalFormatting sqref="F38 F48 F50 F52 J38 J48 J50 J52 F40 J40 F42 J42 F44 J44 F46 J46">
    <cfRule type="containsText" dxfId="1421" priority="1427" operator="containsText" text="%">
      <formula>NOT(ISERROR(SEARCH("%",F38)))</formula>
    </cfRule>
  </conditionalFormatting>
  <conditionalFormatting sqref="F38 F48 F50 F52 J38 J48 J50 J52 F40 J40 F42 J42 F44 J44 F46 J46">
    <cfRule type="containsText" dxfId="1420" priority="1426" operator="containsText" text="%">
      <formula>NOT(ISERROR(SEARCH("%",F38)))</formula>
    </cfRule>
  </conditionalFormatting>
  <conditionalFormatting sqref="F38 F48 F50 F52 J38 J48 J50 J52 F40 J40 F42 J42 F44 J44 F46 J46">
    <cfRule type="containsText" dxfId="1419" priority="1425" operator="containsText" text="%">
      <formula>NOT(ISERROR(SEARCH("%",F38)))</formula>
    </cfRule>
  </conditionalFormatting>
  <conditionalFormatting sqref="F38 F48 F50 F52 J38 J48 J50 J52 F40 J40 F42 J42 F44 J44 F46 J46">
    <cfRule type="containsText" dxfId="1418" priority="1424" operator="containsText" text="%">
      <formula>NOT(ISERROR(SEARCH("%",F38)))</formula>
    </cfRule>
  </conditionalFormatting>
  <conditionalFormatting sqref="F38 F48 F50 F52 J38 J48 J50 J52 F40 J40 F42 J42 F44 J44 F46 J46">
    <cfRule type="containsText" dxfId="1417" priority="1423" operator="containsText" text="%">
      <formula>NOT(ISERROR(SEARCH("%",F38)))</formula>
    </cfRule>
  </conditionalFormatting>
  <conditionalFormatting sqref="F38 F48 F50 F52 J38 J48 J50 J52 F40 J40 F42 J42 F44 J44 F46 J46">
    <cfRule type="containsText" dxfId="1416" priority="1422" operator="containsText" text="%">
      <formula>NOT(ISERROR(SEARCH("%",F38)))</formula>
    </cfRule>
  </conditionalFormatting>
  <conditionalFormatting sqref="F38 F48 F50 F52 J38 J48 J50 J52 F40 J40 F42 J42 F44 J44 F46 J46">
    <cfRule type="containsText" dxfId="1415" priority="1421" operator="containsText" text="%">
      <formula>NOT(ISERROR(SEARCH("%",F38)))</formula>
    </cfRule>
  </conditionalFormatting>
  <conditionalFormatting sqref="G35:M36">
    <cfRule type="containsText" dxfId="1414" priority="1420" operator="containsText" text="%">
      <formula>NOT(ISERROR(SEARCH("%",G35)))</formula>
    </cfRule>
  </conditionalFormatting>
  <conditionalFormatting sqref="G35:M36">
    <cfRule type="containsText" dxfId="1413" priority="1419" operator="containsText" text="%">
      <formula>NOT(ISERROR(SEARCH("%",G35)))</formula>
    </cfRule>
  </conditionalFormatting>
  <conditionalFormatting sqref="G35:G36 K35:K36">
    <cfRule type="containsText" dxfId="1412" priority="1418" operator="containsText" text="%">
      <formula>NOT(ISERROR(SEARCH("%",G35)))</formula>
    </cfRule>
  </conditionalFormatting>
  <conditionalFormatting sqref="G35:G36 K35:K36">
    <cfRule type="containsText" dxfId="1411" priority="1417" operator="containsText" text="%">
      <formula>NOT(ISERROR(SEARCH("%",G35)))</formula>
    </cfRule>
  </conditionalFormatting>
  <conditionalFormatting sqref="H35:H36 L35:L36">
    <cfRule type="containsText" dxfId="1410" priority="1416" operator="containsText" text="%">
      <formula>NOT(ISERROR(SEARCH("%",H35)))</formula>
    </cfRule>
  </conditionalFormatting>
  <conditionalFormatting sqref="H35:H36 L35:L36">
    <cfRule type="containsText" dxfId="1409" priority="1415" operator="containsText" text="%">
      <formula>NOT(ISERROR(SEARCH("%",H35)))</formula>
    </cfRule>
  </conditionalFormatting>
  <conditionalFormatting sqref="I35:I36 M35:M36">
    <cfRule type="containsText" dxfId="1408" priority="1414" operator="containsText" text="%">
      <formula>NOT(ISERROR(SEARCH("%",I35)))</formula>
    </cfRule>
  </conditionalFormatting>
  <conditionalFormatting sqref="I35:I36 M35:M36">
    <cfRule type="containsText" dxfId="1407" priority="1413" operator="containsText" text="%">
      <formula>NOT(ISERROR(SEARCH("%",I35)))</formula>
    </cfRule>
  </conditionalFormatting>
  <conditionalFormatting sqref="I35:I36 M35:M36">
    <cfRule type="containsText" dxfId="1406" priority="1412" operator="containsText" text="%">
      <formula>NOT(ISERROR(SEARCH("%",I35)))</formula>
    </cfRule>
  </conditionalFormatting>
  <conditionalFormatting sqref="H35:H36 L35:L36">
    <cfRule type="containsText" dxfId="1405" priority="1411" operator="containsText" text="%">
      <formula>NOT(ISERROR(SEARCH("%",H35)))</formula>
    </cfRule>
  </conditionalFormatting>
  <conditionalFormatting sqref="H35:H36 L35:L36">
    <cfRule type="containsText" dxfId="1404" priority="1410" operator="containsText" text="%">
      <formula>NOT(ISERROR(SEARCH("%",H35)))</formula>
    </cfRule>
  </conditionalFormatting>
  <conditionalFormatting sqref="H35:H36 L35:L36">
    <cfRule type="containsText" dxfId="1403" priority="1409" operator="containsText" text="%">
      <formula>NOT(ISERROR(SEARCH("%",H35)))</formula>
    </cfRule>
  </conditionalFormatting>
  <conditionalFormatting sqref="H35:H36 L35:L36">
    <cfRule type="containsText" dxfId="1402" priority="1408" operator="containsText" text="%">
      <formula>NOT(ISERROR(SEARCH("%",H35)))</formula>
    </cfRule>
  </conditionalFormatting>
  <conditionalFormatting sqref="G35:G36 K35:K36">
    <cfRule type="containsText" dxfId="1401" priority="1407" operator="containsText" text="%">
      <formula>NOT(ISERROR(SEARCH("%",G35)))</formula>
    </cfRule>
  </conditionalFormatting>
  <conditionalFormatting sqref="G35:G36 K35:K36">
    <cfRule type="containsText" dxfId="1400" priority="1406" operator="containsText" text="%">
      <formula>NOT(ISERROR(SEARCH("%",G35)))</formula>
    </cfRule>
  </conditionalFormatting>
  <conditionalFormatting sqref="G35:G36 K35:K36">
    <cfRule type="containsText" dxfId="1399" priority="1405" operator="containsText" text="%">
      <formula>NOT(ISERROR(SEARCH("%",G35)))</formula>
    </cfRule>
  </conditionalFormatting>
  <conditionalFormatting sqref="G35:G36 K35:K36">
    <cfRule type="containsText" dxfId="1398" priority="1404" operator="containsText" text="%">
      <formula>NOT(ISERROR(SEARCH("%",G35)))</formula>
    </cfRule>
  </conditionalFormatting>
  <conditionalFormatting sqref="G35:G36 K35:K36">
    <cfRule type="containsText" dxfId="1397" priority="1403" operator="containsText" text="%">
      <formula>NOT(ISERROR(SEARCH("%",G35)))</formula>
    </cfRule>
  </conditionalFormatting>
  <conditionalFormatting sqref="G35:G36 K35:K36">
    <cfRule type="containsText" dxfId="1396" priority="1402" operator="containsText" text="%">
      <formula>NOT(ISERROR(SEARCH("%",G35)))</formula>
    </cfRule>
  </conditionalFormatting>
  <conditionalFormatting sqref="H35:H36 L35:L36">
    <cfRule type="containsText" dxfId="1395" priority="1386" operator="containsText" text="%">
      <formula>NOT(ISERROR(SEARCH("%",H35)))</formula>
    </cfRule>
  </conditionalFormatting>
  <conditionalFormatting sqref="H35:H36 L35:L36">
    <cfRule type="containsText" dxfId="1394" priority="1385" operator="containsText" text="%">
      <formula>NOT(ISERROR(SEARCH("%",H35)))</formula>
    </cfRule>
  </conditionalFormatting>
  <conditionalFormatting sqref="H35:H36 L35:L36">
    <cfRule type="containsText" dxfId="1393" priority="1381" operator="containsText" text="%">
      <formula>NOT(ISERROR(SEARCH("%",H35)))</formula>
    </cfRule>
  </conditionalFormatting>
  <conditionalFormatting sqref="H35:H36 L35:L36">
    <cfRule type="containsText" dxfId="1392" priority="1401" operator="containsText" text="%">
      <formula>NOT(ISERROR(SEARCH("%",H35)))</formula>
    </cfRule>
  </conditionalFormatting>
  <conditionalFormatting sqref="H35 L35">
    <cfRule type="containsText" dxfId="1391" priority="1400" operator="containsText" text="%">
      <formula>NOT(ISERROR(SEARCH("%",H35)))</formula>
    </cfRule>
  </conditionalFormatting>
  <conditionalFormatting sqref="H35 L35">
    <cfRule type="containsText" dxfId="1390" priority="1399" operator="containsText" text="%">
      <formula>NOT(ISERROR(SEARCH("%",H35)))</formula>
    </cfRule>
  </conditionalFormatting>
  <conditionalFormatting sqref="H35:H36 L35:L36">
    <cfRule type="containsText" dxfId="1389" priority="1379" operator="containsText" text="%">
      <formula>NOT(ISERROR(SEARCH("%",H35)))</formula>
    </cfRule>
  </conditionalFormatting>
  <conditionalFormatting sqref="H35:H36 L35:L36">
    <cfRule type="containsText" dxfId="1388" priority="1398" operator="containsText" text="%">
      <formula>NOT(ISERROR(SEARCH("%",H35)))</formula>
    </cfRule>
  </conditionalFormatting>
  <conditionalFormatting sqref="H35:H36 L35:L36">
    <cfRule type="containsText" dxfId="1387" priority="1397" operator="containsText" text="%">
      <formula>NOT(ISERROR(SEARCH("%",H35)))</formula>
    </cfRule>
  </conditionalFormatting>
  <conditionalFormatting sqref="H35:H36 L35:L36">
    <cfRule type="containsText" dxfId="1386" priority="1396" operator="containsText" text="%">
      <formula>NOT(ISERROR(SEARCH("%",H35)))</formula>
    </cfRule>
  </conditionalFormatting>
  <conditionalFormatting sqref="H35:H36 L35:L36">
    <cfRule type="containsText" dxfId="1385" priority="1395" operator="containsText" text="%">
      <formula>NOT(ISERROR(SEARCH("%",H35)))</formula>
    </cfRule>
  </conditionalFormatting>
  <conditionalFormatting sqref="H35:H36 L35:L36">
    <cfRule type="containsText" dxfId="1384" priority="1394" operator="containsText" text="%">
      <formula>NOT(ISERROR(SEARCH("%",H35)))</formula>
    </cfRule>
  </conditionalFormatting>
  <conditionalFormatting sqref="H35:H36 L35:L36">
    <cfRule type="containsText" dxfId="1383" priority="1393" operator="containsText" text="%">
      <formula>NOT(ISERROR(SEARCH("%",H35)))</formula>
    </cfRule>
  </conditionalFormatting>
  <conditionalFormatting sqref="H35:H36 L35:L36">
    <cfRule type="containsText" dxfId="1382" priority="1392" operator="containsText" text="%">
      <formula>NOT(ISERROR(SEARCH("%",H35)))</formula>
    </cfRule>
  </conditionalFormatting>
  <conditionalFormatting sqref="H35:H36 L35:L36">
    <cfRule type="containsText" dxfId="1381" priority="1391" operator="containsText" text="%">
      <formula>NOT(ISERROR(SEARCH("%",H35)))</formula>
    </cfRule>
  </conditionalFormatting>
  <conditionalFormatting sqref="H35:H36 L35:L36">
    <cfRule type="containsText" dxfId="1380" priority="1390" operator="containsText" text="%">
      <formula>NOT(ISERROR(SEARCH("%",H35)))</formula>
    </cfRule>
  </conditionalFormatting>
  <conditionalFormatting sqref="H35:H36 L35:L36">
    <cfRule type="containsText" dxfId="1379" priority="1389" operator="containsText" text="%">
      <formula>NOT(ISERROR(SEARCH("%",H35)))</formula>
    </cfRule>
  </conditionalFormatting>
  <conditionalFormatting sqref="H35:H36 L35:L36">
    <cfRule type="containsText" dxfId="1378" priority="1388" operator="containsText" text="%">
      <formula>NOT(ISERROR(SEARCH("%",H35)))</formula>
    </cfRule>
  </conditionalFormatting>
  <conditionalFormatting sqref="H35:H36 L35:L36">
    <cfRule type="containsText" dxfId="1377" priority="1387" operator="containsText" text="%">
      <formula>NOT(ISERROR(SEARCH("%",H35)))</formula>
    </cfRule>
  </conditionalFormatting>
  <conditionalFormatting sqref="H35:H36 L35:L36">
    <cfRule type="containsText" dxfId="1376" priority="1384" operator="containsText" text="%">
      <formula>NOT(ISERROR(SEARCH("%",H35)))</formula>
    </cfRule>
  </conditionalFormatting>
  <conditionalFormatting sqref="H35:H36 L35:L36">
    <cfRule type="containsText" dxfId="1375" priority="1383" operator="containsText" text="%">
      <formula>NOT(ISERROR(SEARCH("%",H35)))</formula>
    </cfRule>
  </conditionalFormatting>
  <conditionalFormatting sqref="H35:H36 L35:L36">
    <cfRule type="containsText" dxfId="1374" priority="1382" operator="containsText" text="%">
      <formula>NOT(ISERROR(SEARCH("%",H35)))</formula>
    </cfRule>
  </conditionalFormatting>
  <conditionalFormatting sqref="H35:H36 L35:L36">
    <cfRule type="containsText" dxfId="1373" priority="1380" operator="containsText" text="%">
      <formula>NOT(ISERROR(SEARCH("%",H35)))</formula>
    </cfRule>
  </conditionalFormatting>
  <conditionalFormatting sqref="H35:H36 L35:L36">
    <cfRule type="containsText" dxfId="1372" priority="1378" operator="containsText" text="%">
      <formula>NOT(ISERROR(SEARCH("%",H35)))</formula>
    </cfRule>
  </conditionalFormatting>
  <conditionalFormatting sqref="H35:H36 L35:L36">
    <cfRule type="containsText" dxfId="1371" priority="1377" operator="containsText" text="%">
      <formula>NOT(ISERROR(SEARCH("%",H35)))</formula>
    </cfRule>
  </conditionalFormatting>
  <conditionalFormatting sqref="H35:H36 L35:L36">
    <cfRule type="containsText" dxfId="1370" priority="1376" operator="containsText" text="%">
      <formula>NOT(ISERROR(SEARCH("%",H35)))</formula>
    </cfRule>
  </conditionalFormatting>
  <conditionalFormatting sqref="H35:H36 L35:L36">
    <cfRule type="containsText" dxfId="1369" priority="1375" operator="containsText" text="%">
      <formula>NOT(ISERROR(SEARCH("%",H35)))</formula>
    </cfRule>
  </conditionalFormatting>
  <conditionalFormatting sqref="H35:H36 L35:L36">
    <cfRule type="containsText" dxfId="1368" priority="1374" operator="containsText" text="%">
      <formula>NOT(ISERROR(SEARCH("%",H35)))</formula>
    </cfRule>
  </conditionalFormatting>
  <conditionalFormatting sqref="H35:H36 L35:L36">
    <cfRule type="containsText" dxfId="1367" priority="1373" operator="containsText" text="%">
      <formula>NOT(ISERROR(SEARCH("%",H35)))</formula>
    </cfRule>
  </conditionalFormatting>
  <conditionalFormatting sqref="H35:H36 L35:L36">
    <cfRule type="containsText" dxfId="1366" priority="1372" operator="containsText" text="%">
      <formula>NOT(ISERROR(SEARCH("%",H35)))</formula>
    </cfRule>
  </conditionalFormatting>
  <conditionalFormatting sqref="H35:H36 L35:L36">
    <cfRule type="containsText" dxfId="1365" priority="1371" operator="containsText" text="%">
      <formula>NOT(ISERROR(SEARCH("%",H35)))</formula>
    </cfRule>
  </conditionalFormatting>
  <conditionalFormatting sqref="H35:H36 L35:L36">
    <cfRule type="containsText" dxfId="1364" priority="1370" operator="containsText" text="%">
      <formula>NOT(ISERROR(SEARCH("%",H35)))</formula>
    </cfRule>
  </conditionalFormatting>
  <conditionalFormatting sqref="H35:H36 L35:L36">
    <cfRule type="containsText" dxfId="1363" priority="1369" operator="containsText" text="%">
      <formula>NOT(ISERROR(SEARCH("%",H35)))</formula>
    </cfRule>
  </conditionalFormatting>
  <conditionalFormatting sqref="H36 L36">
    <cfRule type="containsText" dxfId="1362" priority="1368" operator="containsText" text="%">
      <formula>NOT(ISERROR(SEARCH("%",H36)))</formula>
    </cfRule>
  </conditionalFormatting>
  <conditionalFormatting sqref="H36 L36">
    <cfRule type="containsText" dxfId="1361" priority="1367" operator="containsText" text="%">
      <formula>NOT(ISERROR(SEARCH("%",H36)))</formula>
    </cfRule>
  </conditionalFormatting>
  <conditionalFormatting sqref="H36 L36">
    <cfRule type="containsText" dxfId="1360" priority="1366" operator="containsText" text="%">
      <formula>NOT(ISERROR(SEARCH("%",H36)))</formula>
    </cfRule>
  </conditionalFormatting>
  <conditionalFormatting sqref="H36 L36">
    <cfRule type="containsText" dxfId="1359" priority="1365" operator="containsText" text="%">
      <formula>NOT(ISERROR(SEARCH("%",H36)))</formula>
    </cfRule>
  </conditionalFormatting>
  <conditionalFormatting sqref="H35:H36 L35:L36">
    <cfRule type="containsText" dxfId="1358" priority="1364" operator="containsText" text="%">
      <formula>NOT(ISERROR(SEARCH("%",H35)))</formula>
    </cfRule>
  </conditionalFormatting>
  <conditionalFormatting sqref="H35:H36 L35:L36">
    <cfRule type="containsText" dxfId="1357" priority="1363" operator="containsText" text="%">
      <formula>NOT(ISERROR(SEARCH("%",H35)))</formula>
    </cfRule>
  </conditionalFormatting>
  <conditionalFormatting sqref="H35:H36 L35:L36">
    <cfRule type="containsText" dxfId="1356" priority="1362" operator="containsText" text="%">
      <formula>NOT(ISERROR(SEARCH("%",H35)))</formula>
    </cfRule>
  </conditionalFormatting>
  <conditionalFormatting sqref="H35:H36 L35:L36">
    <cfRule type="containsText" dxfId="1355" priority="1361" operator="containsText" text="%">
      <formula>NOT(ISERROR(SEARCH("%",H35)))</formula>
    </cfRule>
  </conditionalFormatting>
  <conditionalFormatting sqref="H35:H36 L35:L36">
    <cfRule type="containsText" dxfId="1354" priority="1360" operator="containsText" text="%">
      <formula>NOT(ISERROR(SEARCH("%",H35)))</formula>
    </cfRule>
  </conditionalFormatting>
  <conditionalFormatting sqref="H35:H36 L35:L36">
    <cfRule type="containsText" dxfId="1353" priority="1359" operator="containsText" text="%">
      <formula>NOT(ISERROR(SEARCH("%",H35)))</formula>
    </cfRule>
  </conditionalFormatting>
  <conditionalFormatting sqref="H35:H36 L35:L36">
    <cfRule type="containsText" dxfId="1352" priority="1358" operator="containsText" text="%">
      <formula>NOT(ISERROR(SEARCH("%",H35)))</formula>
    </cfRule>
  </conditionalFormatting>
  <conditionalFormatting sqref="H35:H36 L35:L36">
    <cfRule type="containsText" dxfId="1351" priority="1357" operator="containsText" text="%">
      <formula>NOT(ISERROR(SEARCH("%",H35)))</formula>
    </cfRule>
  </conditionalFormatting>
  <conditionalFormatting sqref="H35:H36 L35:L36">
    <cfRule type="containsText" dxfId="1350" priority="1356" operator="containsText" text="%">
      <formula>NOT(ISERROR(SEARCH("%",H35)))</formula>
    </cfRule>
  </conditionalFormatting>
  <conditionalFormatting sqref="H35:H36 L35:L36">
    <cfRule type="containsText" dxfId="1349" priority="1355" operator="containsText" text="%">
      <formula>NOT(ISERROR(SEARCH("%",H35)))</formula>
    </cfRule>
  </conditionalFormatting>
  <conditionalFormatting sqref="H36 L36">
    <cfRule type="containsText" dxfId="1348" priority="1354" operator="containsText" text="%">
      <formula>NOT(ISERROR(SEARCH("%",H36)))</formula>
    </cfRule>
  </conditionalFormatting>
  <conditionalFormatting sqref="H36 L36">
    <cfRule type="containsText" dxfId="1347" priority="1353" operator="containsText" text="%">
      <formula>NOT(ISERROR(SEARCH("%",H36)))</formula>
    </cfRule>
  </conditionalFormatting>
  <conditionalFormatting sqref="H36 L36">
    <cfRule type="containsText" dxfId="1346" priority="1352" operator="containsText" text="%">
      <formula>NOT(ISERROR(SEARCH("%",H36)))</formula>
    </cfRule>
  </conditionalFormatting>
  <conditionalFormatting sqref="H36 L36">
    <cfRule type="containsText" dxfId="1345" priority="1351" operator="containsText" text="%">
      <formula>NOT(ISERROR(SEARCH("%",H36)))</formula>
    </cfRule>
  </conditionalFormatting>
  <conditionalFormatting sqref="H35:H36 L35:L36">
    <cfRule type="containsText" dxfId="1344" priority="1350" operator="containsText" text="%">
      <formula>NOT(ISERROR(SEARCH("%",H35)))</formula>
    </cfRule>
  </conditionalFormatting>
  <conditionalFormatting sqref="H35:H36 L35:L36">
    <cfRule type="containsText" dxfId="1343" priority="1349" operator="containsText" text="%">
      <formula>NOT(ISERROR(SEARCH("%",H35)))</formula>
    </cfRule>
  </conditionalFormatting>
  <conditionalFormatting sqref="H35:H36 L35:L36">
    <cfRule type="containsText" dxfId="1342" priority="1348" operator="containsText" text="%">
      <formula>NOT(ISERROR(SEARCH("%",H35)))</formula>
    </cfRule>
  </conditionalFormatting>
  <conditionalFormatting sqref="H35:H36 L35:L36">
    <cfRule type="containsText" dxfId="1341" priority="1347" operator="containsText" text="%">
      <formula>NOT(ISERROR(SEARCH("%",H35)))</formula>
    </cfRule>
  </conditionalFormatting>
  <conditionalFormatting sqref="H35:H36 L35:L36">
    <cfRule type="containsText" dxfId="1340" priority="1346" operator="containsText" text="%">
      <formula>NOT(ISERROR(SEARCH("%",H35)))</formula>
    </cfRule>
  </conditionalFormatting>
  <conditionalFormatting sqref="H35:H36 L35:L36">
    <cfRule type="containsText" dxfId="1339" priority="1345" operator="containsText" text="%">
      <formula>NOT(ISERROR(SEARCH("%",H35)))</formula>
    </cfRule>
  </conditionalFormatting>
  <conditionalFormatting sqref="H36 L36">
    <cfRule type="containsText" dxfId="1338" priority="1344" operator="containsText" text="%">
      <formula>NOT(ISERROR(SEARCH("%",H36)))</formula>
    </cfRule>
  </conditionalFormatting>
  <conditionalFormatting sqref="H36 L36">
    <cfRule type="containsText" dxfId="1337" priority="1343" operator="containsText" text="%">
      <formula>NOT(ISERROR(SEARCH("%",H36)))</formula>
    </cfRule>
  </conditionalFormatting>
  <conditionalFormatting sqref="H36 L36">
    <cfRule type="containsText" dxfId="1336" priority="1342" operator="containsText" text="%">
      <formula>NOT(ISERROR(SEARCH("%",H36)))</formula>
    </cfRule>
  </conditionalFormatting>
  <conditionalFormatting sqref="H36 L36">
    <cfRule type="containsText" dxfId="1335" priority="1341" operator="containsText" text="%">
      <formula>NOT(ISERROR(SEARCH("%",H36)))</formula>
    </cfRule>
  </conditionalFormatting>
  <conditionalFormatting sqref="H35:H36 L35:L36">
    <cfRule type="containsText" dxfId="1334" priority="1325" operator="containsText" text="%">
      <formula>NOT(ISERROR(SEARCH("%",H35)))</formula>
    </cfRule>
  </conditionalFormatting>
  <conditionalFormatting sqref="H35:H36 L35:L36">
    <cfRule type="containsText" dxfId="1333" priority="1324" operator="containsText" text="%">
      <formula>NOT(ISERROR(SEARCH("%",H35)))</formula>
    </cfRule>
  </conditionalFormatting>
  <conditionalFormatting sqref="H35:H36 L35:L36">
    <cfRule type="containsText" dxfId="1332" priority="1320" operator="containsText" text="%">
      <formula>NOT(ISERROR(SEARCH("%",H35)))</formula>
    </cfRule>
  </conditionalFormatting>
  <conditionalFormatting sqref="H35:H36 L35:L36">
    <cfRule type="containsText" dxfId="1331" priority="1340" operator="containsText" text="%">
      <formula>NOT(ISERROR(SEARCH("%",H35)))</formula>
    </cfRule>
  </conditionalFormatting>
  <conditionalFormatting sqref="H35 L35">
    <cfRule type="containsText" dxfId="1330" priority="1339" operator="containsText" text="%">
      <formula>NOT(ISERROR(SEARCH("%",H35)))</formula>
    </cfRule>
  </conditionalFormatting>
  <conditionalFormatting sqref="H35 L35">
    <cfRule type="containsText" dxfId="1329" priority="1338" operator="containsText" text="%">
      <formula>NOT(ISERROR(SEARCH("%",H35)))</formula>
    </cfRule>
  </conditionalFormatting>
  <conditionalFormatting sqref="H35:H36 L35:L36">
    <cfRule type="containsText" dxfId="1328" priority="1318" operator="containsText" text="%">
      <formula>NOT(ISERROR(SEARCH("%",H35)))</formula>
    </cfRule>
  </conditionalFormatting>
  <conditionalFormatting sqref="H35:H36 L35:L36">
    <cfRule type="containsText" dxfId="1327" priority="1337" operator="containsText" text="%">
      <formula>NOT(ISERROR(SEARCH("%",H35)))</formula>
    </cfRule>
  </conditionalFormatting>
  <conditionalFormatting sqref="H35:H36 L35:L36">
    <cfRule type="containsText" dxfId="1326" priority="1336" operator="containsText" text="%">
      <formula>NOT(ISERROR(SEARCH("%",H35)))</formula>
    </cfRule>
  </conditionalFormatting>
  <conditionalFormatting sqref="H35:H36 L35:L36">
    <cfRule type="containsText" dxfId="1325" priority="1335" operator="containsText" text="%">
      <formula>NOT(ISERROR(SEARCH("%",H35)))</formula>
    </cfRule>
  </conditionalFormatting>
  <conditionalFormatting sqref="H35:H36 L35:L36">
    <cfRule type="containsText" dxfId="1324" priority="1334" operator="containsText" text="%">
      <formula>NOT(ISERROR(SEARCH("%",H35)))</formula>
    </cfRule>
  </conditionalFormatting>
  <conditionalFormatting sqref="H35:H36 L35:L36">
    <cfRule type="containsText" dxfId="1323" priority="1333" operator="containsText" text="%">
      <formula>NOT(ISERROR(SEARCH("%",H35)))</formula>
    </cfRule>
  </conditionalFormatting>
  <conditionalFormatting sqref="H35:H36 L35:L36">
    <cfRule type="containsText" dxfId="1322" priority="1332" operator="containsText" text="%">
      <formula>NOT(ISERROR(SEARCH("%",H35)))</formula>
    </cfRule>
  </conditionalFormatting>
  <conditionalFormatting sqref="H35:H36 L35:L36">
    <cfRule type="containsText" dxfId="1321" priority="1331" operator="containsText" text="%">
      <formula>NOT(ISERROR(SEARCH("%",H35)))</formula>
    </cfRule>
  </conditionalFormatting>
  <conditionalFormatting sqref="H35:H36 L35:L36">
    <cfRule type="containsText" dxfId="1320" priority="1330" operator="containsText" text="%">
      <formula>NOT(ISERROR(SEARCH("%",H35)))</formula>
    </cfRule>
  </conditionalFormatting>
  <conditionalFormatting sqref="H35:H36 L35:L36">
    <cfRule type="containsText" dxfId="1319" priority="1329" operator="containsText" text="%">
      <formula>NOT(ISERROR(SEARCH("%",H35)))</formula>
    </cfRule>
  </conditionalFormatting>
  <conditionalFormatting sqref="H35:H36 L35:L36">
    <cfRule type="containsText" dxfId="1318" priority="1328" operator="containsText" text="%">
      <formula>NOT(ISERROR(SEARCH("%",H35)))</formula>
    </cfRule>
  </conditionalFormatting>
  <conditionalFormatting sqref="H35:H36 L35:L36">
    <cfRule type="containsText" dxfId="1317" priority="1327" operator="containsText" text="%">
      <formula>NOT(ISERROR(SEARCH("%",H35)))</formula>
    </cfRule>
  </conditionalFormatting>
  <conditionalFormatting sqref="H35:H36 L35:L36">
    <cfRule type="containsText" dxfId="1316" priority="1326" operator="containsText" text="%">
      <formula>NOT(ISERROR(SEARCH("%",H35)))</formula>
    </cfRule>
  </conditionalFormatting>
  <conditionalFormatting sqref="H35:H36 L35:L36">
    <cfRule type="containsText" dxfId="1315" priority="1323" operator="containsText" text="%">
      <formula>NOT(ISERROR(SEARCH("%",H35)))</formula>
    </cfRule>
  </conditionalFormatting>
  <conditionalFormatting sqref="H35:H36 L35:L36">
    <cfRule type="containsText" dxfId="1314" priority="1322" operator="containsText" text="%">
      <formula>NOT(ISERROR(SEARCH("%",H35)))</formula>
    </cfRule>
  </conditionalFormatting>
  <conditionalFormatting sqref="H35:H36 L35:L36">
    <cfRule type="containsText" dxfId="1313" priority="1321" operator="containsText" text="%">
      <formula>NOT(ISERROR(SEARCH("%",H35)))</formula>
    </cfRule>
  </conditionalFormatting>
  <conditionalFormatting sqref="H35:H36 L35:L36">
    <cfRule type="containsText" dxfId="1312" priority="1319" operator="containsText" text="%">
      <formula>NOT(ISERROR(SEARCH("%",H35)))</formula>
    </cfRule>
  </conditionalFormatting>
  <conditionalFormatting sqref="H35:H36 L35:L36">
    <cfRule type="containsText" dxfId="1311" priority="1317" operator="containsText" text="%">
      <formula>NOT(ISERROR(SEARCH("%",H35)))</formula>
    </cfRule>
  </conditionalFormatting>
  <conditionalFormatting sqref="H35:H36 L35:L36">
    <cfRule type="containsText" dxfId="1310" priority="1316" operator="containsText" text="%">
      <formula>NOT(ISERROR(SEARCH("%",H35)))</formula>
    </cfRule>
  </conditionalFormatting>
  <conditionalFormatting sqref="H35:H36 L35:L36">
    <cfRule type="containsText" dxfId="1309" priority="1315" operator="containsText" text="%">
      <formula>NOT(ISERROR(SEARCH("%",H35)))</formula>
    </cfRule>
  </conditionalFormatting>
  <conditionalFormatting sqref="H35:H36 L35:L36">
    <cfRule type="containsText" dxfId="1308" priority="1314" operator="containsText" text="%">
      <formula>NOT(ISERROR(SEARCH("%",H35)))</formula>
    </cfRule>
  </conditionalFormatting>
  <conditionalFormatting sqref="H35:H36 L35:L36">
    <cfRule type="containsText" dxfId="1307" priority="1313" operator="containsText" text="%">
      <formula>NOT(ISERROR(SEARCH("%",H35)))</formula>
    </cfRule>
  </conditionalFormatting>
  <conditionalFormatting sqref="H35:H36 L35:L36">
    <cfRule type="containsText" dxfId="1306" priority="1312" operator="containsText" text="%">
      <formula>NOT(ISERROR(SEARCH("%",H35)))</formula>
    </cfRule>
  </conditionalFormatting>
  <conditionalFormatting sqref="H35:H36 L35:L36">
    <cfRule type="containsText" dxfId="1305" priority="1311" operator="containsText" text="%">
      <formula>NOT(ISERROR(SEARCH("%",H35)))</formula>
    </cfRule>
  </conditionalFormatting>
  <conditionalFormatting sqref="H35:H36 L35:L36">
    <cfRule type="containsText" dxfId="1304" priority="1310" operator="containsText" text="%">
      <formula>NOT(ISERROR(SEARCH("%",H35)))</formula>
    </cfRule>
  </conditionalFormatting>
  <conditionalFormatting sqref="H35:H36 L35:L36">
    <cfRule type="containsText" dxfId="1303" priority="1309" operator="containsText" text="%">
      <formula>NOT(ISERROR(SEARCH("%",H35)))</formula>
    </cfRule>
  </conditionalFormatting>
  <conditionalFormatting sqref="H35:H36 L35:L36">
    <cfRule type="containsText" dxfId="1302" priority="1308" operator="containsText" text="%">
      <formula>NOT(ISERROR(SEARCH("%",H35)))</formula>
    </cfRule>
  </conditionalFormatting>
  <conditionalFormatting sqref="H36 L36">
    <cfRule type="containsText" dxfId="1301" priority="1307" operator="containsText" text="%">
      <formula>NOT(ISERROR(SEARCH("%",H36)))</formula>
    </cfRule>
  </conditionalFormatting>
  <conditionalFormatting sqref="H36 L36">
    <cfRule type="containsText" dxfId="1300" priority="1306" operator="containsText" text="%">
      <formula>NOT(ISERROR(SEARCH("%",H36)))</formula>
    </cfRule>
  </conditionalFormatting>
  <conditionalFormatting sqref="H36 L36">
    <cfRule type="containsText" dxfId="1299" priority="1305" operator="containsText" text="%">
      <formula>NOT(ISERROR(SEARCH("%",H36)))</formula>
    </cfRule>
  </conditionalFormatting>
  <conditionalFormatting sqref="H36 L36">
    <cfRule type="containsText" dxfId="1298" priority="1304" operator="containsText" text="%">
      <formula>NOT(ISERROR(SEARCH("%",H36)))</formula>
    </cfRule>
  </conditionalFormatting>
  <conditionalFormatting sqref="H35:H36 L35:L36">
    <cfRule type="containsText" dxfId="1297" priority="1303" operator="containsText" text="%">
      <formula>NOT(ISERROR(SEARCH("%",H35)))</formula>
    </cfRule>
  </conditionalFormatting>
  <conditionalFormatting sqref="H35:H36 L35:L36">
    <cfRule type="containsText" dxfId="1296" priority="1302" operator="containsText" text="%">
      <formula>NOT(ISERROR(SEARCH("%",H35)))</formula>
    </cfRule>
  </conditionalFormatting>
  <conditionalFormatting sqref="H35:H36 L35:L36">
    <cfRule type="containsText" dxfId="1295" priority="1301" operator="containsText" text="%">
      <formula>NOT(ISERROR(SEARCH("%",H35)))</formula>
    </cfRule>
  </conditionalFormatting>
  <conditionalFormatting sqref="H35:H36 L35:L36">
    <cfRule type="containsText" dxfId="1294" priority="1300" operator="containsText" text="%">
      <formula>NOT(ISERROR(SEARCH("%",H35)))</formula>
    </cfRule>
  </conditionalFormatting>
  <conditionalFormatting sqref="H35:H36 L35:L36">
    <cfRule type="containsText" dxfId="1293" priority="1299" operator="containsText" text="%">
      <formula>NOT(ISERROR(SEARCH("%",H35)))</formula>
    </cfRule>
  </conditionalFormatting>
  <conditionalFormatting sqref="H35:H36 L35:L36">
    <cfRule type="containsText" dxfId="1292" priority="1298" operator="containsText" text="%">
      <formula>NOT(ISERROR(SEARCH("%",H35)))</formula>
    </cfRule>
  </conditionalFormatting>
  <conditionalFormatting sqref="H35:H36 L35:L36">
    <cfRule type="containsText" dxfId="1291" priority="1297" operator="containsText" text="%">
      <formula>NOT(ISERROR(SEARCH("%",H35)))</formula>
    </cfRule>
  </conditionalFormatting>
  <conditionalFormatting sqref="H35:H36 L35:L36">
    <cfRule type="containsText" dxfId="1290" priority="1296" operator="containsText" text="%">
      <formula>NOT(ISERROR(SEARCH("%",H35)))</formula>
    </cfRule>
  </conditionalFormatting>
  <conditionalFormatting sqref="H35:H36 L35:L36">
    <cfRule type="containsText" dxfId="1289" priority="1295" operator="containsText" text="%">
      <formula>NOT(ISERROR(SEARCH("%",H35)))</formula>
    </cfRule>
  </conditionalFormatting>
  <conditionalFormatting sqref="H35:H36 L35:L36">
    <cfRule type="containsText" dxfId="1288" priority="1294" operator="containsText" text="%">
      <formula>NOT(ISERROR(SEARCH("%",H35)))</formula>
    </cfRule>
  </conditionalFormatting>
  <conditionalFormatting sqref="H36 L36">
    <cfRule type="containsText" dxfId="1287" priority="1293" operator="containsText" text="%">
      <formula>NOT(ISERROR(SEARCH("%",H36)))</formula>
    </cfRule>
  </conditionalFormatting>
  <conditionalFormatting sqref="H36 L36">
    <cfRule type="containsText" dxfId="1286" priority="1292" operator="containsText" text="%">
      <formula>NOT(ISERROR(SEARCH("%",H36)))</formula>
    </cfRule>
  </conditionalFormatting>
  <conditionalFormatting sqref="H36 L36">
    <cfRule type="containsText" dxfId="1285" priority="1291" operator="containsText" text="%">
      <formula>NOT(ISERROR(SEARCH("%",H36)))</formula>
    </cfRule>
  </conditionalFormatting>
  <conditionalFormatting sqref="H36 L36">
    <cfRule type="containsText" dxfId="1284" priority="1290" operator="containsText" text="%">
      <formula>NOT(ISERROR(SEARCH("%",H36)))</formula>
    </cfRule>
  </conditionalFormatting>
  <conditionalFormatting sqref="H35 L35">
    <cfRule type="containsText" dxfId="1283" priority="1289" operator="containsText" text="%">
      <formula>NOT(ISERROR(SEARCH("%",H35)))</formula>
    </cfRule>
  </conditionalFormatting>
  <conditionalFormatting sqref="H35 L35">
    <cfRule type="containsText" dxfId="1282" priority="1288" operator="containsText" text="%">
      <formula>NOT(ISERROR(SEARCH("%",H35)))</formula>
    </cfRule>
  </conditionalFormatting>
  <conditionalFormatting sqref="H35 L35">
    <cfRule type="containsText" dxfId="1281" priority="1287" operator="containsText" text="%">
      <formula>NOT(ISERROR(SEARCH("%",H35)))</formula>
    </cfRule>
  </conditionalFormatting>
  <conditionalFormatting sqref="H35 L35">
    <cfRule type="containsText" dxfId="1280" priority="1286" operator="containsText" text="%">
      <formula>NOT(ISERROR(SEARCH("%",H35)))</formula>
    </cfRule>
  </conditionalFormatting>
  <conditionalFormatting sqref="H35 L35">
    <cfRule type="containsText" dxfId="1279" priority="1285" operator="containsText" text="%">
      <formula>NOT(ISERROR(SEARCH("%",H35)))</formula>
    </cfRule>
  </conditionalFormatting>
  <conditionalFormatting sqref="H35 L35">
    <cfRule type="containsText" dxfId="1278" priority="1284" operator="containsText" text="%">
      <formula>NOT(ISERROR(SEARCH("%",H35)))</formula>
    </cfRule>
  </conditionalFormatting>
  <conditionalFormatting sqref="H36 L36">
    <cfRule type="containsText" dxfId="1277" priority="1283" operator="containsText" text="%">
      <formula>NOT(ISERROR(SEARCH("%",H36)))</formula>
    </cfRule>
  </conditionalFormatting>
  <conditionalFormatting sqref="H36 L36">
    <cfRule type="containsText" dxfId="1276" priority="1282" operator="containsText" text="%">
      <formula>NOT(ISERROR(SEARCH("%",H36)))</formula>
    </cfRule>
  </conditionalFormatting>
  <conditionalFormatting sqref="H36 L36">
    <cfRule type="containsText" dxfId="1275" priority="1281" operator="containsText" text="%">
      <formula>NOT(ISERROR(SEARCH("%",H36)))</formula>
    </cfRule>
  </conditionalFormatting>
  <conditionalFormatting sqref="H36 L36">
    <cfRule type="containsText" dxfId="1274" priority="1280" operator="containsText" text="%">
      <formula>NOT(ISERROR(SEARCH("%",H36)))</formula>
    </cfRule>
  </conditionalFormatting>
  <conditionalFormatting sqref="H36 L36">
    <cfRule type="containsText" dxfId="1273" priority="1279" operator="containsText" text="%">
      <formula>NOT(ISERROR(SEARCH("%",H36)))</formula>
    </cfRule>
  </conditionalFormatting>
  <conditionalFormatting sqref="H36 L36">
    <cfRule type="containsText" dxfId="1272" priority="1278" operator="containsText" text="%">
      <formula>NOT(ISERROR(SEARCH("%",H36)))</formula>
    </cfRule>
  </conditionalFormatting>
  <conditionalFormatting sqref="H36 L36">
    <cfRule type="containsText" dxfId="1271" priority="1277" operator="containsText" text="%">
      <formula>NOT(ISERROR(SEARCH("%",H36)))</formula>
    </cfRule>
  </conditionalFormatting>
  <conditionalFormatting sqref="H36 L36">
    <cfRule type="containsText" dxfId="1270" priority="1276" operator="containsText" text="%">
      <formula>NOT(ISERROR(SEARCH("%",H36)))</formula>
    </cfRule>
  </conditionalFormatting>
  <conditionalFormatting sqref="H36 L36">
    <cfRule type="containsText" dxfId="1269" priority="1275" operator="containsText" text="%">
      <formula>NOT(ISERROR(SEARCH("%",H36)))</formula>
    </cfRule>
  </conditionalFormatting>
  <conditionalFormatting sqref="H36 L36">
    <cfRule type="containsText" dxfId="1268" priority="1274" operator="containsText" text="%">
      <formula>NOT(ISERROR(SEARCH("%",H36)))</formula>
    </cfRule>
  </conditionalFormatting>
  <conditionalFormatting sqref="H36 L36">
    <cfRule type="containsText" dxfId="1267" priority="1260" operator="containsText" text="%">
      <formula>NOT(ISERROR(SEARCH("%",H36)))</formula>
    </cfRule>
  </conditionalFormatting>
  <conditionalFormatting sqref="H36 L36">
    <cfRule type="containsText" dxfId="1266" priority="1259" operator="containsText" text="%">
      <formula>NOT(ISERROR(SEARCH("%",H36)))</formula>
    </cfRule>
  </conditionalFormatting>
  <conditionalFormatting sqref="H36 L36">
    <cfRule type="containsText" dxfId="1265" priority="1255" operator="containsText" text="%">
      <formula>NOT(ISERROR(SEARCH("%",H36)))</formula>
    </cfRule>
  </conditionalFormatting>
  <conditionalFormatting sqref="H36 L36">
    <cfRule type="containsText" dxfId="1264" priority="1273" operator="containsText" text="%">
      <formula>NOT(ISERROR(SEARCH("%",H36)))</formula>
    </cfRule>
  </conditionalFormatting>
  <conditionalFormatting sqref="H36 L36">
    <cfRule type="containsText" dxfId="1263" priority="1253" operator="containsText" text="%">
      <formula>NOT(ISERROR(SEARCH("%",H36)))</formula>
    </cfRule>
  </conditionalFormatting>
  <conditionalFormatting sqref="H36 L36">
    <cfRule type="containsText" dxfId="1262" priority="1272" operator="containsText" text="%">
      <formula>NOT(ISERROR(SEARCH("%",H36)))</formula>
    </cfRule>
  </conditionalFormatting>
  <conditionalFormatting sqref="H36 L36">
    <cfRule type="containsText" dxfId="1261" priority="1271" operator="containsText" text="%">
      <formula>NOT(ISERROR(SEARCH("%",H36)))</formula>
    </cfRule>
  </conditionalFormatting>
  <conditionalFormatting sqref="H36 L36">
    <cfRule type="containsText" dxfId="1260" priority="1270" operator="containsText" text="%">
      <formula>NOT(ISERROR(SEARCH("%",H36)))</formula>
    </cfRule>
  </conditionalFormatting>
  <conditionalFormatting sqref="H36 L36">
    <cfRule type="containsText" dxfId="1259" priority="1269" operator="containsText" text="%">
      <formula>NOT(ISERROR(SEARCH("%",H36)))</formula>
    </cfRule>
  </conditionalFormatting>
  <conditionalFormatting sqref="H36 L36">
    <cfRule type="containsText" dxfId="1258" priority="1268" operator="containsText" text="%">
      <formula>NOT(ISERROR(SEARCH("%",H36)))</formula>
    </cfRule>
  </conditionalFormatting>
  <conditionalFormatting sqref="H36 L36">
    <cfRule type="containsText" dxfId="1257" priority="1267" operator="containsText" text="%">
      <formula>NOT(ISERROR(SEARCH("%",H36)))</formula>
    </cfRule>
  </conditionalFormatting>
  <conditionalFormatting sqref="H36 L36">
    <cfRule type="containsText" dxfId="1256" priority="1266" operator="containsText" text="%">
      <formula>NOT(ISERROR(SEARCH("%",H36)))</formula>
    </cfRule>
  </conditionalFormatting>
  <conditionalFormatting sqref="H36 L36">
    <cfRule type="containsText" dxfId="1255" priority="1265" operator="containsText" text="%">
      <formula>NOT(ISERROR(SEARCH("%",H36)))</formula>
    </cfRule>
  </conditionalFormatting>
  <conditionalFormatting sqref="H36 L36">
    <cfRule type="containsText" dxfId="1254" priority="1264" operator="containsText" text="%">
      <formula>NOT(ISERROR(SEARCH("%",H36)))</formula>
    </cfRule>
  </conditionalFormatting>
  <conditionalFormatting sqref="H36 L36">
    <cfRule type="containsText" dxfId="1253" priority="1263" operator="containsText" text="%">
      <formula>NOT(ISERROR(SEARCH("%",H36)))</formula>
    </cfRule>
  </conditionalFormatting>
  <conditionalFormatting sqref="H36 L36">
    <cfRule type="containsText" dxfId="1252" priority="1262" operator="containsText" text="%">
      <formula>NOT(ISERROR(SEARCH("%",H36)))</formula>
    </cfRule>
  </conditionalFormatting>
  <conditionalFormatting sqref="H36 L36">
    <cfRule type="containsText" dxfId="1251" priority="1261" operator="containsText" text="%">
      <formula>NOT(ISERROR(SEARCH("%",H36)))</formula>
    </cfRule>
  </conditionalFormatting>
  <conditionalFormatting sqref="H36 L36">
    <cfRule type="containsText" dxfId="1250" priority="1258" operator="containsText" text="%">
      <formula>NOT(ISERROR(SEARCH("%",H36)))</formula>
    </cfRule>
  </conditionalFormatting>
  <conditionalFormatting sqref="H36 L36">
    <cfRule type="containsText" dxfId="1249" priority="1257" operator="containsText" text="%">
      <formula>NOT(ISERROR(SEARCH("%",H36)))</formula>
    </cfRule>
  </conditionalFormatting>
  <conditionalFormatting sqref="H36 L36">
    <cfRule type="containsText" dxfId="1248" priority="1256" operator="containsText" text="%">
      <formula>NOT(ISERROR(SEARCH("%",H36)))</formula>
    </cfRule>
  </conditionalFormatting>
  <conditionalFormatting sqref="H36 L36">
    <cfRule type="containsText" dxfId="1247" priority="1254" operator="containsText" text="%">
      <formula>NOT(ISERROR(SEARCH("%",H36)))</formula>
    </cfRule>
  </conditionalFormatting>
  <conditionalFormatting sqref="H36 L36">
    <cfRule type="containsText" dxfId="1246" priority="1252" operator="containsText" text="%">
      <formula>NOT(ISERROR(SEARCH("%",H36)))</formula>
    </cfRule>
  </conditionalFormatting>
  <conditionalFormatting sqref="H36 L36">
    <cfRule type="containsText" dxfId="1245" priority="1251" operator="containsText" text="%">
      <formula>NOT(ISERROR(SEARCH("%",H36)))</formula>
    </cfRule>
  </conditionalFormatting>
  <conditionalFormatting sqref="H36 L36">
    <cfRule type="containsText" dxfId="1244" priority="1250" operator="containsText" text="%">
      <formula>NOT(ISERROR(SEARCH("%",H36)))</formula>
    </cfRule>
  </conditionalFormatting>
  <conditionalFormatting sqref="H36 L36">
    <cfRule type="containsText" dxfId="1243" priority="1249" operator="containsText" text="%">
      <formula>NOT(ISERROR(SEARCH("%",H36)))</formula>
    </cfRule>
  </conditionalFormatting>
  <conditionalFormatting sqref="H36 L36">
    <cfRule type="containsText" dxfId="1242" priority="1248" operator="containsText" text="%">
      <formula>NOT(ISERROR(SEARCH("%",H36)))</formula>
    </cfRule>
  </conditionalFormatting>
  <conditionalFormatting sqref="H36 L36">
    <cfRule type="containsText" dxfId="1241" priority="1247" operator="containsText" text="%">
      <formula>NOT(ISERROR(SEARCH("%",H36)))</formula>
    </cfRule>
  </conditionalFormatting>
  <conditionalFormatting sqref="H36 L36">
    <cfRule type="containsText" dxfId="1240" priority="1246" operator="containsText" text="%">
      <formula>NOT(ISERROR(SEARCH("%",H36)))</formula>
    </cfRule>
  </conditionalFormatting>
  <conditionalFormatting sqref="H36 L36">
    <cfRule type="containsText" dxfId="1239" priority="1245" operator="containsText" text="%">
      <formula>NOT(ISERROR(SEARCH("%",H36)))</formula>
    </cfRule>
  </conditionalFormatting>
  <conditionalFormatting sqref="H36 L36">
    <cfRule type="containsText" dxfId="1238" priority="1244" operator="containsText" text="%">
      <formula>NOT(ISERROR(SEARCH("%",H36)))</formula>
    </cfRule>
  </conditionalFormatting>
  <conditionalFormatting sqref="H36 L36">
    <cfRule type="containsText" dxfId="1237" priority="1243" operator="containsText" text="%">
      <formula>NOT(ISERROR(SEARCH("%",H36)))</formula>
    </cfRule>
  </conditionalFormatting>
  <conditionalFormatting sqref="H36 L36">
    <cfRule type="containsText" dxfId="1236" priority="1242" operator="containsText" text="%">
      <formula>NOT(ISERROR(SEARCH("%",H36)))</formula>
    </cfRule>
  </conditionalFormatting>
  <conditionalFormatting sqref="H36 L36">
    <cfRule type="containsText" dxfId="1235" priority="1241" operator="containsText" text="%">
      <formula>NOT(ISERROR(SEARCH("%",H36)))</formula>
    </cfRule>
  </conditionalFormatting>
  <conditionalFormatting sqref="H36 L36">
    <cfRule type="containsText" dxfId="1234" priority="1240" operator="containsText" text="%">
      <formula>NOT(ISERROR(SEARCH("%",H36)))</formula>
    </cfRule>
  </conditionalFormatting>
  <conditionalFormatting sqref="H36 L36">
    <cfRule type="containsText" dxfId="1233" priority="1239" operator="containsText" text="%">
      <formula>NOT(ISERROR(SEARCH("%",H36)))</formula>
    </cfRule>
  </conditionalFormatting>
  <conditionalFormatting sqref="H36 L36">
    <cfRule type="containsText" dxfId="1232" priority="1238" operator="containsText" text="%">
      <formula>NOT(ISERROR(SEARCH("%",H36)))</formula>
    </cfRule>
  </conditionalFormatting>
  <conditionalFormatting sqref="H36 L36">
    <cfRule type="containsText" dxfId="1231" priority="1237" operator="containsText" text="%">
      <formula>NOT(ISERROR(SEARCH("%",H36)))</formula>
    </cfRule>
  </conditionalFormatting>
  <conditionalFormatting sqref="H36 L36">
    <cfRule type="containsText" dxfId="1230" priority="1236" operator="containsText" text="%">
      <formula>NOT(ISERROR(SEARCH("%",H36)))</formula>
    </cfRule>
  </conditionalFormatting>
  <conditionalFormatting sqref="H36 L36">
    <cfRule type="containsText" dxfId="1229" priority="1235" operator="containsText" text="%">
      <formula>NOT(ISERROR(SEARCH("%",H36)))</formula>
    </cfRule>
  </conditionalFormatting>
  <conditionalFormatting sqref="H36 L36">
    <cfRule type="containsText" dxfId="1228" priority="1234" operator="containsText" text="%">
      <formula>NOT(ISERROR(SEARCH("%",H36)))</formula>
    </cfRule>
  </conditionalFormatting>
  <conditionalFormatting sqref="H36 L36">
    <cfRule type="containsText" dxfId="1227" priority="1233" operator="containsText" text="%">
      <formula>NOT(ISERROR(SEARCH("%",H36)))</formula>
    </cfRule>
  </conditionalFormatting>
  <conditionalFormatting sqref="H36 L36">
    <cfRule type="containsText" dxfId="1226" priority="1232" operator="containsText" text="%">
      <formula>NOT(ISERROR(SEARCH("%",H36)))</formula>
    </cfRule>
  </conditionalFormatting>
  <conditionalFormatting sqref="H36 L36">
    <cfRule type="containsText" dxfId="1225" priority="1231" operator="containsText" text="%">
      <formula>NOT(ISERROR(SEARCH("%",H36)))</formula>
    </cfRule>
  </conditionalFormatting>
  <conditionalFormatting sqref="H36 L36">
    <cfRule type="containsText" dxfId="1224" priority="1230" operator="containsText" text="%">
      <formula>NOT(ISERROR(SEARCH("%",H36)))</formula>
    </cfRule>
  </conditionalFormatting>
  <conditionalFormatting sqref="H36 L36">
    <cfRule type="containsText" dxfId="1223" priority="1229" operator="containsText" text="%">
      <formula>NOT(ISERROR(SEARCH("%",H36)))</formula>
    </cfRule>
  </conditionalFormatting>
  <conditionalFormatting sqref="H36 L36">
    <cfRule type="containsText" dxfId="1222" priority="1228" operator="containsText" text="%">
      <formula>NOT(ISERROR(SEARCH("%",H36)))</formula>
    </cfRule>
  </conditionalFormatting>
  <conditionalFormatting sqref="H36 L36">
    <cfRule type="containsText" dxfId="1221" priority="1227" operator="containsText" text="%">
      <formula>NOT(ISERROR(SEARCH("%",H36)))</formula>
    </cfRule>
  </conditionalFormatting>
  <conditionalFormatting sqref="H36 L36">
    <cfRule type="containsText" dxfId="1220" priority="1226" operator="containsText" text="%">
      <formula>NOT(ISERROR(SEARCH("%",H36)))</formula>
    </cfRule>
  </conditionalFormatting>
  <conditionalFormatting sqref="H36 L36">
    <cfRule type="containsText" dxfId="1219" priority="1225" operator="containsText" text="%">
      <formula>NOT(ISERROR(SEARCH("%",H36)))</formula>
    </cfRule>
  </conditionalFormatting>
  <conditionalFormatting sqref="I35:I36 M35:M36">
    <cfRule type="containsText" dxfId="1218" priority="1224" operator="containsText" text="%">
      <formula>NOT(ISERROR(SEARCH("%",I35)))</formula>
    </cfRule>
  </conditionalFormatting>
  <conditionalFormatting sqref="I35:I36 M35:M36">
    <cfRule type="containsText" dxfId="1217" priority="1223" operator="containsText" text="%">
      <formula>NOT(ISERROR(SEARCH("%",I35)))</formula>
    </cfRule>
  </conditionalFormatting>
  <conditionalFormatting sqref="I35:I36 M35:M36">
    <cfRule type="containsText" dxfId="1216" priority="1222" operator="containsText" text="%">
      <formula>NOT(ISERROR(SEARCH("%",I35)))</formula>
    </cfRule>
  </conditionalFormatting>
  <conditionalFormatting sqref="I35:I36 M35:M36">
    <cfRule type="containsText" dxfId="1215" priority="1221" operator="containsText" text="%">
      <formula>NOT(ISERROR(SEARCH("%",I35)))</formula>
    </cfRule>
  </conditionalFormatting>
  <conditionalFormatting sqref="I35:I36 M35:M36">
    <cfRule type="containsText" dxfId="1214" priority="1220" operator="containsText" text="%">
      <formula>NOT(ISERROR(SEARCH("%",I35)))</formula>
    </cfRule>
  </conditionalFormatting>
  <conditionalFormatting sqref="I35:I36 M35:M36">
    <cfRule type="containsText" dxfId="1213" priority="1219" operator="containsText" text="%">
      <formula>NOT(ISERROR(SEARCH("%",I35)))</formula>
    </cfRule>
  </conditionalFormatting>
  <conditionalFormatting sqref="I35:I36 M35:M36">
    <cfRule type="containsText" dxfId="1212" priority="1203" operator="containsText" text="%">
      <formula>NOT(ISERROR(SEARCH("%",I35)))</formula>
    </cfRule>
  </conditionalFormatting>
  <conditionalFormatting sqref="I35:I36 M35:M36">
    <cfRule type="containsText" dxfId="1211" priority="1202" operator="containsText" text="%">
      <formula>NOT(ISERROR(SEARCH("%",I35)))</formula>
    </cfRule>
  </conditionalFormatting>
  <conditionalFormatting sqref="I35:I36 M35:M36">
    <cfRule type="containsText" dxfId="1210" priority="1198" operator="containsText" text="%">
      <formula>NOT(ISERROR(SEARCH("%",I35)))</formula>
    </cfRule>
  </conditionalFormatting>
  <conditionalFormatting sqref="I35:I36 M35:M36">
    <cfRule type="containsText" dxfId="1209" priority="1218" operator="containsText" text="%">
      <formula>NOT(ISERROR(SEARCH("%",I35)))</formula>
    </cfRule>
  </conditionalFormatting>
  <conditionalFormatting sqref="I35 M35">
    <cfRule type="containsText" dxfId="1208" priority="1217" operator="containsText" text="%">
      <formula>NOT(ISERROR(SEARCH("%",I35)))</formula>
    </cfRule>
  </conditionalFormatting>
  <conditionalFormatting sqref="I35 M35">
    <cfRule type="containsText" dxfId="1207" priority="1216" operator="containsText" text="%">
      <formula>NOT(ISERROR(SEARCH("%",I35)))</formula>
    </cfRule>
  </conditionalFormatting>
  <conditionalFormatting sqref="I35:I36 M35:M36">
    <cfRule type="containsText" dxfId="1206" priority="1196" operator="containsText" text="%">
      <formula>NOT(ISERROR(SEARCH("%",I35)))</formula>
    </cfRule>
  </conditionalFormatting>
  <conditionalFormatting sqref="I35:I36 M35:M36">
    <cfRule type="containsText" dxfId="1205" priority="1215" operator="containsText" text="%">
      <formula>NOT(ISERROR(SEARCH("%",I35)))</formula>
    </cfRule>
  </conditionalFormatting>
  <conditionalFormatting sqref="I35:I36 M35:M36">
    <cfRule type="containsText" dxfId="1204" priority="1214" operator="containsText" text="%">
      <formula>NOT(ISERROR(SEARCH("%",I35)))</formula>
    </cfRule>
  </conditionalFormatting>
  <conditionalFormatting sqref="I35:I36 M35:M36">
    <cfRule type="containsText" dxfId="1203" priority="1213" operator="containsText" text="%">
      <formula>NOT(ISERROR(SEARCH("%",I35)))</formula>
    </cfRule>
  </conditionalFormatting>
  <conditionalFormatting sqref="I35:I36 M35:M36">
    <cfRule type="containsText" dxfId="1202" priority="1212" operator="containsText" text="%">
      <formula>NOT(ISERROR(SEARCH("%",I35)))</formula>
    </cfRule>
  </conditionalFormatting>
  <conditionalFormatting sqref="I35:I36 M35:M36">
    <cfRule type="containsText" dxfId="1201" priority="1211" operator="containsText" text="%">
      <formula>NOT(ISERROR(SEARCH("%",I35)))</formula>
    </cfRule>
  </conditionalFormatting>
  <conditionalFormatting sqref="I35:I36 M35:M36">
    <cfRule type="containsText" dxfId="1200" priority="1210" operator="containsText" text="%">
      <formula>NOT(ISERROR(SEARCH("%",I35)))</formula>
    </cfRule>
  </conditionalFormatting>
  <conditionalFormatting sqref="I35:I36 M35:M36">
    <cfRule type="containsText" dxfId="1199" priority="1209" operator="containsText" text="%">
      <formula>NOT(ISERROR(SEARCH("%",I35)))</formula>
    </cfRule>
  </conditionalFormatting>
  <conditionalFormatting sqref="I35:I36 M35:M36">
    <cfRule type="containsText" dxfId="1198" priority="1208" operator="containsText" text="%">
      <formula>NOT(ISERROR(SEARCH("%",I35)))</formula>
    </cfRule>
  </conditionalFormatting>
  <conditionalFormatting sqref="I35:I36 M35:M36">
    <cfRule type="containsText" dxfId="1197" priority="1207" operator="containsText" text="%">
      <formula>NOT(ISERROR(SEARCH("%",I35)))</formula>
    </cfRule>
  </conditionalFormatting>
  <conditionalFormatting sqref="I35:I36 M35:M36">
    <cfRule type="containsText" dxfId="1196" priority="1206" operator="containsText" text="%">
      <formula>NOT(ISERROR(SEARCH("%",I35)))</formula>
    </cfRule>
  </conditionalFormatting>
  <conditionalFormatting sqref="I35:I36 M35:M36">
    <cfRule type="containsText" dxfId="1195" priority="1205" operator="containsText" text="%">
      <formula>NOT(ISERROR(SEARCH("%",I35)))</formula>
    </cfRule>
  </conditionalFormatting>
  <conditionalFormatting sqref="I35:I36 M35:M36">
    <cfRule type="containsText" dxfId="1194" priority="1204" operator="containsText" text="%">
      <formula>NOT(ISERROR(SEARCH("%",I35)))</formula>
    </cfRule>
  </conditionalFormatting>
  <conditionalFormatting sqref="I35:I36 M35:M36">
    <cfRule type="containsText" dxfId="1193" priority="1201" operator="containsText" text="%">
      <formula>NOT(ISERROR(SEARCH("%",I35)))</formula>
    </cfRule>
  </conditionalFormatting>
  <conditionalFormatting sqref="I35:I36 M35:M36">
    <cfRule type="containsText" dxfId="1192" priority="1200" operator="containsText" text="%">
      <formula>NOT(ISERROR(SEARCH("%",I35)))</formula>
    </cfRule>
  </conditionalFormatting>
  <conditionalFormatting sqref="I35:I36 M35:M36">
    <cfRule type="containsText" dxfId="1191" priority="1199" operator="containsText" text="%">
      <formula>NOT(ISERROR(SEARCH("%",I35)))</formula>
    </cfRule>
  </conditionalFormatting>
  <conditionalFormatting sqref="I35:I36 M35:M36">
    <cfRule type="containsText" dxfId="1190" priority="1197" operator="containsText" text="%">
      <formula>NOT(ISERROR(SEARCH("%",I35)))</formula>
    </cfRule>
  </conditionalFormatting>
  <conditionalFormatting sqref="I35:I36 M35:M36">
    <cfRule type="containsText" dxfId="1189" priority="1195" operator="containsText" text="%">
      <formula>NOT(ISERROR(SEARCH("%",I35)))</formula>
    </cfRule>
  </conditionalFormatting>
  <conditionalFormatting sqref="I35:I36 M35:M36">
    <cfRule type="containsText" dxfId="1188" priority="1194" operator="containsText" text="%">
      <formula>NOT(ISERROR(SEARCH("%",I35)))</formula>
    </cfRule>
  </conditionalFormatting>
  <conditionalFormatting sqref="I35:I36 M35:M36">
    <cfRule type="containsText" dxfId="1187" priority="1193" operator="containsText" text="%">
      <formula>NOT(ISERROR(SEARCH("%",I35)))</formula>
    </cfRule>
  </conditionalFormatting>
  <conditionalFormatting sqref="I35:I36 M35:M36">
    <cfRule type="containsText" dxfId="1186" priority="1192" operator="containsText" text="%">
      <formula>NOT(ISERROR(SEARCH("%",I35)))</formula>
    </cfRule>
  </conditionalFormatting>
  <conditionalFormatting sqref="I35:I36 M35:M36">
    <cfRule type="containsText" dxfId="1185" priority="1191" operator="containsText" text="%">
      <formula>NOT(ISERROR(SEARCH("%",I35)))</formula>
    </cfRule>
  </conditionalFormatting>
  <conditionalFormatting sqref="I35:I36 M35:M36">
    <cfRule type="containsText" dxfId="1184" priority="1190" operator="containsText" text="%">
      <formula>NOT(ISERROR(SEARCH("%",I35)))</formula>
    </cfRule>
  </conditionalFormatting>
  <conditionalFormatting sqref="I35:I36 M35:M36">
    <cfRule type="containsText" dxfId="1183" priority="1189" operator="containsText" text="%">
      <formula>NOT(ISERROR(SEARCH("%",I35)))</formula>
    </cfRule>
  </conditionalFormatting>
  <conditionalFormatting sqref="I35:I36 M35:M36">
    <cfRule type="containsText" dxfId="1182" priority="1188" operator="containsText" text="%">
      <formula>NOT(ISERROR(SEARCH("%",I35)))</formula>
    </cfRule>
  </conditionalFormatting>
  <conditionalFormatting sqref="I35:I36 M35:M36">
    <cfRule type="containsText" dxfId="1181" priority="1187" operator="containsText" text="%">
      <formula>NOT(ISERROR(SEARCH("%",I35)))</formula>
    </cfRule>
  </conditionalFormatting>
  <conditionalFormatting sqref="I35:I36 M35:M36">
    <cfRule type="containsText" dxfId="1180" priority="1186" operator="containsText" text="%">
      <formula>NOT(ISERROR(SEARCH("%",I35)))</formula>
    </cfRule>
  </conditionalFormatting>
  <conditionalFormatting sqref="I36 M36">
    <cfRule type="containsText" dxfId="1179" priority="1185" operator="containsText" text="%">
      <formula>NOT(ISERROR(SEARCH("%",I36)))</formula>
    </cfRule>
  </conditionalFormatting>
  <conditionalFormatting sqref="I36 M36">
    <cfRule type="containsText" dxfId="1178" priority="1184" operator="containsText" text="%">
      <formula>NOT(ISERROR(SEARCH("%",I36)))</formula>
    </cfRule>
  </conditionalFormatting>
  <conditionalFormatting sqref="I36 M36">
    <cfRule type="containsText" dxfId="1177" priority="1183" operator="containsText" text="%">
      <formula>NOT(ISERROR(SEARCH("%",I36)))</formula>
    </cfRule>
  </conditionalFormatting>
  <conditionalFormatting sqref="I36 M36">
    <cfRule type="containsText" dxfId="1176" priority="1182" operator="containsText" text="%">
      <formula>NOT(ISERROR(SEARCH("%",I36)))</formula>
    </cfRule>
  </conditionalFormatting>
  <conditionalFormatting sqref="I35:I36 M35:M36">
    <cfRule type="containsText" dxfId="1175" priority="1181" operator="containsText" text="%">
      <formula>NOT(ISERROR(SEARCH("%",I35)))</formula>
    </cfRule>
  </conditionalFormatting>
  <conditionalFormatting sqref="I35:I36 M35:M36">
    <cfRule type="containsText" dxfId="1174" priority="1180" operator="containsText" text="%">
      <formula>NOT(ISERROR(SEARCH("%",I35)))</formula>
    </cfRule>
  </conditionalFormatting>
  <conditionalFormatting sqref="I35:I36 M35:M36">
    <cfRule type="containsText" dxfId="1173" priority="1179" operator="containsText" text="%">
      <formula>NOT(ISERROR(SEARCH("%",I35)))</formula>
    </cfRule>
  </conditionalFormatting>
  <conditionalFormatting sqref="I35:I36 M35:M36">
    <cfRule type="containsText" dxfId="1172" priority="1178" operator="containsText" text="%">
      <formula>NOT(ISERROR(SEARCH("%",I35)))</formula>
    </cfRule>
  </conditionalFormatting>
  <conditionalFormatting sqref="I35:I36 M35:M36">
    <cfRule type="containsText" dxfId="1171" priority="1177" operator="containsText" text="%">
      <formula>NOT(ISERROR(SEARCH("%",I35)))</formula>
    </cfRule>
  </conditionalFormatting>
  <conditionalFormatting sqref="I35:I36 M35:M36">
    <cfRule type="containsText" dxfId="1170" priority="1176" operator="containsText" text="%">
      <formula>NOT(ISERROR(SEARCH("%",I35)))</formula>
    </cfRule>
  </conditionalFormatting>
  <conditionalFormatting sqref="I35:I36 M35:M36">
    <cfRule type="containsText" dxfId="1169" priority="1175" operator="containsText" text="%">
      <formula>NOT(ISERROR(SEARCH("%",I35)))</formula>
    </cfRule>
  </conditionalFormatting>
  <conditionalFormatting sqref="I35:I36 M35:M36">
    <cfRule type="containsText" dxfId="1168" priority="1174" operator="containsText" text="%">
      <formula>NOT(ISERROR(SEARCH("%",I35)))</formula>
    </cfRule>
  </conditionalFormatting>
  <conditionalFormatting sqref="I35:I36 M35:M36">
    <cfRule type="containsText" dxfId="1167" priority="1173" operator="containsText" text="%">
      <formula>NOT(ISERROR(SEARCH("%",I35)))</formula>
    </cfRule>
  </conditionalFormatting>
  <conditionalFormatting sqref="I35:I36 M35:M36">
    <cfRule type="containsText" dxfId="1166" priority="1172" operator="containsText" text="%">
      <formula>NOT(ISERROR(SEARCH("%",I35)))</formula>
    </cfRule>
  </conditionalFormatting>
  <conditionalFormatting sqref="I36 M36">
    <cfRule type="containsText" dxfId="1165" priority="1171" operator="containsText" text="%">
      <formula>NOT(ISERROR(SEARCH("%",I36)))</formula>
    </cfRule>
  </conditionalFormatting>
  <conditionalFormatting sqref="I36 M36">
    <cfRule type="containsText" dxfId="1164" priority="1170" operator="containsText" text="%">
      <formula>NOT(ISERROR(SEARCH("%",I36)))</formula>
    </cfRule>
  </conditionalFormatting>
  <conditionalFormatting sqref="I36 M36">
    <cfRule type="containsText" dxfId="1163" priority="1169" operator="containsText" text="%">
      <formula>NOT(ISERROR(SEARCH("%",I36)))</formula>
    </cfRule>
  </conditionalFormatting>
  <conditionalFormatting sqref="I36 M36">
    <cfRule type="containsText" dxfId="1162" priority="1168" operator="containsText" text="%">
      <formula>NOT(ISERROR(SEARCH("%",I36)))</formula>
    </cfRule>
  </conditionalFormatting>
  <conditionalFormatting sqref="I35:I36 M35:M36">
    <cfRule type="containsText" dxfId="1161" priority="1167" operator="containsText" text="%">
      <formula>NOT(ISERROR(SEARCH("%",I35)))</formula>
    </cfRule>
  </conditionalFormatting>
  <conditionalFormatting sqref="I35:I36 M35:M36">
    <cfRule type="containsText" dxfId="1160" priority="1166" operator="containsText" text="%">
      <formula>NOT(ISERROR(SEARCH("%",I35)))</formula>
    </cfRule>
  </conditionalFormatting>
  <conditionalFormatting sqref="I35:I36 M35:M36">
    <cfRule type="containsText" dxfId="1159" priority="1165" operator="containsText" text="%">
      <formula>NOT(ISERROR(SEARCH("%",I35)))</formula>
    </cfRule>
  </conditionalFormatting>
  <conditionalFormatting sqref="I35:I36 M35:M36">
    <cfRule type="containsText" dxfId="1158" priority="1164" operator="containsText" text="%">
      <formula>NOT(ISERROR(SEARCH("%",I35)))</formula>
    </cfRule>
  </conditionalFormatting>
  <conditionalFormatting sqref="I35:I36 M35:M36">
    <cfRule type="containsText" dxfId="1157" priority="1163" operator="containsText" text="%">
      <formula>NOT(ISERROR(SEARCH("%",I35)))</formula>
    </cfRule>
  </conditionalFormatting>
  <conditionalFormatting sqref="I35:I36 M35:M36">
    <cfRule type="containsText" dxfId="1156" priority="1162" operator="containsText" text="%">
      <formula>NOT(ISERROR(SEARCH("%",I35)))</formula>
    </cfRule>
  </conditionalFormatting>
  <conditionalFormatting sqref="I36 M36">
    <cfRule type="containsText" dxfId="1155" priority="1161" operator="containsText" text="%">
      <formula>NOT(ISERROR(SEARCH("%",I36)))</formula>
    </cfRule>
  </conditionalFormatting>
  <conditionalFormatting sqref="I36 M36">
    <cfRule type="containsText" dxfId="1154" priority="1160" operator="containsText" text="%">
      <formula>NOT(ISERROR(SEARCH("%",I36)))</formula>
    </cfRule>
  </conditionalFormatting>
  <conditionalFormatting sqref="I36 M36">
    <cfRule type="containsText" dxfId="1153" priority="1159" operator="containsText" text="%">
      <formula>NOT(ISERROR(SEARCH("%",I36)))</formula>
    </cfRule>
  </conditionalFormatting>
  <conditionalFormatting sqref="I36 M36">
    <cfRule type="containsText" dxfId="1152" priority="1158" operator="containsText" text="%">
      <formula>NOT(ISERROR(SEARCH("%",I36)))</formula>
    </cfRule>
  </conditionalFormatting>
  <conditionalFormatting sqref="I35:I36 M35:M36">
    <cfRule type="containsText" dxfId="1151" priority="1142" operator="containsText" text="%">
      <formula>NOT(ISERROR(SEARCH("%",I35)))</formula>
    </cfRule>
  </conditionalFormatting>
  <conditionalFormatting sqref="I35:I36 M35:M36">
    <cfRule type="containsText" dxfId="1150" priority="1141" operator="containsText" text="%">
      <formula>NOT(ISERROR(SEARCH("%",I35)))</formula>
    </cfRule>
  </conditionalFormatting>
  <conditionalFormatting sqref="I35:I36 M35:M36">
    <cfRule type="containsText" dxfId="1149" priority="1137" operator="containsText" text="%">
      <formula>NOT(ISERROR(SEARCH("%",I35)))</formula>
    </cfRule>
  </conditionalFormatting>
  <conditionalFormatting sqref="I35:I36 M35:M36">
    <cfRule type="containsText" dxfId="1148" priority="1157" operator="containsText" text="%">
      <formula>NOT(ISERROR(SEARCH("%",I35)))</formula>
    </cfRule>
  </conditionalFormatting>
  <conditionalFormatting sqref="I35 M35">
    <cfRule type="containsText" dxfId="1147" priority="1156" operator="containsText" text="%">
      <formula>NOT(ISERROR(SEARCH("%",I35)))</formula>
    </cfRule>
  </conditionalFormatting>
  <conditionalFormatting sqref="I35 M35">
    <cfRule type="containsText" dxfId="1146" priority="1155" operator="containsText" text="%">
      <formula>NOT(ISERROR(SEARCH("%",I35)))</formula>
    </cfRule>
  </conditionalFormatting>
  <conditionalFormatting sqref="I35:I36 M35:M36">
    <cfRule type="containsText" dxfId="1145" priority="1135" operator="containsText" text="%">
      <formula>NOT(ISERROR(SEARCH("%",I35)))</formula>
    </cfRule>
  </conditionalFormatting>
  <conditionalFormatting sqref="I35:I36 M35:M36">
    <cfRule type="containsText" dxfId="1144" priority="1154" operator="containsText" text="%">
      <formula>NOT(ISERROR(SEARCH("%",I35)))</formula>
    </cfRule>
  </conditionalFormatting>
  <conditionalFormatting sqref="I35:I36 M35:M36">
    <cfRule type="containsText" dxfId="1143" priority="1153" operator="containsText" text="%">
      <formula>NOT(ISERROR(SEARCH("%",I35)))</formula>
    </cfRule>
  </conditionalFormatting>
  <conditionalFormatting sqref="I35:I36 M35:M36">
    <cfRule type="containsText" dxfId="1142" priority="1152" operator="containsText" text="%">
      <formula>NOT(ISERROR(SEARCH("%",I35)))</formula>
    </cfRule>
  </conditionalFormatting>
  <conditionalFormatting sqref="I35:I36 M35:M36">
    <cfRule type="containsText" dxfId="1141" priority="1151" operator="containsText" text="%">
      <formula>NOT(ISERROR(SEARCH("%",I35)))</formula>
    </cfRule>
  </conditionalFormatting>
  <conditionalFormatting sqref="I35:I36 M35:M36">
    <cfRule type="containsText" dxfId="1140" priority="1150" operator="containsText" text="%">
      <formula>NOT(ISERROR(SEARCH("%",I35)))</formula>
    </cfRule>
  </conditionalFormatting>
  <conditionalFormatting sqref="I35:I36 M35:M36">
    <cfRule type="containsText" dxfId="1139" priority="1149" operator="containsText" text="%">
      <formula>NOT(ISERROR(SEARCH("%",I35)))</formula>
    </cfRule>
  </conditionalFormatting>
  <conditionalFormatting sqref="I35:I36 M35:M36">
    <cfRule type="containsText" dxfId="1138" priority="1148" operator="containsText" text="%">
      <formula>NOT(ISERROR(SEARCH("%",I35)))</formula>
    </cfRule>
  </conditionalFormatting>
  <conditionalFormatting sqref="I35:I36 M35:M36">
    <cfRule type="containsText" dxfId="1137" priority="1147" operator="containsText" text="%">
      <formula>NOT(ISERROR(SEARCH("%",I35)))</formula>
    </cfRule>
  </conditionalFormatting>
  <conditionalFormatting sqref="I35:I36 M35:M36">
    <cfRule type="containsText" dxfId="1136" priority="1146" operator="containsText" text="%">
      <formula>NOT(ISERROR(SEARCH("%",I35)))</formula>
    </cfRule>
  </conditionalFormatting>
  <conditionalFormatting sqref="I35:I36 M35:M36">
    <cfRule type="containsText" dxfId="1135" priority="1145" operator="containsText" text="%">
      <formula>NOT(ISERROR(SEARCH("%",I35)))</formula>
    </cfRule>
  </conditionalFormatting>
  <conditionalFormatting sqref="I35:I36 M35:M36">
    <cfRule type="containsText" dxfId="1134" priority="1144" operator="containsText" text="%">
      <formula>NOT(ISERROR(SEARCH("%",I35)))</formula>
    </cfRule>
  </conditionalFormatting>
  <conditionalFormatting sqref="I35:I36 M35:M36">
    <cfRule type="containsText" dxfId="1133" priority="1143" operator="containsText" text="%">
      <formula>NOT(ISERROR(SEARCH("%",I35)))</formula>
    </cfRule>
  </conditionalFormatting>
  <conditionalFormatting sqref="I35:I36 M35:M36">
    <cfRule type="containsText" dxfId="1132" priority="1140" operator="containsText" text="%">
      <formula>NOT(ISERROR(SEARCH("%",I35)))</formula>
    </cfRule>
  </conditionalFormatting>
  <conditionalFormatting sqref="I35:I36 M35:M36">
    <cfRule type="containsText" dxfId="1131" priority="1139" operator="containsText" text="%">
      <formula>NOT(ISERROR(SEARCH("%",I35)))</formula>
    </cfRule>
  </conditionalFormatting>
  <conditionalFormatting sqref="I35:I36 M35:M36">
    <cfRule type="containsText" dxfId="1130" priority="1138" operator="containsText" text="%">
      <formula>NOT(ISERROR(SEARCH("%",I35)))</formula>
    </cfRule>
  </conditionalFormatting>
  <conditionalFormatting sqref="I35:I36 M35:M36">
    <cfRule type="containsText" dxfId="1129" priority="1136" operator="containsText" text="%">
      <formula>NOT(ISERROR(SEARCH("%",I35)))</formula>
    </cfRule>
  </conditionalFormatting>
  <conditionalFormatting sqref="I35:I36 M35:M36">
    <cfRule type="containsText" dxfId="1128" priority="1134" operator="containsText" text="%">
      <formula>NOT(ISERROR(SEARCH("%",I35)))</formula>
    </cfRule>
  </conditionalFormatting>
  <conditionalFormatting sqref="I35:I36 M35:M36">
    <cfRule type="containsText" dxfId="1127" priority="1133" operator="containsText" text="%">
      <formula>NOT(ISERROR(SEARCH("%",I35)))</formula>
    </cfRule>
  </conditionalFormatting>
  <conditionalFormatting sqref="I35:I36 M35:M36">
    <cfRule type="containsText" dxfId="1126" priority="1132" operator="containsText" text="%">
      <formula>NOT(ISERROR(SEARCH("%",I35)))</formula>
    </cfRule>
  </conditionalFormatting>
  <conditionalFormatting sqref="I35:I36 M35:M36">
    <cfRule type="containsText" dxfId="1125" priority="1131" operator="containsText" text="%">
      <formula>NOT(ISERROR(SEARCH("%",I35)))</formula>
    </cfRule>
  </conditionalFormatting>
  <conditionalFormatting sqref="I35:I36 M35:M36">
    <cfRule type="containsText" dxfId="1124" priority="1130" operator="containsText" text="%">
      <formula>NOT(ISERROR(SEARCH("%",I35)))</formula>
    </cfRule>
  </conditionalFormatting>
  <conditionalFormatting sqref="I35:I36 M35:M36">
    <cfRule type="containsText" dxfId="1123" priority="1129" operator="containsText" text="%">
      <formula>NOT(ISERROR(SEARCH("%",I35)))</formula>
    </cfRule>
  </conditionalFormatting>
  <conditionalFormatting sqref="I35:I36 M35:M36">
    <cfRule type="containsText" dxfId="1122" priority="1128" operator="containsText" text="%">
      <formula>NOT(ISERROR(SEARCH("%",I35)))</formula>
    </cfRule>
  </conditionalFormatting>
  <conditionalFormatting sqref="I35:I36 M35:M36">
    <cfRule type="containsText" dxfId="1121" priority="1127" operator="containsText" text="%">
      <formula>NOT(ISERROR(SEARCH("%",I35)))</formula>
    </cfRule>
  </conditionalFormatting>
  <conditionalFormatting sqref="I35:I36 M35:M36">
    <cfRule type="containsText" dxfId="1120" priority="1126" operator="containsText" text="%">
      <formula>NOT(ISERROR(SEARCH("%",I35)))</formula>
    </cfRule>
  </conditionalFormatting>
  <conditionalFormatting sqref="I35:I36 M35:M36">
    <cfRule type="containsText" dxfId="1119" priority="1125" operator="containsText" text="%">
      <formula>NOT(ISERROR(SEARCH("%",I35)))</formula>
    </cfRule>
  </conditionalFormatting>
  <conditionalFormatting sqref="I36 M36">
    <cfRule type="containsText" dxfId="1118" priority="1124" operator="containsText" text="%">
      <formula>NOT(ISERROR(SEARCH("%",I36)))</formula>
    </cfRule>
  </conditionalFormatting>
  <conditionalFormatting sqref="I36 M36">
    <cfRule type="containsText" dxfId="1117" priority="1123" operator="containsText" text="%">
      <formula>NOT(ISERROR(SEARCH("%",I36)))</formula>
    </cfRule>
  </conditionalFormatting>
  <conditionalFormatting sqref="I36 M36">
    <cfRule type="containsText" dxfId="1116" priority="1122" operator="containsText" text="%">
      <formula>NOT(ISERROR(SEARCH("%",I36)))</formula>
    </cfRule>
  </conditionalFormatting>
  <conditionalFormatting sqref="I36 M36">
    <cfRule type="containsText" dxfId="1115" priority="1121" operator="containsText" text="%">
      <formula>NOT(ISERROR(SEARCH("%",I36)))</formula>
    </cfRule>
  </conditionalFormatting>
  <conditionalFormatting sqref="I35:I36 M35:M36">
    <cfRule type="containsText" dxfId="1114" priority="1120" operator="containsText" text="%">
      <formula>NOT(ISERROR(SEARCH("%",I35)))</formula>
    </cfRule>
  </conditionalFormatting>
  <conditionalFormatting sqref="I35:I36 M35:M36">
    <cfRule type="containsText" dxfId="1113" priority="1119" operator="containsText" text="%">
      <formula>NOT(ISERROR(SEARCH("%",I35)))</formula>
    </cfRule>
  </conditionalFormatting>
  <conditionalFormatting sqref="I35:I36 M35:M36">
    <cfRule type="containsText" dxfId="1112" priority="1118" operator="containsText" text="%">
      <formula>NOT(ISERROR(SEARCH("%",I35)))</formula>
    </cfRule>
  </conditionalFormatting>
  <conditionalFormatting sqref="I35:I36 M35:M36">
    <cfRule type="containsText" dxfId="1111" priority="1117" operator="containsText" text="%">
      <formula>NOT(ISERROR(SEARCH("%",I35)))</formula>
    </cfRule>
  </conditionalFormatting>
  <conditionalFormatting sqref="I35:I36 M35:M36">
    <cfRule type="containsText" dxfId="1110" priority="1116" operator="containsText" text="%">
      <formula>NOT(ISERROR(SEARCH("%",I35)))</formula>
    </cfRule>
  </conditionalFormatting>
  <conditionalFormatting sqref="I35:I36 M35:M36">
    <cfRule type="containsText" dxfId="1109" priority="1115" operator="containsText" text="%">
      <formula>NOT(ISERROR(SEARCH("%",I35)))</formula>
    </cfRule>
  </conditionalFormatting>
  <conditionalFormatting sqref="I35:I36 M35:M36">
    <cfRule type="containsText" dxfId="1108" priority="1114" operator="containsText" text="%">
      <formula>NOT(ISERROR(SEARCH("%",I35)))</formula>
    </cfRule>
  </conditionalFormatting>
  <conditionalFormatting sqref="I35:I36 M35:M36">
    <cfRule type="containsText" dxfId="1107" priority="1113" operator="containsText" text="%">
      <formula>NOT(ISERROR(SEARCH("%",I35)))</formula>
    </cfRule>
  </conditionalFormatting>
  <conditionalFormatting sqref="I35:I36 M35:M36">
    <cfRule type="containsText" dxfId="1106" priority="1112" operator="containsText" text="%">
      <formula>NOT(ISERROR(SEARCH("%",I35)))</formula>
    </cfRule>
  </conditionalFormatting>
  <conditionalFormatting sqref="I35:I36 M35:M36">
    <cfRule type="containsText" dxfId="1105" priority="1111" operator="containsText" text="%">
      <formula>NOT(ISERROR(SEARCH("%",I35)))</formula>
    </cfRule>
  </conditionalFormatting>
  <conditionalFormatting sqref="I36 M36">
    <cfRule type="containsText" dxfId="1104" priority="1110" operator="containsText" text="%">
      <formula>NOT(ISERROR(SEARCH("%",I36)))</formula>
    </cfRule>
  </conditionalFormatting>
  <conditionalFormatting sqref="I36 M36">
    <cfRule type="containsText" dxfId="1103" priority="1109" operator="containsText" text="%">
      <formula>NOT(ISERROR(SEARCH("%",I36)))</formula>
    </cfRule>
  </conditionalFormatting>
  <conditionalFormatting sqref="I36 M36">
    <cfRule type="containsText" dxfId="1102" priority="1108" operator="containsText" text="%">
      <formula>NOT(ISERROR(SEARCH("%",I36)))</formula>
    </cfRule>
  </conditionalFormatting>
  <conditionalFormatting sqref="I36 M36">
    <cfRule type="containsText" dxfId="1101" priority="1107" operator="containsText" text="%">
      <formula>NOT(ISERROR(SEARCH("%",I36)))</formula>
    </cfRule>
  </conditionalFormatting>
  <conditionalFormatting sqref="I35 M35">
    <cfRule type="containsText" dxfId="1100" priority="1106" operator="containsText" text="%">
      <formula>NOT(ISERROR(SEARCH("%",I35)))</formula>
    </cfRule>
  </conditionalFormatting>
  <conditionalFormatting sqref="I35 M35">
    <cfRule type="containsText" dxfId="1099" priority="1105" operator="containsText" text="%">
      <formula>NOT(ISERROR(SEARCH("%",I35)))</formula>
    </cfRule>
  </conditionalFormatting>
  <conditionalFormatting sqref="I35 M35">
    <cfRule type="containsText" dxfId="1098" priority="1104" operator="containsText" text="%">
      <formula>NOT(ISERROR(SEARCH("%",I35)))</formula>
    </cfRule>
  </conditionalFormatting>
  <conditionalFormatting sqref="I35 M35">
    <cfRule type="containsText" dxfId="1097" priority="1103" operator="containsText" text="%">
      <formula>NOT(ISERROR(SEARCH("%",I35)))</formula>
    </cfRule>
  </conditionalFormatting>
  <conditionalFormatting sqref="I35 M35">
    <cfRule type="containsText" dxfId="1096" priority="1102" operator="containsText" text="%">
      <formula>NOT(ISERROR(SEARCH("%",I35)))</formula>
    </cfRule>
  </conditionalFormatting>
  <conditionalFormatting sqref="I35 M35">
    <cfRule type="containsText" dxfId="1095" priority="1101" operator="containsText" text="%">
      <formula>NOT(ISERROR(SEARCH("%",I35)))</formula>
    </cfRule>
  </conditionalFormatting>
  <conditionalFormatting sqref="I36 M36">
    <cfRule type="containsText" dxfId="1094" priority="1100" operator="containsText" text="%">
      <formula>NOT(ISERROR(SEARCH("%",I36)))</formula>
    </cfRule>
  </conditionalFormatting>
  <conditionalFormatting sqref="I36 M36">
    <cfRule type="containsText" dxfId="1093" priority="1099" operator="containsText" text="%">
      <formula>NOT(ISERROR(SEARCH("%",I36)))</formula>
    </cfRule>
  </conditionalFormatting>
  <conditionalFormatting sqref="I36 M36">
    <cfRule type="containsText" dxfId="1092" priority="1098" operator="containsText" text="%">
      <formula>NOT(ISERROR(SEARCH("%",I36)))</formula>
    </cfRule>
  </conditionalFormatting>
  <conditionalFormatting sqref="I36 M36">
    <cfRule type="containsText" dxfId="1091" priority="1097" operator="containsText" text="%">
      <formula>NOT(ISERROR(SEARCH("%",I36)))</formula>
    </cfRule>
  </conditionalFormatting>
  <conditionalFormatting sqref="I36 M36">
    <cfRule type="containsText" dxfId="1090" priority="1096" operator="containsText" text="%">
      <formula>NOT(ISERROR(SEARCH("%",I36)))</formula>
    </cfRule>
  </conditionalFormatting>
  <conditionalFormatting sqref="I36 M36">
    <cfRule type="containsText" dxfId="1089" priority="1095" operator="containsText" text="%">
      <formula>NOT(ISERROR(SEARCH("%",I36)))</formula>
    </cfRule>
  </conditionalFormatting>
  <conditionalFormatting sqref="I36 M36">
    <cfRule type="containsText" dxfId="1088" priority="1094" operator="containsText" text="%">
      <formula>NOT(ISERROR(SEARCH("%",I36)))</formula>
    </cfRule>
  </conditionalFormatting>
  <conditionalFormatting sqref="I36 M36">
    <cfRule type="containsText" dxfId="1087" priority="1093" operator="containsText" text="%">
      <formula>NOT(ISERROR(SEARCH("%",I36)))</formula>
    </cfRule>
  </conditionalFormatting>
  <conditionalFormatting sqref="I36 M36">
    <cfRule type="containsText" dxfId="1086" priority="1092" operator="containsText" text="%">
      <formula>NOT(ISERROR(SEARCH("%",I36)))</formula>
    </cfRule>
  </conditionalFormatting>
  <conditionalFormatting sqref="I36 M36">
    <cfRule type="containsText" dxfId="1085" priority="1091" operator="containsText" text="%">
      <formula>NOT(ISERROR(SEARCH("%",I36)))</formula>
    </cfRule>
  </conditionalFormatting>
  <conditionalFormatting sqref="I36 M36">
    <cfRule type="containsText" dxfId="1084" priority="1077" operator="containsText" text="%">
      <formula>NOT(ISERROR(SEARCH("%",I36)))</formula>
    </cfRule>
  </conditionalFormatting>
  <conditionalFormatting sqref="I36 M36">
    <cfRule type="containsText" dxfId="1083" priority="1076" operator="containsText" text="%">
      <formula>NOT(ISERROR(SEARCH("%",I36)))</formula>
    </cfRule>
  </conditionalFormatting>
  <conditionalFormatting sqref="I36 M36">
    <cfRule type="containsText" dxfId="1082" priority="1072" operator="containsText" text="%">
      <formula>NOT(ISERROR(SEARCH("%",I36)))</formula>
    </cfRule>
  </conditionalFormatting>
  <conditionalFormatting sqref="I36 M36">
    <cfRule type="containsText" dxfId="1081" priority="1090" operator="containsText" text="%">
      <formula>NOT(ISERROR(SEARCH("%",I36)))</formula>
    </cfRule>
  </conditionalFormatting>
  <conditionalFormatting sqref="I36 M36">
    <cfRule type="containsText" dxfId="1080" priority="1070" operator="containsText" text="%">
      <formula>NOT(ISERROR(SEARCH("%",I36)))</formula>
    </cfRule>
  </conditionalFormatting>
  <conditionalFormatting sqref="I36 M36">
    <cfRule type="containsText" dxfId="1079" priority="1089" operator="containsText" text="%">
      <formula>NOT(ISERROR(SEARCH("%",I36)))</formula>
    </cfRule>
  </conditionalFormatting>
  <conditionalFormatting sqref="I36 M36">
    <cfRule type="containsText" dxfId="1078" priority="1088" operator="containsText" text="%">
      <formula>NOT(ISERROR(SEARCH("%",I36)))</formula>
    </cfRule>
  </conditionalFormatting>
  <conditionalFormatting sqref="I36 M36">
    <cfRule type="containsText" dxfId="1077" priority="1087" operator="containsText" text="%">
      <formula>NOT(ISERROR(SEARCH("%",I36)))</formula>
    </cfRule>
  </conditionalFormatting>
  <conditionalFormatting sqref="I36 M36">
    <cfRule type="containsText" dxfId="1076" priority="1086" operator="containsText" text="%">
      <formula>NOT(ISERROR(SEARCH("%",I36)))</formula>
    </cfRule>
  </conditionalFormatting>
  <conditionalFormatting sqref="I36 M36">
    <cfRule type="containsText" dxfId="1075" priority="1085" operator="containsText" text="%">
      <formula>NOT(ISERROR(SEARCH("%",I36)))</formula>
    </cfRule>
  </conditionalFormatting>
  <conditionalFormatting sqref="I36 M36">
    <cfRule type="containsText" dxfId="1074" priority="1084" operator="containsText" text="%">
      <formula>NOT(ISERROR(SEARCH("%",I36)))</formula>
    </cfRule>
  </conditionalFormatting>
  <conditionalFormatting sqref="I36 M36">
    <cfRule type="containsText" dxfId="1073" priority="1083" operator="containsText" text="%">
      <formula>NOT(ISERROR(SEARCH("%",I36)))</formula>
    </cfRule>
  </conditionalFormatting>
  <conditionalFormatting sqref="I36 M36">
    <cfRule type="containsText" dxfId="1072" priority="1082" operator="containsText" text="%">
      <formula>NOT(ISERROR(SEARCH("%",I36)))</formula>
    </cfRule>
  </conditionalFormatting>
  <conditionalFormatting sqref="I36 M36">
    <cfRule type="containsText" dxfId="1071" priority="1081" operator="containsText" text="%">
      <formula>NOT(ISERROR(SEARCH("%",I36)))</formula>
    </cfRule>
  </conditionalFormatting>
  <conditionalFormatting sqref="I36 M36">
    <cfRule type="containsText" dxfId="1070" priority="1080" operator="containsText" text="%">
      <formula>NOT(ISERROR(SEARCH("%",I36)))</formula>
    </cfRule>
  </conditionalFormatting>
  <conditionalFormatting sqref="I36 M36">
    <cfRule type="containsText" dxfId="1069" priority="1079" operator="containsText" text="%">
      <formula>NOT(ISERROR(SEARCH("%",I36)))</formula>
    </cfRule>
  </conditionalFormatting>
  <conditionalFormatting sqref="I36 M36">
    <cfRule type="containsText" dxfId="1068" priority="1078" operator="containsText" text="%">
      <formula>NOT(ISERROR(SEARCH("%",I36)))</formula>
    </cfRule>
  </conditionalFormatting>
  <conditionalFormatting sqref="I36 M36">
    <cfRule type="containsText" dxfId="1067" priority="1075" operator="containsText" text="%">
      <formula>NOT(ISERROR(SEARCH("%",I36)))</formula>
    </cfRule>
  </conditionalFormatting>
  <conditionalFormatting sqref="I36 M36">
    <cfRule type="containsText" dxfId="1066" priority="1074" operator="containsText" text="%">
      <formula>NOT(ISERROR(SEARCH("%",I36)))</formula>
    </cfRule>
  </conditionalFormatting>
  <conditionalFormatting sqref="I36 M36">
    <cfRule type="containsText" dxfId="1065" priority="1073" operator="containsText" text="%">
      <formula>NOT(ISERROR(SEARCH("%",I36)))</formula>
    </cfRule>
  </conditionalFormatting>
  <conditionalFormatting sqref="I36 M36">
    <cfRule type="containsText" dxfId="1064" priority="1071" operator="containsText" text="%">
      <formula>NOT(ISERROR(SEARCH("%",I36)))</formula>
    </cfRule>
  </conditionalFormatting>
  <conditionalFormatting sqref="I36 M36">
    <cfRule type="containsText" dxfId="1063" priority="1069" operator="containsText" text="%">
      <formula>NOT(ISERROR(SEARCH("%",I36)))</formula>
    </cfRule>
  </conditionalFormatting>
  <conditionalFormatting sqref="I36 M36">
    <cfRule type="containsText" dxfId="1062" priority="1068" operator="containsText" text="%">
      <formula>NOT(ISERROR(SEARCH("%",I36)))</formula>
    </cfRule>
  </conditionalFormatting>
  <conditionalFormatting sqref="I36 M36">
    <cfRule type="containsText" dxfId="1061" priority="1067" operator="containsText" text="%">
      <formula>NOT(ISERROR(SEARCH("%",I36)))</formula>
    </cfRule>
  </conditionalFormatting>
  <conditionalFormatting sqref="I36 M36">
    <cfRule type="containsText" dxfId="1060" priority="1066" operator="containsText" text="%">
      <formula>NOT(ISERROR(SEARCH("%",I36)))</formula>
    </cfRule>
  </conditionalFormatting>
  <conditionalFormatting sqref="I36 M36">
    <cfRule type="containsText" dxfId="1059" priority="1065" operator="containsText" text="%">
      <formula>NOT(ISERROR(SEARCH("%",I36)))</formula>
    </cfRule>
  </conditionalFormatting>
  <conditionalFormatting sqref="I36 M36">
    <cfRule type="containsText" dxfId="1058" priority="1064" operator="containsText" text="%">
      <formula>NOT(ISERROR(SEARCH("%",I36)))</formula>
    </cfRule>
  </conditionalFormatting>
  <conditionalFormatting sqref="I36 M36">
    <cfRule type="containsText" dxfId="1057" priority="1063" operator="containsText" text="%">
      <formula>NOT(ISERROR(SEARCH("%",I36)))</formula>
    </cfRule>
  </conditionalFormatting>
  <conditionalFormatting sqref="I36 M36">
    <cfRule type="containsText" dxfId="1056" priority="1062" operator="containsText" text="%">
      <formula>NOT(ISERROR(SEARCH("%",I36)))</formula>
    </cfRule>
  </conditionalFormatting>
  <conditionalFormatting sqref="I36 M36">
    <cfRule type="containsText" dxfId="1055" priority="1061" operator="containsText" text="%">
      <formula>NOT(ISERROR(SEARCH("%",I36)))</formula>
    </cfRule>
  </conditionalFormatting>
  <conditionalFormatting sqref="I36 M36">
    <cfRule type="containsText" dxfId="1054" priority="1060" operator="containsText" text="%">
      <formula>NOT(ISERROR(SEARCH("%",I36)))</formula>
    </cfRule>
  </conditionalFormatting>
  <conditionalFormatting sqref="I36 M36">
    <cfRule type="containsText" dxfId="1053" priority="1059" operator="containsText" text="%">
      <formula>NOT(ISERROR(SEARCH("%",I36)))</formula>
    </cfRule>
  </conditionalFormatting>
  <conditionalFormatting sqref="I36 M36">
    <cfRule type="containsText" dxfId="1052" priority="1058" operator="containsText" text="%">
      <formula>NOT(ISERROR(SEARCH("%",I36)))</formula>
    </cfRule>
  </conditionalFormatting>
  <conditionalFormatting sqref="I36 M36">
    <cfRule type="containsText" dxfId="1051" priority="1057" operator="containsText" text="%">
      <formula>NOT(ISERROR(SEARCH("%",I36)))</formula>
    </cfRule>
  </conditionalFormatting>
  <conditionalFormatting sqref="I36 M36">
    <cfRule type="containsText" dxfId="1050" priority="1056" operator="containsText" text="%">
      <formula>NOT(ISERROR(SEARCH("%",I36)))</formula>
    </cfRule>
  </conditionalFormatting>
  <conditionalFormatting sqref="I36 M36">
    <cfRule type="containsText" dxfId="1049" priority="1055" operator="containsText" text="%">
      <formula>NOT(ISERROR(SEARCH("%",I36)))</formula>
    </cfRule>
  </conditionalFormatting>
  <conditionalFormatting sqref="I36 M36">
    <cfRule type="containsText" dxfId="1048" priority="1054" operator="containsText" text="%">
      <formula>NOT(ISERROR(SEARCH("%",I36)))</formula>
    </cfRule>
  </conditionalFormatting>
  <conditionalFormatting sqref="I36 M36">
    <cfRule type="containsText" dxfId="1047" priority="1053" operator="containsText" text="%">
      <formula>NOT(ISERROR(SEARCH("%",I36)))</formula>
    </cfRule>
  </conditionalFormatting>
  <conditionalFormatting sqref="I36 M36">
    <cfRule type="containsText" dxfId="1046" priority="1052" operator="containsText" text="%">
      <formula>NOT(ISERROR(SEARCH("%",I36)))</formula>
    </cfRule>
  </conditionalFormatting>
  <conditionalFormatting sqref="I36 M36">
    <cfRule type="containsText" dxfId="1045" priority="1051" operator="containsText" text="%">
      <formula>NOT(ISERROR(SEARCH("%",I36)))</formula>
    </cfRule>
  </conditionalFormatting>
  <conditionalFormatting sqref="I36 M36">
    <cfRule type="containsText" dxfId="1044" priority="1050" operator="containsText" text="%">
      <formula>NOT(ISERROR(SEARCH("%",I36)))</formula>
    </cfRule>
  </conditionalFormatting>
  <conditionalFormatting sqref="I36 M36">
    <cfRule type="containsText" dxfId="1043" priority="1049" operator="containsText" text="%">
      <formula>NOT(ISERROR(SEARCH("%",I36)))</formula>
    </cfRule>
  </conditionalFormatting>
  <conditionalFormatting sqref="I36 M36">
    <cfRule type="containsText" dxfId="1042" priority="1048" operator="containsText" text="%">
      <formula>NOT(ISERROR(SEARCH("%",I36)))</formula>
    </cfRule>
  </conditionalFormatting>
  <conditionalFormatting sqref="I36 M36">
    <cfRule type="containsText" dxfId="1041" priority="1047" operator="containsText" text="%">
      <formula>NOT(ISERROR(SEARCH("%",I36)))</formula>
    </cfRule>
  </conditionalFormatting>
  <conditionalFormatting sqref="I36 M36">
    <cfRule type="containsText" dxfId="1040" priority="1046" operator="containsText" text="%">
      <formula>NOT(ISERROR(SEARCH("%",I36)))</formula>
    </cfRule>
  </conditionalFormatting>
  <conditionalFormatting sqref="I36 M36">
    <cfRule type="containsText" dxfId="1039" priority="1045" operator="containsText" text="%">
      <formula>NOT(ISERROR(SEARCH("%",I36)))</formula>
    </cfRule>
  </conditionalFormatting>
  <conditionalFormatting sqref="I36 M36">
    <cfRule type="containsText" dxfId="1038" priority="1044" operator="containsText" text="%">
      <formula>NOT(ISERROR(SEARCH("%",I36)))</formula>
    </cfRule>
  </conditionalFormatting>
  <conditionalFormatting sqref="I36 M36">
    <cfRule type="containsText" dxfId="1037" priority="1043" operator="containsText" text="%">
      <formula>NOT(ISERROR(SEARCH("%",I36)))</formula>
    </cfRule>
  </conditionalFormatting>
  <conditionalFormatting sqref="I36 M36">
    <cfRule type="containsText" dxfId="1036" priority="1042" operator="containsText" text="%">
      <formula>NOT(ISERROR(SEARCH("%",I36)))</formula>
    </cfRule>
  </conditionalFormatting>
  <conditionalFormatting sqref="G35:G36 K35:K36">
    <cfRule type="containsText" dxfId="1035" priority="1041" operator="containsText" text="%">
      <formula>NOT(ISERROR(SEARCH("%",G35)))</formula>
    </cfRule>
  </conditionalFormatting>
  <conditionalFormatting sqref="G35:G36 K35:K36">
    <cfRule type="containsText" dxfId="1034" priority="1040" operator="containsText" text="%">
      <formula>NOT(ISERROR(SEARCH("%",G35)))</formula>
    </cfRule>
  </conditionalFormatting>
  <conditionalFormatting sqref="G35:G36 K35:K36">
    <cfRule type="containsText" dxfId="1033" priority="1039" operator="containsText" text="%">
      <formula>NOT(ISERROR(SEARCH("%",G35)))</formula>
    </cfRule>
  </conditionalFormatting>
  <conditionalFormatting sqref="G35:G36 K35:K36">
    <cfRule type="containsText" dxfId="1032" priority="1038" operator="containsText" text="%">
      <formula>NOT(ISERROR(SEARCH("%",G35)))</formula>
    </cfRule>
  </conditionalFormatting>
  <conditionalFormatting sqref="G35:G36 K35:K36">
    <cfRule type="containsText" dxfId="1031" priority="1037" operator="containsText" text="%">
      <formula>NOT(ISERROR(SEARCH("%",G35)))</formula>
    </cfRule>
  </conditionalFormatting>
  <conditionalFormatting sqref="G35:G36 K35:K36">
    <cfRule type="containsText" dxfId="1030" priority="1036" operator="containsText" text="%">
      <formula>NOT(ISERROR(SEARCH("%",G35)))</formula>
    </cfRule>
  </conditionalFormatting>
  <conditionalFormatting sqref="G35:G36 K35:K36">
    <cfRule type="containsText" dxfId="1029" priority="1020" operator="containsText" text="%">
      <formula>NOT(ISERROR(SEARCH("%",G35)))</formula>
    </cfRule>
  </conditionalFormatting>
  <conditionalFormatting sqref="G35:G36 K35:K36">
    <cfRule type="containsText" dxfId="1028" priority="1019" operator="containsText" text="%">
      <formula>NOT(ISERROR(SEARCH("%",G35)))</formula>
    </cfRule>
  </conditionalFormatting>
  <conditionalFormatting sqref="G35:G36 K35:K36">
    <cfRule type="containsText" dxfId="1027" priority="1015" operator="containsText" text="%">
      <formula>NOT(ISERROR(SEARCH("%",G35)))</formula>
    </cfRule>
  </conditionalFormatting>
  <conditionalFormatting sqref="G35:G36 K35:K36">
    <cfRule type="containsText" dxfId="1026" priority="1035" operator="containsText" text="%">
      <formula>NOT(ISERROR(SEARCH("%",G35)))</formula>
    </cfRule>
  </conditionalFormatting>
  <conditionalFormatting sqref="G35 K35">
    <cfRule type="containsText" dxfId="1025" priority="1034" operator="containsText" text="%">
      <formula>NOT(ISERROR(SEARCH("%",G35)))</formula>
    </cfRule>
  </conditionalFormatting>
  <conditionalFormatting sqref="G35 K35">
    <cfRule type="containsText" dxfId="1024" priority="1033" operator="containsText" text="%">
      <formula>NOT(ISERROR(SEARCH("%",G35)))</formula>
    </cfRule>
  </conditionalFormatting>
  <conditionalFormatting sqref="G35:G36 K35:K36">
    <cfRule type="containsText" dxfId="1023" priority="1013" operator="containsText" text="%">
      <formula>NOT(ISERROR(SEARCH("%",G35)))</formula>
    </cfRule>
  </conditionalFormatting>
  <conditionalFormatting sqref="G35:G36 K35:K36">
    <cfRule type="containsText" dxfId="1022" priority="1032" operator="containsText" text="%">
      <formula>NOT(ISERROR(SEARCH("%",G35)))</formula>
    </cfRule>
  </conditionalFormatting>
  <conditionalFormatting sqref="G35:G36 K35:K36">
    <cfRule type="containsText" dxfId="1021" priority="1031" operator="containsText" text="%">
      <formula>NOT(ISERROR(SEARCH("%",G35)))</formula>
    </cfRule>
  </conditionalFormatting>
  <conditionalFormatting sqref="G35:G36 K35:K36">
    <cfRule type="containsText" dxfId="1020" priority="1030" operator="containsText" text="%">
      <formula>NOT(ISERROR(SEARCH("%",G35)))</formula>
    </cfRule>
  </conditionalFormatting>
  <conditionalFormatting sqref="G35:G36 K35:K36">
    <cfRule type="containsText" dxfId="1019" priority="1029" operator="containsText" text="%">
      <formula>NOT(ISERROR(SEARCH("%",G35)))</formula>
    </cfRule>
  </conditionalFormatting>
  <conditionalFormatting sqref="G35:G36 K35:K36">
    <cfRule type="containsText" dxfId="1018" priority="1028" operator="containsText" text="%">
      <formula>NOT(ISERROR(SEARCH("%",G35)))</formula>
    </cfRule>
  </conditionalFormatting>
  <conditionalFormatting sqref="G35:G36 K35:K36">
    <cfRule type="containsText" dxfId="1017" priority="1027" operator="containsText" text="%">
      <formula>NOT(ISERROR(SEARCH("%",G35)))</formula>
    </cfRule>
  </conditionalFormatting>
  <conditionalFormatting sqref="G35:G36 K35:K36">
    <cfRule type="containsText" dxfId="1016" priority="1026" operator="containsText" text="%">
      <formula>NOT(ISERROR(SEARCH("%",G35)))</formula>
    </cfRule>
  </conditionalFormatting>
  <conditionalFormatting sqref="G35:G36 K35:K36">
    <cfRule type="containsText" dxfId="1015" priority="1025" operator="containsText" text="%">
      <formula>NOT(ISERROR(SEARCH("%",G35)))</formula>
    </cfRule>
  </conditionalFormatting>
  <conditionalFormatting sqref="G35:G36 K35:K36">
    <cfRule type="containsText" dxfId="1014" priority="1024" operator="containsText" text="%">
      <formula>NOT(ISERROR(SEARCH("%",G35)))</formula>
    </cfRule>
  </conditionalFormatting>
  <conditionalFormatting sqref="G35:G36 K35:K36">
    <cfRule type="containsText" dxfId="1013" priority="1023" operator="containsText" text="%">
      <formula>NOT(ISERROR(SEARCH("%",G35)))</formula>
    </cfRule>
  </conditionalFormatting>
  <conditionalFormatting sqref="G35:G36 K35:K36">
    <cfRule type="containsText" dxfId="1012" priority="1022" operator="containsText" text="%">
      <formula>NOT(ISERROR(SEARCH("%",G35)))</formula>
    </cfRule>
  </conditionalFormatting>
  <conditionalFormatting sqref="G35:G36 K35:K36">
    <cfRule type="containsText" dxfId="1011" priority="1021" operator="containsText" text="%">
      <formula>NOT(ISERROR(SEARCH("%",G35)))</formula>
    </cfRule>
  </conditionalFormatting>
  <conditionalFormatting sqref="G35:G36 K35:K36">
    <cfRule type="containsText" dxfId="1010" priority="1018" operator="containsText" text="%">
      <formula>NOT(ISERROR(SEARCH("%",G35)))</formula>
    </cfRule>
  </conditionalFormatting>
  <conditionalFormatting sqref="G35:G36 K35:K36">
    <cfRule type="containsText" dxfId="1009" priority="1017" operator="containsText" text="%">
      <formula>NOT(ISERROR(SEARCH("%",G35)))</formula>
    </cfRule>
  </conditionalFormatting>
  <conditionalFormatting sqref="G35:G36 K35:K36">
    <cfRule type="containsText" dxfId="1008" priority="1016" operator="containsText" text="%">
      <formula>NOT(ISERROR(SEARCH("%",G35)))</formula>
    </cfRule>
  </conditionalFormatting>
  <conditionalFormatting sqref="G35:G36 K35:K36">
    <cfRule type="containsText" dxfId="1007" priority="1014" operator="containsText" text="%">
      <formula>NOT(ISERROR(SEARCH("%",G35)))</formula>
    </cfRule>
  </conditionalFormatting>
  <conditionalFormatting sqref="G35:G36 K35:K36">
    <cfRule type="containsText" dxfId="1006" priority="1012" operator="containsText" text="%">
      <formula>NOT(ISERROR(SEARCH("%",G35)))</formula>
    </cfRule>
  </conditionalFormatting>
  <conditionalFormatting sqref="G35:G36 K35:K36">
    <cfRule type="containsText" dxfId="1005" priority="1011" operator="containsText" text="%">
      <formula>NOT(ISERROR(SEARCH("%",G35)))</formula>
    </cfRule>
  </conditionalFormatting>
  <conditionalFormatting sqref="G35:G36 K35:K36">
    <cfRule type="containsText" dxfId="1004" priority="1010" operator="containsText" text="%">
      <formula>NOT(ISERROR(SEARCH("%",G35)))</formula>
    </cfRule>
  </conditionalFormatting>
  <conditionalFormatting sqref="G35:G36 K35:K36">
    <cfRule type="containsText" dxfId="1003" priority="1009" operator="containsText" text="%">
      <formula>NOT(ISERROR(SEARCH("%",G35)))</formula>
    </cfRule>
  </conditionalFormatting>
  <conditionalFormatting sqref="G35:G36 K35:K36">
    <cfRule type="containsText" dxfId="1002" priority="1008" operator="containsText" text="%">
      <formula>NOT(ISERROR(SEARCH("%",G35)))</formula>
    </cfRule>
  </conditionalFormatting>
  <conditionalFormatting sqref="G35:G36 K35:K36">
    <cfRule type="containsText" dxfId="1001" priority="1007" operator="containsText" text="%">
      <formula>NOT(ISERROR(SEARCH("%",G35)))</formula>
    </cfRule>
  </conditionalFormatting>
  <conditionalFormatting sqref="G35:G36 K35:K36">
    <cfRule type="containsText" dxfId="1000" priority="1006" operator="containsText" text="%">
      <formula>NOT(ISERROR(SEARCH("%",G35)))</formula>
    </cfRule>
  </conditionalFormatting>
  <conditionalFormatting sqref="G35:G36 K35:K36">
    <cfRule type="containsText" dxfId="999" priority="1005" operator="containsText" text="%">
      <formula>NOT(ISERROR(SEARCH("%",G35)))</formula>
    </cfRule>
  </conditionalFormatting>
  <conditionalFormatting sqref="G35:G36 K35:K36">
    <cfRule type="containsText" dxfId="998" priority="1004" operator="containsText" text="%">
      <formula>NOT(ISERROR(SEARCH("%",G35)))</formula>
    </cfRule>
  </conditionalFormatting>
  <conditionalFormatting sqref="G35:G36 K35:K36">
    <cfRule type="containsText" dxfId="997" priority="1003" operator="containsText" text="%">
      <formula>NOT(ISERROR(SEARCH("%",G35)))</formula>
    </cfRule>
  </conditionalFormatting>
  <conditionalFormatting sqref="G36 K36">
    <cfRule type="containsText" dxfId="996" priority="1002" operator="containsText" text="%">
      <formula>NOT(ISERROR(SEARCH("%",G36)))</formula>
    </cfRule>
  </conditionalFormatting>
  <conditionalFormatting sqref="G36 K36">
    <cfRule type="containsText" dxfId="995" priority="1001" operator="containsText" text="%">
      <formula>NOT(ISERROR(SEARCH("%",G36)))</formula>
    </cfRule>
  </conditionalFormatting>
  <conditionalFormatting sqref="G36 K36">
    <cfRule type="containsText" dxfId="994" priority="1000" operator="containsText" text="%">
      <formula>NOT(ISERROR(SEARCH("%",G36)))</formula>
    </cfRule>
  </conditionalFormatting>
  <conditionalFormatting sqref="G36 K36">
    <cfRule type="containsText" dxfId="993" priority="999" operator="containsText" text="%">
      <formula>NOT(ISERROR(SEARCH("%",G36)))</formula>
    </cfRule>
  </conditionalFormatting>
  <conditionalFormatting sqref="G35:G36 K35:K36">
    <cfRule type="containsText" dxfId="992" priority="998" operator="containsText" text="%">
      <formula>NOT(ISERROR(SEARCH("%",G35)))</formula>
    </cfRule>
  </conditionalFormatting>
  <conditionalFormatting sqref="G35:G36 K35:K36">
    <cfRule type="containsText" dxfId="991" priority="997" operator="containsText" text="%">
      <formula>NOT(ISERROR(SEARCH("%",G35)))</formula>
    </cfRule>
  </conditionalFormatting>
  <conditionalFormatting sqref="G35:G36 K35:K36">
    <cfRule type="containsText" dxfId="990" priority="996" operator="containsText" text="%">
      <formula>NOT(ISERROR(SEARCH("%",G35)))</formula>
    </cfRule>
  </conditionalFormatting>
  <conditionalFormatting sqref="G35:G36 K35:K36">
    <cfRule type="containsText" dxfId="989" priority="995" operator="containsText" text="%">
      <formula>NOT(ISERROR(SEARCH("%",G35)))</formula>
    </cfRule>
  </conditionalFormatting>
  <conditionalFormatting sqref="G35:G36 K35:K36">
    <cfRule type="containsText" dxfId="988" priority="994" operator="containsText" text="%">
      <formula>NOT(ISERROR(SEARCH("%",G35)))</formula>
    </cfRule>
  </conditionalFormatting>
  <conditionalFormatting sqref="G35:G36 K35:K36">
    <cfRule type="containsText" dxfId="987" priority="993" operator="containsText" text="%">
      <formula>NOT(ISERROR(SEARCH("%",G35)))</formula>
    </cfRule>
  </conditionalFormatting>
  <conditionalFormatting sqref="G35:G36 K35:K36">
    <cfRule type="containsText" dxfId="986" priority="992" operator="containsText" text="%">
      <formula>NOT(ISERROR(SEARCH("%",G35)))</formula>
    </cfRule>
  </conditionalFormatting>
  <conditionalFormatting sqref="G35:G36 K35:K36">
    <cfRule type="containsText" dxfId="985" priority="991" operator="containsText" text="%">
      <formula>NOT(ISERROR(SEARCH("%",G35)))</formula>
    </cfRule>
  </conditionalFormatting>
  <conditionalFormatting sqref="G35:G36 K35:K36">
    <cfRule type="containsText" dxfId="984" priority="990" operator="containsText" text="%">
      <formula>NOT(ISERROR(SEARCH("%",G35)))</formula>
    </cfRule>
  </conditionalFormatting>
  <conditionalFormatting sqref="G35:G36 K35:K36">
    <cfRule type="containsText" dxfId="983" priority="989" operator="containsText" text="%">
      <formula>NOT(ISERROR(SEARCH("%",G35)))</formula>
    </cfRule>
  </conditionalFormatting>
  <conditionalFormatting sqref="G36 K36">
    <cfRule type="containsText" dxfId="982" priority="988" operator="containsText" text="%">
      <formula>NOT(ISERROR(SEARCH("%",G36)))</formula>
    </cfRule>
  </conditionalFormatting>
  <conditionalFormatting sqref="G36 K36">
    <cfRule type="containsText" dxfId="981" priority="987" operator="containsText" text="%">
      <formula>NOT(ISERROR(SEARCH("%",G36)))</formula>
    </cfRule>
  </conditionalFormatting>
  <conditionalFormatting sqref="G36 K36">
    <cfRule type="containsText" dxfId="980" priority="986" operator="containsText" text="%">
      <formula>NOT(ISERROR(SEARCH("%",G36)))</formula>
    </cfRule>
  </conditionalFormatting>
  <conditionalFormatting sqref="G36 K36">
    <cfRule type="containsText" dxfId="979" priority="985" operator="containsText" text="%">
      <formula>NOT(ISERROR(SEARCH("%",G36)))</formula>
    </cfRule>
  </conditionalFormatting>
  <conditionalFormatting sqref="G35:G36 K35:K36">
    <cfRule type="containsText" dxfId="978" priority="984" operator="containsText" text="%">
      <formula>NOT(ISERROR(SEARCH("%",G35)))</formula>
    </cfRule>
  </conditionalFormatting>
  <conditionalFormatting sqref="G35:G36 K35:K36">
    <cfRule type="containsText" dxfId="977" priority="983" operator="containsText" text="%">
      <formula>NOT(ISERROR(SEARCH("%",G35)))</formula>
    </cfRule>
  </conditionalFormatting>
  <conditionalFormatting sqref="G35:G36 K35:K36">
    <cfRule type="containsText" dxfId="976" priority="982" operator="containsText" text="%">
      <formula>NOT(ISERROR(SEARCH("%",G35)))</formula>
    </cfRule>
  </conditionalFormatting>
  <conditionalFormatting sqref="G35:G36 K35:K36">
    <cfRule type="containsText" dxfId="975" priority="981" operator="containsText" text="%">
      <formula>NOT(ISERROR(SEARCH("%",G35)))</formula>
    </cfRule>
  </conditionalFormatting>
  <conditionalFormatting sqref="G35:G36 K35:K36">
    <cfRule type="containsText" dxfId="974" priority="980" operator="containsText" text="%">
      <formula>NOT(ISERROR(SEARCH("%",G35)))</formula>
    </cfRule>
  </conditionalFormatting>
  <conditionalFormatting sqref="G35:G36 K35:K36">
    <cfRule type="containsText" dxfId="973" priority="979" operator="containsText" text="%">
      <formula>NOT(ISERROR(SEARCH("%",G35)))</formula>
    </cfRule>
  </conditionalFormatting>
  <conditionalFormatting sqref="G36 K36">
    <cfRule type="containsText" dxfId="972" priority="978" operator="containsText" text="%">
      <formula>NOT(ISERROR(SEARCH("%",G36)))</formula>
    </cfRule>
  </conditionalFormatting>
  <conditionalFormatting sqref="G36 K36">
    <cfRule type="containsText" dxfId="971" priority="977" operator="containsText" text="%">
      <formula>NOT(ISERROR(SEARCH("%",G36)))</formula>
    </cfRule>
  </conditionalFormatting>
  <conditionalFormatting sqref="G36 K36">
    <cfRule type="containsText" dxfId="970" priority="976" operator="containsText" text="%">
      <formula>NOT(ISERROR(SEARCH("%",G36)))</formula>
    </cfRule>
  </conditionalFormatting>
  <conditionalFormatting sqref="G36 K36">
    <cfRule type="containsText" dxfId="969" priority="975" operator="containsText" text="%">
      <formula>NOT(ISERROR(SEARCH("%",G36)))</formula>
    </cfRule>
  </conditionalFormatting>
  <conditionalFormatting sqref="G35:G36 K35:K36">
    <cfRule type="containsText" dxfId="968" priority="959" operator="containsText" text="%">
      <formula>NOT(ISERROR(SEARCH("%",G35)))</formula>
    </cfRule>
  </conditionalFormatting>
  <conditionalFormatting sqref="G35:G36 K35:K36">
    <cfRule type="containsText" dxfId="967" priority="958" operator="containsText" text="%">
      <formula>NOT(ISERROR(SEARCH("%",G35)))</formula>
    </cfRule>
  </conditionalFormatting>
  <conditionalFormatting sqref="G35:G36 K35:K36">
    <cfRule type="containsText" dxfId="966" priority="954" operator="containsText" text="%">
      <formula>NOT(ISERROR(SEARCH("%",G35)))</formula>
    </cfRule>
  </conditionalFormatting>
  <conditionalFormatting sqref="G35:G36 K35:K36">
    <cfRule type="containsText" dxfId="965" priority="974" operator="containsText" text="%">
      <formula>NOT(ISERROR(SEARCH("%",G35)))</formula>
    </cfRule>
  </conditionalFormatting>
  <conditionalFormatting sqref="G35 K35">
    <cfRule type="containsText" dxfId="964" priority="973" operator="containsText" text="%">
      <formula>NOT(ISERROR(SEARCH("%",G35)))</formula>
    </cfRule>
  </conditionalFormatting>
  <conditionalFormatting sqref="G35 K35">
    <cfRule type="containsText" dxfId="963" priority="972" operator="containsText" text="%">
      <formula>NOT(ISERROR(SEARCH("%",G35)))</formula>
    </cfRule>
  </conditionalFormatting>
  <conditionalFormatting sqref="G35:G36 K35:K36">
    <cfRule type="containsText" dxfId="962" priority="952" operator="containsText" text="%">
      <formula>NOT(ISERROR(SEARCH("%",G35)))</formula>
    </cfRule>
  </conditionalFormatting>
  <conditionalFormatting sqref="G35:G36 K35:K36">
    <cfRule type="containsText" dxfId="961" priority="971" operator="containsText" text="%">
      <formula>NOT(ISERROR(SEARCH("%",G35)))</formula>
    </cfRule>
  </conditionalFormatting>
  <conditionalFormatting sqref="G35:G36 K35:K36">
    <cfRule type="containsText" dxfId="960" priority="970" operator="containsText" text="%">
      <formula>NOT(ISERROR(SEARCH("%",G35)))</formula>
    </cfRule>
  </conditionalFormatting>
  <conditionalFormatting sqref="G35:G36 K35:K36">
    <cfRule type="containsText" dxfId="959" priority="969" operator="containsText" text="%">
      <formula>NOT(ISERROR(SEARCH("%",G35)))</formula>
    </cfRule>
  </conditionalFormatting>
  <conditionalFormatting sqref="G35:G36 K35:K36">
    <cfRule type="containsText" dxfId="958" priority="968" operator="containsText" text="%">
      <formula>NOT(ISERROR(SEARCH("%",G35)))</formula>
    </cfRule>
  </conditionalFormatting>
  <conditionalFormatting sqref="G35:G36 K35:K36">
    <cfRule type="containsText" dxfId="957" priority="967" operator="containsText" text="%">
      <formula>NOT(ISERROR(SEARCH("%",G35)))</formula>
    </cfRule>
  </conditionalFormatting>
  <conditionalFormatting sqref="G35:G36 K35:K36">
    <cfRule type="containsText" dxfId="956" priority="966" operator="containsText" text="%">
      <formula>NOT(ISERROR(SEARCH("%",G35)))</formula>
    </cfRule>
  </conditionalFormatting>
  <conditionalFormatting sqref="G35:G36 K35:K36">
    <cfRule type="containsText" dxfId="955" priority="965" operator="containsText" text="%">
      <formula>NOT(ISERROR(SEARCH("%",G35)))</formula>
    </cfRule>
  </conditionalFormatting>
  <conditionalFormatting sqref="G35:G36 K35:K36">
    <cfRule type="containsText" dxfId="954" priority="964" operator="containsText" text="%">
      <formula>NOT(ISERROR(SEARCH("%",G35)))</formula>
    </cfRule>
  </conditionalFormatting>
  <conditionalFormatting sqref="G35:G36 K35:K36">
    <cfRule type="containsText" dxfId="953" priority="963" operator="containsText" text="%">
      <formula>NOT(ISERROR(SEARCH("%",G35)))</formula>
    </cfRule>
  </conditionalFormatting>
  <conditionalFormatting sqref="G35:G36 K35:K36">
    <cfRule type="containsText" dxfId="952" priority="962" operator="containsText" text="%">
      <formula>NOT(ISERROR(SEARCH("%",G35)))</formula>
    </cfRule>
  </conditionalFormatting>
  <conditionalFormatting sqref="G35:G36 K35:K36">
    <cfRule type="containsText" dxfId="951" priority="961" operator="containsText" text="%">
      <formula>NOT(ISERROR(SEARCH("%",G35)))</formula>
    </cfRule>
  </conditionalFormatting>
  <conditionalFormatting sqref="G35:G36 K35:K36">
    <cfRule type="containsText" dxfId="950" priority="960" operator="containsText" text="%">
      <formula>NOT(ISERROR(SEARCH("%",G35)))</formula>
    </cfRule>
  </conditionalFormatting>
  <conditionalFormatting sqref="G35:G36 K35:K36">
    <cfRule type="containsText" dxfId="949" priority="957" operator="containsText" text="%">
      <formula>NOT(ISERROR(SEARCH("%",G35)))</formula>
    </cfRule>
  </conditionalFormatting>
  <conditionalFormatting sqref="G35:G36 K35:K36">
    <cfRule type="containsText" dxfId="948" priority="956" operator="containsText" text="%">
      <formula>NOT(ISERROR(SEARCH("%",G35)))</formula>
    </cfRule>
  </conditionalFormatting>
  <conditionalFormatting sqref="G35:G36 K35:K36">
    <cfRule type="containsText" dxfId="947" priority="955" operator="containsText" text="%">
      <formula>NOT(ISERROR(SEARCH("%",G35)))</formula>
    </cfRule>
  </conditionalFormatting>
  <conditionalFormatting sqref="G35:G36 K35:K36">
    <cfRule type="containsText" dxfId="946" priority="953" operator="containsText" text="%">
      <formula>NOT(ISERROR(SEARCH("%",G35)))</formula>
    </cfRule>
  </conditionalFormatting>
  <conditionalFormatting sqref="G35:G36 K35:K36">
    <cfRule type="containsText" dxfId="945" priority="951" operator="containsText" text="%">
      <formula>NOT(ISERROR(SEARCH("%",G35)))</formula>
    </cfRule>
  </conditionalFormatting>
  <conditionalFormatting sqref="G35:G36 K35:K36">
    <cfRule type="containsText" dxfId="944" priority="950" operator="containsText" text="%">
      <formula>NOT(ISERROR(SEARCH("%",G35)))</formula>
    </cfRule>
  </conditionalFormatting>
  <conditionalFormatting sqref="G35:G36 K35:K36">
    <cfRule type="containsText" dxfId="943" priority="949" operator="containsText" text="%">
      <formula>NOT(ISERROR(SEARCH("%",G35)))</formula>
    </cfRule>
  </conditionalFormatting>
  <conditionalFormatting sqref="G35:G36 K35:K36">
    <cfRule type="containsText" dxfId="942" priority="948" operator="containsText" text="%">
      <formula>NOT(ISERROR(SEARCH("%",G35)))</formula>
    </cfRule>
  </conditionalFormatting>
  <conditionalFormatting sqref="G35:G36 K35:K36">
    <cfRule type="containsText" dxfId="941" priority="947" operator="containsText" text="%">
      <formula>NOT(ISERROR(SEARCH("%",G35)))</formula>
    </cfRule>
  </conditionalFormatting>
  <conditionalFormatting sqref="G35:G36 K35:K36">
    <cfRule type="containsText" dxfId="940" priority="946" operator="containsText" text="%">
      <formula>NOT(ISERROR(SEARCH("%",G35)))</formula>
    </cfRule>
  </conditionalFormatting>
  <conditionalFormatting sqref="G35:G36 K35:K36">
    <cfRule type="containsText" dxfId="939" priority="945" operator="containsText" text="%">
      <formula>NOT(ISERROR(SEARCH("%",G35)))</formula>
    </cfRule>
  </conditionalFormatting>
  <conditionalFormatting sqref="G35:G36 K35:K36">
    <cfRule type="containsText" dxfId="938" priority="944" operator="containsText" text="%">
      <formula>NOT(ISERROR(SEARCH("%",G35)))</formula>
    </cfRule>
  </conditionalFormatting>
  <conditionalFormatting sqref="G35:G36 K35:K36">
    <cfRule type="containsText" dxfId="937" priority="943" operator="containsText" text="%">
      <formula>NOT(ISERROR(SEARCH("%",G35)))</formula>
    </cfRule>
  </conditionalFormatting>
  <conditionalFormatting sqref="G35:G36 K35:K36">
    <cfRule type="containsText" dxfId="936" priority="942" operator="containsText" text="%">
      <formula>NOT(ISERROR(SEARCH("%",G35)))</formula>
    </cfRule>
  </conditionalFormatting>
  <conditionalFormatting sqref="G36 K36">
    <cfRule type="containsText" dxfId="935" priority="941" operator="containsText" text="%">
      <formula>NOT(ISERROR(SEARCH("%",G36)))</formula>
    </cfRule>
  </conditionalFormatting>
  <conditionalFormatting sqref="G36 K36">
    <cfRule type="containsText" dxfId="934" priority="940" operator="containsText" text="%">
      <formula>NOT(ISERROR(SEARCH("%",G36)))</formula>
    </cfRule>
  </conditionalFormatting>
  <conditionalFormatting sqref="G36 K36">
    <cfRule type="containsText" dxfId="933" priority="939" operator="containsText" text="%">
      <formula>NOT(ISERROR(SEARCH("%",G36)))</formula>
    </cfRule>
  </conditionalFormatting>
  <conditionalFormatting sqref="G36 K36">
    <cfRule type="containsText" dxfId="932" priority="938" operator="containsText" text="%">
      <formula>NOT(ISERROR(SEARCH("%",G36)))</formula>
    </cfRule>
  </conditionalFormatting>
  <conditionalFormatting sqref="G35:G36 K35:K36">
    <cfRule type="containsText" dxfId="931" priority="937" operator="containsText" text="%">
      <formula>NOT(ISERROR(SEARCH("%",G35)))</formula>
    </cfRule>
  </conditionalFormatting>
  <conditionalFormatting sqref="G35:G36 K35:K36">
    <cfRule type="containsText" dxfId="930" priority="936" operator="containsText" text="%">
      <formula>NOT(ISERROR(SEARCH("%",G35)))</formula>
    </cfRule>
  </conditionalFormatting>
  <conditionalFormatting sqref="G35:G36 K35:K36">
    <cfRule type="containsText" dxfId="929" priority="935" operator="containsText" text="%">
      <formula>NOT(ISERROR(SEARCH("%",G35)))</formula>
    </cfRule>
  </conditionalFormatting>
  <conditionalFormatting sqref="G35:G36 K35:K36">
    <cfRule type="containsText" dxfId="928" priority="934" operator="containsText" text="%">
      <formula>NOT(ISERROR(SEARCH("%",G35)))</formula>
    </cfRule>
  </conditionalFormatting>
  <conditionalFormatting sqref="G35:G36 K35:K36">
    <cfRule type="containsText" dxfId="927" priority="933" operator="containsText" text="%">
      <formula>NOT(ISERROR(SEARCH("%",G35)))</formula>
    </cfRule>
  </conditionalFormatting>
  <conditionalFormatting sqref="G35:G36 K35:K36">
    <cfRule type="containsText" dxfId="926" priority="932" operator="containsText" text="%">
      <formula>NOT(ISERROR(SEARCH("%",G35)))</formula>
    </cfRule>
  </conditionalFormatting>
  <conditionalFormatting sqref="G35:G36 K35:K36">
    <cfRule type="containsText" dxfId="925" priority="931" operator="containsText" text="%">
      <formula>NOT(ISERROR(SEARCH("%",G35)))</formula>
    </cfRule>
  </conditionalFormatting>
  <conditionalFormatting sqref="G35:G36 K35:K36">
    <cfRule type="containsText" dxfId="924" priority="930" operator="containsText" text="%">
      <formula>NOT(ISERROR(SEARCH("%",G35)))</formula>
    </cfRule>
  </conditionalFormatting>
  <conditionalFormatting sqref="G35:G36 K35:K36">
    <cfRule type="containsText" dxfId="923" priority="929" operator="containsText" text="%">
      <formula>NOT(ISERROR(SEARCH("%",G35)))</formula>
    </cfRule>
  </conditionalFormatting>
  <conditionalFormatting sqref="G35:G36 K35:K36">
    <cfRule type="containsText" dxfId="922" priority="928" operator="containsText" text="%">
      <formula>NOT(ISERROR(SEARCH("%",G35)))</formula>
    </cfRule>
  </conditionalFormatting>
  <conditionalFormatting sqref="G36 K36">
    <cfRule type="containsText" dxfId="921" priority="927" operator="containsText" text="%">
      <formula>NOT(ISERROR(SEARCH("%",G36)))</formula>
    </cfRule>
  </conditionalFormatting>
  <conditionalFormatting sqref="G36 K36">
    <cfRule type="containsText" dxfId="920" priority="926" operator="containsText" text="%">
      <formula>NOT(ISERROR(SEARCH("%",G36)))</formula>
    </cfRule>
  </conditionalFormatting>
  <conditionalFormatting sqref="G36 K36">
    <cfRule type="containsText" dxfId="919" priority="925" operator="containsText" text="%">
      <formula>NOT(ISERROR(SEARCH("%",G36)))</formula>
    </cfRule>
  </conditionalFormatting>
  <conditionalFormatting sqref="G36 K36">
    <cfRule type="containsText" dxfId="918" priority="924" operator="containsText" text="%">
      <formula>NOT(ISERROR(SEARCH("%",G36)))</formula>
    </cfRule>
  </conditionalFormatting>
  <conditionalFormatting sqref="G35 K35">
    <cfRule type="containsText" dxfId="917" priority="923" operator="containsText" text="%">
      <formula>NOT(ISERROR(SEARCH("%",G35)))</formula>
    </cfRule>
  </conditionalFormatting>
  <conditionalFormatting sqref="G35 K35">
    <cfRule type="containsText" dxfId="916" priority="922" operator="containsText" text="%">
      <formula>NOT(ISERROR(SEARCH("%",G35)))</formula>
    </cfRule>
  </conditionalFormatting>
  <conditionalFormatting sqref="G35 K35">
    <cfRule type="containsText" dxfId="915" priority="921" operator="containsText" text="%">
      <formula>NOT(ISERROR(SEARCH("%",G35)))</formula>
    </cfRule>
  </conditionalFormatting>
  <conditionalFormatting sqref="G35 K35">
    <cfRule type="containsText" dxfId="914" priority="920" operator="containsText" text="%">
      <formula>NOT(ISERROR(SEARCH("%",G35)))</formula>
    </cfRule>
  </conditionalFormatting>
  <conditionalFormatting sqref="G35 K35">
    <cfRule type="containsText" dxfId="913" priority="919" operator="containsText" text="%">
      <formula>NOT(ISERROR(SEARCH("%",G35)))</formula>
    </cfRule>
  </conditionalFormatting>
  <conditionalFormatting sqref="G35 K35">
    <cfRule type="containsText" dxfId="912" priority="918" operator="containsText" text="%">
      <formula>NOT(ISERROR(SEARCH("%",G35)))</formula>
    </cfRule>
  </conditionalFormatting>
  <conditionalFormatting sqref="G36 K36">
    <cfRule type="containsText" dxfId="911" priority="917" operator="containsText" text="%">
      <formula>NOT(ISERROR(SEARCH("%",G36)))</formula>
    </cfRule>
  </conditionalFormatting>
  <conditionalFormatting sqref="G36 K36">
    <cfRule type="containsText" dxfId="910" priority="916" operator="containsText" text="%">
      <formula>NOT(ISERROR(SEARCH("%",G36)))</formula>
    </cfRule>
  </conditionalFormatting>
  <conditionalFormatting sqref="G36 K36">
    <cfRule type="containsText" dxfId="909" priority="915" operator="containsText" text="%">
      <formula>NOT(ISERROR(SEARCH("%",G36)))</formula>
    </cfRule>
  </conditionalFormatting>
  <conditionalFormatting sqref="G36 K36">
    <cfRule type="containsText" dxfId="908" priority="914" operator="containsText" text="%">
      <formula>NOT(ISERROR(SEARCH("%",G36)))</formula>
    </cfRule>
  </conditionalFormatting>
  <conditionalFormatting sqref="G36 K36">
    <cfRule type="containsText" dxfId="907" priority="913" operator="containsText" text="%">
      <formula>NOT(ISERROR(SEARCH("%",G36)))</formula>
    </cfRule>
  </conditionalFormatting>
  <conditionalFormatting sqref="G36 K36">
    <cfRule type="containsText" dxfId="906" priority="912" operator="containsText" text="%">
      <formula>NOT(ISERROR(SEARCH("%",G36)))</formula>
    </cfRule>
  </conditionalFormatting>
  <conditionalFormatting sqref="G36 K36">
    <cfRule type="containsText" dxfId="905" priority="911" operator="containsText" text="%">
      <formula>NOT(ISERROR(SEARCH("%",G36)))</formula>
    </cfRule>
  </conditionalFormatting>
  <conditionalFormatting sqref="G36 K36">
    <cfRule type="containsText" dxfId="904" priority="910" operator="containsText" text="%">
      <formula>NOT(ISERROR(SEARCH("%",G36)))</formula>
    </cfRule>
  </conditionalFormatting>
  <conditionalFormatting sqref="G36 K36">
    <cfRule type="containsText" dxfId="903" priority="909" operator="containsText" text="%">
      <formula>NOT(ISERROR(SEARCH("%",G36)))</formula>
    </cfRule>
  </conditionalFormatting>
  <conditionalFormatting sqref="G36 K36">
    <cfRule type="containsText" dxfId="902" priority="908" operator="containsText" text="%">
      <formula>NOT(ISERROR(SEARCH("%",G36)))</formula>
    </cfRule>
  </conditionalFormatting>
  <conditionalFormatting sqref="G36 K36">
    <cfRule type="containsText" dxfId="901" priority="894" operator="containsText" text="%">
      <formula>NOT(ISERROR(SEARCH("%",G36)))</formula>
    </cfRule>
  </conditionalFormatting>
  <conditionalFormatting sqref="G36 K36">
    <cfRule type="containsText" dxfId="900" priority="893" operator="containsText" text="%">
      <formula>NOT(ISERROR(SEARCH("%",G36)))</formula>
    </cfRule>
  </conditionalFormatting>
  <conditionalFormatting sqref="G36 K36">
    <cfRule type="containsText" dxfId="899" priority="889" operator="containsText" text="%">
      <formula>NOT(ISERROR(SEARCH("%",G36)))</formula>
    </cfRule>
  </conditionalFormatting>
  <conditionalFormatting sqref="G36 K36">
    <cfRule type="containsText" dxfId="898" priority="907" operator="containsText" text="%">
      <formula>NOT(ISERROR(SEARCH("%",G36)))</formula>
    </cfRule>
  </conditionalFormatting>
  <conditionalFormatting sqref="G36 K36">
    <cfRule type="containsText" dxfId="897" priority="887" operator="containsText" text="%">
      <formula>NOT(ISERROR(SEARCH("%",G36)))</formula>
    </cfRule>
  </conditionalFormatting>
  <conditionalFormatting sqref="G36 K36">
    <cfRule type="containsText" dxfId="896" priority="906" operator="containsText" text="%">
      <formula>NOT(ISERROR(SEARCH("%",G36)))</formula>
    </cfRule>
  </conditionalFormatting>
  <conditionalFormatting sqref="G36 K36">
    <cfRule type="containsText" dxfId="895" priority="905" operator="containsText" text="%">
      <formula>NOT(ISERROR(SEARCH("%",G36)))</formula>
    </cfRule>
  </conditionalFormatting>
  <conditionalFormatting sqref="G36 K36">
    <cfRule type="containsText" dxfId="894" priority="904" operator="containsText" text="%">
      <formula>NOT(ISERROR(SEARCH("%",G36)))</formula>
    </cfRule>
  </conditionalFormatting>
  <conditionalFormatting sqref="G36 K36">
    <cfRule type="containsText" dxfId="893" priority="903" operator="containsText" text="%">
      <formula>NOT(ISERROR(SEARCH("%",G36)))</formula>
    </cfRule>
  </conditionalFormatting>
  <conditionalFormatting sqref="G36 K36">
    <cfRule type="containsText" dxfId="892" priority="902" operator="containsText" text="%">
      <formula>NOT(ISERROR(SEARCH("%",G36)))</formula>
    </cfRule>
  </conditionalFormatting>
  <conditionalFormatting sqref="G36 K36">
    <cfRule type="containsText" dxfId="891" priority="901" operator="containsText" text="%">
      <formula>NOT(ISERROR(SEARCH("%",G36)))</formula>
    </cfRule>
  </conditionalFormatting>
  <conditionalFormatting sqref="G36 K36">
    <cfRule type="containsText" dxfId="890" priority="900" operator="containsText" text="%">
      <formula>NOT(ISERROR(SEARCH("%",G36)))</formula>
    </cfRule>
  </conditionalFormatting>
  <conditionalFormatting sqref="G36 K36">
    <cfRule type="containsText" dxfId="889" priority="899" operator="containsText" text="%">
      <formula>NOT(ISERROR(SEARCH("%",G36)))</formula>
    </cfRule>
  </conditionalFormatting>
  <conditionalFormatting sqref="G36 K36">
    <cfRule type="containsText" dxfId="888" priority="898" operator="containsText" text="%">
      <formula>NOT(ISERROR(SEARCH("%",G36)))</formula>
    </cfRule>
  </conditionalFormatting>
  <conditionalFormatting sqref="G36 K36">
    <cfRule type="containsText" dxfId="887" priority="897" operator="containsText" text="%">
      <formula>NOT(ISERROR(SEARCH("%",G36)))</formula>
    </cfRule>
  </conditionalFormatting>
  <conditionalFormatting sqref="G36 K36">
    <cfRule type="containsText" dxfId="886" priority="896" operator="containsText" text="%">
      <formula>NOT(ISERROR(SEARCH("%",G36)))</formula>
    </cfRule>
  </conditionalFormatting>
  <conditionalFormatting sqref="G36 K36">
    <cfRule type="containsText" dxfId="885" priority="895" operator="containsText" text="%">
      <formula>NOT(ISERROR(SEARCH("%",G36)))</formula>
    </cfRule>
  </conditionalFormatting>
  <conditionalFormatting sqref="G36 K36">
    <cfRule type="containsText" dxfId="884" priority="892" operator="containsText" text="%">
      <formula>NOT(ISERROR(SEARCH("%",G36)))</formula>
    </cfRule>
  </conditionalFormatting>
  <conditionalFormatting sqref="G36 K36">
    <cfRule type="containsText" dxfId="883" priority="891" operator="containsText" text="%">
      <formula>NOT(ISERROR(SEARCH("%",G36)))</formula>
    </cfRule>
  </conditionalFormatting>
  <conditionalFormatting sqref="G36 K36">
    <cfRule type="containsText" dxfId="882" priority="890" operator="containsText" text="%">
      <formula>NOT(ISERROR(SEARCH("%",G36)))</formula>
    </cfRule>
  </conditionalFormatting>
  <conditionalFormatting sqref="G36 K36">
    <cfRule type="containsText" dxfId="881" priority="888" operator="containsText" text="%">
      <formula>NOT(ISERROR(SEARCH("%",G36)))</formula>
    </cfRule>
  </conditionalFormatting>
  <conditionalFormatting sqref="G36 K36">
    <cfRule type="containsText" dxfId="880" priority="886" operator="containsText" text="%">
      <formula>NOT(ISERROR(SEARCH("%",G36)))</formula>
    </cfRule>
  </conditionalFormatting>
  <conditionalFormatting sqref="G36 K36">
    <cfRule type="containsText" dxfId="879" priority="885" operator="containsText" text="%">
      <formula>NOT(ISERROR(SEARCH("%",G36)))</formula>
    </cfRule>
  </conditionalFormatting>
  <conditionalFormatting sqref="G36 K36">
    <cfRule type="containsText" dxfId="878" priority="884" operator="containsText" text="%">
      <formula>NOT(ISERROR(SEARCH("%",G36)))</formula>
    </cfRule>
  </conditionalFormatting>
  <conditionalFormatting sqref="G36 K36">
    <cfRule type="containsText" dxfId="877" priority="883" operator="containsText" text="%">
      <formula>NOT(ISERROR(SEARCH("%",G36)))</formula>
    </cfRule>
  </conditionalFormatting>
  <conditionalFormatting sqref="G36 K36">
    <cfRule type="containsText" dxfId="876" priority="882" operator="containsText" text="%">
      <formula>NOT(ISERROR(SEARCH("%",G36)))</formula>
    </cfRule>
  </conditionalFormatting>
  <conditionalFormatting sqref="G36 K36">
    <cfRule type="containsText" dxfId="875" priority="881" operator="containsText" text="%">
      <formula>NOT(ISERROR(SEARCH("%",G36)))</formula>
    </cfRule>
  </conditionalFormatting>
  <conditionalFormatting sqref="G36 K36">
    <cfRule type="containsText" dxfId="874" priority="880" operator="containsText" text="%">
      <formula>NOT(ISERROR(SEARCH("%",G36)))</formula>
    </cfRule>
  </conditionalFormatting>
  <conditionalFormatting sqref="G36 K36">
    <cfRule type="containsText" dxfId="873" priority="879" operator="containsText" text="%">
      <formula>NOT(ISERROR(SEARCH("%",G36)))</formula>
    </cfRule>
  </conditionalFormatting>
  <conditionalFormatting sqref="G36 K36">
    <cfRule type="containsText" dxfId="872" priority="878" operator="containsText" text="%">
      <formula>NOT(ISERROR(SEARCH("%",G36)))</formula>
    </cfRule>
  </conditionalFormatting>
  <conditionalFormatting sqref="G36 K36">
    <cfRule type="containsText" dxfId="871" priority="877" operator="containsText" text="%">
      <formula>NOT(ISERROR(SEARCH("%",G36)))</formula>
    </cfRule>
  </conditionalFormatting>
  <conditionalFormatting sqref="G36 K36">
    <cfRule type="containsText" dxfId="870" priority="876" operator="containsText" text="%">
      <formula>NOT(ISERROR(SEARCH("%",G36)))</formula>
    </cfRule>
  </conditionalFormatting>
  <conditionalFormatting sqref="G36 K36">
    <cfRule type="containsText" dxfId="869" priority="875" operator="containsText" text="%">
      <formula>NOT(ISERROR(SEARCH("%",G36)))</formula>
    </cfRule>
  </conditionalFormatting>
  <conditionalFormatting sqref="G36 K36">
    <cfRule type="containsText" dxfId="868" priority="874" operator="containsText" text="%">
      <formula>NOT(ISERROR(SEARCH("%",G36)))</formula>
    </cfRule>
  </conditionalFormatting>
  <conditionalFormatting sqref="G36 K36">
    <cfRule type="containsText" dxfId="867" priority="873" operator="containsText" text="%">
      <formula>NOT(ISERROR(SEARCH("%",G36)))</formula>
    </cfRule>
  </conditionalFormatting>
  <conditionalFormatting sqref="G36 K36">
    <cfRule type="containsText" dxfId="866" priority="872" operator="containsText" text="%">
      <formula>NOT(ISERROR(SEARCH("%",G36)))</formula>
    </cfRule>
  </conditionalFormatting>
  <conditionalFormatting sqref="G36 K36">
    <cfRule type="containsText" dxfId="865" priority="871" operator="containsText" text="%">
      <formula>NOT(ISERROR(SEARCH("%",G36)))</formula>
    </cfRule>
  </conditionalFormatting>
  <conditionalFormatting sqref="G36 K36">
    <cfRule type="containsText" dxfId="864" priority="870" operator="containsText" text="%">
      <formula>NOT(ISERROR(SEARCH("%",G36)))</formula>
    </cfRule>
  </conditionalFormatting>
  <conditionalFormatting sqref="G36 K36">
    <cfRule type="containsText" dxfId="863" priority="869" operator="containsText" text="%">
      <formula>NOT(ISERROR(SEARCH("%",G36)))</formula>
    </cfRule>
  </conditionalFormatting>
  <conditionalFormatting sqref="G36 K36">
    <cfRule type="containsText" dxfId="862" priority="868" operator="containsText" text="%">
      <formula>NOT(ISERROR(SEARCH("%",G36)))</formula>
    </cfRule>
  </conditionalFormatting>
  <conditionalFormatting sqref="G36 K36">
    <cfRule type="containsText" dxfId="861" priority="867" operator="containsText" text="%">
      <formula>NOT(ISERROR(SEARCH("%",G36)))</formula>
    </cfRule>
  </conditionalFormatting>
  <conditionalFormatting sqref="G36 K36">
    <cfRule type="containsText" dxfId="860" priority="866" operator="containsText" text="%">
      <formula>NOT(ISERROR(SEARCH("%",G36)))</formula>
    </cfRule>
  </conditionalFormatting>
  <conditionalFormatting sqref="G36 K36">
    <cfRule type="containsText" dxfId="859" priority="865" operator="containsText" text="%">
      <formula>NOT(ISERROR(SEARCH("%",G36)))</formula>
    </cfRule>
  </conditionalFormatting>
  <conditionalFormatting sqref="G36 K36">
    <cfRule type="containsText" dxfId="858" priority="864" operator="containsText" text="%">
      <formula>NOT(ISERROR(SEARCH("%",G36)))</formula>
    </cfRule>
  </conditionalFormatting>
  <conditionalFormatting sqref="G36 K36">
    <cfRule type="containsText" dxfId="857" priority="863" operator="containsText" text="%">
      <formula>NOT(ISERROR(SEARCH("%",G36)))</formula>
    </cfRule>
  </conditionalFormatting>
  <conditionalFormatting sqref="G36 K36">
    <cfRule type="containsText" dxfId="856" priority="862" operator="containsText" text="%">
      <formula>NOT(ISERROR(SEARCH("%",G36)))</formula>
    </cfRule>
  </conditionalFormatting>
  <conditionalFormatting sqref="G36 K36">
    <cfRule type="containsText" dxfId="855" priority="861" operator="containsText" text="%">
      <formula>NOT(ISERROR(SEARCH("%",G36)))</formula>
    </cfRule>
  </conditionalFormatting>
  <conditionalFormatting sqref="G36 K36">
    <cfRule type="containsText" dxfId="854" priority="860" operator="containsText" text="%">
      <formula>NOT(ISERROR(SEARCH("%",G36)))</formula>
    </cfRule>
  </conditionalFormatting>
  <conditionalFormatting sqref="G36 K36">
    <cfRule type="containsText" dxfId="853" priority="859" operator="containsText" text="%">
      <formula>NOT(ISERROR(SEARCH("%",G36)))</formula>
    </cfRule>
  </conditionalFormatting>
  <conditionalFormatting sqref="J35:J36">
    <cfRule type="containsText" dxfId="852" priority="858" operator="containsText" text="%">
      <formula>NOT(ISERROR(SEARCH("%",J35)))</formula>
    </cfRule>
  </conditionalFormatting>
  <conditionalFormatting sqref="J35:J36">
    <cfRule type="containsText" dxfId="851" priority="857" operator="containsText" text="%">
      <formula>NOT(ISERROR(SEARCH("%",J35)))</formula>
    </cfRule>
  </conditionalFormatting>
  <conditionalFormatting sqref="J35:J36">
    <cfRule type="containsText" dxfId="850" priority="856" operator="containsText" text="%">
      <formula>NOT(ISERROR(SEARCH("%",J35)))</formula>
    </cfRule>
  </conditionalFormatting>
  <conditionalFormatting sqref="J35:J36">
    <cfRule type="containsText" dxfId="849" priority="855" operator="containsText" text="%">
      <formula>NOT(ISERROR(SEARCH("%",J35)))</formula>
    </cfRule>
  </conditionalFormatting>
  <conditionalFormatting sqref="J35:J36">
    <cfRule type="containsText" dxfId="848" priority="854" operator="containsText" text="%">
      <formula>NOT(ISERROR(SEARCH("%",J35)))</formula>
    </cfRule>
  </conditionalFormatting>
  <conditionalFormatting sqref="J35:J36">
    <cfRule type="containsText" dxfId="847" priority="853" operator="containsText" text="%">
      <formula>NOT(ISERROR(SEARCH("%",J35)))</formula>
    </cfRule>
  </conditionalFormatting>
  <conditionalFormatting sqref="J35:J36">
    <cfRule type="containsText" dxfId="846" priority="852" operator="containsText" text="%">
      <formula>NOT(ISERROR(SEARCH("%",J35)))</formula>
    </cfRule>
  </conditionalFormatting>
  <conditionalFormatting sqref="J35:J36">
    <cfRule type="containsText" dxfId="845" priority="851" operator="containsText" text="%">
      <formula>NOT(ISERROR(SEARCH("%",J35)))</formula>
    </cfRule>
  </conditionalFormatting>
  <conditionalFormatting sqref="J35:J36">
    <cfRule type="containsText" dxfId="844" priority="850" operator="containsText" text="%">
      <formula>NOT(ISERROR(SEARCH("%",J35)))</formula>
    </cfRule>
  </conditionalFormatting>
  <conditionalFormatting sqref="J35:J36">
    <cfRule type="containsText" dxfId="843" priority="849" operator="containsText" text="%">
      <formula>NOT(ISERROR(SEARCH("%",J35)))</formula>
    </cfRule>
  </conditionalFormatting>
  <conditionalFormatting sqref="J35:J36">
    <cfRule type="containsText" dxfId="842" priority="848" operator="containsText" text="%">
      <formula>NOT(ISERROR(SEARCH("%",J35)))</formula>
    </cfRule>
  </conditionalFormatting>
  <conditionalFormatting sqref="J35:J36">
    <cfRule type="containsText" dxfId="841" priority="847" operator="containsText" text="%">
      <formula>NOT(ISERROR(SEARCH("%",J35)))</formula>
    </cfRule>
  </conditionalFormatting>
  <conditionalFormatting sqref="J35:J36">
    <cfRule type="containsText" dxfId="840" priority="846" operator="containsText" text="%">
      <formula>NOT(ISERROR(SEARCH("%",J35)))</formula>
    </cfRule>
  </conditionalFormatting>
  <conditionalFormatting sqref="J35:J36">
    <cfRule type="containsText" dxfId="839" priority="845" operator="containsText" text="%">
      <formula>NOT(ISERROR(SEARCH("%",J35)))</formula>
    </cfRule>
  </conditionalFormatting>
  <conditionalFormatting sqref="J35:J36">
    <cfRule type="containsText" dxfId="838" priority="829" operator="containsText" text="%">
      <formula>NOT(ISERROR(SEARCH("%",J35)))</formula>
    </cfRule>
  </conditionalFormatting>
  <conditionalFormatting sqref="J35:J36">
    <cfRule type="containsText" dxfId="837" priority="828" operator="containsText" text="%">
      <formula>NOT(ISERROR(SEARCH("%",J35)))</formula>
    </cfRule>
  </conditionalFormatting>
  <conditionalFormatting sqref="J35:J36">
    <cfRule type="containsText" dxfId="836" priority="824" operator="containsText" text="%">
      <formula>NOT(ISERROR(SEARCH("%",J35)))</formula>
    </cfRule>
  </conditionalFormatting>
  <conditionalFormatting sqref="J35:J36">
    <cfRule type="containsText" dxfId="835" priority="844" operator="containsText" text="%">
      <formula>NOT(ISERROR(SEARCH("%",J35)))</formula>
    </cfRule>
  </conditionalFormatting>
  <conditionalFormatting sqref="J35">
    <cfRule type="containsText" dxfId="834" priority="843" operator="containsText" text="%">
      <formula>NOT(ISERROR(SEARCH("%",J35)))</formula>
    </cfRule>
  </conditionalFormatting>
  <conditionalFormatting sqref="J35">
    <cfRule type="containsText" dxfId="833" priority="842" operator="containsText" text="%">
      <formula>NOT(ISERROR(SEARCH("%",J35)))</formula>
    </cfRule>
  </conditionalFormatting>
  <conditionalFormatting sqref="J35:J36">
    <cfRule type="containsText" dxfId="832" priority="822" operator="containsText" text="%">
      <formula>NOT(ISERROR(SEARCH("%",J35)))</formula>
    </cfRule>
  </conditionalFormatting>
  <conditionalFormatting sqref="J35:J36">
    <cfRule type="containsText" dxfId="831" priority="841" operator="containsText" text="%">
      <formula>NOT(ISERROR(SEARCH("%",J35)))</formula>
    </cfRule>
  </conditionalFormatting>
  <conditionalFormatting sqref="J35:J36">
    <cfRule type="containsText" dxfId="830" priority="840" operator="containsText" text="%">
      <formula>NOT(ISERROR(SEARCH("%",J35)))</formula>
    </cfRule>
  </conditionalFormatting>
  <conditionalFormatting sqref="J35:J36">
    <cfRule type="containsText" dxfId="829" priority="839" operator="containsText" text="%">
      <formula>NOT(ISERROR(SEARCH("%",J35)))</formula>
    </cfRule>
  </conditionalFormatting>
  <conditionalFormatting sqref="J35:J36">
    <cfRule type="containsText" dxfId="828" priority="838" operator="containsText" text="%">
      <formula>NOT(ISERROR(SEARCH("%",J35)))</formula>
    </cfRule>
  </conditionalFormatting>
  <conditionalFormatting sqref="J35:J36">
    <cfRule type="containsText" dxfId="827" priority="837" operator="containsText" text="%">
      <formula>NOT(ISERROR(SEARCH("%",J35)))</formula>
    </cfRule>
  </conditionalFormatting>
  <conditionalFormatting sqref="J35:J36">
    <cfRule type="containsText" dxfId="826" priority="836" operator="containsText" text="%">
      <formula>NOT(ISERROR(SEARCH("%",J35)))</formula>
    </cfRule>
  </conditionalFormatting>
  <conditionalFormatting sqref="J35:J36">
    <cfRule type="containsText" dxfId="825" priority="835" operator="containsText" text="%">
      <formula>NOT(ISERROR(SEARCH("%",J35)))</formula>
    </cfRule>
  </conditionalFormatting>
  <conditionalFormatting sqref="J35:J36">
    <cfRule type="containsText" dxfId="824" priority="834" operator="containsText" text="%">
      <formula>NOT(ISERROR(SEARCH("%",J35)))</formula>
    </cfRule>
  </conditionalFormatting>
  <conditionalFormatting sqref="J35:J36">
    <cfRule type="containsText" dxfId="823" priority="833" operator="containsText" text="%">
      <formula>NOT(ISERROR(SEARCH("%",J35)))</formula>
    </cfRule>
  </conditionalFormatting>
  <conditionalFormatting sqref="J35:J36">
    <cfRule type="containsText" dxfId="822" priority="832" operator="containsText" text="%">
      <formula>NOT(ISERROR(SEARCH("%",J35)))</formula>
    </cfRule>
  </conditionalFormatting>
  <conditionalFormatting sqref="J35:J36">
    <cfRule type="containsText" dxfId="821" priority="831" operator="containsText" text="%">
      <formula>NOT(ISERROR(SEARCH("%",J35)))</formula>
    </cfRule>
  </conditionalFormatting>
  <conditionalFormatting sqref="J35:J36">
    <cfRule type="containsText" dxfId="820" priority="830" operator="containsText" text="%">
      <formula>NOT(ISERROR(SEARCH("%",J35)))</formula>
    </cfRule>
  </conditionalFormatting>
  <conditionalFormatting sqref="J35:J36">
    <cfRule type="containsText" dxfId="819" priority="827" operator="containsText" text="%">
      <formula>NOT(ISERROR(SEARCH("%",J35)))</formula>
    </cfRule>
  </conditionalFormatting>
  <conditionalFormatting sqref="J35:J36">
    <cfRule type="containsText" dxfId="818" priority="826" operator="containsText" text="%">
      <formula>NOT(ISERROR(SEARCH("%",J35)))</formula>
    </cfRule>
  </conditionalFormatting>
  <conditionalFormatting sqref="J35:J36">
    <cfRule type="containsText" dxfId="817" priority="825" operator="containsText" text="%">
      <formula>NOT(ISERROR(SEARCH("%",J35)))</formula>
    </cfRule>
  </conditionalFormatting>
  <conditionalFormatting sqref="J35:J36">
    <cfRule type="containsText" dxfId="816" priority="823" operator="containsText" text="%">
      <formula>NOT(ISERROR(SEARCH("%",J35)))</formula>
    </cfRule>
  </conditionalFormatting>
  <conditionalFormatting sqref="J35:J36">
    <cfRule type="containsText" dxfId="815" priority="821" operator="containsText" text="%">
      <formula>NOT(ISERROR(SEARCH("%",J35)))</formula>
    </cfRule>
  </conditionalFormatting>
  <conditionalFormatting sqref="J35:J36">
    <cfRule type="containsText" dxfId="814" priority="820" operator="containsText" text="%">
      <formula>NOT(ISERROR(SEARCH("%",J35)))</formula>
    </cfRule>
  </conditionalFormatting>
  <conditionalFormatting sqref="J35:J36">
    <cfRule type="containsText" dxfId="813" priority="819" operator="containsText" text="%">
      <formula>NOT(ISERROR(SEARCH("%",J35)))</formula>
    </cfRule>
  </conditionalFormatting>
  <conditionalFormatting sqref="J35:J36">
    <cfRule type="containsText" dxfId="812" priority="818" operator="containsText" text="%">
      <formula>NOT(ISERROR(SEARCH("%",J35)))</formula>
    </cfRule>
  </conditionalFormatting>
  <conditionalFormatting sqref="J35:J36">
    <cfRule type="containsText" dxfId="811" priority="817" operator="containsText" text="%">
      <formula>NOT(ISERROR(SEARCH("%",J35)))</formula>
    </cfRule>
  </conditionalFormatting>
  <conditionalFormatting sqref="J35:J36">
    <cfRule type="containsText" dxfId="810" priority="816" operator="containsText" text="%">
      <formula>NOT(ISERROR(SEARCH("%",J35)))</formula>
    </cfRule>
  </conditionalFormatting>
  <conditionalFormatting sqref="J35:J36">
    <cfRule type="containsText" dxfId="809" priority="815" operator="containsText" text="%">
      <formula>NOT(ISERROR(SEARCH("%",J35)))</formula>
    </cfRule>
  </conditionalFormatting>
  <conditionalFormatting sqref="J35:J36">
    <cfRule type="containsText" dxfId="808" priority="814" operator="containsText" text="%">
      <formula>NOT(ISERROR(SEARCH("%",J35)))</formula>
    </cfRule>
  </conditionalFormatting>
  <conditionalFormatting sqref="J35:J36">
    <cfRule type="containsText" dxfId="807" priority="813" operator="containsText" text="%">
      <formula>NOT(ISERROR(SEARCH("%",J35)))</formula>
    </cfRule>
  </conditionalFormatting>
  <conditionalFormatting sqref="J35:J36">
    <cfRule type="containsText" dxfId="806" priority="812" operator="containsText" text="%">
      <formula>NOT(ISERROR(SEARCH("%",J35)))</formula>
    </cfRule>
  </conditionalFormatting>
  <conditionalFormatting sqref="J36">
    <cfRule type="containsText" dxfId="805" priority="811" operator="containsText" text="%">
      <formula>NOT(ISERROR(SEARCH("%",J36)))</formula>
    </cfRule>
  </conditionalFormatting>
  <conditionalFormatting sqref="J36">
    <cfRule type="containsText" dxfId="804" priority="810" operator="containsText" text="%">
      <formula>NOT(ISERROR(SEARCH("%",J36)))</formula>
    </cfRule>
  </conditionalFormatting>
  <conditionalFormatting sqref="J36">
    <cfRule type="containsText" dxfId="803" priority="809" operator="containsText" text="%">
      <formula>NOT(ISERROR(SEARCH("%",J36)))</formula>
    </cfRule>
  </conditionalFormatting>
  <conditionalFormatting sqref="J36">
    <cfRule type="containsText" dxfId="802" priority="808" operator="containsText" text="%">
      <formula>NOT(ISERROR(SEARCH("%",J36)))</formula>
    </cfRule>
  </conditionalFormatting>
  <conditionalFormatting sqref="J35:J36">
    <cfRule type="containsText" dxfId="801" priority="807" operator="containsText" text="%">
      <formula>NOT(ISERROR(SEARCH("%",J35)))</formula>
    </cfRule>
  </conditionalFormatting>
  <conditionalFormatting sqref="J35:J36">
    <cfRule type="containsText" dxfId="800" priority="806" operator="containsText" text="%">
      <formula>NOT(ISERROR(SEARCH("%",J35)))</formula>
    </cfRule>
  </conditionalFormatting>
  <conditionalFormatting sqref="J35:J36">
    <cfRule type="containsText" dxfId="799" priority="805" operator="containsText" text="%">
      <formula>NOT(ISERROR(SEARCH("%",J35)))</formula>
    </cfRule>
  </conditionalFormatting>
  <conditionalFormatting sqref="J35:J36">
    <cfRule type="containsText" dxfId="798" priority="804" operator="containsText" text="%">
      <formula>NOT(ISERROR(SEARCH("%",J35)))</formula>
    </cfRule>
  </conditionalFormatting>
  <conditionalFormatting sqref="J35:J36">
    <cfRule type="containsText" dxfId="797" priority="803" operator="containsText" text="%">
      <formula>NOT(ISERROR(SEARCH("%",J35)))</formula>
    </cfRule>
  </conditionalFormatting>
  <conditionalFormatting sqref="J35:J36">
    <cfRule type="containsText" dxfId="796" priority="802" operator="containsText" text="%">
      <formula>NOT(ISERROR(SEARCH("%",J35)))</formula>
    </cfRule>
  </conditionalFormatting>
  <conditionalFormatting sqref="J35:J36">
    <cfRule type="containsText" dxfId="795" priority="801" operator="containsText" text="%">
      <formula>NOT(ISERROR(SEARCH("%",J35)))</formula>
    </cfRule>
  </conditionalFormatting>
  <conditionalFormatting sqref="J35:J36">
    <cfRule type="containsText" dxfId="794" priority="800" operator="containsText" text="%">
      <formula>NOT(ISERROR(SEARCH("%",J35)))</formula>
    </cfRule>
  </conditionalFormatting>
  <conditionalFormatting sqref="J35:J36">
    <cfRule type="containsText" dxfId="793" priority="799" operator="containsText" text="%">
      <formula>NOT(ISERROR(SEARCH("%",J35)))</formula>
    </cfRule>
  </conditionalFormatting>
  <conditionalFormatting sqref="J35:J36">
    <cfRule type="containsText" dxfId="792" priority="798" operator="containsText" text="%">
      <formula>NOT(ISERROR(SEARCH("%",J35)))</formula>
    </cfRule>
  </conditionalFormatting>
  <conditionalFormatting sqref="J36">
    <cfRule type="containsText" dxfId="791" priority="797" operator="containsText" text="%">
      <formula>NOT(ISERROR(SEARCH("%",J36)))</formula>
    </cfRule>
  </conditionalFormatting>
  <conditionalFormatting sqref="J36">
    <cfRule type="containsText" dxfId="790" priority="796" operator="containsText" text="%">
      <formula>NOT(ISERROR(SEARCH("%",J36)))</formula>
    </cfRule>
  </conditionalFormatting>
  <conditionalFormatting sqref="J36">
    <cfRule type="containsText" dxfId="789" priority="795" operator="containsText" text="%">
      <formula>NOT(ISERROR(SEARCH("%",J36)))</formula>
    </cfRule>
  </conditionalFormatting>
  <conditionalFormatting sqref="J36">
    <cfRule type="containsText" dxfId="788" priority="794" operator="containsText" text="%">
      <formula>NOT(ISERROR(SEARCH("%",J36)))</formula>
    </cfRule>
  </conditionalFormatting>
  <conditionalFormatting sqref="J35:J36">
    <cfRule type="containsText" dxfId="787" priority="793" operator="containsText" text="%">
      <formula>NOT(ISERROR(SEARCH("%",J35)))</formula>
    </cfRule>
  </conditionalFormatting>
  <conditionalFormatting sqref="J35:J36">
    <cfRule type="containsText" dxfId="786" priority="792" operator="containsText" text="%">
      <formula>NOT(ISERROR(SEARCH("%",J35)))</formula>
    </cfRule>
  </conditionalFormatting>
  <conditionalFormatting sqref="J35:J36">
    <cfRule type="containsText" dxfId="785" priority="791" operator="containsText" text="%">
      <formula>NOT(ISERROR(SEARCH("%",J35)))</formula>
    </cfRule>
  </conditionalFormatting>
  <conditionalFormatting sqref="J35:J36">
    <cfRule type="containsText" dxfId="784" priority="790" operator="containsText" text="%">
      <formula>NOT(ISERROR(SEARCH("%",J35)))</formula>
    </cfRule>
  </conditionalFormatting>
  <conditionalFormatting sqref="J35:J36">
    <cfRule type="containsText" dxfId="783" priority="789" operator="containsText" text="%">
      <formula>NOT(ISERROR(SEARCH("%",J35)))</formula>
    </cfRule>
  </conditionalFormatting>
  <conditionalFormatting sqref="J35:J36">
    <cfRule type="containsText" dxfId="782" priority="788" operator="containsText" text="%">
      <formula>NOT(ISERROR(SEARCH("%",J35)))</formula>
    </cfRule>
  </conditionalFormatting>
  <conditionalFormatting sqref="J36">
    <cfRule type="containsText" dxfId="781" priority="787" operator="containsText" text="%">
      <formula>NOT(ISERROR(SEARCH("%",J36)))</formula>
    </cfRule>
  </conditionalFormatting>
  <conditionalFormatting sqref="J36">
    <cfRule type="containsText" dxfId="780" priority="786" operator="containsText" text="%">
      <formula>NOT(ISERROR(SEARCH("%",J36)))</formula>
    </cfRule>
  </conditionalFormatting>
  <conditionalFormatting sqref="J36">
    <cfRule type="containsText" dxfId="779" priority="785" operator="containsText" text="%">
      <formula>NOT(ISERROR(SEARCH("%",J36)))</formula>
    </cfRule>
  </conditionalFormatting>
  <conditionalFormatting sqref="J36">
    <cfRule type="containsText" dxfId="778" priority="784" operator="containsText" text="%">
      <formula>NOT(ISERROR(SEARCH("%",J36)))</formula>
    </cfRule>
  </conditionalFormatting>
  <conditionalFormatting sqref="J35:J36">
    <cfRule type="containsText" dxfId="777" priority="768" operator="containsText" text="%">
      <formula>NOT(ISERROR(SEARCH("%",J35)))</formula>
    </cfRule>
  </conditionalFormatting>
  <conditionalFormatting sqref="J35:J36">
    <cfRule type="containsText" dxfId="776" priority="767" operator="containsText" text="%">
      <formula>NOT(ISERROR(SEARCH("%",J35)))</formula>
    </cfRule>
  </conditionalFormatting>
  <conditionalFormatting sqref="J35:J36">
    <cfRule type="containsText" dxfId="775" priority="763" operator="containsText" text="%">
      <formula>NOT(ISERROR(SEARCH("%",J35)))</formula>
    </cfRule>
  </conditionalFormatting>
  <conditionalFormatting sqref="J35:J36">
    <cfRule type="containsText" dxfId="774" priority="783" operator="containsText" text="%">
      <formula>NOT(ISERROR(SEARCH("%",J35)))</formula>
    </cfRule>
  </conditionalFormatting>
  <conditionalFormatting sqref="J35">
    <cfRule type="containsText" dxfId="773" priority="782" operator="containsText" text="%">
      <formula>NOT(ISERROR(SEARCH("%",J35)))</formula>
    </cfRule>
  </conditionalFormatting>
  <conditionalFormatting sqref="J35">
    <cfRule type="containsText" dxfId="772" priority="781" operator="containsText" text="%">
      <formula>NOT(ISERROR(SEARCH("%",J35)))</formula>
    </cfRule>
  </conditionalFormatting>
  <conditionalFormatting sqref="J35:J36">
    <cfRule type="containsText" dxfId="771" priority="761" operator="containsText" text="%">
      <formula>NOT(ISERROR(SEARCH("%",J35)))</formula>
    </cfRule>
  </conditionalFormatting>
  <conditionalFormatting sqref="J35:J36">
    <cfRule type="containsText" dxfId="770" priority="780" operator="containsText" text="%">
      <formula>NOT(ISERROR(SEARCH("%",J35)))</formula>
    </cfRule>
  </conditionalFormatting>
  <conditionalFormatting sqref="J35:J36">
    <cfRule type="containsText" dxfId="769" priority="779" operator="containsText" text="%">
      <formula>NOT(ISERROR(SEARCH("%",J35)))</formula>
    </cfRule>
  </conditionalFormatting>
  <conditionalFormatting sqref="J35:J36">
    <cfRule type="containsText" dxfId="768" priority="778" operator="containsText" text="%">
      <formula>NOT(ISERROR(SEARCH("%",J35)))</formula>
    </cfRule>
  </conditionalFormatting>
  <conditionalFormatting sqref="J35:J36">
    <cfRule type="containsText" dxfId="767" priority="777" operator="containsText" text="%">
      <formula>NOT(ISERROR(SEARCH("%",J35)))</formula>
    </cfRule>
  </conditionalFormatting>
  <conditionalFormatting sqref="J35:J36">
    <cfRule type="containsText" dxfId="766" priority="776" operator="containsText" text="%">
      <formula>NOT(ISERROR(SEARCH("%",J35)))</formula>
    </cfRule>
  </conditionalFormatting>
  <conditionalFormatting sqref="J35:J36">
    <cfRule type="containsText" dxfId="765" priority="775" operator="containsText" text="%">
      <formula>NOT(ISERROR(SEARCH("%",J35)))</formula>
    </cfRule>
  </conditionalFormatting>
  <conditionalFormatting sqref="J35:J36">
    <cfRule type="containsText" dxfId="764" priority="774" operator="containsText" text="%">
      <formula>NOT(ISERROR(SEARCH("%",J35)))</formula>
    </cfRule>
  </conditionalFormatting>
  <conditionalFormatting sqref="J35:J36">
    <cfRule type="containsText" dxfId="763" priority="773" operator="containsText" text="%">
      <formula>NOT(ISERROR(SEARCH("%",J35)))</formula>
    </cfRule>
  </conditionalFormatting>
  <conditionalFormatting sqref="J35:J36">
    <cfRule type="containsText" dxfId="762" priority="772" operator="containsText" text="%">
      <formula>NOT(ISERROR(SEARCH("%",J35)))</formula>
    </cfRule>
  </conditionalFormatting>
  <conditionalFormatting sqref="J35:J36">
    <cfRule type="containsText" dxfId="761" priority="771" operator="containsText" text="%">
      <formula>NOT(ISERROR(SEARCH("%",J35)))</formula>
    </cfRule>
  </conditionalFormatting>
  <conditionalFormatting sqref="J35:J36">
    <cfRule type="containsText" dxfId="760" priority="770" operator="containsText" text="%">
      <formula>NOT(ISERROR(SEARCH("%",J35)))</formula>
    </cfRule>
  </conditionalFormatting>
  <conditionalFormatting sqref="J35:J36">
    <cfRule type="containsText" dxfId="759" priority="769" operator="containsText" text="%">
      <formula>NOT(ISERROR(SEARCH("%",J35)))</formula>
    </cfRule>
  </conditionalFormatting>
  <conditionalFormatting sqref="J35:J36">
    <cfRule type="containsText" dxfId="758" priority="766" operator="containsText" text="%">
      <formula>NOT(ISERROR(SEARCH("%",J35)))</formula>
    </cfRule>
  </conditionalFormatting>
  <conditionalFormatting sqref="J35:J36">
    <cfRule type="containsText" dxfId="757" priority="765" operator="containsText" text="%">
      <formula>NOT(ISERROR(SEARCH("%",J35)))</formula>
    </cfRule>
  </conditionalFormatting>
  <conditionalFormatting sqref="J35:J36">
    <cfRule type="containsText" dxfId="756" priority="764" operator="containsText" text="%">
      <formula>NOT(ISERROR(SEARCH("%",J35)))</formula>
    </cfRule>
  </conditionalFormatting>
  <conditionalFormatting sqref="J35:J36">
    <cfRule type="containsText" dxfId="755" priority="762" operator="containsText" text="%">
      <formula>NOT(ISERROR(SEARCH("%",J35)))</formula>
    </cfRule>
  </conditionalFormatting>
  <conditionalFormatting sqref="J35:J36">
    <cfRule type="containsText" dxfId="754" priority="760" operator="containsText" text="%">
      <formula>NOT(ISERROR(SEARCH("%",J35)))</formula>
    </cfRule>
  </conditionalFormatting>
  <conditionalFormatting sqref="J35:J36">
    <cfRule type="containsText" dxfId="753" priority="759" operator="containsText" text="%">
      <formula>NOT(ISERROR(SEARCH("%",J35)))</formula>
    </cfRule>
  </conditionalFormatting>
  <conditionalFormatting sqref="J35:J36">
    <cfRule type="containsText" dxfId="752" priority="758" operator="containsText" text="%">
      <formula>NOT(ISERROR(SEARCH("%",J35)))</formula>
    </cfRule>
  </conditionalFormatting>
  <conditionalFormatting sqref="J35:J36">
    <cfRule type="containsText" dxfId="751" priority="757" operator="containsText" text="%">
      <formula>NOT(ISERROR(SEARCH("%",J35)))</formula>
    </cfRule>
  </conditionalFormatting>
  <conditionalFormatting sqref="J35:J36">
    <cfRule type="containsText" dxfId="750" priority="756" operator="containsText" text="%">
      <formula>NOT(ISERROR(SEARCH("%",J35)))</formula>
    </cfRule>
  </conditionalFormatting>
  <conditionalFormatting sqref="J35:J36">
    <cfRule type="containsText" dxfId="749" priority="755" operator="containsText" text="%">
      <formula>NOT(ISERROR(SEARCH("%",J35)))</formula>
    </cfRule>
  </conditionalFormatting>
  <conditionalFormatting sqref="J35:J36">
    <cfRule type="containsText" dxfId="748" priority="754" operator="containsText" text="%">
      <formula>NOT(ISERROR(SEARCH("%",J35)))</formula>
    </cfRule>
  </conditionalFormatting>
  <conditionalFormatting sqref="J35:J36">
    <cfRule type="containsText" dxfId="747" priority="753" operator="containsText" text="%">
      <formula>NOT(ISERROR(SEARCH("%",J35)))</formula>
    </cfRule>
  </conditionalFormatting>
  <conditionalFormatting sqref="J35:J36">
    <cfRule type="containsText" dxfId="746" priority="752" operator="containsText" text="%">
      <formula>NOT(ISERROR(SEARCH("%",J35)))</formula>
    </cfRule>
  </conditionalFormatting>
  <conditionalFormatting sqref="J35:J36">
    <cfRule type="containsText" dxfId="745" priority="751" operator="containsText" text="%">
      <formula>NOT(ISERROR(SEARCH("%",J35)))</formula>
    </cfRule>
  </conditionalFormatting>
  <conditionalFormatting sqref="J36">
    <cfRule type="containsText" dxfId="744" priority="750" operator="containsText" text="%">
      <formula>NOT(ISERROR(SEARCH("%",J36)))</formula>
    </cfRule>
  </conditionalFormatting>
  <conditionalFormatting sqref="J36">
    <cfRule type="containsText" dxfId="743" priority="749" operator="containsText" text="%">
      <formula>NOT(ISERROR(SEARCH("%",J36)))</formula>
    </cfRule>
  </conditionalFormatting>
  <conditionalFormatting sqref="J36">
    <cfRule type="containsText" dxfId="742" priority="748" operator="containsText" text="%">
      <formula>NOT(ISERROR(SEARCH("%",J36)))</formula>
    </cfRule>
  </conditionalFormatting>
  <conditionalFormatting sqref="J36">
    <cfRule type="containsText" dxfId="741" priority="747" operator="containsText" text="%">
      <formula>NOT(ISERROR(SEARCH("%",J36)))</formula>
    </cfRule>
  </conditionalFormatting>
  <conditionalFormatting sqref="J35:J36">
    <cfRule type="containsText" dxfId="740" priority="746" operator="containsText" text="%">
      <formula>NOT(ISERROR(SEARCH("%",J35)))</formula>
    </cfRule>
  </conditionalFormatting>
  <conditionalFormatting sqref="J35:J36">
    <cfRule type="containsText" dxfId="739" priority="745" operator="containsText" text="%">
      <formula>NOT(ISERROR(SEARCH("%",J35)))</formula>
    </cfRule>
  </conditionalFormatting>
  <conditionalFormatting sqref="J35:J36">
    <cfRule type="containsText" dxfId="738" priority="744" operator="containsText" text="%">
      <formula>NOT(ISERROR(SEARCH("%",J35)))</formula>
    </cfRule>
  </conditionalFormatting>
  <conditionalFormatting sqref="J35:J36">
    <cfRule type="containsText" dxfId="737" priority="743" operator="containsText" text="%">
      <formula>NOT(ISERROR(SEARCH("%",J35)))</formula>
    </cfRule>
  </conditionalFormatting>
  <conditionalFormatting sqref="J35:J36">
    <cfRule type="containsText" dxfId="736" priority="742" operator="containsText" text="%">
      <formula>NOT(ISERROR(SEARCH("%",J35)))</formula>
    </cfRule>
  </conditionalFormatting>
  <conditionalFormatting sqref="J35:J36">
    <cfRule type="containsText" dxfId="735" priority="741" operator="containsText" text="%">
      <formula>NOT(ISERROR(SEARCH("%",J35)))</formula>
    </cfRule>
  </conditionalFormatting>
  <conditionalFormatting sqref="J35:J36">
    <cfRule type="containsText" dxfId="734" priority="740" operator="containsText" text="%">
      <formula>NOT(ISERROR(SEARCH("%",J35)))</formula>
    </cfRule>
  </conditionalFormatting>
  <conditionalFormatting sqref="J35:J36">
    <cfRule type="containsText" dxfId="733" priority="739" operator="containsText" text="%">
      <formula>NOT(ISERROR(SEARCH("%",J35)))</formula>
    </cfRule>
  </conditionalFormatting>
  <conditionalFormatting sqref="J35:J36">
    <cfRule type="containsText" dxfId="732" priority="738" operator="containsText" text="%">
      <formula>NOT(ISERROR(SEARCH("%",J35)))</formula>
    </cfRule>
  </conditionalFormatting>
  <conditionalFormatting sqref="J35:J36">
    <cfRule type="containsText" dxfId="731" priority="737" operator="containsText" text="%">
      <formula>NOT(ISERROR(SEARCH("%",J35)))</formula>
    </cfRule>
  </conditionalFormatting>
  <conditionalFormatting sqref="J36">
    <cfRule type="containsText" dxfId="730" priority="736" operator="containsText" text="%">
      <formula>NOT(ISERROR(SEARCH("%",J36)))</formula>
    </cfRule>
  </conditionalFormatting>
  <conditionalFormatting sqref="J36">
    <cfRule type="containsText" dxfId="729" priority="735" operator="containsText" text="%">
      <formula>NOT(ISERROR(SEARCH("%",J36)))</formula>
    </cfRule>
  </conditionalFormatting>
  <conditionalFormatting sqref="J36">
    <cfRule type="containsText" dxfId="728" priority="734" operator="containsText" text="%">
      <formula>NOT(ISERROR(SEARCH("%",J36)))</formula>
    </cfRule>
  </conditionalFormatting>
  <conditionalFormatting sqref="J36">
    <cfRule type="containsText" dxfId="727" priority="733" operator="containsText" text="%">
      <formula>NOT(ISERROR(SEARCH("%",J36)))</formula>
    </cfRule>
  </conditionalFormatting>
  <conditionalFormatting sqref="J35">
    <cfRule type="containsText" dxfId="726" priority="732" operator="containsText" text="%">
      <formula>NOT(ISERROR(SEARCH("%",J35)))</formula>
    </cfRule>
  </conditionalFormatting>
  <conditionalFormatting sqref="J35">
    <cfRule type="containsText" dxfId="725" priority="731" operator="containsText" text="%">
      <formula>NOT(ISERROR(SEARCH("%",J35)))</formula>
    </cfRule>
  </conditionalFormatting>
  <conditionalFormatting sqref="J35">
    <cfRule type="containsText" dxfId="724" priority="730" operator="containsText" text="%">
      <formula>NOT(ISERROR(SEARCH("%",J35)))</formula>
    </cfRule>
  </conditionalFormatting>
  <conditionalFormatting sqref="J35">
    <cfRule type="containsText" dxfId="723" priority="729" operator="containsText" text="%">
      <formula>NOT(ISERROR(SEARCH("%",J35)))</formula>
    </cfRule>
  </conditionalFormatting>
  <conditionalFormatting sqref="J35">
    <cfRule type="containsText" dxfId="722" priority="728" operator="containsText" text="%">
      <formula>NOT(ISERROR(SEARCH("%",J35)))</formula>
    </cfRule>
  </conditionalFormatting>
  <conditionalFormatting sqref="J35">
    <cfRule type="containsText" dxfId="721" priority="727" operator="containsText" text="%">
      <formula>NOT(ISERROR(SEARCH("%",J35)))</formula>
    </cfRule>
  </conditionalFormatting>
  <conditionalFormatting sqref="J36">
    <cfRule type="containsText" dxfId="720" priority="726" operator="containsText" text="%">
      <formula>NOT(ISERROR(SEARCH("%",J36)))</formula>
    </cfRule>
  </conditionalFormatting>
  <conditionalFormatting sqref="J36">
    <cfRule type="containsText" dxfId="719" priority="725" operator="containsText" text="%">
      <formula>NOT(ISERROR(SEARCH("%",J36)))</formula>
    </cfRule>
  </conditionalFormatting>
  <conditionalFormatting sqref="J36">
    <cfRule type="containsText" dxfId="718" priority="724" operator="containsText" text="%">
      <formula>NOT(ISERROR(SEARCH("%",J36)))</formula>
    </cfRule>
  </conditionalFormatting>
  <conditionalFormatting sqref="J36">
    <cfRule type="containsText" dxfId="717" priority="723" operator="containsText" text="%">
      <formula>NOT(ISERROR(SEARCH("%",J36)))</formula>
    </cfRule>
  </conditionalFormatting>
  <conditionalFormatting sqref="J36">
    <cfRule type="containsText" dxfId="716" priority="722" operator="containsText" text="%">
      <formula>NOT(ISERROR(SEARCH("%",J36)))</formula>
    </cfRule>
  </conditionalFormatting>
  <conditionalFormatting sqref="J36">
    <cfRule type="containsText" dxfId="715" priority="721" operator="containsText" text="%">
      <formula>NOT(ISERROR(SEARCH("%",J36)))</formula>
    </cfRule>
  </conditionalFormatting>
  <conditionalFormatting sqref="J36">
    <cfRule type="containsText" dxfId="714" priority="720" operator="containsText" text="%">
      <formula>NOT(ISERROR(SEARCH("%",J36)))</formula>
    </cfRule>
  </conditionalFormatting>
  <conditionalFormatting sqref="J36">
    <cfRule type="containsText" dxfId="713" priority="719" operator="containsText" text="%">
      <formula>NOT(ISERROR(SEARCH("%",J36)))</formula>
    </cfRule>
  </conditionalFormatting>
  <conditionalFormatting sqref="J36">
    <cfRule type="containsText" dxfId="712" priority="718" operator="containsText" text="%">
      <formula>NOT(ISERROR(SEARCH("%",J36)))</formula>
    </cfRule>
  </conditionalFormatting>
  <conditionalFormatting sqref="J36">
    <cfRule type="containsText" dxfId="711" priority="717" operator="containsText" text="%">
      <formula>NOT(ISERROR(SEARCH("%",J36)))</formula>
    </cfRule>
  </conditionalFormatting>
  <conditionalFormatting sqref="J36">
    <cfRule type="containsText" dxfId="710" priority="703" operator="containsText" text="%">
      <formula>NOT(ISERROR(SEARCH("%",J36)))</formula>
    </cfRule>
  </conditionalFormatting>
  <conditionalFormatting sqref="J36">
    <cfRule type="containsText" dxfId="709" priority="702" operator="containsText" text="%">
      <formula>NOT(ISERROR(SEARCH("%",J36)))</formula>
    </cfRule>
  </conditionalFormatting>
  <conditionalFormatting sqref="J36">
    <cfRule type="containsText" dxfId="708" priority="698" operator="containsText" text="%">
      <formula>NOT(ISERROR(SEARCH("%",J36)))</formula>
    </cfRule>
  </conditionalFormatting>
  <conditionalFormatting sqref="J36">
    <cfRule type="containsText" dxfId="707" priority="716" operator="containsText" text="%">
      <formula>NOT(ISERROR(SEARCH("%",J36)))</formula>
    </cfRule>
  </conditionalFormatting>
  <conditionalFormatting sqref="J36">
    <cfRule type="containsText" dxfId="706" priority="696" operator="containsText" text="%">
      <formula>NOT(ISERROR(SEARCH("%",J36)))</formula>
    </cfRule>
  </conditionalFormatting>
  <conditionalFormatting sqref="J36">
    <cfRule type="containsText" dxfId="705" priority="715" operator="containsText" text="%">
      <formula>NOT(ISERROR(SEARCH("%",J36)))</formula>
    </cfRule>
  </conditionalFormatting>
  <conditionalFormatting sqref="J36">
    <cfRule type="containsText" dxfId="704" priority="714" operator="containsText" text="%">
      <formula>NOT(ISERROR(SEARCH("%",J36)))</formula>
    </cfRule>
  </conditionalFormatting>
  <conditionalFormatting sqref="J36">
    <cfRule type="containsText" dxfId="703" priority="713" operator="containsText" text="%">
      <formula>NOT(ISERROR(SEARCH("%",J36)))</formula>
    </cfRule>
  </conditionalFormatting>
  <conditionalFormatting sqref="J36">
    <cfRule type="containsText" dxfId="702" priority="712" operator="containsText" text="%">
      <formula>NOT(ISERROR(SEARCH("%",J36)))</formula>
    </cfRule>
  </conditionalFormatting>
  <conditionalFormatting sqref="J36">
    <cfRule type="containsText" dxfId="701" priority="711" operator="containsText" text="%">
      <formula>NOT(ISERROR(SEARCH("%",J36)))</formula>
    </cfRule>
  </conditionalFormatting>
  <conditionalFormatting sqref="J36">
    <cfRule type="containsText" dxfId="700" priority="710" operator="containsText" text="%">
      <formula>NOT(ISERROR(SEARCH("%",J36)))</formula>
    </cfRule>
  </conditionalFormatting>
  <conditionalFormatting sqref="J36">
    <cfRule type="containsText" dxfId="699" priority="709" operator="containsText" text="%">
      <formula>NOT(ISERROR(SEARCH("%",J36)))</formula>
    </cfRule>
  </conditionalFormatting>
  <conditionalFormatting sqref="J36">
    <cfRule type="containsText" dxfId="698" priority="708" operator="containsText" text="%">
      <formula>NOT(ISERROR(SEARCH("%",J36)))</formula>
    </cfRule>
  </conditionalFormatting>
  <conditionalFormatting sqref="J36">
    <cfRule type="containsText" dxfId="697" priority="707" operator="containsText" text="%">
      <formula>NOT(ISERROR(SEARCH("%",J36)))</formula>
    </cfRule>
  </conditionalFormatting>
  <conditionalFormatting sqref="J36">
    <cfRule type="containsText" dxfId="696" priority="706" operator="containsText" text="%">
      <formula>NOT(ISERROR(SEARCH("%",J36)))</formula>
    </cfRule>
  </conditionalFormatting>
  <conditionalFormatting sqref="J36">
    <cfRule type="containsText" dxfId="695" priority="705" operator="containsText" text="%">
      <formula>NOT(ISERROR(SEARCH("%",J36)))</formula>
    </cfRule>
  </conditionalFormatting>
  <conditionalFormatting sqref="J36">
    <cfRule type="containsText" dxfId="694" priority="704" operator="containsText" text="%">
      <formula>NOT(ISERROR(SEARCH("%",J36)))</formula>
    </cfRule>
  </conditionalFormatting>
  <conditionalFormatting sqref="J36">
    <cfRule type="containsText" dxfId="693" priority="701" operator="containsText" text="%">
      <formula>NOT(ISERROR(SEARCH("%",J36)))</formula>
    </cfRule>
  </conditionalFormatting>
  <conditionalFormatting sqref="J36">
    <cfRule type="containsText" dxfId="692" priority="700" operator="containsText" text="%">
      <formula>NOT(ISERROR(SEARCH("%",J36)))</formula>
    </cfRule>
  </conditionalFormatting>
  <conditionalFormatting sqref="J36">
    <cfRule type="containsText" dxfId="691" priority="699" operator="containsText" text="%">
      <formula>NOT(ISERROR(SEARCH("%",J36)))</formula>
    </cfRule>
  </conditionalFormatting>
  <conditionalFormatting sqref="J36">
    <cfRule type="containsText" dxfId="690" priority="697" operator="containsText" text="%">
      <formula>NOT(ISERROR(SEARCH("%",J36)))</formula>
    </cfRule>
  </conditionalFormatting>
  <conditionalFormatting sqref="J36">
    <cfRule type="containsText" dxfId="689" priority="695" operator="containsText" text="%">
      <formula>NOT(ISERROR(SEARCH("%",J36)))</formula>
    </cfRule>
  </conditionalFormatting>
  <conditionalFormatting sqref="J36">
    <cfRule type="containsText" dxfId="688" priority="694" operator="containsText" text="%">
      <formula>NOT(ISERROR(SEARCH("%",J36)))</formula>
    </cfRule>
  </conditionalFormatting>
  <conditionalFormatting sqref="J36">
    <cfRule type="containsText" dxfId="687" priority="693" operator="containsText" text="%">
      <formula>NOT(ISERROR(SEARCH("%",J36)))</formula>
    </cfRule>
  </conditionalFormatting>
  <conditionalFormatting sqref="J36">
    <cfRule type="containsText" dxfId="686" priority="692" operator="containsText" text="%">
      <formula>NOT(ISERROR(SEARCH("%",J36)))</formula>
    </cfRule>
  </conditionalFormatting>
  <conditionalFormatting sqref="J36">
    <cfRule type="containsText" dxfId="685" priority="691" operator="containsText" text="%">
      <formula>NOT(ISERROR(SEARCH("%",J36)))</formula>
    </cfRule>
  </conditionalFormatting>
  <conditionalFormatting sqref="J36">
    <cfRule type="containsText" dxfId="684" priority="690" operator="containsText" text="%">
      <formula>NOT(ISERROR(SEARCH("%",J36)))</formula>
    </cfRule>
  </conditionalFormatting>
  <conditionalFormatting sqref="J36">
    <cfRule type="containsText" dxfId="683" priority="689" operator="containsText" text="%">
      <formula>NOT(ISERROR(SEARCH("%",J36)))</formula>
    </cfRule>
  </conditionalFormatting>
  <conditionalFormatting sqref="J36">
    <cfRule type="containsText" dxfId="682" priority="688" operator="containsText" text="%">
      <formula>NOT(ISERROR(SEARCH("%",J36)))</formula>
    </cfRule>
  </conditionalFormatting>
  <conditionalFormatting sqref="J36">
    <cfRule type="containsText" dxfId="681" priority="687" operator="containsText" text="%">
      <formula>NOT(ISERROR(SEARCH("%",J36)))</formula>
    </cfRule>
  </conditionalFormatting>
  <conditionalFormatting sqref="J36">
    <cfRule type="containsText" dxfId="680" priority="686" operator="containsText" text="%">
      <formula>NOT(ISERROR(SEARCH("%",J36)))</formula>
    </cfRule>
  </conditionalFormatting>
  <conditionalFormatting sqref="J36">
    <cfRule type="containsText" dxfId="679" priority="685" operator="containsText" text="%">
      <formula>NOT(ISERROR(SEARCH("%",J36)))</formula>
    </cfRule>
  </conditionalFormatting>
  <conditionalFormatting sqref="J36">
    <cfRule type="containsText" dxfId="678" priority="684" operator="containsText" text="%">
      <formula>NOT(ISERROR(SEARCH("%",J36)))</formula>
    </cfRule>
  </conditionalFormatting>
  <conditionalFormatting sqref="J36">
    <cfRule type="containsText" dxfId="677" priority="683" operator="containsText" text="%">
      <formula>NOT(ISERROR(SEARCH("%",J36)))</formula>
    </cfRule>
  </conditionalFormatting>
  <conditionalFormatting sqref="J36">
    <cfRule type="containsText" dxfId="676" priority="682" operator="containsText" text="%">
      <formula>NOT(ISERROR(SEARCH("%",J36)))</formula>
    </cfRule>
  </conditionalFormatting>
  <conditionalFormatting sqref="J36">
    <cfRule type="containsText" dxfId="675" priority="681" operator="containsText" text="%">
      <formula>NOT(ISERROR(SEARCH("%",J36)))</formula>
    </cfRule>
  </conditionalFormatting>
  <conditionalFormatting sqref="J36">
    <cfRule type="containsText" dxfId="674" priority="680" operator="containsText" text="%">
      <formula>NOT(ISERROR(SEARCH("%",J36)))</formula>
    </cfRule>
  </conditionalFormatting>
  <conditionalFormatting sqref="J36">
    <cfRule type="containsText" dxfId="673" priority="679" operator="containsText" text="%">
      <formula>NOT(ISERROR(SEARCH("%",J36)))</formula>
    </cfRule>
  </conditionalFormatting>
  <conditionalFormatting sqref="J36">
    <cfRule type="containsText" dxfId="672" priority="678" operator="containsText" text="%">
      <formula>NOT(ISERROR(SEARCH("%",J36)))</formula>
    </cfRule>
  </conditionalFormatting>
  <conditionalFormatting sqref="J36">
    <cfRule type="containsText" dxfId="671" priority="677" operator="containsText" text="%">
      <formula>NOT(ISERROR(SEARCH("%",J36)))</formula>
    </cfRule>
  </conditionalFormatting>
  <conditionalFormatting sqref="J36">
    <cfRule type="containsText" dxfId="670" priority="676" operator="containsText" text="%">
      <formula>NOT(ISERROR(SEARCH("%",J36)))</formula>
    </cfRule>
  </conditionalFormatting>
  <conditionalFormatting sqref="J36">
    <cfRule type="containsText" dxfId="669" priority="675" operator="containsText" text="%">
      <formula>NOT(ISERROR(SEARCH("%",J36)))</formula>
    </cfRule>
  </conditionalFormatting>
  <conditionalFormatting sqref="J36">
    <cfRule type="containsText" dxfId="668" priority="674" operator="containsText" text="%">
      <formula>NOT(ISERROR(SEARCH("%",J36)))</formula>
    </cfRule>
  </conditionalFormatting>
  <conditionalFormatting sqref="J36">
    <cfRule type="containsText" dxfId="667" priority="673" operator="containsText" text="%">
      <formula>NOT(ISERROR(SEARCH("%",J36)))</formula>
    </cfRule>
  </conditionalFormatting>
  <conditionalFormatting sqref="J36">
    <cfRule type="containsText" dxfId="666" priority="672" operator="containsText" text="%">
      <formula>NOT(ISERROR(SEARCH("%",J36)))</formula>
    </cfRule>
  </conditionalFormatting>
  <conditionalFormatting sqref="J36">
    <cfRule type="containsText" dxfId="665" priority="671" operator="containsText" text="%">
      <formula>NOT(ISERROR(SEARCH("%",J36)))</formula>
    </cfRule>
  </conditionalFormatting>
  <conditionalFormatting sqref="J36">
    <cfRule type="containsText" dxfId="664" priority="670" operator="containsText" text="%">
      <formula>NOT(ISERROR(SEARCH("%",J36)))</formula>
    </cfRule>
  </conditionalFormatting>
  <conditionalFormatting sqref="J36">
    <cfRule type="containsText" dxfId="663" priority="669" operator="containsText" text="%">
      <formula>NOT(ISERROR(SEARCH("%",J36)))</formula>
    </cfRule>
  </conditionalFormatting>
  <conditionalFormatting sqref="J36">
    <cfRule type="containsText" dxfId="662" priority="668" operator="containsText" text="%">
      <formula>NOT(ISERROR(SEARCH("%",J36)))</formula>
    </cfRule>
  </conditionalFormatting>
  <conditionalFormatting sqref="K31:M32">
    <cfRule type="containsText" dxfId="661" priority="666" operator="containsText" text="%">
      <formula>NOT(ISERROR(SEARCH("%",K31)))</formula>
    </cfRule>
  </conditionalFormatting>
  <conditionalFormatting sqref="K31:M32">
    <cfRule type="containsText" dxfId="660" priority="667" operator="containsText" text="%">
      <formula>NOT(ISERROR(SEARCH("%",K31)))</formula>
    </cfRule>
  </conditionalFormatting>
  <conditionalFormatting sqref="K31:M32">
    <cfRule type="containsText" dxfId="659" priority="665" operator="containsText" text="%">
      <formula>NOT(ISERROR(SEARCH("%",K31)))</formula>
    </cfRule>
  </conditionalFormatting>
  <conditionalFormatting sqref="K31:M32">
    <cfRule type="containsText" dxfId="658" priority="664" operator="containsText" text="%">
      <formula>NOT(ISERROR(SEARCH("%",K31)))</formula>
    </cfRule>
  </conditionalFormatting>
  <conditionalFormatting sqref="K31:M32">
    <cfRule type="containsText" dxfId="657" priority="663" operator="containsText" text="%">
      <formula>NOT(ISERROR(SEARCH("%",K31)))</formula>
    </cfRule>
  </conditionalFormatting>
  <conditionalFormatting sqref="K31:M32">
    <cfRule type="containsText" dxfId="656" priority="662" operator="containsText" text="%">
      <formula>NOT(ISERROR(SEARCH("%",K31)))</formula>
    </cfRule>
  </conditionalFormatting>
  <conditionalFormatting sqref="K31:M32">
    <cfRule type="containsText" dxfId="655" priority="661" operator="containsText" text="%">
      <formula>NOT(ISERROR(SEARCH("%",K31)))</formula>
    </cfRule>
  </conditionalFormatting>
  <conditionalFormatting sqref="K32:M32">
    <cfRule type="containsText" dxfId="654" priority="660" operator="containsText" text="%">
      <formula>NOT(ISERROR(SEARCH("%",K32)))</formula>
    </cfRule>
  </conditionalFormatting>
  <conditionalFormatting sqref="K32:M32">
    <cfRule type="containsText" dxfId="653" priority="659" operator="containsText" text="%">
      <formula>NOT(ISERROR(SEARCH("%",K32)))</formula>
    </cfRule>
  </conditionalFormatting>
  <conditionalFormatting sqref="K32:M32">
    <cfRule type="containsText" dxfId="652" priority="658" operator="containsText" text="%">
      <formula>NOT(ISERROR(SEARCH("%",K32)))</formula>
    </cfRule>
  </conditionalFormatting>
  <conditionalFormatting sqref="K31:M32">
    <cfRule type="containsText" dxfId="651" priority="657" operator="containsText" text="%">
      <formula>NOT(ISERROR(SEARCH("%",K31)))</formula>
    </cfRule>
  </conditionalFormatting>
  <conditionalFormatting sqref="K31:M32">
    <cfRule type="containsText" dxfId="650" priority="656" operator="containsText" text="%">
      <formula>NOT(ISERROR(SEARCH("%",K31)))</formula>
    </cfRule>
  </conditionalFormatting>
  <conditionalFormatting sqref="K31:M32">
    <cfRule type="containsText" dxfId="649" priority="655" operator="containsText" text="%">
      <formula>NOT(ISERROR(SEARCH("%",K31)))</formula>
    </cfRule>
  </conditionalFormatting>
  <conditionalFormatting sqref="K31:M32">
    <cfRule type="containsText" dxfId="648" priority="654" operator="containsText" text="%">
      <formula>NOT(ISERROR(SEARCH("%",K31)))</formula>
    </cfRule>
  </conditionalFormatting>
  <conditionalFormatting sqref="K31:M32">
    <cfRule type="containsText" dxfId="647" priority="653" operator="containsText" text="%">
      <formula>NOT(ISERROR(SEARCH("%",K31)))</formula>
    </cfRule>
  </conditionalFormatting>
  <conditionalFormatting sqref="K32:M32">
    <cfRule type="containsText" dxfId="646" priority="652" operator="containsText" text="%">
      <formula>NOT(ISERROR(SEARCH("%",K32)))</formula>
    </cfRule>
  </conditionalFormatting>
  <conditionalFormatting sqref="K32:M32">
    <cfRule type="containsText" dxfId="645" priority="651" operator="containsText" text="%">
      <formula>NOT(ISERROR(SEARCH("%",K32)))</formula>
    </cfRule>
  </conditionalFormatting>
  <conditionalFormatting sqref="K32:M32">
    <cfRule type="containsText" dxfId="644" priority="650" operator="containsText" text="%">
      <formula>NOT(ISERROR(SEARCH("%",K32)))</formula>
    </cfRule>
  </conditionalFormatting>
  <conditionalFormatting sqref="K32:M32">
    <cfRule type="containsText" dxfId="643" priority="649" operator="containsText" text="%">
      <formula>NOT(ISERROR(SEARCH("%",K32)))</formula>
    </cfRule>
  </conditionalFormatting>
  <conditionalFormatting sqref="K32:M32">
    <cfRule type="containsText" dxfId="642" priority="648" operator="containsText" text="%">
      <formula>NOT(ISERROR(SEARCH("%",K32)))</formula>
    </cfRule>
  </conditionalFormatting>
  <conditionalFormatting sqref="K32:M32">
    <cfRule type="containsText" dxfId="641" priority="647" operator="containsText" text="%">
      <formula>NOT(ISERROR(SEARCH("%",K32)))</formula>
    </cfRule>
  </conditionalFormatting>
  <conditionalFormatting sqref="K31:M32">
    <cfRule type="containsText" dxfId="640" priority="646" operator="containsText" text="%">
      <formula>NOT(ISERROR(SEARCH("%",K31)))</formula>
    </cfRule>
  </conditionalFormatting>
  <conditionalFormatting sqref="K31:M32">
    <cfRule type="containsText" dxfId="639" priority="645" operator="containsText" text="%">
      <formula>NOT(ISERROR(SEARCH("%",K31)))</formula>
    </cfRule>
  </conditionalFormatting>
  <conditionalFormatting sqref="K31:M32">
    <cfRule type="containsText" dxfId="638" priority="644" operator="containsText" text="%">
      <formula>NOT(ISERROR(SEARCH("%",K31)))</formula>
    </cfRule>
  </conditionalFormatting>
  <conditionalFormatting sqref="K31:M32">
    <cfRule type="containsText" dxfId="637" priority="643" operator="containsText" text="%">
      <formula>NOT(ISERROR(SEARCH("%",K31)))</formula>
    </cfRule>
  </conditionalFormatting>
  <conditionalFormatting sqref="K31:M32">
    <cfRule type="containsText" dxfId="636" priority="642" operator="containsText" text="%">
      <formula>NOT(ISERROR(SEARCH("%",K31)))</formula>
    </cfRule>
  </conditionalFormatting>
  <conditionalFormatting sqref="K31:M32">
    <cfRule type="containsText" dxfId="635" priority="641" operator="containsText" text="%">
      <formula>NOT(ISERROR(SEARCH("%",K31)))</formula>
    </cfRule>
  </conditionalFormatting>
  <conditionalFormatting sqref="K27">
    <cfRule type="containsText" dxfId="634" priority="632" operator="containsText" text="%">
      <formula>NOT(ISERROR(SEARCH("%",K27)))</formula>
    </cfRule>
  </conditionalFormatting>
  <conditionalFormatting sqref="K27">
    <cfRule type="containsText" dxfId="633" priority="631" operator="containsText" text="%">
      <formula>NOT(ISERROR(SEARCH("%",K27)))</formula>
    </cfRule>
  </conditionalFormatting>
  <conditionalFormatting sqref="K27">
    <cfRule type="containsText" dxfId="632" priority="640" operator="containsText" text="%">
      <formula>NOT(ISERROR(SEARCH("%",K27)))</formula>
    </cfRule>
  </conditionalFormatting>
  <conditionalFormatting sqref="K27">
    <cfRule type="containsText" dxfId="631" priority="639" operator="containsText" text="%">
      <formula>NOT(ISERROR(SEARCH("%",K27)))</formula>
    </cfRule>
  </conditionalFormatting>
  <conditionalFormatting sqref="K27">
    <cfRule type="containsText" dxfId="630" priority="638" operator="containsText" text="%">
      <formula>NOT(ISERROR(SEARCH("%",K27)))</formula>
    </cfRule>
  </conditionalFormatting>
  <conditionalFormatting sqref="K27">
    <cfRule type="containsText" dxfId="629" priority="637" operator="containsText" text="%">
      <formula>NOT(ISERROR(SEARCH("%",K27)))</formula>
    </cfRule>
  </conditionalFormatting>
  <conditionalFormatting sqref="K27">
    <cfRule type="containsText" dxfId="628" priority="636" operator="containsText" text="%">
      <formula>NOT(ISERROR(SEARCH("%",K27)))</formula>
    </cfRule>
  </conditionalFormatting>
  <conditionalFormatting sqref="K27">
    <cfRule type="containsText" dxfId="627" priority="635" operator="containsText" text="%">
      <formula>NOT(ISERROR(SEARCH("%",K27)))</formula>
    </cfRule>
  </conditionalFormatting>
  <conditionalFormatting sqref="K27">
    <cfRule type="containsText" dxfId="626" priority="634" operator="containsText" text="%">
      <formula>NOT(ISERROR(SEARCH("%",K27)))</formula>
    </cfRule>
  </conditionalFormatting>
  <conditionalFormatting sqref="K27">
    <cfRule type="containsText" dxfId="625" priority="633" operator="containsText" text="%">
      <formula>NOT(ISERROR(SEARCH("%",K27)))</formula>
    </cfRule>
  </conditionalFormatting>
  <conditionalFormatting sqref="K27">
    <cfRule type="containsText" dxfId="624" priority="630" operator="containsText" text="%">
      <formula>NOT(ISERROR(SEARCH("%",K27)))</formula>
    </cfRule>
  </conditionalFormatting>
  <conditionalFormatting sqref="K27">
    <cfRule type="containsText" dxfId="623" priority="629" operator="containsText" text="%">
      <formula>NOT(ISERROR(SEARCH("%",K27)))</formula>
    </cfRule>
  </conditionalFormatting>
  <conditionalFormatting sqref="K27">
    <cfRule type="containsText" dxfId="622" priority="628" operator="containsText" text="%">
      <formula>NOT(ISERROR(SEARCH("%",K27)))</formula>
    </cfRule>
  </conditionalFormatting>
  <conditionalFormatting sqref="K27">
    <cfRule type="containsText" dxfId="621" priority="627" operator="containsText" text="%">
      <formula>NOT(ISERROR(SEARCH("%",K27)))</formula>
    </cfRule>
  </conditionalFormatting>
  <conditionalFormatting sqref="K27">
    <cfRule type="containsText" dxfId="620" priority="626" operator="containsText" text="%">
      <formula>NOT(ISERROR(SEARCH("%",K27)))</formula>
    </cfRule>
  </conditionalFormatting>
  <conditionalFormatting sqref="K27">
    <cfRule type="containsText" dxfId="619" priority="625" operator="containsText" text="%">
      <formula>NOT(ISERROR(SEARCH("%",K27)))</formula>
    </cfRule>
  </conditionalFormatting>
  <conditionalFormatting sqref="K27">
    <cfRule type="containsText" dxfId="618" priority="624" operator="containsText" text="%">
      <formula>NOT(ISERROR(SEARCH("%",K27)))</formula>
    </cfRule>
  </conditionalFormatting>
  <conditionalFormatting sqref="K27">
    <cfRule type="containsText" dxfId="617" priority="623" operator="containsText" text="%">
      <formula>NOT(ISERROR(SEARCH("%",K27)))</formula>
    </cfRule>
  </conditionalFormatting>
  <conditionalFormatting sqref="K27">
    <cfRule type="containsText" dxfId="616" priority="622" operator="containsText" text="%">
      <formula>NOT(ISERROR(SEARCH("%",K27)))</formula>
    </cfRule>
  </conditionalFormatting>
  <conditionalFormatting sqref="K27">
    <cfRule type="containsText" dxfId="615" priority="621" operator="containsText" text="%">
      <formula>NOT(ISERROR(SEARCH("%",K27)))</formula>
    </cfRule>
  </conditionalFormatting>
  <conditionalFormatting sqref="K27">
    <cfRule type="containsText" dxfId="614" priority="620" operator="containsText" text="%">
      <formula>NOT(ISERROR(SEARCH("%",K27)))</formula>
    </cfRule>
  </conditionalFormatting>
  <conditionalFormatting sqref="K27">
    <cfRule type="containsText" dxfId="613" priority="619" operator="containsText" text="%">
      <formula>NOT(ISERROR(SEARCH("%",K27)))</formula>
    </cfRule>
  </conditionalFormatting>
  <conditionalFormatting sqref="K27">
    <cfRule type="containsText" dxfId="612" priority="618" operator="containsText" text="%">
      <formula>NOT(ISERROR(SEARCH("%",K27)))</formula>
    </cfRule>
  </conditionalFormatting>
  <conditionalFormatting sqref="K27">
    <cfRule type="containsText" dxfId="611" priority="617" operator="containsText" text="%">
      <formula>NOT(ISERROR(SEARCH("%",K27)))</formula>
    </cfRule>
  </conditionalFormatting>
  <conditionalFormatting sqref="K27">
    <cfRule type="containsText" dxfId="610" priority="616" operator="containsText" text="%">
      <formula>NOT(ISERROR(SEARCH("%",K27)))</formula>
    </cfRule>
  </conditionalFormatting>
  <conditionalFormatting sqref="K27">
    <cfRule type="containsText" dxfId="609" priority="615" operator="containsText" text="%">
      <formula>NOT(ISERROR(SEARCH("%",K27)))</formula>
    </cfRule>
  </conditionalFormatting>
  <conditionalFormatting sqref="K27">
    <cfRule type="containsText" dxfId="608" priority="614" operator="containsText" text="%">
      <formula>NOT(ISERROR(SEARCH("%",K27)))</formula>
    </cfRule>
  </conditionalFormatting>
  <conditionalFormatting sqref="K27">
    <cfRule type="containsText" dxfId="607" priority="613" operator="containsText" text="%">
      <formula>NOT(ISERROR(SEARCH("%",K27)))</formula>
    </cfRule>
  </conditionalFormatting>
  <conditionalFormatting sqref="K27">
    <cfRule type="containsText" dxfId="606" priority="612" operator="containsText" text="%">
      <formula>NOT(ISERROR(SEARCH("%",K27)))</formula>
    </cfRule>
  </conditionalFormatting>
  <conditionalFormatting sqref="K27">
    <cfRule type="containsText" dxfId="605" priority="611" operator="containsText" text="%">
      <formula>NOT(ISERROR(SEARCH("%",K27)))</formula>
    </cfRule>
  </conditionalFormatting>
  <conditionalFormatting sqref="K27">
    <cfRule type="containsText" dxfId="604" priority="610" operator="containsText" text="%">
      <formula>NOT(ISERROR(SEARCH("%",K27)))</formula>
    </cfRule>
  </conditionalFormatting>
  <conditionalFormatting sqref="K27">
    <cfRule type="containsText" dxfId="603" priority="609" operator="containsText" text="%">
      <formula>NOT(ISERROR(SEARCH("%",K27)))</formula>
    </cfRule>
  </conditionalFormatting>
  <conditionalFormatting sqref="K27">
    <cfRule type="containsText" dxfId="602" priority="608" operator="containsText" text="%">
      <formula>NOT(ISERROR(SEARCH("%",K27)))</formula>
    </cfRule>
  </conditionalFormatting>
  <conditionalFormatting sqref="K27">
    <cfRule type="containsText" dxfId="601" priority="607" operator="containsText" text="%">
      <formula>NOT(ISERROR(SEARCH("%",K27)))</formula>
    </cfRule>
  </conditionalFormatting>
  <conditionalFormatting sqref="K27">
    <cfRule type="containsText" dxfId="600" priority="606" operator="containsText" text="%">
      <formula>NOT(ISERROR(SEARCH("%",K27)))</formula>
    </cfRule>
  </conditionalFormatting>
  <conditionalFormatting sqref="K27">
    <cfRule type="containsText" dxfId="599" priority="605" operator="containsText" text="%">
      <formula>NOT(ISERROR(SEARCH("%",K27)))</formula>
    </cfRule>
  </conditionalFormatting>
  <conditionalFormatting sqref="K27">
    <cfRule type="containsText" dxfId="598" priority="589" operator="containsText" text="%">
      <formula>NOT(ISERROR(SEARCH("%",K27)))</formula>
    </cfRule>
  </conditionalFormatting>
  <conditionalFormatting sqref="K27">
    <cfRule type="containsText" dxfId="597" priority="588" operator="containsText" text="%">
      <formula>NOT(ISERROR(SEARCH("%",K27)))</formula>
    </cfRule>
  </conditionalFormatting>
  <conditionalFormatting sqref="K27">
    <cfRule type="containsText" dxfId="596" priority="584" operator="containsText" text="%">
      <formula>NOT(ISERROR(SEARCH("%",K27)))</formula>
    </cfRule>
  </conditionalFormatting>
  <conditionalFormatting sqref="K27">
    <cfRule type="containsText" dxfId="595" priority="604" operator="containsText" text="%">
      <formula>NOT(ISERROR(SEARCH("%",K27)))</formula>
    </cfRule>
  </conditionalFormatting>
  <conditionalFormatting sqref="K27">
    <cfRule type="containsText" dxfId="594" priority="603" operator="containsText" text="%">
      <formula>NOT(ISERROR(SEARCH("%",K27)))</formula>
    </cfRule>
  </conditionalFormatting>
  <conditionalFormatting sqref="K27">
    <cfRule type="containsText" dxfId="593" priority="602" operator="containsText" text="%">
      <formula>NOT(ISERROR(SEARCH("%",K27)))</formula>
    </cfRule>
  </conditionalFormatting>
  <conditionalFormatting sqref="K27">
    <cfRule type="containsText" dxfId="592" priority="582" operator="containsText" text="%">
      <formula>NOT(ISERROR(SEARCH("%",K27)))</formula>
    </cfRule>
  </conditionalFormatting>
  <conditionalFormatting sqref="K27">
    <cfRule type="containsText" dxfId="591" priority="601" operator="containsText" text="%">
      <formula>NOT(ISERROR(SEARCH("%",K27)))</formula>
    </cfRule>
  </conditionalFormatting>
  <conditionalFormatting sqref="K27">
    <cfRule type="containsText" dxfId="590" priority="600" operator="containsText" text="%">
      <formula>NOT(ISERROR(SEARCH("%",K27)))</formula>
    </cfRule>
  </conditionalFormatting>
  <conditionalFormatting sqref="K27">
    <cfRule type="containsText" dxfId="589" priority="599" operator="containsText" text="%">
      <formula>NOT(ISERROR(SEARCH("%",K27)))</formula>
    </cfRule>
  </conditionalFormatting>
  <conditionalFormatting sqref="K27">
    <cfRule type="containsText" dxfId="588" priority="598" operator="containsText" text="%">
      <formula>NOT(ISERROR(SEARCH("%",K27)))</formula>
    </cfRule>
  </conditionalFormatting>
  <conditionalFormatting sqref="K27">
    <cfRule type="containsText" dxfId="587" priority="597" operator="containsText" text="%">
      <formula>NOT(ISERROR(SEARCH("%",K27)))</formula>
    </cfRule>
  </conditionalFormatting>
  <conditionalFormatting sqref="K27">
    <cfRule type="containsText" dxfId="586" priority="596" operator="containsText" text="%">
      <formula>NOT(ISERROR(SEARCH("%",K27)))</formula>
    </cfRule>
  </conditionalFormatting>
  <conditionalFormatting sqref="K27">
    <cfRule type="containsText" dxfId="585" priority="595" operator="containsText" text="%">
      <formula>NOT(ISERROR(SEARCH("%",K27)))</formula>
    </cfRule>
  </conditionalFormatting>
  <conditionalFormatting sqref="K27">
    <cfRule type="containsText" dxfId="584" priority="594" operator="containsText" text="%">
      <formula>NOT(ISERROR(SEARCH("%",K27)))</formula>
    </cfRule>
  </conditionalFormatting>
  <conditionalFormatting sqref="K27">
    <cfRule type="containsText" dxfId="583" priority="593" operator="containsText" text="%">
      <formula>NOT(ISERROR(SEARCH("%",K27)))</formula>
    </cfRule>
  </conditionalFormatting>
  <conditionalFormatting sqref="K27">
    <cfRule type="containsText" dxfId="582" priority="592" operator="containsText" text="%">
      <formula>NOT(ISERROR(SEARCH("%",K27)))</formula>
    </cfRule>
  </conditionalFormatting>
  <conditionalFormatting sqref="K27">
    <cfRule type="containsText" dxfId="581" priority="591" operator="containsText" text="%">
      <formula>NOT(ISERROR(SEARCH("%",K27)))</formula>
    </cfRule>
  </conditionalFormatting>
  <conditionalFormatting sqref="K27">
    <cfRule type="containsText" dxfId="580" priority="590" operator="containsText" text="%">
      <formula>NOT(ISERROR(SEARCH("%",K27)))</formula>
    </cfRule>
  </conditionalFormatting>
  <conditionalFormatting sqref="K27">
    <cfRule type="containsText" dxfId="579" priority="587" operator="containsText" text="%">
      <formula>NOT(ISERROR(SEARCH("%",K27)))</formula>
    </cfRule>
  </conditionalFormatting>
  <conditionalFormatting sqref="K27">
    <cfRule type="containsText" dxfId="578" priority="586" operator="containsText" text="%">
      <formula>NOT(ISERROR(SEARCH("%",K27)))</formula>
    </cfRule>
  </conditionalFormatting>
  <conditionalFormatting sqref="K27">
    <cfRule type="containsText" dxfId="577" priority="585" operator="containsText" text="%">
      <formula>NOT(ISERROR(SEARCH("%",K27)))</formula>
    </cfRule>
  </conditionalFormatting>
  <conditionalFormatting sqref="K27">
    <cfRule type="containsText" dxfId="576" priority="583" operator="containsText" text="%">
      <formula>NOT(ISERROR(SEARCH("%",K27)))</formula>
    </cfRule>
  </conditionalFormatting>
  <conditionalFormatting sqref="K27">
    <cfRule type="containsText" dxfId="575" priority="581" operator="containsText" text="%">
      <formula>NOT(ISERROR(SEARCH("%",K27)))</formula>
    </cfRule>
  </conditionalFormatting>
  <conditionalFormatting sqref="K27">
    <cfRule type="containsText" dxfId="574" priority="580" operator="containsText" text="%">
      <formula>NOT(ISERROR(SEARCH("%",K27)))</formula>
    </cfRule>
  </conditionalFormatting>
  <conditionalFormatting sqref="K27">
    <cfRule type="containsText" dxfId="573" priority="579" operator="containsText" text="%">
      <formula>NOT(ISERROR(SEARCH("%",K27)))</formula>
    </cfRule>
  </conditionalFormatting>
  <conditionalFormatting sqref="K27">
    <cfRule type="containsText" dxfId="572" priority="578" operator="containsText" text="%">
      <formula>NOT(ISERROR(SEARCH("%",K27)))</formula>
    </cfRule>
  </conditionalFormatting>
  <conditionalFormatting sqref="K27">
    <cfRule type="containsText" dxfId="571" priority="577" operator="containsText" text="%">
      <formula>NOT(ISERROR(SEARCH("%",K27)))</formula>
    </cfRule>
  </conditionalFormatting>
  <conditionalFormatting sqref="K27">
    <cfRule type="containsText" dxfId="570" priority="576" operator="containsText" text="%">
      <formula>NOT(ISERROR(SEARCH("%",K27)))</formula>
    </cfRule>
  </conditionalFormatting>
  <conditionalFormatting sqref="K27">
    <cfRule type="containsText" dxfId="569" priority="575" operator="containsText" text="%">
      <formula>NOT(ISERROR(SEARCH("%",K27)))</formula>
    </cfRule>
  </conditionalFormatting>
  <conditionalFormatting sqref="K27">
    <cfRule type="containsText" dxfId="568" priority="574" operator="containsText" text="%">
      <formula>NOT(ISERROR(SEARCH("%",K27)))</formula>
    </cfRule>
  </conditionalFormatting>
  <conditionalFormatting sqref="K27">
    <cfRule type="containsText" dxfId="567" priority="573" operator="containsText" text="%">
      <formula>NOT(ISERROR(SEARCH("%",K27)))</formula>
    </cfRule>
  </conditionalFormatting>
  <conditionalFormatting sqref="K27">
    <cfRule type="containsText" dxfId="566" priority="572" operator="containsText" text="%">
      <formula>NOT(ISERROR(SEARCH("%",K27)))</formula>
    </cfRule>
  </conditionalFormatting>
  <conditionalFormatting sqref="K27">
    <cfRule type="containsText" dxfId="565" priority="571" operator="containsText" text="%">
      <formula>NOT(ISERROR(SEARCH("%",K27)))</formula>
    </cfRule>
  </conditionalFormatting>
  <conditionalFormatting sqref="K27">
    <cfRule type="containsText" dxfId="564" priority="570" operator="containsText" text="%">
      <formula>NOT(ISERROR(SEARCH("%",K27)))</formula>
    </cfRule>
  </conditionalFormatting>
  <conditionalFormatting sqref="K27">
    <cfRule type="containsText" dxfId="563" priority="569" operator="containsText" text="%">
      <formula>NOT(ISERROR(SEARCH("%",K27)))</formula>
    </cfRule>
  </conditionalFormatting>
  <conditionalFormatting sqref="K27">
    <cfRule type="containsText" dxfId="562" priority="568" operator="containsText" text="%">
      <formula>NOT(ISERROR(SEARCH("%",K27)))</formula>
    </cfRule>
  </conditionalFormatting>
  <conditionalFormatting sqref="K27">
    <cfRule type="containsText" dxfId="561" priority="567" operator="containsText" text="%">
      <formula>NOT(ISERROR(SEARCH("%",K27)))</formula>
    </cfRule>
  </conditionalFormatting>
  <conditionalFormatting sqref="K27">
    <cfRule type="containsText" dxfId="560" priority="566" operator="containsText" text="%">
      <formula>NOT(ISERROR(SEARCH("%",K27)))</formula>
    </cfRule>
  </conditionalFormatting>
  <conditionalFormatting sqref="K27">
    <cfRule type="containsText" dxfId="559" priority="565" operator="containsText" text="%">
      <formula>NOT(ISERROR(SEARCH("%",K27)))</formula>
    </cfRule>
  </conditionalFormatting>
  <conditionalFormatting sqref="K27">
    <cfRule type="containsText" dxfId="558" priority="564" operator="containsText" text="%">
      <formula>NOT(ISERROR(SEARCH("%",K27)))</formula>
    </cfRule>
  </conditionalFormatting>
  <conditionalFormatting sqref="K27">
    <cfRule type="containsText" dxfId="557" priority="563" operator="containsText" text="%">
      <formula>NOT(ISERROR(SEARCH("%",K27)))</formula>
    </cfRule>
  </conditionalFormatting>
  <conditionalFormatting sqref="K27">
    <cfRule type="containsText" dxfId="556" priority="562" operator="containsText" text="%">
      <formula>NOT(ISERROR(SEARCH("%",K27)))</formula>
    </cfRule>
  </conditionalFormatting>
  <conditionalFormatting sqref="K27">
    <cfRule type="containsText" dxfId="555" priority="561" operator="containsText" text="%">
      <formula>NOT(ISERROR(SEARCH("%",K27)))</formula>
    </cfRule>
  </conditionalFormatting>
  <conditionalFormatting sqref="K27">
    <cfRule type="containsText" dxfId="554" priority="560" operator="containsText" text="%">
      <formula>NOT(ISERROR(SEARCH("%",K27)))</formula>
    </cfRule>
  </conditionalFormatting>
  <conditionalFormatting sqref="K27">
    <cfRule type="containsText" dxfId="553" priority="559" operator="containsText" text="%">
      <formula>NOT(ISERROR(SEARCH("%",K27)))</formula>
    </cfRule>
  </conditionalFormatting>
  <conditionalFormatting sqref="K27">
    <cfRule type="containsText" dxfId="552" priority="558" operator="containsText" text="%">
      <formula>NOT(ISERROR(SEARCH("%",K27)))</formula>
    </cfRule>
  </conditionalFormatting>
  <conditionalFormatting sqref="K27">
    <cfRule type="containsText" dxfId="551" priority="557" operator="containsText" text="%">
      <formula>NOT(ISERROR(SEARCH("%",K27)))</formula>
    </cfRule>
  </conditionalFormatting>
  <conditionalFormatting sqref="K27">
    <cfRule type="containsText" dxfId="550" priority="556" operator="containsText" text="%">
      <formula>NOT(ISERROR(SEARCH("%",K27)))</formula>
    </cfRule>
  </conditionalFormatting>
  <conditionalFormatting sqref="M29">
    <cfRule type="containsText" dxfId="549" priority="540" operator="containsText" text="%">
      <formula>NOT(ISERROR(SEARCH("%",M29)))</formula>
    </cfRule>
  </conditionalFormatting>
  <conditionalFormatting sqref="M29">
    <cfRule type="containsText" dxfId="548" priority="539" operator="containsText" text="%">
      <formula>NOT(ISERROR(SEARCH("%",M29)))</formula>
    </cfRule>
  </conditionalFormatting>
  <conditionalFormatting sqref="M29">
    <cfRule type="containsText" dxfId="547" priority="535" operator="containsText" text="%">
      <formula>NOT(ISERROR(SEARCH("%",M29)))</formula>
    </cfRule>
  </conditionalFormatting>
  <conditionalFormatting sqref="M29">
    <cfRule type="containsText" dxfId="546" priority="555" operator="containsText" text="%">
      <formula>NOT(ISERROR(SEARCH("%",M29)))</formula>
    </cfRule>
  </conditionalFormatting>
  <conditionalFormatting sqref="M29">
    <cfRule type="containsText" dxfId="545" priority="554" operator="containsText" text="%">
      <formula>NOT(ISERROR(SEARCH("%",M29)))</formula>
    </cfRule>
  </conditionalFormatting>
  <conditionalFormatting sqref="M29">
    <cfRule type="containsText" dxfId="544" priority="553" operator="containsText" text="%">
      <formula>NOT(ISERROR(SEARCH("%",M29)))</formula>
    </cfRule>
  </conditionalFormatting>
  <conditionalFormatting sqref="M29">
    <cfRule type="containsText" dxfId="543" priority="533" operator="containsText" text="%">
      <formula>NOT(ISERROR(SEARCH("%",M29)))</formula>
    </cfRule>
  </conditionalFormatting>
  <conditionalFormatting sqref="M29">
    <cfRule type="containsText" dxfId="542" priority="552" operator="containsText" text="%">
      <formula>NOT(ISERROR(SEARCH("%",M29)))</formula>
    </cfRule>
  </conditionalFormatting>
  <conditionalFormatting sqref="M29">
    <cfRule type="containsText" dxfId="541" priority="551" operator="containsText" text="%">
      <formula>NOT(ISERROR(SEARCH("%",M29)))</formula>
    </cfRule>
  </conditionalFormatting>
  <conditionalFormatting sqref="M29">
    <cfRule type="containsText" dxfId="540" priority="550" operator="containsText" text="%">
      <formula>NOT(ISERROR(SEARCH("%",M29)))</formula>
    </cfRule>
  </conditionalFormatting>
  <conditionalFormatting sqref="M29">
    <cfRule type="containsText" dxfId="539" priority="549" operator="containsText" text="%">
      <formula>NOT(ISERROR(SEARCH("%",M29)))</formula>
    </cfRule>
  </conditionalFormatting>
  <conditionalFormatting sqref="M29">
    <cfRule type="containsText" dxfId="538" priority="548" operator="containsText" text="%">
      <formula>NOT(ISERROR(SEARCH("%",M29)))</formula>
    </cfRule>
  </conditionalFormatting>
  <conditionalFormatting sqref="M29">
    <cfRule type="containsText" dxfId="537" priority="547" operator="containsText" text="%">
      <formula>NOT(ISERROR(SEARCH("%",M29)))</formula>
    </cfRule>
  </conditionalFormatting>
  <conditionalFormatting sqref="M29">
    <cfRule type="containsText" dxfId="536" priority="546" operator="containsText" text="%">
      <formula>NOT(ISERROR(SEARCH("%",M29)))</formula>
    </cfRule>
  </conditionalFormatting>
  <conditionalFormatting sqref="M29">
    <cfRule type="containsText" dxfId="535" priority="545" operator="containsText" text="%">
      <formula>NOT(ISERROR(SEARCH("%",M29)))</formula>
    </cfRule>
  </conditionalFormatting>
  <conditionalFormatting sqref="M29">
    <cfRule type="containsText" dxfId="534" priority="544" operator="containsText" text="%">
      <formula>NOT(ISERROR(SEARCH("%",M29)))</formula>
    </cfRule>
  </conditionalFormatting>
  <conditionalFormatting sqref="M29">
    <cfRule type="containsText" dxfId="533" priority="543" operator="containsText" text="%">
      <formula>NOT(ISERROR(SEARCH("%",M29)))</formula>
    </cfRule>
  </conditionalFormatting>
  <conditionalFormatting sqref="M29">
    <cfRule type="containsText" dxfId="532" priority="542" operator="containsText" text="%">
      <formula>NOT(ISERROR(SEARCH("%",M29)))</formula>
    </cfRule>
  </conditionalFormatting>
  <conditionalFormatting sqref="M29">
    <cfRule type="containsText" dxfId="531" priority="541" operator="containsText" text="%">
      <formula>NOT(ISERROR(SEARCH("%",M29)))</formula>
    </cfRule>
  </conditionalFormatting>
  <conditionalFormatting sqref="M29">
    <cfRule type="containsText" dxfId="530" priority="538" operator="containsText" text="%">
      <formula>NOT(ISERROR(SEARCH("%",M29)))</formula>
    </cfRule>
  </conditionalFormatting>
  <conditionalFormatting sqref="M29">
    <cfRule type="containsText" dxfId="529" priority="537" operator="containsText" text="%">
      <formula>NOT(ISERROR(SEARCH("%",M29)))</formula>
    </cfRule>
  </conditionalFormatting>
  <conditionalFormatting sqref="M29">
    <cfRule type="containsText" dxfId="528" priority="536" operator="containsText" text="%">
      <formula>NOT(ISERROR(SEARCH("%",M29)))</formula>
    </cfRule>
  </conditionalFormatting>
  <conditionalFormatting sqref="M29">
    <cfRule type="containsText" dxfId="527" priority="534" operator="containsText" text="%">
      <formula>NOT(ISERROR(SEARCH("%",M29)))</formula>
    </cfRule>
  </conditionalFormatting>
  <conditionalFormatting sqref="M29">
    <cfRule type="containsText" dxfId="526" priority="532" operator="containsText" text="%">
      <formula>NOT(ISERROR(SEARCH("%",M29)))</formula>
    </cfRule>
  </conditionalFormatting>
  <conditionalFormatting sqref="M29">
    <cfRule type="containsText" dxfId="525" priority="531" operator="containsText" text="%">
      <formula>NOT(ISERROR(SEARCH("%",M29)))</formula>
    </cfRule>
  </conditionalFormatting>
  <conditionalFormatting sqref="M29">
    <cfRule type="containsText" dxfId="524" priority="530" operator="containsText" text="%">
      <formula>NOT(ISERROR(SEARCH("%",M29)))</formula>
    </cfRule>
  </conditionalFormatting>
  <conditionalFormatting sqref="M29">
    <cfRule type="containsText" dxfId="523" priority="529" operator="containsText" text="%">
      <formula>NOT(ISERROR(SEARCH("%",M29)))</formula>
    </cfRule>
  </conditionalFormatting>
  <conditionalFormatting sqref="M29">
    <cfRule type="containsText" dxfId="522" priority="528" operator="containsText" text="%">
      <formula>NOT(ISERROR(SEARCH("%",M29)))</formula>
    </cfRule>
  </conditionalFormatting>
  <conditionalFormatting sqref="M29">
    <cfRule type="containsText" dxfId="521" priority="527" operator="containsText" text="%">
      <formula>NOT(ISERROR(SEARCH("%",M29)))</formula>
    </cfRule>
  </conditionalFormatting>
  <conditionalFormatting sqref="M29">
    <cfRule type="containsText" dxfId="520" priority="526" operator="containsText" text="%">
      <formula>NOT(ISERROR(SEARCH("%",M29)))</formula>
    </cfRule>
  </conditionalFormatting>
  <conditionalFormatting sqref="M29">
    <cfRule type="containsText" dxfId="519" priority="525" operator="containsText" text="%">
      <formula>NOT(ISERROR(SEARCH("%",M29)))</formula>
    </cfRule>
  </conditionalFormatting>
  <conditionalFormatting sqref="M29">
    <cfRule type="containsText" dxfId="518" priority="524" operator="containsText" text="%">
      <formula>NOT(ISERROR(SEARCH("%",M29)))</formula>
    </cfRule>
  </conditionalFormatting>
  <conditionalFormatting sqref="M29">
    <cfRule type="containsText" dxfId="517" priority="523" operator="containsText" text="%">
      <formula>NOT(ISERROR(SEARCH("%",M29)))</formula>
    </cfRule>
  </conditionalFormatting>
  <conditionalFormatting sqref="M29">
    <cfRule type="containsText" dxfId="516" priority="522" operator="containsText" text="%">
      <formula>NOT(ISERROR(SEARCH("%",M29)))</formula>
    </cfRule>
  </conditionalFormatting>
  <conditionalFormatting sqref="M29">
    <cfRule type="containsText" dxfId="515" priority="521" operator="containsText" text="%">
      <formula>NOT(ISERROR(SEARCH("%",M29)))</formula>
    </cfRule>
  </conditionalFormatting>
  <conditionalFormatting sqref="M29">
    <cfRule type="containsText" dxfId="514" priority="520" operator="containsText" text="%">
      <formula>NOT(ISERROR(SEARCH("%",M29)))</formula>
    </cfRule>
  </conditionalFormatting>
  <conditionalFormatting sqref="M29">
    <cfRule type="containsText" dxfId="513" priority="519" operator="containsText" text="%">
      <formula>NOT(ISERROR(SEARCH("%",M29)))</formula>
    </cfRule>
  </conditionalFormatting>
  <conditionalFormatting sqref="M29">
    <cfRule type="containsText" dxfId="512" priority="518" operator="containsText" text="%">
      <formula>NOT(ISERROR(SEARCH("%",M29)))</formula>
    </cfRule>
  </conditionalFormatting>
  <conditionalFormatting sqref="M29">
    <cfRule type="containsText" dxfId="511" priority="517" operator="containsText" text="%">
      <formula>NOT(ISERROR(SEARCH("%",M29)))</formula>
    </cfRule>
  </conditionalFormatting>
  <conditionalFormatting sqref="M29">
    <cfRule type="containsText" dxfId="510" priority="516" operator="containsText" text="%">
      <formula>NOT(ISERROR(SEARCH("%",M29)))</formula>
    </cfRule>
  </conditionalFormatting>
  <conditionalFormatting sqref="M29">
    <cfRule type="containsText" dxfId="509" priority="515" operator="containsText" text="%">
      <formula>NOT(ISERROR(SEARCH("%",M29)))</formula>
    </cfRule>
  </conditionalFormatting>
  <conditionalFormatting sqref="M29">
    <cfRule type="containsText" dxfId="508" priority="514" operator="containsText" text="%">
      <formula>NOT(ISERROR(SEARCH("%",M29)))</formula>
    </cfRule>
  </conditionalFormatting>
  <conditionalFormatting sqref="M29">
    <cfRule type="containsText" dxfId="507" priority="513" operator="containsText" text="%">
      <formula>NOT(ISERROR(SEARCH("%",M29)))</formula>
    </cfRule>
  </conditionalFormatting>
  <conditionalFormatting sqref="M29">
    <cfRule type="containsText" dxfId="506" priority="512" operator="containsText" text="%">
      <formula>NOT(ISERROR(SEARCH("%",M29)))</formula>
    </cfRule>
  </conditionalFormatting>
  <conditionalFormatting sqref="M29">
    <cfRule type="containsText" dxfId="505" priority="511" operator="containsText" text="%">
      <formula>NOT(ISERROR(SEARCH("%",M29)))</formula>
    </cfRule>
  </conditionalFormatting>
  <conditionalFormatting sqref="M29">
    <cfRule type="containsText" dxfId="504" priority="510" operator="containsText" text="%">
      <formula>NOT(ISERROR(SEARCH("%",M29)))</formula>
    </cfRule>
  </conditionalFormatting>
  <conditionalFormatting sqref="M29">
    <cfRule type="containsText" dxfId="503" priority="509" operator="containsText" text="%">
      <formula>NOT(ISERROR(SEARCH("%",M29)))</formula>
    </cfRule>
  </conditionalFormatting>
  <conditionalFormatting sqref="M29">
    <cfRule type="containsText" dxfId="502" priority="508" operator="containsText" text="%">
      <formula>NOT(ISERROR(SEARCH("%",M29)))</formula>
    </cfRule>
  </conditionalFormatting>
  <conditionalFormatting sqref="M29">
    <cfRule type="containsText" dxfId="501" priority="507" operator="containsText" text="%">
      <formula>NOT(ISERROR(SEARCH("%",M29)))</formula>
    </cfRule>
  </conditionalFormatting>
  <conditionalFormatting sqref="M29">
    <cfRule type="containsText" dxfId="500" priority="491" operator="containsText" text="%">
      <formula>NOT(ISERROR(SEARCH("%",M29)))</formula>
    </cfRule>
  </conditionalFormatting>
  <conditionalFormatting sqref="M29">
    <cfRule type="containsText" dxfId="499" priority="490" operator="containsText" text="%">
      <formula>NOT(ISERROR(SEARCH("%",M29)))</formula>
    </cfRule>
  </conditionalFormatting>
  <conditionalFormatting sqref="M29">
    <cfRule type="containsText" dxfId="498" priority="486" operator="containsText" text="%">
      <formula>NOT(ISERROR(SEARCH("%",M29)))</formula>
    </cfRule>
  </conditionalFormatting>
  <conditionalFormatting sqref="M29">
    <cfRule type="containsText" dxfId="497" priority="506" operator="containsText" text="%">
      <formula>NOT(ISERROR(SEARCH("%",M29)))</formula>
    </cfRule>
  </conditionalFormatting>
  <conditionalFormatting sqref="M29">
    <cfRule type="containsText" dxfId="496" priority="505" operator="containsText" text="%">
      <formula>NOT(ISERROR(SEARCH("%",M29)))</formula>
    </cfRule>
  </conditionalFormatting>
  <conditionalFormatting sqref="M29">
    <cfRule type="containsText" dxfId="495" priority="504" operator="containsText" text="%">
      <formula>NOT(ISERROR(SEARCH("%",M29)))</formula>
    </cfRule>
  </conditionalFormatting>
  <conditionalFormatting sqref="M29">
    <cfRule type="containsText" dxfId="494" priority="484" operator="containsText" text="%">
      <formula>NOT(ISERROR(SEARCH("%",M29)))</formula>
    </cfRule>
  </conditionalFormatting>
  <conditionalFormatting sqref="M29">
    <cfRule type="containsText" dxfId="493" priority="503" operator="containsText" text="%">
      <formula>NOT(ISERROR(SEARCH("%",M29)))</formula>
    </cfRule>
  </conditionalFormatting>
  <conditionalFormatting sqref="M29">
    <cfRule type="containsText" dxfId="492" priority="502" operator="containsText" text="%">
      <formula>NOT(ISERROR(SEARCH("%",M29)))</formula>
    </cfRule>
  </conditionalFormatting>
  <conditionalFormatting sqref="M29">
    <cfRule type="containsText" dxfId="491" priority="501" operator="containsText" text="%">
      <formula>NOT(ISERROR(SEARCH("%",M29)))</formula>
    </cfRule>
  </conditionalFormatting>
  <conditionalFormatting sqref="M29">
    <cfRule type="containsText" dxfId="490" priority="500" operator="containsText" text="%">
      <formula>NOT(ISERROR(SEARCH("%",M29)))</formula>
    </cfRule>
  </conditionalFormatting>
  <conditionalFormatting sqref="M29">
    <cfRule type="containsText" dxfId="489" priority="499" operator="containsText" text="%">
      <formula>NOT(ISERROR(SEARCH("%",M29)))</formula>
    </cfRule>
  </conditionalFormatting>
  <conditionalFormatting sqref="M29">
    <cfRule type="containsText" dxfId="488" priority="498" operator="containsText" text="%">
      <formula>NOT(ISERROR(SEARCH("%",M29)))</formula>
    </cfRule>
  </conditionalFormatting>
  <conditionalFormatting sqref="M29">
    <cfRule type="containsText" dxfId="487" priority="497" operator="containsText" text="%">
      <formula>NOT(ISERROR(SEARCH("%",M29)))</formula>
    </cfRule>
  </conditionalFormatting>
  <conditionalFormatting sqref="M29">
    <cfRule type="containsText" dxfId="486" priority="496" operator="containsText" text="%">
      <formula>NOT(ISERROR(SEARCH("%",M29)))</formula>
    </cfRule>
  </conditionalFormatting>
  <conditionalFormatting sqref="M29">
    <cfRule type="containsText" dxfId="485" priority="495" operator="containsText" text="%">
      <formula>NOT(ISERROR(SEARCH("%",M29)))</formula>
    </cfRule>
  </conditionalFormatting>
  <conditionalFormatting sqref="M29">
    <cfRule type="containsText" dxfId="484" priority="494" operator="containsText" text="%">
      <formula>NOT(ISERROR(SEARCH("%",M29)))</formula>
    </cfRule>
  </conditionalFormatting>
  <conditionalFormatting sqref="M29">
    <cfRule type="containsText" dxfId="483" priority="493" operator="containsText" text="%">
      <formula>NOT(ISERROR(SEARCH("%",M29)))</formula>
    </cfRule>
  </conditionalFormatting>
  <conditionalFormatting sqref="M29">
    <cfRule type="containsText" dxfId="482" priority="492" operator="containsText" text="%">
      <formula>NOT(ISERROR(SEARCH("%",M29)))</formula>
    </cfRule>
  </conditionalFormatting>
  <conditionalFormatting sqref="M29">
    <cfRule type="containsText" dxfId="481" priority="489" operator="containsText" text="%">
      <formula>NOT(ISERROR(SEARCH("%",M29)))</formula>
    </cfRule>
  </conditionalFormatting>
  <conditionalFormatting sqref="M29">
    <cfRule type="containsText" dxfId="480" priority="488" operator="containsText" text="%">
      <formula>NOT(ISERROR(SEARCH("%",M29)))</formula>
    </cfRule>
  </conditionalFormatting>
  <conditionalFormatting sqref="M29">
    <cfRule type="containsText" dxfId="479" priority="487" operator="containsText" text="%">
      <formula>NOT(ISERROR(SEARCH("%",M29)))</formula>
    </cfRule>
  </conditionalFormatting>
  <conditionalFormatting sqref="M29">
    <cfRule type="containsText" dxfId="478" priority="485" operator="containsText" text="%">
      <formula>NOT(ISERROR(SEARCH("%",M29)))</formula>
    </cfRule>
  </conditionalFormatting>
  <conditionalFormatting sqref="M29">
    <cfRule type="containsText" dxfId="477" priority="483" operator="containsText" text="%">
      <formula>NOT(ISERROR(SEARCH("%",M29)))</formula>
    </cfRule>
  </conditionalFormatting>
  <conditionalFormatting sqref="M29">
    <cfRule type="containsText" dxfId="476" priority="482" operator="containsText" text="%">
      <formula>NOT(ISERROR(SEARCH("%",M29)))</formula>
    </cfRule>
  </conditionalFormatting>
  <conditionalFormatting sqref="M29">
    <cfRule type="containsText" dxfId="475" priority="481" operator="containsText" text="%">
      <formula>NOT(ISERROR(SEARCH("%",M29)))</formula>
    </cfRule>
  </conditionalFormatting>
  <conditionalFormatting sqref="M29">
    <cfRule type="containsText" dxfId="474" priority="480" operator="containsText" text="%">
      <formula>NOT(ISERROR(SEARCH("%",M29)))</formula>
    </cfRule>
  </conditionalFormatting>
  <conditionalFormatting sqref="M29">
    <cfRule type="containsText" dxfId="473" priority="479" operator="containsText" text="%">
      <formula>NOT(ISERROR(SEARCH("%",M29)))</formula>
    </cfRule>
  </conditionalFormatting>
  <conditionalFormatting sqref="M29">
    <cfRule type="containsText" dxfId="472" priority="478" operator="containsText" text="%">
      <formula>NOT(ISERROR(SEARCH("%",M29)))</formula>
    </cfRule>
  </conditionalFormatting>
  <conditionalFormatting sqref="M29">
    <cfRule type="containsText" dxfId="471" priority="477" operator="containsText" text="%">
      <formula>NOT(ISERROR(SEARCH("%",M29)))</formula>
    </cfRule>
  </conditionalFormatting>
  <conditionalFormatting sqref="M29">
    <cfRule type="containsText" dxfId="470" priority="476" operator="containsText" text="%">
      <formula>NOT(ISERROR(SEARCH("%",M29)))</formula>
    </cfRule>
  </conditionalFormatting>
  <conditionalFormatting sqref="M29">
    <cfRule type="containsText" dxfId="469" priority="475" operator="containsText" text="%">
      <formula>NOT(ISERROR(SEARCH("%",M29)))</formula>
    </cfRule>
  </conditionalFormatting>
  <conditionalFormatting sqref="M29">
    <cfRule type="containsText" dxfId="468" priority="474" operator="containsText" text="%">
      <formula>NOT(ISERROR(SEARCH("%",M29)))</formula>
    </cfRule>
  </conditionalFormatting>
  <conditionalFormatting sqref="M29">
    <cfRule type="containsText" dxfId="467" priority="473" operator="containsText" text="%">
      <formula>NOT(ISERROR(SEARCH("%",M29)))</formula>
    </cfRule>
  </conditionalFormatting>
  <conditionalFormatting sqref="M29">
    <cfRule type="containsText" dxfId="466" priority="472" operator="containsText" text="%">
      <formula>NOT(ISERROR(SEARCH("%",M29)))</formula>
    </cfRule>
  </conditionalFormatting>
  <conditionalFormatting sqref="M29">
    <cfRule type="containsText" dxfId="465" priority="471" operator="containsText" text="%">
      <formula>NOT(ISERROR(SEARCH("%",M29)))</formula>
    </cfRule>
  </conditionalFormatting>
  <conditionalFormatting sqref="M29">
    <cfRule type="containsText" dxfId="464" priority="470" operator="containsText" text="%">
      <formula>NOT(ISERROR(SEARCH("%",M29)))</formula>
    </cfRule>
  </conditionalFormatting>
  <conditionalFormatting sqref="M29">
    <cfRule type="containsText" dxfId="463" priority="469" operator="containsText" text="%">
      <formula>NOT(ISERROR(SEARCH("%",M29)))</formula>
    </cfRule>
  </conditionalFormatting>
  <conditionalFormatting sqref="M29">
    <cfRule type="containsText" dxfId="462" priority="468" operator="containsText" text="%">
      <formula>NOT(ISERROR(SEARCH("%",M29)))</formula>
    </cfRule>
  </conditionalFormatting>
  <conditionalFormatting sqref="M29">
    <cfRule type="containsText" dxfId="461" priority="467" operator="containsText" text="%">
      <formula>NOT(ISERROR(SEARCH("%",M29)))</formula>
    </cfRule>
  </conditionalFormatting>
  <conditionalFormatting sqref="M29">
    <cfRule type="containsText" dxfId="460" priority="466" operator="containsText" text="%">
      <formula>NOT(ISERROR(SEARCH("%",M29)))</formula>
    </cfRule>
  </conditionalFormatting>
  <conditionalFormatting sqref="M29">
    <cfRule type="containsText" dxfId="459" priority="465" operator="containsText" text="%">
      <formula>NOT(ISERROR(SEARCH("%",M29)))</formula>
    </cfRule>
  </conditionalFormatting>
  <conditionalFormatting sqref="M29">
    <cfRule type="containsText" dxfId="458" priority="464" operator="containsText" text="%">
      <formula>NOT(ISERROR(SEARCH("%",M29)))</formula>
    </cfRule>
  </conditionalFormatting>
  <conditionalFormatting sqref="M29">
    <cfRule type="containsText" dxfId="457" priority="463" operator="containsText" text="%">
      <formula>NOT(ISERROR(SEARCH("%",M29)))</formula>
    </cfRule>
  </conditionalFormatting>
  <conditionalFormatting sqref="M29">
    <cfRule type="containsText" dxfId="456" priority="462" operator="containsText" text="%">
      <formula>NOT(ISERROR(SEARCH("%",M29)))</formula>
    </cfRule>
  </conditionalFormatting>
  <conditionalFormatting sqref="M29">
    <cfRule type="containsText" dxfId="455" priority="461" operator="containsText" text="%">
      <formula>NOT(ISERROR(SEARCH("%",M29)))</formula>
    </cfRule>
  </conditionalFormatting>
  <conditionalFormatting sqref="M29">
    <cfRule type="containsText" dxfId="454" priority="460" operator="containsText" text="%">
      <formula>NOT(ISERROR(SEARCH("%",M29)))</formula>
    </cfRule>
  </conditionalFormatting>
  <conditionalFormatting sqref="M29">
    <cfRule type="containsText" dxfId="453" priority="459" operator="containsText" text="%">
      <formula>NOT(ISERROR(SEARCH("%",M29)))</formula>
    </cfRule>
  </conditionalFormatting>
  <conditionalFormatting sqref="M29">
    <cfRule type="containsText" dxfId="452" priority="458" operator="containsText" text="%">
      <formula>NOT(ISERROR(SEARCH("%",M29)))</formula>
    </cfRule>
  </conditionalFormatting>
  <conditionalFormatting sqref="M29">
    <cfRule type="containsText" dxfId="451" priority="442" operator="containsText" text="%">
      <formula>NOT(ISERROR(SEARCH("%",M29)))</formula>
    </cfRule>
  </conditionalFormatting>
  <conditionalFormatting sqref="M29">
    <cfRule type="containsText" dxfId="450" priority="441" operator="containsText" text="%">
      <formula>NOT(ISERROR(SEARCH("%",M29)))</formula>
    </cfRule>
  </conditionalFormatting>
  <conditionalFormatting sqref="M29">
    <cfRule type="containsText" dxfId="449" priority="437" operator="containsText" text="%">
      <formula>NOT(ISERROR(SEARCH("%",M29)))</formula>
    </cfRule>
  </conditionalFormatting>
  <conditionalFormatting sqref="M29">
    <cfRule type="containsText" dxfId="448" priority="457" operator="containsText" text="%">
      <formula>NOT(ISERROR(SEARCH("%",M29)))</formula>
    </cfRule>
  </conditionalFormatting>
  <conditionalFormatting sqref="M29">
    <cfRule type="containsText" dxfId="447" priority="456" operator="containsText" text="%">
      <formula>NOT(ISERROR(SEARCH("%",M29)))</formula>
    </cfRule>
  </conditionalFormatting>
  <conditionalFormatting sqref="M29">
    <cfRule type="containsText" dxfId="446" priority="455" operator="containsText" text="%">
      <formula>NOT(ISERROR(SEARCH("%",M29)))</formula>
    </cfRule>
  </conditionalFormatting>
  <conditionalFormatting sqref="M29">
    <cfRule type="containsText" dxfId="445" priority="435" operator="containsText" text="%">
      <formula>NOT(ISERROR(SEARCH("%",M29)))</formula>
    </cfRule>
  </conditionalFormatting>
  <conditionalFormatting sqref="M29">
    <cfRule type="containsText" dxfId="444" priority="454" operator="containsText" text="%">
      <formula>NOT(ISERROR(SEARCH("%",M29)))</formula>
    </cfRule>
  </conditionalFormatting>
  <conditionalFormatting sqref="M29">
    <cfRule type="containsText" dxfId="443" priority="453" operator="containsText" text="%">
      <formula>NOT(ISERROR(SEARCH("%",M29)))</formula>
    </cfRule>
  </conditionalFormatting>
  <conditionalFormatting sqref="M29">
    <cfRule type="containsText" dxfId="442" priority="452" operator="containsText" text="%">
      <formula>NOT(ISERROR(SEARCH("%",M29)))</formula>
    </cfRule>
  </conditionalFormatting>
  <conditionalFormatting sqref="M29">
    <cfRule type="containsText" dxfId="441" priority="451" operator="containsText" text="%">
      <formula>NOT(ISERROR(SEARCH("%",M29)))</formula>
    </cfRule>
  </conditionalFormatting>
  <conditionalFormatting sqref="M29">
    <cfRule type="containsText" dxfId="440" priority="450" operator="containsText" text="%">
      <formula>NOT(ISERROR(SEARCH("%",M29)))</formula>
    </cfRule>
  </conditionalFormatting>
  <conditionalFormatting sqref="M29">
    <cfRule type="containsText" dxfId="439" priority="449" operator="containsText" text="%">
      <formula>NOT(ISERROR(SEARCH("%",M29)))</formula>
    </cfRule>
  </conditionalFormatting>
  <conditionalFormatting sqref="M29">
    <cfRule type="containsText" dxfId="438" priority="448" operator="containsText" text="%">
      <formula>NOT(ISERROR(SEARCH("%",M29)))</formula>
    </cfRule>
  </conditionalFormatting>
  <conditionalFormatting sqref="M29">
    <cfRule type="containsText" dxfId="437" priority="447" operator="containsText" text="%">
      <formula>NOT(ISERROR(SEARCH("%",M29)))</formula>
    </cfRule>
  </conditionalFormatting>
  <conditionalFormatting sqref="M29">
    <cfRule type="containsText" dxfId="436" priority="446" operator="containsText" text="%">
      <formula>NOT(ISERROR(SEARCH("%",M29)))</formula>
    </cfRule>
  </conditionalFormatting>
  <conditionalFormatting sqref="M29">
    <cfRule type="containsText" dxfId="435" priority="445" operator="containsText" text="%">
      <formula>NOT(ISERROR(SEARCH("%",M29)))</formula>
    </cfRule>
  </conditionalFormatting>
  <conditionalFormatting sqref="M29">
    <cfRule type="containsText" dxfId="434" priority="444" operator="containsText" text="%">
      <formula>NOT(ISERROR(SEARCH("%",M29)))</formula>
    </cfRule>
  </conditionalFormatting>
  <conditionalFormatting sqref="M29">
    <cfRule type="containsText" dxfId="433" priority="443" operator="containsText" text="%">
      <formula>NOT(ISERROR(SEARCH("%",M29)))</formula>
    </cfRule>
  </conditionalFormatting>
  <conditionalFormatting sqref="M29">
    <cfRule type="containsText" dxfId="432" priority="440" operator="containsText" text="%">
      <formula>NOT(ISERROR(SEARCH("%",M29)))</formula>
    </cfRule>
  </conditionalFormatting>
  <conditionalFormatting sqref="M29">
    <cfRule type="containsText" dxfId="431" priority="439" operator="containsText" text="%">
      <formula>NOT(ISERROR(SEARCH("%",M29)))</formula>
    </cfRule>
  </conditionalFormatting>
  <conditionalFormatting sqref="M29">
    <cfRule type="containsText" dxfId="430" priority="438" operator="containsText" text="%">
      <formula>NOT(ISERROR(SEARCH("%",M29)))</formula>
    </cfRule>
  </conditionalFormatting>
  <conditionalFormatting sqref="M29">
    <cfRule type="containsText" dxfId="429" priority="436" operator="containsText" text="%">
      <formula>NOT(ISERROR(SEARCH("%",M29)))</formula>
    </cfRule>
  </conditionalFormatting>
  <conditionalFormatting sqref="M29">
    <cfRule type="containsText" dxfId="428" priority="434" operator="containsText" text="%">
      <formula>NOT(ISERROR(SEARCH("%",M29)))</formula>
    </cfRule>
  </conditionalFormatting>
  <conditionalFormatting sqref="M29">
    <cfRule type="containsText" dxfId="427" priority="433" operator="containsText" text="%">
      <formula>NOT(ISERROR(SEARCH("%",M29)))</formula>
    </cfRule>
  </conditionalFormatting>
  <conditionalFormatting sqref="M29">
    <cfRule type="containsText" dxfId="426" priority="432" operator="containsText" text="%">
      <formula>NOT(ISERROR(SEARCH("%",M29)))</formula>
    </cfRule>
  </conditionalFormatting>
  <conditionalFormatting sqref="M29">
    <cfRule type="containsText" dxfId="425" priority="431" operator="containsText" text="%">
      <formula>NOT(ISERROR(SEARCH("%",M29)))</formula>
    </cfRule>
  </conditionalFormatting>
  <conditionalFormatting sqref="M29">
    <cfRule type="containsText" dxfId="424" priority="430" operator="containsText" text="%">
      <formula>NOT(ISERROR(SEARCH("%",M29)))</formula>
    </cfRule>
  </conditionalFormatting>
  <conditionalFormatting sqref="M29">
    <cfRule type="containsText" dxfId="423" priority="429" operator="containsText" text="%">
      <formula>NOT(ISERROR(SEARCH("%",M29)))</formula>
    </cfRule>
  </conditionalFormatting>
  <conditionalFormatting sqref="M29">
    <cfRule type="containsText" dxfId="422" priority="428" operator="containsText" text="%">
      <formula>NOT(ISERROR(SEARCH("%",M29)))</formula>
    </cfRule>
  </conditionalFormatting>
  <conditionalFormatting sqref="M29">
    <cfRule type="containsText" dxfId="421" priority="427" operator="containsText" text="%">
      <formula>NOT(ISERROR(SEARCH("%",M29)))</formula>
    </cfRule>
  </conditionalFormatting>
  <conditionalFormatting sqref="M29">
    <cfRule type="containsText" dxfId="420" priority="426" operator="containsText" text="%">
      <formula>NOT(ISERROR(SEARCH("%",M29)))</formula>
    </cfRule>
  </conditionalFormatting>
  <conditionalFormatting sqref="M29">
    <cfRule type="containsText" dxfId="419" priority="425" operator="containsText" text="%">
      <formula>NOT(ISERROR(SEARCH("%",M29)))</formula>
    </cfRule>
  </conditionalFormatting>
  <conditionalFormatting sqref="M29">
    <cfRule type="containsText" dxfId="418" priority="424" operator="containsText" text="%">
      <formula>NOT(ISERROR(SEARCH("%",M29)))</formula>
    </cfRule>
  </conditionalFormatting>
  <conditionalFormatting sqref="M29">
    <cfRule type="containsText" dxfId="417" priority="423" operator="containsText" text="%">
      <formula>NOT(ISERROR(SEARCH("%",M29)))</formula>
    </cfRule>
  </conditionalFormatting>
  <conditionalFormatting sqref="M29">
    <cfRule type="containsText" dxfId="416" priority="422" operator="containsText" text="%">
      <formula>NOT(ISERROR(SEARCH("%",M29)))</formula>
    </cfRule>
  </conditionalFormatting>
  <conditionalFormatting sqref="M29">
    <cfRule type="containsText" dxfId="415" priority="421" operator="containsText" text="%">
      <formula>NOT(ISERROR(SEARCH("%",M29)))</formula>
    </cfRule>
  </conditionalFormatting>
  <conditionalFormatting sqref="M29">
    <cfRule type="containsText" dxfId="414" priority="420" operator="containsText" text="%">
      <formula>NOT(ISERROR(SEARCH("%",M29)))</formula>
    </cfRule>
  </conditionalFormatting>
  <conditionalFormatting sqref="M29">
    <cfRule type="containsText" dxfId="413" priority="419" operator="containsText" text="%">
      <formula>NOT(ISERROR(SEARCH("%",M29)))</formula>
    </cfRule>
  </conditionalFormatting>
  <conditionalFormatting sqref="M29">
    <cfRule type="containsText" dxfId="412" priority="418" operator="containsText" text="%">
      <formula>NOT(ISERROR(SEARCH("%",M29)))</formula>
    </cfRule>
  </conditionalFormatting>
  <conditionalFormatting sqref="M29">
    <cfRule type="containsText" dxfId="411" priority="417" operator="containsText" text="%">
      <formula>NOT(ISERROR(SEARCH("%",M29)))</formula>
    </cfRule>
  </conditionalFormatting>
  <conditionalFormatting sqref="M29">
    <cfRule type="containsText" dxfId="410" priority="416" operator="containsText" text="%">
      <formula>NOT(ISERROR(SEARCH("%",M29)))</formula>
    </cfRule>
  </conditionalFormatting>
  <conditionalFormatting sqref="M29">
    <cfRule type="containsText" dxfId="409" priority="415" operator="containsText" text="%">
      <formula>NOT(ISERROR(SEARCH("%",M29)))</formula>
    </cfRule>
  </conditionalFormatting>
  <conditionalFormatting sqref="M29">
    <cfRule type="containsText" dxfId="408" priority="414" operator="containsText" text="%">
      <formula>NOT(ISERROR(SEARCH("%",M29)))</formula>
    </cfRule>
  </conditionalFormatting>
  <conditionalFormatting sqref="M29">
    <cfRule type="containsText" dxfId="407" priority="413" operator="containsText" text="%">
      <formula>NOT(ISERROR(SEARCH("%",M29)))</formula>
    </cfRule>
  </conditionalFormatting>
  <conditionalFormatting sqref="M29">
    <cfRule type="containsText" dxfId="406" priority="412" operator="containsText" text="%">
      <formula>NOT(ISERROR(SEARCH("%",M29)))</formula>
    </cfRule>
  </conditionalFormatting>
  <conditionalFormatting sqref="M29">
    <cfRule type="containsText" dxfId="405" priority="411" operator="containsText" text="%">
      <formula>NOT(ISERROR(SEARCH("%",M29)))</formula>
    </cfRule>
  </conditionalFormatting>
  <conditionalFormatting sqref="M29">
    <cfRule type="containsText" dxfId="404" priority="410" operator="containsText" text="%">
      <formula>NOT(ISERROR(SEARCH("%",M29)))</formula>
    </cfRule>
  </conditionalFormatting>
  <conditionalFormatting sqref="M29">
    <cfRule type="containsText" dxfId="403" priority="409" operator="containsText" text="%">
      <formula>NOT(ISERROR(SEARCH("%",M29)))</formula>
    </cfRule>
  </conditionalFormatting>
  <conditionalFormatting sqref="M29">
    <cfRule type="containsText" dxfId="402" priority="393" operator="containsText" text="%">
      <formula>NOT(ISERROR(SEARCH("%",M29)))</formula>
    </cfRule>
  </conditionalFormatting>
  <conditionalFormatting sqref="M29">
    <cfRule type="containsText" dxfId="401" priority="392" operator="containsText" text="%">
      <formula>NOT(ISERROR(SEARCH("%",M29)))</formula>
    </cfRule>
  </conditionalFormatting>
  <conditionalFormatting sqref="M29">
    <cfRule type="containsText" dxfId="400" priority="388" operator="containsText" text="%">
      <formula>NOT(ISERROR(SEARCH("%",M29)))</formula>
    </cfRule>
  </conditionalFormatting>
  <conditionalFormatting sqref="M29">
    <cfRule type="containsText" dxfId="399" priority="408" operator="containsText" text="%">
      <formula>NOT(ISERROR(SEARCH("%",M29)))</formula>
    </cfRule>
  </conditionalFormatting>
  <conditionalFormatting sqref="M29">
    <cfRule type="containsText" dxfId="398" priority="407" operator="containsText" text="%">
      <formula>NOT(ISERROR(SEARCH("%",M29)))</formula>
    </cfRule>
  </conditionalFormatting>
  <conditionalFormatting sqref="M29">
    <cfRule type="containsText" dxfId="397" priority="406" operator="containsText" text="%">
      <formula>NOT(ISERROR(SEARCH("%",M29)))</formula>
    </cfRule>
  </conditionalFormatting>
  <conditionalFormatting sqref="M29">
    <cfRule type="containsText" dxfId="396" priority="386" operator="containsText" text="%">
      <formula>NOT(ISERROR(SEARCH("%",M29)))</formula>
    </cfRule>
  </conditionalFormatting>
  <conditionalFormatting sqref="M29">
    <cfRule type="containsText" dxfId="395" priority="405" operator="containsText" text="%">
      <formula>NOT(ISERROR(SEARCH("%",M29)))</formula>
    </cfRule>
  </conditionalFormatting>
  <conditionalFormatting sqref="M29">
    <cfRule type="containsText" dxfId="394" priority="404" operator="containsText" text="%">
      <formula>NOT(ISERROR(SEARCH("%",M29)))</formula>
    </cfRule>
  </conditionalFormatting>
  <conditionalFormatting sqref="M29">
    <cfRule type="containsText" dxfId="393" priority="403" operator="containsText" text="%">
      <formula>NOT(ISERROR(SEARCH("%",M29)))</formula>
    </cfRule>
  </conditionalFormatting>
  <conditionalFormatting sqref="M29">
    <cfRule type="containsText" dxfId="392" priority="402" operator="containsText" text="%">
      <formula>NOT(ISERROR(SEARCH("%",M29)))</formula>
    </cfRule>
  </conditionalFormatting>
  <conditionalFormatting sqref="M29">
    <cfRule type="containsText" dxfId="391" priority="401" operator="containsText" text="%">
      <formula>NOT(ISERROR(SEARCH("%",M29)))</formula>
    </cfRule>
  </conditionalFormatting>
  <conditionalFormatting sqref="M29">
    <cfRule type="containsText" dxfId="390" priority="400" operator="containsText" text="%">
      <formula>NOT(ISERROR(SEARCH("%",M29)))</formula>
    </cfRule>
  </conditionalFormatting>
  <conditionalFormatting sqref="M29">
    <cfRule type="containsText" dxfId="389" priority="399" operator="containsText" text="%">
      <formula>NOT(ISERROR(SEARCH("%",M29)))</formula>
    </cfRule>
  </conditionalFormatting>
  <conditionalFormatting sqref="M29">
    <cfRule type="containsText" dxfId="388" priority="398" operator="containsText" text="%">
      <formula>NOT(ISERROR(SEARCH("%",M29)))</formula>
    </cfRule>
  </conditionalFormatting>
  <conditionalFormatting sqref="M29">
    <cfRule type="containsText" dxfId="387" priority="397" operator="containsText" text="%">
      <formula>NOT(ISERROR(SEARCH("%",M29)))</formula>
    </cfRule>
  </conditionalFormatting>
  <conditionalFormatting sqref="M29">
    <cfRule type="containsText" dxfId="386" priority="396" operator="containsText" text="%">
      <formula>NOT(ISERROR(SEARCH("%",M29)))</formula>
    </cfRule>
  </conditionalFormatting>
  <conditionalFormatting sqref="M29">
    <cfRule type="containsText" dxfId="385" priority="395" operator="containsText" text="%">
      <formula>NOT(ISERROR(SEARCH("%",M29)))</formula>
    </cfRule>
  </conditionalFormatting>
  <conditionalFormatting sqref="M29">
    <cfRule type="containsText" dxfId="384" priority="394" operator="containsText" text="%">
      <formula>NOT(ISERROR(SEARCH("%",M29)))</formula>
    </cfRule>
  </conditionalFormatting>
  <conditionalFormatting sqref="M29">
    <cfRule type="containsText" dxfId="383" priority="391" operator="containsText" text="%">
      <formula>NOT(ISERROR(SEARCH("%",M29)))</formula>
    </cfRule>
  </conditionalFormatting>
  <conditionalFormatting sqref="M29">
    <cfRule type="containsText" dxfId="382" priority="390" operator="containsText" text="%">
      <formula>NOT(ISERROR(SEARCH("%",M29)))</formula>
    </cfRule>
  </conditionalFormatting>
  <conditionalFormatting sqref="M29">
    <cfRule type="containsText" dxfId="381" priority="389" operator="containsText" text="%">
      <formula>NOT(ISERROR(SEARCH("%",M29)))</formula>
    </cfRule>
  </conditionalFormatting>
  <conditionalFormatting sqref="M29">
    <cfRule type="containsText" dxfId="380" priority="387" operator="containsText" text="%">
      <formula>NOT(ISERROR(SEARCH("%",M29)))</formula>
    </cfRule>
  </conditionalFormatting>
  <conditionalFormatting sqref="M29">
    <cfRule type="containsText" dxfId="379" priority="385" operator="containsText" text="%">
      <formula>NOT(ISERROR(SEARCH("%",M29)))</formula>
    </cfRule>
  </conditionalFormatting>
  <conditionalFormatting sqref="M29">
    <cfRule type="containsText" dxfId="378" priority="384" operator="containsText" text="%">
      <formula>NOT(ISERROR(SEARCH("%",M29)))</formula>
    </cfRule>
  </conditionalFormatting>
  <conditionalFormatting sqref="M29">
    <cfRule type="containsText" dxfId="377" priority="383" operator="containsText" text="%">
      <formula>NOT(ISERROR(SEARCH("%",M29)))</formula>
    </cfRule>
  </conditionalFormatting>
  <conditionalFormatting sqref="M29">
    <cfRule type="containsText" dxfId="376" priority="382" operator="containsText" text="%">
      <formula>NOT(ISERROR(SEARCH("%",M29)))</formula>
    </cfRule>
  </conditionalFormatting>
  <conditionalFormatting sqref="M29">
    <cfRule type="containsText" dxfId="375" priority="381" operator="containsText" text="%">
      <formula>NOT(ISERROR(SEARCH("%",M29)))</formula>
    </cfRule>
  </conditionalFormatting>
  <conditionalFormatting sqref="M29">
    <cfRule type="containsText" dxfId="374" priority="380" operator="containsText" text="%">
      <formula>NOT(ISERROR(SEARCH("%",M29)))</formula>
    </cfRule>
  </conditionalFormatting>
  <conditionalFormatting sqref="M29">
    <cfRule type="containsText" dxfId="373" priority="379" operator="containsText" text="%">
      <formula>NOT(ISERROR(SEARCH("%",M29)))</formula>
    </cfRule>
  </conditionalFormatting>
  <conditionalFormatting sqref="M29">
    <cfRule type="containsText" dxfId="372" priority="378" operator="containsText" text="%">
      <formula>NOT(ISERROR(SEARCH("%",M29)))</formula>
    </cfRule>
  </conditionalFormatting>
  <conditionalFormatting sqref="M29">
    <cfRule type="containsText" dxfId="371" priority="377" operator="containsText" text="%">
      <formula>NOT(ISERROR(SEARCH("%",M29)))</formula>
    </cfRule>
  </conditionalFormatting>
  <conditionalFormatting sqref="M29">
    <cfRule type="containsText" dxfId="370" priority="376" operator="containsText" text="%">
      <formula>NOT(ISERROR(SEARCH("%",M29)))</formula>
    </cfRule>
  </conditionalFormatting>
  <conditionalFormatting sqref="M29">
    <cfRule type="containsText" dxfId="369" priority="375" operator="containsText" text="%">
      <formula>NOT(ISERROR(SEARCH("%",M29)))</formula>
    </cfRule>
  </conditionalFormatting>
  <conditionalFormatting sqref="M29">
    <cfRule type="containsText" dxfId="368" priority="374" operator="containsText" text="%">
      <formula>NOT(ISERROR(SEARCH("%",M29)))</formula>
    </cfRule>
  </conditionalFormatting>
  <conditionalFormatting sqref="M29">
    <cfRule type="containsText" dxfId="367" priority="373" operator="containsText" text="%">
      <formula>NOT(ISERROR(SEARCH("%",M29)))</formula>
    </cfRule>
  </conditionalFormatting>
  <conditionalFormatting sqref="M29">
    <cfRule type="containsText" dxfId="366" priority="372" operator="containsText" text="%">
      <formula>NOT(ISERROR(SEARCH("%",M29)))</formula>
    </cfRule>
  </conditionalFormatting>
  <conditionalFormatting sqref="M29">
    <cfRule type="containsText" dxfId="365" priority="371" operator="containsText" text="%">
      <formula>NOT(ISERROR(SEARCH("%",M29)))</formula>
    </cfRule>
  </conditionalFormatting>
  <conditionalFormatting sqref="M29">
    <cfRule type="containsText" dxfId="364" priority="370" operator="containsText" text="%">
      <formula>NOT(ISERROR(SEARCH("%",M29)))</formula>
    </cfRule>
  </conditionalFormatting>
  <conditionalFormatting sqref="M29">
    <cfRule type="containsText" dxfId="363" priority="369" operator="containsText" text="%">
      <formula>NOT(ISERROR(SEARCH("%",M29)))</formula>
    </cfRule>
  </conditionalFormatting>
  <conditionalFormatting sqref="M29">
    <cfRule type="containsText" dxfId="362" priority="368" operator="containsText" text="%">
      <formula>NOT(ISERROR(SEARCH("%",M29)))</formula>
    </cfRule>
  </conditionalFormatting>
  <conditionalFormatting sqref="M29">
    <cfRule type="containsText" dxfId="361" priority="367" operator="containsText" text="%">
      <formula>NOT(ISERROR(SEARCH("%",M29)))</formula>
    </cfRule>
  </conditionalFormatting>
  <conditionalFormatting sqref="M29">
    <cfRule type="containsText" dxfId="360" priority="366" operator="containsText" text="%">
      <formula>NOT(ISERROR(SEARCH("%",M29)))</formula>
    </cfRule>
  </conditionalFormatting>
  <conditionalFormatting sqref="M29">
    <cfRule type="containsText" dxfId="359" priority="365" operator="containsText" text="%">
      <formula>NOT(ISERROR(SEARCH("%",M29)))</formula>
    </cfRule>
  </conditionalFormatting>
  <conditionalFormatting sqref="M29">
    <cfRule type="containsText" dxfId="358" priority="364" operator="containsText" text="%">
      <formula>NOT(ISERROR(SEARCH("%",M29)))</formula>
    </cfRule>
  </conditionalFormatting>
  <conditionalFormatting sqref="M29">
    <cfRule type="containsText" dxfId="357" priority="363" operator="containsText" text="%">
      <formula>NOT(ISERROR(SEARCH("%",M29)))</formula>
    </cfRule>
  </conditionalFormatting>
  <conditionalFormatting sqref="M29">
    <cfRule type="containsText" dxfId="356" priority="362" operator="containsText" text="%">
      <formula>NOT(ISERROR(SEARCH("%",M29)))</formula>
    </cfRule>
  </conditionalFormatting>
  <conditionalFormatting sqref="M29">
    <cfRule type="containsText" dxfId="355" priority="361" operator="containsText" text="%">
      <formula>NOT(ISERROR(SEARCH("%",M29)))</formula>
    </cfRule>
  </conditionalFormatting>
  <conditionalFormatting sqref="M29">
    <cfRule type="containsText" dxfId="354" priority="360" operator="containsText" text="%">
      <formula>NOT(ISERROR(SEARCH("%",M29)))</formula>
    </cfRule>
  </conditionalFormatting>
  <conditionalFormatting sqref="K44">
    <cfRule type="containsText" dxfId="353" priority="359" operator="containsText" text="%">
      <formula>NOT(ISERROR(SEARCH("%",K44)))</formula>
    </cfRule>
  </conditionalFormatting>
  <conditionalFormatting sqref="K44">
    <cfRule type="containsText" dxfId="352" priority="358" operator="containsText" text="%">
      <formula>NOT(ISERROR(SEARCH("%",K44)))</formula>
    </cfRule>
  </conditionalFormatting>
  <conditionalFormatting sqref="L44">
    <cfRule type="containsText" dxfId="351" priority="357" operator="containsText" text="%">
      <formula>NOT(ISERROR(SEARCH("%",L44)))</formula>
    </cfRule>
  </conditionalFormatting>
  <conditionalFormatting sqref="L44">
    <cfRule type="containsText" dxfId="350" priority="356" operator="containsText" text="%">
      <formula>NOT(ISERROR(SEARCH("%",L44)))</formula>
    </cfRule>
  </conditionalFormatting>
  <conditionalFormatting sqref="L44">
    <cfRule type="containsText" dxfId="349" priority="355" operator="containsText" text="%">
      <formula>NOT(ISERROR(SEARCH("%",L44)))</formula>
    </cfRule>
  </conditionalFormatting>
  <conditionalFormatting sqref="K44">
    <cfRule type="containsText" dxfId="348" priority="354" operator="containsText" text="%">
      <formula>NOT(ISERROR(SEARCH("%",K44)))</formula>
    </cfRule>
  </conditionalFormatting>
  <conditionalFormatting sqref="K44">
    <cfRule type="containsText" dxfId="347" priority="353" operator="containsText" text="%">
      <formula>NOT(ISERROR(SEARCH("%",K44)))</formula>
    </cfRule>
  </conditionalFormatting>
  <conditionalFormatting sqref="K44">
    <cfRule type="containsText" dxfId="346" priority="352" operator="containsText" text="%">
      <formula>NOT(ISERROR(SEARCH("%",K44)))</formula>
    </cfRule>
  </conditionalFormatting>
  <conditionalFormatting sqref="K44">
    <cfRule type="containsText" dxfId="345" priority="351" operator="containsText" text="%">
      <formula>NOT(ISERROR(SEARCH("%",K44)))</formula>
    </cfRule>
  </conditionalFormatting>
  <conditionalFormatting sqref="K44">
    <cfRule type="containsText" dxfId="344" priority="337" operator="containsText" text="%">
      <formula>NOT(ISERROR(SEARCH("%",K44)))</formula>
    </cfRule>
  </conditionalFormatting>
  <conditionalFormatting sqref="K44">
    <cfRule type="containsText" dxfId="343" priority="336" operator="containsText" text="%">
      <formula>NOT(ISERROR(SEARCH("%",K44)))</formula>
    </cfRule>
  </conditionalFormatting>
  <conditionalFormatting sqref="K44">
    <cfRule type="containsText" dxfId="342" priority="332" operator="containsText" text="%">
      <formula>NOT(ISERROR(SEARCH("%",K44)))</formula>
    </cfRule>
  </conditionalFormatting>
  <conditionalFormatting sqref="K44">
    <cfRule type="containsText" dxfId="341" priority="350" operator="containsText" text="%">
      <formula>NOT(ISERROR(SEARCH("%",K44)))</formula>
    </cfRule>
  </conditionalFormatting>
  <conditionalFormatting sqref="K44">
    <cfRule type="containsText" dxfId="340" priority="330" operator="containsText" text="%">
      <formula>NOT(ISERROR(SEARCH("%",K44)))</formula>
    </cfRule>
  </conditionalFormatting>
  <conditionalFormatting sqref="K44">
    <cfRule type="containsText" dxfId="339" priority="349" operator="containsText" text="%">
      <formula>NOT(ISERROR(SEARCH("%",K44)))</formula>
    </cfRule>
  </conditionalFormatting>
  <conditionalFormatting sqref="K44">
    <cfRule type="containsText" dxfId="338" priority="348" operator="containsText" text="%">
      <formula>NOT(ISERROR(SEARCH("%",K44)))</formula>
    </cfRule>
  </conditionalFormatting>
  <conditionalFormatting sqref="K44">
    <cfRule type="containsText" dxfId="337" priority="347" operator="containsText" text="%">
      <formula>NOT(ISERROR(SEARCH("%",K44)))</formula>
    </cfRule>
  </conditionalFormatting>
  <conditionalFormatting sqref="K44">
    <cfRule type="containsText" dxfId="336" priority="346" operator="containsText" text="%">
      <formula>NOT(ISERROR(SEARCH("%",K44)))</formula>
    </cfRule>
  </conditionalFormatting>
  <conditionalFormatting sqref="K44">
    <cfRule type="containsText" dxfId="335" priority="345" operator="containsText" text="%">
      <formula>NOT(ISERROR(SEARCH("%",K44)))</formula>
    </cfRule>
  </conditionalFormatting>
  <conditionalFormatting sqref="K44">
    <cfRule type="containsText" dxfId="334" priority="344" operator="containsText" text="%">
      <formula>NOT(ISERROR(SEARCH("%",K44)))</formula>
    </cfRule>
  </conditionalFormatting>
  <conditionalFormatting sqref="K44">
    <cfRule type="containsText" dxfId="333" priority="343" operator="containsText" text="%">
      <formula>NOT(ISERROR(SEARCH("%",K44)))</formula>
    </cfRule>
  </conditionalFormatting>
  <conditionalFormatting sqref="K44">
    <cfRule type="containsText" dxfId="332" priority="342" operator="containsText" text="%">
      <formula>NOT(ISERROR(SEARCH("%",K44)))</formula>
    </cfRule>
  </conditionalFormatting>
  <conditionalFormatting sqref="K44">
    <cfRule type="containsText" dxfId="331" priority="341" operator="containsText" text="%">
      <formula>NOT(ISERROR(SEARCH("%",K44)))</formula>
    </cfRule>
  </conditionalFormatting>
  <conditionalFormatting sqref="K44">
    <cfRule type="containsText" dxfId="330" priority="340" operator="containsText" text="%">
      <formula>NOT(ISERROR(SEARCH("%",K44)))</formula>
    </cfRule>
  </conditionalFormatting>
  <conditionalFormatting sqref="K44">
    <cfRule type="containsText" dxfId="329" priority="339" operator="containsText" text="%">
      <formula>NOT(ISERROR(SEARCH("%",K44)))</formula>
    </cfRule>
  </conditionalFormatting>
  <conditionalFormatting sqref="K44">
    <cfRule type="containsText" dxfId="328" priority="338" operator="containsText" text="%">
      <formula>NOT(ISERROR(SEARCH("%",K44)))</formula>
    </cfRule>
  </conditionalFormatting>
  <conditionalFormatting sqref="K44">
    <cfRule type="containsText" dxfId="327" priority="335" operator="containsText" text="%">
      <formula>NOT(ISERROR(SEARCH("%",K44)))</formula>
    </cfRule>
  </conditionalFormatting>
  <conditionalFormatting sqref="K44">
    <cfRule type="containsText" dxfId="326" priority="334" operator="containsText" text="%">
      <formula>NOT(ISERROR(SEARCH("%",K44)))</formula>
    </cfRule>
  </conditionalFormatting>
  <conditionalFormatting sqref="K44">
    <cfRule type="containsText" dxfId="325" priority="333" operator="containsText" text="%">
      <formula>NOT(ISERROR(SEARCH("%",K44)))</formula>
    </cfRule>
  </conditionalFormatting>
  <conditionalFormatting sqref="K44">
    <cfRule type="containsText" dxfId="324" priority="331" operator="containsText" text="%">
      <formula>NOT(ISERROR(SEARCH("%",K44)))</formula>
    </cfRule>
  </conditionalFormatting>
  <conditionalFormatting sqref="K44">
    <cfRule type="containsText" dxfId="323" priority="329" operator="containsText" text="%">
      <formula>NOT(ISERROR(SEARCH("%",K44)))</formula>
    </cfRule>
  </conditionalFormatting>
  <conditionalFormatting sqref="K44">
    <cfRule type="containsText" dxfId="322" priority="328" operator="containsText" text="%">
      <formula>NOT(ISERROR(SEARCH("%",K44)))</formula>
    </cfRule>
  </conditionalFormatting>
  <conditionalFormatting sqref="K44">
    <cfRule type="containsText" dxfId="321" priority="327" operator="containsText" text="%">
      <formula>NOT(ISERROR(SEARCH("%",K44)))</formula>
    </cfRule>
  </conditionalFormatting>
  <conditionalFormatting sqref="K44">
    <cfRule type="containsText" dxfId="320" priority="326" operator="containsText" text="%">
      <formula>NOT(ISERROR(SEARCH("%",K44)))</formula>
    </cfRule>
  </conditionalFormatting>
  <conditionalFormatting sqref="K44">
    <cfRule type="containsText" dxfId="319" priority="325" operator="containsText" text="%">
      <formula>NOT(ISERROR(SEARCH("%",K44)))</formula>
    </cfRule>
  </conditionalFormatting>
  <conditionalFormatting sqref="K44">
    <cfRule type="containsText" dxfId="318" priority="324" operator="containsText" text="%">
      <formula>NOT(ISERROR(SEARCH("%",K44)))</formula>
    </cfRule>
  </conditionalFormatting>
  <conditionalFormatting sqref="K44">
    <cfRule type="containsText" dxfId="317" priority="323" operator="containsText" text="%">
      <formula>NOT(ISERROR(SEARCH("%",K44)))</formula>
    </cfRule>
  </conditionalFormatting>
  <conditionalFormatting sqref="K44">
    <cfRule type="containsText" dxfId="316" priority="322" operator="containsText" text="%">
      <formula>NOT(ISERROR(SEARCH("%",K44)))</formula>
    </cfRule>
  </conditionalFormatting>
  <conditionalFormatting sqref="K44">
    <cfRule type="containsText" dxfId="315" priority="321" operator="containsText" text="%">
      <formula>NOT(ISERROR(SEARCH("%",K44)))</formula>
    </cfRule>
  </conditionalFormatting>
  <conditionalFormatting sqref="K44">
    <cfRule type="containsText" dxfId="314" priority="320" operator="containsText" text="%">
      <formula>NOT(ISERROR(SEARCH("%",K44)))</formula>
    </cfRule>
  </conditionalFormatting>
  <conditionalFormatting sqref="K44">
    <cfRule type="containsText" dxfId="313" priority="319" operator="containsText" text="%">
      <formula>NOT(ISERROR(SEARCH("%",K44)))</formula>
    </cfRule>
  </conditionalFormatting>
  <conditionalFormatting sqref="K44">
    <cfRule type="containsText" dxfId="312" priority="318" operator="containsText" text="%">
      <formula>NOT(ISERROR(SEARCH("%",K44)))</formula>
    </cfRule>
  </conditionalFormatting>
  <conditionalFormatting sqref="K44">
    <cfRule type="containsText" dxfId="311" priority="317" operator="containsText" text="%">
      <formula>NOT(ISERROR(SEARCH("%",K44)))</formula>
    </cfRule>
  </conditionalFormatting>
  <conditionalFormatting sqref="K44">
    <cfRule type="containsText" dxfId="310" priority="316" operator="containsText" text="%">
      <formula>NOT(ISERROR(SEARCH("%",K44)))</formula>
    </cfRule>
  </conditionalFormatting>
  <conditionalFormatting sqref="K44">
    <cfRule type="containsText" dxfId="309" priority="315" operator="containsText" text="%">
      <formula>NOT(ISERROR(SEARCH("%",K44)))</formula>
    </cfRule>
  </conditionalFormatting>
  <conditionalFormatting sqref="K44">
    <cfRule type="containsText" dxfId="308" priority="314" operator="containsText" text="%">
      <formula>NOT(ISERROR(SEARCH("%",K44)))</formula>
    </cfRule>
  </conditionalFormatting>
  <conditionalFormatting sqref="K44">
    <cfRule type="containsText" dxfId="307" priority="313" operator="containsText" text="%">
      <formula>NOT(ISERROR(SEARCH("%",K44)))</formula>
    </cfRule>
  </conditionalFormatting>
  <conditionalFormatting sqref="K44">
    <cfRule type="containsText" dxfId="306" priority="312" operator="containsText" text="%">
      <formula>NOT(ISERROR(SEARCH("%",K44)))</formula>
    </cfRule>
  </conditionalFormatting>
  <conditionalFormatting sqref="K44">
    <cfRule type="containsText" dxfId="305" priority="311" operator="containsText" text="%">
      <formula>NOT(ISERROR(SEARCH("%",K44)))</formula>
    </cfRule>
  </conditionalFormatting>
  <conditionalFormatting sqref="K44">
    <cfRule type="containsText" dxfId="304" priority="310" operator="containsText" text="%">
      <formula>NOT(ISERROR(SEARCH("%",K44)))</formula>
    </cfRule>
  </conditionalFormatting>
  <conditionalFormatting sqref="K44">
    <cfRule type="containsText" dxfId="303" priority="309" operator="containsText" text="%">
      <formula>NOT(ISERROR(SEARCH("%",K44)))</formula>
    </cfRule>
  </conditionalFormatting>
  <conditionalFormatting sqref="K44">
    <cfRule type="containsText" dxfId="302" priority="308" operator="containsText" text="%">
      <formula>NOT(ISERROR(SEARCH("%",K44)))</formula>
    </cfRule>
  </conditionalFormatting>
  <conditionalFormatting sqref="K44">
    <cfRule type="containsText" dxfId="301" priority="307" operator="containsText" text="%">
      <formula>NOT(ISERROR(SEARCH("%",K44)))</formula>
    </cfRule>
  </conditionalFormatting>
  <conditionalFormatting sqref="K44">
    <cfRule type="containsText" dxfId="300" priority="306" operator="containsText" text="%">
      <formula>NOT(ISERROR(SEARCH("%",K44)))</formula>
    </cfRule>
  </conditionalFormatting>
  <conditionalFormatting sqref="K44">
    <cfRule type="containsText" dxfId="299" priority="305" operator="containsText" text="%">
      <formula>NOT(ISERROR(SEARCH("%",K44)))</formula>
    </cfRule>
  </conditionalFormatting>
  <conditionalFormatting sqref="K44">
    <cfRule type="containsText" dxfId="298" priority="304" operator="containsText" text="%">
      <formula>NOT(ISERROR(SEARCH("%",K44)))</formula>
    </cfRule>
  </conditionalFormatting>
  <conditionalFormatting sqref="K44">
    <cfRule type="containsText" dxfId="297" priority="303" operator="containsText" text="%">
      <formula>NOT(ISERROR(SEARCH("%",K44)))</formula>
    </cfRule>
  </conditionalFormatting>
  <conditionalFormatting sqref="K44">
    <cfRule type="containsText" dxfId="296" priority="302" operator="containsText" text="%">
      <formula>NOT(ISERROR(SEARCH("%",K44)))</formula>
    </cfRule>
  </conditionalFormatting>
  <conditionalFormatting sqref="K44">
    <cfRule type="containsText" dxfId="295" priority="301" operator="containsText" text="%">
      <formula>NOT(ISERROR(SEARCH("%",K44)))</formula>
    </cfRule>
  </conditionalFormatting>
  <conditionalFormatting sqref="K44">
    <cfRule type="containsText" dxfId="294" priority="300" operator="containsText" text="%">
      <formula>NOT(ISERROR(SEARCH("%",K44)))</formula>
    </cfRule>
  </conditionalFormatting>
  <conditionalFormatting sqref="K44">
    <cfRule type="containsText" dxfId="293" priority="299" operator="containsText" text="%">
      <formula>NOT(ISERROR(SEARCH("%",K44)))</formula>
    </cfRule>
  </conditionalFormatting>
  <conditionalFormatting sqref="K44">
    <cfRule type="containsText" dxfId="292" priority="298" operator="containsText" text="%">
      <formula>NOT(ISERROR(SEARCH("%",K44)))</formula>
    </cfRule>
  </conditionalFormatting>
  <conditionalFormatting sqref="K44">
    <cfRule type="containsText" dxfId="291" priority="297" operator="containsText" text="%">
      <formula>NOT(ISERROR(SEARCH("%",K44)))</formula>
    </cfRule>
  </conditionalFormatting>
  <conditionalFormatting sqref="K44">
    <cfRule type="containsText" dxfId="290" priority="296" operator="containsText" text="%">
      <formula>NOT(ISERROR(SEARCH("%",K44)))</formula>
    </cfRule>
  </conditionalFormatting>
  <conditionalFormatting sqref="K44">
    <cfRule type="containsText" dxfId="289" priority="295" operator="containsText" text="%">
      <formula>NOT(ISERROR(SEARCH("%",K44)))</formula>
    </cfRule>
  </conditionalFormatting>
  <conditionalFormatting sqref="K44">
    <cfRule type="containsText" dxfId="288" priority="294" operator="containsText" text="%">
      <formula>NOT(ISERROR(SEARCH("%",K44)))</formula>
    </cfRule>
  </conditionalFormatting>
  <conditionalFormatting sqref="K44">
    <cfRule type="containsText" dxfId="287" priority="293" operator="containsText" text="%">
      <formula>NOT(ISERROR(SEARCH("%",K44)))</formula>
    </cfRule>
  </conditionalFormatting>
  <conditionalFormatting sqref="K44">
    <cfRule type="containsText" dxfId="286" priority="292" operator="containsText" text="%">
      <formula>NOT(ISERROR(SEARCH("%",K44)))</formula>
    </cfRule>
  </conditionalFormatting>
  <conditionalFormatting sqref="K44">
    <cfRule type="containsText" dxfId="285" priority="278" operator="containsText" text="%">
      <formula>NOT(ISERROR(SEARCH("%",K44)))</formula>
    </cfRule>
  </conditionalFormatting>
  <conditionalFormatting sqref="K44">
    <cfRule type="containsText" dxfId="284" priority="277" operator="containsText" text="%">
      <formula>NOT(ISERROR(SEARCH("%",K44)))</formula>
    </cfRule>
  </conditionalFormatting>
  <conditionalFormatting sqref="K44">
    <cfRule type="containsText" dxfId="283" priority="273" operator="containsText" text="%">
      <formula>NOT(ISERROR(SEARCH("%",K44)))</formula>
    </cfRule>
  </conditionalFormatting>
  <conditionalFormatting sqref="K44">
    <cfRule type="containsText" dxfId="282" priority="291" operator="containsText" text="%">
      <formula>NOT(ISERROR(SEARCH("%",K44)))</formula>
    </cfRule>
  </conditionalFormatting>
  <conditionalFormatting sqref="K44">
    <cfRule type="containsText" dxfId="281" priority="271" operator="containsText" text="%">
      <formula>NOT(ISERROR(SEARCH("%",K44)))</formula>
    </cfRule>
  </conditionalFormatting>
  <conditionalFormatting sqref="K44">
    <cfRule type="containsText" dxfId="280" priority="290" operator="containsText" text="%">
      <formula>NOT(ISERROR(SEARCH("%",K44)))</formula>
    </cfRule>
  </conditionalFormatting>
  <conditionalFormatting sqref="K44">
    <cfRule type="containsText" dxfId="279" priority="289" operator="containsText" text="%">
      <formula>NOT(ISERROR(SEARCH("%",K44)))</formula>
    </cfRule>
  </conditionalFormatting>
  <conditionalFormatting sqref="K44">
    <cfRule type="containsText" dxfId="278" priority="288" operator="containsText" text="%">
      <formula>NOT(ISERROR(SEARCH("%",K44)))</formula>
    </cfRule>
  </conditionalFormatting>
  <conditionalFormatting sqref="K44">
    <cfRule type="containsText" dxfId="277" priority="287" operator="containsText" text="%">
      <formula>NOT(ISERROR(SEARCH("%",K44)))</formula>
    </cfRule>
  </conditionalFormatting>
  <conditionalFormatting sqref="K44">
    <cfRule type="containsText" dxfId="276" priority="286" operator="containsText" text="%">
      <formula>NOT(ISERROR(SEARCH("%",K44)))</formula>
    </cfRule>
  </conditionalFormatting>
  <conditionalFormatting sqref="K44">
    <cfRule type="containsText" dxfId="275" priority="285" operator="containsText" text="%">
      <formula>NOT(ISERROR(SEARCH("%",K44)))</formula>
    </cfRule>
  </conditionalFormatting>
  <conditionalFormatting sqref="K44">
    <cfRule type="containsText" dxfId="274" priority="284" operator="containsText" text="%">
      <formula>NOT(ISERROR(SEARCH("%",K44)))</formula>
    </cfRule>
  </conditionalFormatting>
  <conditionalFormatting sqref="K44">
    <cfRule type="containsText" dxfId="273" priority="283" operator="containsText" text="%">
      <formula>NOT(ISERROR(SEARCH("%",K44)))</formula>
    </cfRule>
  </conditionalFormatting>
  <conditionalFormatting sqref="K44">
    <cfRule type="containsText" dxfId="272" priority="282" operator="containsText" text="%">
      <formula>NOT(ISERROR(SEARCH("%",K44)))</formula>
    </cfRule>
  </conditionalFormatting>
  <conditionalFormatting sqref="K44">
    <cfRule type="containsText" dxfId="271" priority="281" operator="containsText" text="%">
      <formula>NOT(ISERROR(SEARCH("%",K44)))</formula>
    </cfRule>
  </conditionalFormatting>
  <conditionalFormatting sqref="K44">
    <cfRule type="containsText" dxfId="270" priority="280" operator="containsText" text="%">
      <formula>NOT(ISERROR(SEARCH("%",K44)))</formula>
    </cfRule>
  </conditionalFormatting>
  <conditionalFormatting sqref="K44">
    <cfRule type="containsText" dxfId="269" priority="279" operator="containsText" text="%">
      <formula>NOT(ISERROR(SEARCH("%",K44)))</formula>
    </cfRule>
  </conditionalFormatting>
  <conditionalFormatting sqref="K44">
    <cfRule type="containsText" dxfId="268" priority="276" operator="containsText" text="%">
      <formula>NOT(ISERROR(SEARCH("%",K44)))</formula>
    </cfRule>
  </conditionalFormatting>
  <conditionalFormatting sqref="K44">
    <cfRule type="containsText" dxfId="267" priority="275" operator="containsText" text="%">
      <formula>NOT(ISERROR(SEARCH("%",K44)))</formula>
    </cfRule>
  </conditionalFormatting>
  <conditionalFormatting sqref="K44">
    <cfRule type="containsText" dxfId="266" priority="274" operator="containsText" text="%">
      <formula>NOT(ISERROR(SEARCH("%",K44)))</formula>
    </cfRule>
  </conditionalFormatting>
  <conditionalFormatting sqref="K44">
    <cfRule type="containsText" dxfId="265" priority="272" operator="containsText" text="%">
      <formula>NOT(ISERROR(SEARCH("%",K44)))</formula>
    </cfRule>
  </conditionalFormatting>
  <conditionalFormatting sqref="K44">
    <cfRule type="containsText" dxfId="264" priority="270" operator="containsText" text="%">
      <formula>NOT(ISERROR(SEARCH("%",K44)))</formula>
    </cfRule>
  </conditionalFormatting>
  <conditionalFormatting sqref="K44">
    <cfRule type="containsText" dxfId="263" priority="269" operator="containsText" text="%">
      <formula>NOT(ISERROR(SEARCH("%",K44)))</formula>
    </cfRule>
  </conditionalFormatting>
  <conditionalFormatting sqref="K44">
    <cfRule type="containsText" dxfId="262" priority="268" operator="containsText" text="%">
      <formula>NOT(ISERROR(SEARCH("%",K44)))</formula>
    </cfRule>
  </conditionalFormatting>
  <conditionalFormatting sqref="K44">
    <cfRule type="containsText" dxfId="261" priority="267" operator="containsText" text="%">
      <formula>NOT(ISERROR(SEARCH("%",K44)))</formula>
    </cfRule>
  </conditionalFormatting>
  <conditionalFormatting sqref="K44">
    <cfRule type="containsText" dxfId="260" priority="266" operator="containsText" text="%">
      <formula>NOT(ISERROR(SEARCH("%",K44)))</formula>
    </cfRule>
  </conditionalFormatting>
  <conditionalFormatting sqref="K44">
    <cfRule type="containsText" dxfId="259" priority="265" operator="containsText" text="%">
      <formula>NOT(ISERROR(SEARCH("%",K44)))</formula>
    </cfRule>
  </conditionalFormatting>
  <conditionalFormatting sqref="K44">
    <cfRule type="containsText" dxfId="258" priority="264" operator="containsText" text="%">
      <formula>NOT(ISERROR(SEARCH("%",K44)))</formula>
    </cfRule>
  </conditionalFormatting>
  <conditionalFormatting sqref="K44">
    <cfRule type="containsText" dxfId="257" priority="263" operator="containsText" text="%">
      <formula>NOT(ISERROR(SEARCH("%",K44)))</formula>
    </cfRule>
  </conditionalFormatting>
  <conditionalFormatting sqref="K44">
    <cfRule type="containsText" dxfId="256" priority="262" operator="containsText" text="%">
      <formula>NOT(ISERROR(SEARCH("%",K44)))</formula>
    </cfRule>
  </conditionalFormatting>
  <conditionalFormatting sqref="K44">
    <cfRule type="containsText" dxfId="255" priority="261" operator="containsText" text="%">
      <formula>NOT(ISERROR(SEARCH("%",K44)))</formula>
    </cfRule>
  </conditionalFormatting>
  <conditionalFormatting sqref="K44">
    <cfRule type="containsText" dxfId="254" priority="260" operator="containsText" text="%">
      <formula>NOT(ISERROR(SEARCH("%",K44)))</formula>
    </cfRule>
  </conditionalFormatting>
  <conditionalFormatting sqref="K44">
    <cfRule type="containsText" dxfId="253" priority="259" operator="containsText" text="%">
      <formula>NOT(ISERROR(SEARCH("%",K44)))</formula>
    </cfRule>
  </conditionalFormatting>
  <conditionalFormatting sqref="K44">
    <cfRule type="containsText" dxfId="252" priority="258" operator="containsText" text="%">
      <formula>NOT(ISERROR(SEARCH("%",K44)))</formula>
    </cfRule>
  </conditionalFormatting>
  <conditionalFormatting sqref="K44">
    <cfRule type="containsText" dxfId="251" priority="257" operator="containsText" text="%">
      <formula>NOT(ISERROR(SEARCH("%",K44)))</formula>
    </cfRule>
  </conditionalFormatting>
  <conditionalFormatting sqref="K44">
    <cfRule type="containsText" dxfId="250" priority="256" operator="containsText" text="%">
      <formula>NOT(ISERROR(SEARCH("%",K44)))</formula>
    </cfRule>
  </conditionalFormatting>
  <conditionalFormatting sqref="K44">
    <cfRule type="containsText" dxfId="249" priority="255" operator="containsText" text="%">
      <formula>NOT(ISERROR(SEARCH("%",K44)))</formula>
    </cfRule>
  </conditionalFormatting>
  <conditionalFormatting sqref="K44">
    <cfRule type="containsText" dxfId="248" priority="254" operator="containsText" text="%">
      <formula>NOT(ISERROR(SEARCH("%",K44)))</formula>
    </cfRule>
  </conditionalFormatting>
  <conditionalFormatting sqref="K44">
    <cfRule type="containsText" dxfId="247" priority="253" operator="containsText" text="%">
      <formula>NOT(ISERROR(SEARCH("%",K44)))</formula>
    </cfRule>
  </conditionalFormatting>
  <conditionalFormatting sqref="K44">
    <cfRule type="containsText" dxfId="246" priority="252" operator="containsText" text="%">
      <formula>NOT(ISERROR(SEARCH("%",K44)))</formula>
    </cfRule>
  </conditionalFormatting>
  <conditionalFormatting sqref="K44">
    <cfRule type="containsText" dxfId="245" priority="251" operator="containsText" text="%">
      <formula>NOT(ISERROR(SEARCH("%",K44)))</formula>
    </cfRule>
  </conditionalFormatting>
  <conditionalFormatting sqref="K44">
    <cfRule type="containsText" dxfId="244" priority="250" operator="containsText" text="%">
      <formula>NOT(ISERROR(SEARCH("%",K44)))</formula>
    </cfRule>
  </conditionalFormatting>
  <conditionalFormatting sqref="K44">
    <cfRule type="containsText" dxfId="243" priority="249" operator="containsText" text="%">
      <formula>NOT(ISERROR(SEARCH("%",K44)))</formula>
    </cfRule>
  </conditionalFormatting>
  <conditionalFormatting sqref="K44">
    <cfRule type="containsText" dxfId="242" priority="248" operator="containsText" text="%">
      <formula>NOT(ISERROR(SEARCH("%",K44)))</formula>
    </cfRule>
  </conditionalFormatting>
  <conditionalFormatting sqref="K44">
    <cfRule type="containsText" dxfId="241" priority="247" operator="containsText" text="%">
      <formula>NOT(ISERROR(SEARCH("%",K44)))</formula>
    </cfRule>
  </conditionalFormatting>
  <conditionalFormatting sqref="K44">
    <cfRule type="containsText" dxfId="240" priority="246" operator="containsText" text="%">
      <formula>NOT(ISERROR(SEARCH("%",K44)))</formula>
    </cfRule>
  </conditionalFormatting>
  <conditionalFormatting sqref="K44">
    <cfRule type="containsText" dxfId="239" priority="245" operator="containsText" text="%">
      <formula>NOT(ISERROR(SEARCH("%",K44)))</formula>
    </cfRule>
  </conditionalFormatting>
  <conditionalFormatting sqref="K44">
    <cfRule type="containsText" dxfId="238" priority="244" operator="containsText" text="%">
      <formula>NOT(ISERROR(SEARCH("%",K44)))</formula>
    </cfRule>
  </conditionalFormatting>
  <conditionalFormatting sqref="K44">
    <cfRule type="containsText" dxfId="237" priority="243" operator="containsText" text="%">
      <formula>NOT(ISERROR(SEARCH("%",K44)))</formula>
    </cfRule>
  </conditionalFormatting>
  <conditionalFormatting sqref="K44">
    <cfRule type="containsText" dxfId="236" priority="242" operator="containsText" text="%">
      <formula>NOT(ISERROR(SEARCH("%",K44)))</formula>
    </cfRule>
  </conditionalFormatting>
  <conditionalFormatting sqref="K44">
    <cfRule type="containsText" dxfId="235" priority="241" operator="containsText" text="%">
      <formula>NOT(ISERROR(SEARCH("%",K44)))</formula>
    </cfRule>
  </conditionalFormatting>
  <conditionalFormatting sqref="K44">
    <cfRule type="containsText" dxfId="234" priority="240" operator="containsText" text="%">
      <formula>NOT(ISERROR(SEARCH("%",K44)))</formula>
    </cfRule>
  </conditionalFormatting>
  <conditionalFormatting sqref="K44">
    <cfRule type="containsText" dxfId="233" priority="239" operator="containsText" text="%">
      <formula>NOT(ISERROR(SEARCH("%",K44)))</formula>
    </cfRule>
  </conditionalFormatting>
  <conditionalFormatting sqref="K44">
    <cfRule type="containsText" dxfId="232" priority="238" operator="containsText" text="%">
      <formula>NOT(ISERROR(SEARCH("%",K44)))</formula>
    </cfRule>
  </conditionalFormatting>
  <conditionalFormatting sqref="K44">
    <cfRule type="containsText" dxfId="231" priority="237" operator="containsText" text="%">
      <formula>NOT(ISERROR(SEARCH("%",K44)))</formula>
    </cfRule>
  </conditionalFormatting>
  <conditionalFormatting sqref="K44">
    <cfRule type="containsText" dxfId="230" priority="236" operator="containsText" text="%">
      <formula>NOT(ISERROR(SEARCH("%",K44)))</formula>
    </cfRule>
  </conditionalFormatting>
  <conditionalFormatting sqref="K44">
    <cfRule type="containsText" dxfId="229" priority="235" operator="containsText" text="%">
      <formula>NOT(ISERROR(SEARCH("%",K44)))</formula>
    </cfRule>
  </conditionalFormatting>
  <conditionalFormatting sqref="K44">
    <cfRule type="containsText" dxfId="228" priority="234" operator="containsText" text="%">
      <formula>NOT(ISERROR(SEARCH("%",K44)))</formula>
    </cfRule>
  </conditionalFormatting>
  <conditionalFormatting sqref="K44">
    <cfRule type="containsText" dxfId="227" priority="233" operator="containsText" text="%">
      <formula>NOT(ISERROR(SEARCH("%",K44)))</formula>
    </cfRule>
  </conditionalFormatting>
  <conditionalFormatting sqref="K44">
    <cfRule type="containsText" dxfId="226" priority="219" operator="containsText" text="%">
      <formula>NOT(ISERROR(SEARCH("%",K44)))</formula>
    </cfRule>
  </conditionalFormatting>
  <conditionalFormatting sqref="K44">
    <cfRule type="containsText" dxfId="225" priority="218" operator="containsText" text="%">
      <formula>NOT(ISERROR(SEARCH("%",K44)))</formula>
    </cfRule>
  </conditionalFormatting>
  <conditionalFormatting sqref="K44">
    <cfRule type="containsText" dxfId="224" priority="214" operator="containsText" text="%">
      <formula>NOT(ISERROR(SEARCH("%",K44)))</formula>
    </cfRule>
  </conditionalFormatting>
  <conditionalFormatting sqref="K44">
    <cfRule type="containsText" dxfId="223" priority="232" operator="containsText" text="%">
      <formula>NOT(ISERROR(SEARCH("%",K44)))</formula>
    </cfRule>
  </conditionalFormatting>
  <conditionalFormatting sqref="K44">
    <cfRule type="containsText" dxfId="222" priority="212" operator="containsText" text="%">
      <formula>NOT(ISERROR(SEARCH("%",K44)))</formula>
    </cfRule>
  </conditionalFormatting>
  <conditionalFormatting sqref="K44">
    <cfRule type="containsText" dxfId="221" priority="231" operator="containsText" text="%">
      <formula>NOT(ISERROR(SEARCH("%",K44)))</formula>
    </cfRule>
  </conditionalFormatting>
  <conditionalFormatting sqref="K44">
    <cfRule type="containsText" dxfId="220" priority="230" operator="containsText" text="%">
      <formula>NOT(ISERROR(SEARCH("%",K44)))</formula>
    </cfRule>
  </conditionalFormatting>
  <conditionalFormatting sqref="K44">
    <cfRule type="containsText" dxfId="219" priority="229" operator="containsText" text="%">
      <formula>NOT(ISERROR(SEARCH("%",K44)))</formula>
    </cfRule>
  </conditionalFormatting>
  <conditionalFormatting sqref="K44">
    <cfRule type="containsText" dxfId="218" priority="228" operator="containsText" text="%">
      <formula>NOT(ISERROR(SEARCH("%",K44)))</formula>
    </cfRule>
  </conditionalFormatting>
  <conditionalFormatting sqref="K44">
    <cfRule type="containsText" dxfId="217" priority="227" operator="containsText" text="%">
      <formula>NOT(ISERROR(SEARCH("%",K44)))</formula>
    </cfRule>
  </conditionalFormatting>
  <conditionalFormatting sqref="K44">
    <cfRule type="containsText" dxfId="216" priority="226" operator="containsText" text="%">
      <formula>NOT(ISERROR(SEARCH("%",K44)))</formula>
    </cfRule>
  </conditionalFormatting>
  <conditionalFormatting sqref="K44">
    <cfRule type="containsText" dxfId="215" priority="225" operator="containsText" text="%">
      <formula>NOT(ISERROR(SEARCH("%",K44)))</formula>
    </cfRule>
  </conditionalFormatting>
  <conditionalFormatting sqref="K44">
    <cfRule type="containsText" dxfId="214" priority="224" operator="containsText" text="%">
      <formula>NOT(ISERROR(SEARCH("%",K44)))</formula>
    </cfRule>
  </conditionalFormatting>
  <conditionalFormatting sqref="K44">
    <cfRule type="containsText" dxfId="213" priority="223" operator="containsText" text="%">
      <formula>NOT(ISERROR(SEARCH("%",K44)))</formula>
    </cfRule>
  </conditionalFormatting>
  <conditionalFormatting sqref="K44">
    <cfRule type="containsText" dxfId="212" priority="222" operator="containsText" text="%">
      <formula>NOT(ISERROR(SEARCH("%",K44)))</formula>
    </cfRule>
  </conditionalFormatting>
  <conditionalFormatting sqref="K44">
    <cfRule type="containsText" dxfId="211" priority="221" operator="containsText" text="%">
      <formula>NOT(ISERROR(SEARCH("%",K44)))</formula>
    </cfRule>
  </conditionalFormatting>
  <conditionalFormatting sqref="K44">
    <cfRule type="containsText" dxfId="210" priority="220" operator="containsText" text="%">
      <formula>NOT(ISERROR(SEARCH("%",K44)))</formula>
    </cfRule>
  </conditionalFormatting>
  <conditionalFormatting sqref="K44">
    <cfRule type="containsText" dxfId="209" priority="217" operator="containsText" text="%">
      <formula>NOT(ISERROR(SEARCH("%",K44)))</formula>
    </cfRule>
  </conditionalFormatting>
  <conditionalFormatting sqref="K44">
    <cfRule type="containsText" dxfId="208" priority="216" operator="containsText" text="%">
      <formula>NOT(ISERROR(SEARCH("%",K44)))</formula>
    </cfRule>
  </conditionalFormatting>
  <conditionalFormatting sqref="K44">
    <cfRule type="containsText" dxfId="207" priority="215" operator="containsText" text="%">
      <formula>NOT(ISERROR(SEARCH("%",K44)))</formula>
    </cfRule>
  </conditionalFormatting>
  <conditionalFormatting sqref="K44">
    <cfRule type="containsText" dxfId="206" priority="213" operator="containsText" text="%">
      <formula>NOT(ISERROR(SEARCH("%",K44)))</formula>
    </cfRule>
  </conditionalFormatting>
  <conditionalFormatting sqref="K44">
    <cfRule type="containsText" dxfId="205" priority="211" operator="containsText" text="%">
      <formula>NOT(ISERROR(SEARCH("%",K44)))</formula>
    </cfRule>
  </conditionalFormatting>
  <conditionalFormatting sqref="K44">
    <cfRule type="containsText" dxfId="204" priority="210" operator="containsText" text="%">
      <formula>NOT(ISERROR(SEARCH("%",K44)))</formula>
    </cfRule>
  </conditionalFormatting>
  <conditionalFormatting sqref="K44">
    <cfRule type="containsText" dxfId="203" priority="209" operator="containsText" text="%">
      <formula>NOT(ISERROR(SEARCH("%",K44)))</formula>
    </cfRule>
  </conditionalFormatting>
  <conditionalFormatting sqref="K44">
    <cfRule type="containsText" dxfId="202" priority="208" operator="containsText" text="%">
      <formula>NOT(ISERROR(SEARCH("%",K44)))</formula>
    </cfRule>
  </conditionalFormatting>
  <conditionalFormatting sqref="K44">
    <cfRule type="containsText" dxfId="201" priority="207" operator="containsText" text="%">
      <formula>NOT(ISERROR(SEARCH("%",K44)))</formula>
    </cfRule>
  </conditionalFormatting>
  <conditionalFormatting sqref="K44">
    <cfRule type="containsText" dxfId="200" priority="206" operator="containsText" text="%">
      <formula>NOT(ISERROR(SEARCH("%",K44)))</formula>
    </cfRule>
  </conditionalFormatting>
  <conditionalFormatting sqref="K44">
    <cfRule type="containsText" dxfId="199" priority="205" operator="containsText" text="%">
      <formula>NOT(ISERROR(SEARCH("%",K44)))</formula>
    </cfRule>
  </conditionalFormatting>
  <conditionalFormatting sqref="K44">
    <cfRule type="containsText" dxfId="198" priority="204" operator="containsText" text="%">
      <formula>NOT(ISERROR(SEARCH("%",K44)))</formula>
    </cfRule>
  </conditionalFormatting>
  <conditionalFormatting sqref="K44">
    <cfRule type="containsText" dxfId="197" priority="203" operator="containsText" text="%">
      <formula>NOT(ISERROR(SEARCH("%",K44)))</formula>
    </cfRule>
  </conditionalFormatting>
  <conditionalFormatting sqref="K44">
    <cfRule type="containsText" dxfId="196" priority="202" operator="containsText" text="%">
      <formula>NOT(ISERROR(SEARCH("%",K44)))</formula>
    </cfRule>
  </conditionalFormatting>
  <conditionalFormatting sqref="K44">
    <cfRule type="containsText" dxfId="195" priority="201" operator="containsText" text="%">
      <formula>NOT(ISERROR(SEARCH("%",K44)))</formula>
    </cfRule>
  </conditionalFormatting>
  <conditionalFormatting sqref="K44">
    <cfRule type="containsText" dxfId="194" priority="200" operator="containsText" text="%">
      <formula>NOT(ISERROR(SEARCH("%",K44)))</formula>
    </cfRule>
  </conditionalFormatting>
  <conditionalFormatting sqref="K44">
    <cfRule type="containsText" dxfId="193" priority="199" operator="containsText" text="%">
      <formula>NOT(ISERROR(SEARCH("%",K44)))</formula>
    </cfRule>
  </conditionalFormatting>
  <conditionalFormatting sqref="K44">
    <cfRule type="containsText" dxfId="192" priority="198" operator="containsText" text="%">
      <formula>NOT(ISERROR(SEARCH("%",K44)))</formula>
    </cfRule>
  </conditionalFormatting>
  <conditionalFormatting sqref="K44">
    <cfRule type="containsText" dxfId="191" priority="197" operator="containsText" text="%">
      <formula>NOT(ISERROR(SEARCH("%",K44)))</formula>
    </cfRule>
  </conditionalFormatting>
  <conditionalFormatting sqref="K44">
    <cfRule type="containsText" dxfId="190" priority="196" operator="containsText" text="%">
      <formula>NOT(ISERROR(SEARCH("%",K44)))</formula>
    </cfRule>
  </conditionalFormatting>
  <conditionalFormatting sqref="K44">
    <cfRule type="containsText" dxfId="189" priority="195" operator="containsText" text="%">
      <formula>NOT(ISERROR(SEARCH("%",K44)))</formula>
    </cfRule>
  </conditionalFormatting>
  <conditionalFormatting sqref="K44">
    <cfRule type="containsText" dxfId="188" priority="194" operator="containsText" text="%">
      <formula>NOT(ISERROR(SEARCH("%",K44)))</formula>
    </cfRule>
  </conditionalFormatting>
  <conditionalFormatting sqref="K44">
    <cfRule type="containsText" dxfId="187" priority="193" operator="containsText" text="%">
      <formula>NOT(ISERROR(SEARCH("%",K44)))</formula>
    </cfRule>
  </conditionalFormatting>
  <conditionalFormatting sqref="K44">
    <cfRule type="containsText" dxfId="186" priority="192" operator="containsText" text="%">
      <formula>NOT(ISERROR(SEARCH("%",K44)))</formula>
    </cfRule>
  </conditionalFormatting>
  <conditionalFormatting sqref="K44">
    <cfRule type="containsText" dxfId="185" priority="191" operator="containsText" text="%">
      <formula>NOT(ISERROR(SEARCH("%",K44)))</formula>
    </cfRule>
  </conditionalFormatting>
  <conditionalFormatting sqref="K44">
    <cfRule type="containsText" dxfId="184" priority="190" operator="containsText" text="%">
      <formula>NOT(ISERROR(SEARCH("%",K44)))</formula>
    </cfRule>
  </conditionalFormatting>
  <conditionalFormatting sqref="K44">
    <cfRule type="containsText" dxfId="183" priority="189" operator="containsText" text="%">
      <formula>NOT(ISERROR(SEARCH("%",K44)))</formula>
    </cfRule>
  </conditionalFormatting>
  <conditionalFormatting sqref="K44">
    <cfRule type="containsText" dxfId="182" priority="188" operator="containsText" text="%">
      <formula>NOT(ISERROR(SEARCH("%",K44)))</formula>
    </cfRule>
  </conditionalFormatting>
  <conditionalFormatting sqref="K44">
    <cfRule type="containsText" dxfId="181" priority="187" operator="containsText" text="%">
      <formula>NOT(ISERROR(SEARCH("%",K44)))</formula>
    </cfRule>
  </conditionalFormatting>
  <conditionalFormatting sqref="K44">
    <cfRule type="containsText" dxfId="180" priority="186" operator="containsText" text="%">
      <formula>NOT(ISERROR(SEARCH("%",K44)))</formula>
    </cfRule>
  </conditionalFormatting>
  <conditionalFormatting sqref="K44">
    <cfRule type="containsText" dxfId="179" priority="185" operator="containsText" text="%">
      <formula>NOT(ISERROR(SEARCH("%",K44)))</formula>
    </cfRule>
  </conditionalFormatting>
  <conditionalFormatting sqref="K44">
    <cfRule type="containsText" dxfId="178" priority="184" operator="containsText" text="%">
      <formula>NOT(ISERROR(SEARCH("%",K44)))</formula>
    </cfRule>
  </conditionalFormatting>
  <conditionalFormatting sqref="L44">
    <cfRule type="containsText" dxfId="177" priority="183" operator="containsText" text="%">
      <formula>NOT(ISERROR(SEARCH("%",L44)))</formula>
    </cfRule>
  </conditionalFormatting>
  <conditionalFormatting sqref="L44">
    <cfRule type="containsText" dxfId="176" priority="182" operator="containsText" text="%">
      <formula>NOT(ISERROR(SEARCH("%",L44)))</formula>
    </cfRule>
  </conditionalFormatting>
  <conditionalFormatting sqref="L44">
    <cfRule type="containsText" dxfId="175" priority="181" operator="containsText" text="%">
      <formula>NOT(ISERROR(SEARCH("%",L44)))</formula>
    </cfRule>
  </conditionalFormatting>
  <conditionalFormatting sqref="L44">
    <cfRule type="containsText" dxfId="174" priority="180" operator="containsText" text="%">
      <formula>NOT(ISERROR(SEARCH("%",L44)))</formula>
    </cfRule>
  </conditionalFormatting>
  <conditionalFormatting sqref="L44">
    <cfRule type="containsText" dxfId="173" priority="179" operator="containsText" text="%">
      <formula>NOT(ISERROR(SEARCH("%",L44)))</formula>
    </cfRule>
  </conditionalFormatting>
  <conditionalFormatting sqref="L44">
    <cfRule type="containsText" dxfId="172" priority="178" operator="containsText" text="%">
      <formula>NOT(ISERROR(SEARCH("%",L44)))</formula>
    </cfRule>
  </conditionalFormatting>
  <conditionalFormatting sqref="L44">
    <cfRule type="containsText" dxfId="171" priority="164" operator="containsText" text="%">
      <formula>NOT(ISERROR(SEARCH("%",L44)))</formula>
    </cfRule>
  </conditionalFormatting>
  <conditionalFormatting sqref="L44">
    <cfRule type="containsText" dxfId="170" priority="163" operator="containsText" text="%">
      <formula>NOT(ISERROR(SEARCH("%",L44)))</formula>
    </cfRule>
  </conditionalFormatting>
  <conditionalFormatting sqref="L44">
    <cfRule type="containsText" dxfId="169" priority="159" operator="containsText" text="%">
      <formula>NOT(ISERROR(SEARCH("%",L44)))</formula>
    </cfRule>
  </conditionalFormatting>
  <conditionalFormatting sqref="L44">
    <cfRule type="containsText" dxfId="168" priority="177" operator="containsText" text="%">
      <formula>NOT(ISERROR(SEARCH("%",L44)))</formula>
    </cfRule>
  </conditionalFormatting>
  <conditionalFormatting sqref="L44">
    <cfRule type="containsText" dxfId="167" priority="157" operator="containsText" text="%">
      <formula>NOT(ISERROR(SEARCH("%",L44)))</formula>
    </cfRule>
  </conditionalFormatting>
  <conditionalFormatting sqref="L44">
    <cfRule type="containsText" dxfId="166" priority="176" operator="containsText" text="%">
      <formula>NOT(ISERROR(SEARCH("%",L44)))</formula>
    </cfRule>
  </conditionalFormatting>
  <conditionalFormatting sqref="L44">
    <cfRule type="containsText" dxfId="165" priority="175" operator="containsText" text="%">
      <formula>NOT(ISERROR(SEARCH("%",L44)))</formula>
    </cfRule>
  </conditionalFormatting>
  <conditionalFormatting sqref="L44">
    <cfRule type="containsText" dxfId="164" priority="174" operator="containsText" text="%">
      <formula>NOT(ISERROR(SEARCH("%",L44)))</formula>
    </cfRule>
  </conditionalFormatting>
  <conditionalFormatting sqref="L44">
    <cfRule type="containsText" dxfId="163" priority="173" operator="containsText" text="%">
      <formula>NOT(ISERROR(SEARCH("%",L44)))</formula>
    </cfRule>
  </conditionalFormatting>
  <conditionalFormatting sqref="L44">
    <cfRule type="containsText" dxfId="162" priority="172" operator="containsText" text="%">
      <formula>NOT(ISERROR(SEARCH("%",L44)))</formula>
    </cfRule>
  </conditionalFormatting>
  <conditionalFormatting sqref="L44">
    <cfRule type="containsText" dxfId="161" priority="171" operator="containsText" text="%">
      <formula>NOT(ISERROR(SEARCH("%",L44)))</formula>
    </cfRule>
  </conditionalFormatting>
  <conditionalFormatting sqref="L44">
    <cfRule type="containsText" dxfId="160" priority="170" operator="containsText" text="%">
      <formula>NOT(ISERROR(SEARCH("%",L44)))</formula>
    </cfRule>
  </conditionalFormatting>
  <conditionalFormatting sqref="L44">
    <cfRule type="containsText" dxfId="159" priority="169" operator="containsText" text="%">
      <formula>NOT(ISERROR(SEARCH("%",L44)))</formula>
    </cfRule>
  </conditionalFormatting>
  <conditionalFormatting sqref="L44">
    <cfRule type="containsText" dxfId="158" priority="168" operator="containsText" text="%">
      <formula>NOT(ISERROR(SEARCH("%",L44)))</formula>
    </cfRule>
  </conditionalFormatting>
  <conditionalFormatting sqref="L44">
    <cfRule type="containsText" dxfId="157" priority="167" operator="containsText" text="%">
      <formula>NOT(ISERROR(SEARCH("%",L44)))</formula>
    </cfRule>
  </conditionalFormatting>
  <conditionalFormatting sqref="L44">
    <cfRule type="containsText" dxfId="156" priority="166" operator="containsText" text="%">
      <formula>NOT(ISERROR(SEARCH("%",L44)))</formula>
    </cfRule>
  </conditionalFormatting>
  <conditionalFormatting sqref="L44">
    <cfRule type="containsText" dxfId="155" priority="165" operator="containsText" text="%">
      <formula>NOT(ISERROR(SEARCH("%",L44)))</formula>
    </cfRule>
  </conditionalFormatting>
  <conditionalFormatting sqref="L44">
    <cfRule type="containsText" dxfId="154" priority="162" operator="containsText" text="%">
      <formula>NOT(ISERROR(SEARCH("%",L44)))</formula>
    </cfRule>
  </conditionalFormatting>
  <conditionalFormatting sqref="L44">
    <cfRule type="containsText" dxfId="153" priority="161" operator="containsText" text="%">
      <formula>NOT(ISERROR(SEARCH("%",L44)))</formula>
    </cfRule>
  </conditionalFormatting>
  <conditionalFormatting sqref="L44">
    <cfRule type="containsText" dxfId="152" priority="160" operator="containsText" text="%">
      <formula>NOT(ISERROR(SEARCH("%",L44)))</formula>
    </cfRule>
  </conditionalFormatting>
  <conditionalFormatting sqref="L44">
    <cfRule type="containsText" dxfId="151" priority="158" operator="containsText" text="%">
      <formula>NOT(ISERROR(SEARCH("%",L44)))</formula>
    </cfRule>
  </conditionalFormatting>
  <conditionalFormatting sqref="L44">
    <cfRule type="containsText" dxfId="150" priority="156" operator="containsText" text="%">
      <formula>NOT(ISERROR(SEARCH("%",L44)))</formula>
    </cfRule>
  </conditionalFormatting>
  <conditionalFormatting sqref="L44">
    <cfRule type="containsText" dxfId="149" priority="155" operator="containsText" text="%">
      <formula>NOT(ISERROR(SEARCH("%",L44)))</formula>
    </cfRule>
  </conditionalFormatting>
  <conditionalFormatting sqref="L44">
    <cfRule type="containsText" dxfId="148" priority="154" operator="containsText" text="%">
      <formula>NOT(ISERROR(SEARCH("%",L44)))</formula>
    </cfRule>
  </conditionalFormatting>
  <conditionalFormatting sqref="L44">
    <cfRule type="containsText" dxfId="147" priority="153" operator="containsText" text="%">
      <formula>NOT(ISERROR(SEARCH("%",L44)))</formula>
    </cfRule>
  </conditionalFormatting>
  <conditionalFormatting sqref="L44">
    <cfRule type="containsText" dxfId="146" priority="152" operator="containsText" text="%">
      <formula>NOT(ISERROR(SEARCH("%",L44)))</formula>
    </cfRule>
  </conditionalFormatting>
  <conditionalFormatting sqref="L44">
    <cfRule type="containsText" dxfId="145" priority="151" operator="containsText" text="%">
      <formula>NOT(ISERROR(SEARCH("%",L44)))</formula>
    </cfRule>
  </conditionalFormatting>
  <conditionalFormatting sqref="L44">
    <cfRule type="containsText" dxfId="144" priority="150" operator="containsText" text="%">
      <formula>NOT(ISERROR(SEARCH("%",L44)))</formula>
    </cfRule>
  </conditionalFormatting>
  <conditionalFormatting sqref="L44">
    <cfRule type="containsText" dxfId="143" priority="149" operator="containsText" text="%">
      <formula>NOT(ISERROR(SEARCH("%",L44)))</formula>
    </cfRule>
  </conditionalFormatting>
  <conditionalFormatting sqref="L44">
    <cfRule type="containsText" dxfId="142" priority="148" operator="containsText" text="%">
      <formula>NOT(ISERROR(SEARCH("%",L44)))</formula>
    </cfRule>
  </conditionalFormatting>
  <conditionalFormatting sqref="L44">
    <cfRule type="containsText" dxfId="141" priority="147" operator="containsText" text="%">
      <formula>NOT(ISERROR(SEARCH("%",L44)))</formula>
    </cfRule>
  </conditionalFormatting>
  <conditionalFormatting sqref="L44">
    <cfRule type="containsText" dxfId="140" priority="146" operator="containsText" text="%">
      <formula>NOT(ISERROR(SEARCH("%",L44)))</formula>
    </cfRule>
  </conditionalFormatting>
  <conditionalFormatting sqref="L44">
    <cfRule type="containsText" dxfId="139" priority="145" operator="containsText" text="%">
      <formula>NOT(ISERROR(SEARCH("%",L44)))</formula>
    </cfRule>
  </conditionalFormatting>
  <conditionalFormatting sqref="L44">
    <cfRule type="containsText" dxfId="138" priority="144" operator="containsText" text="%">
      <formula>NOT(ISERROR(SEARCH("%",L44)))</formula>
    </cfRule>
  </conditionalFormatting>
  <conditionalFormatting sqref="L44">
    <cfRule type="containsText" dxfId="137" priority="143" operator="containsText" text="%">
      <formula>NOT(ISERROR(SEARCH("%",L44)))</formula>
    </cfRule>
  </conditionalFormatting>
  <conditionalFormatting sqref="L44">
    <cfRule type="containsText" dxfId="136" priority="142" operator="containsText" text="%">
      <formula>NOT(ISERROR(SEARCH("%",L44)))</formula>
    </cfRule>
  </conditionalFormatting>
  <conditionalFormatting sqref="L44">
    <cfRule type="containsText" dxfId="135" priority="141" operator="containsText" text="%">
      <formula>NOT(ISERROR(SEARCH("%",L44)))</formula>
    </cfRule>
  </conditionalFormatting>
  <conditionalFormatting sqref="L44">
    <cfRule type="containsText" dxfId="134" priority="140" operator="containsText" text="%">
      <formula>NOT(ISERROR(SEARCH("%",L44)))</formula>
    </cfRule>
  </conditionalFormatting>
  <conditionalFormatting sqref="L44">
    <cfRule type="containsText" dxfId="133" priority="139" operator="containsText" text="%">
      <formula>NOT(ISERROR(SEARCH("%",L44)))</formula>
    </cfRule>
  </conditionalFormatting>
  <conditionalFormatting sqref="L44">
    <cfRule type="containsText" dxfId="132" priority="138" operator="containsText" text="%">
      <formula>NOT(ISERROR(SEARCH("%",L44)))</formula>
    </cfRule>
  </conditionalFormatting>
  <conditionalFormatting sqref="L44">
    <cfRule type="containsText" dxfId="131" priority="137" operator="containsText" text="%">
      <formula>NOT(ISERROR(SEARCH("%",L44)))</formula>
    </cfRule>
  </conditionalFormatting>
  <conditionalFormatting sqref="L44">
    <cfRule type="containsText" dxfId="130" priority="136" operator="containsText" text="%">
      <formula>NOT(ISERROR(SEARCH("%",L44)))</formula>
    </cfRule>
  </conditionalFormatting>
  <conditionalFormatting sqref="L44">
    <cfRule type="containsText" dxfId="129" priority="135" operator="containsText" text="%">
      <formula>NOT(ISERROR(SEARCH("%",L44)))</formula>
    </cfRule>
  </conditionalFormatting>
  <conditionalFormatting sqref="L44">
    <cfRule type="containsText" dxfId="128" priority="134" operator="containsText" text="%">
      <formula>NOT(ISERROR(SEARCH("%",L44)))</formula>
    </cfRule>
  </conditionalFormatting>
  <conditionalFormatting sqref="L44">
    <cfRule type="containsText" dxfId="127" priority="133" operator="containsText" text="%">
      <formula>NOT(ISERROR(SEARCH("%",L44)))</formula>
    </cfRule>
  </conditionalFormatting>
  <conditionalFormatting sqref="L44">
    <cfRule type="containsText" dxfId="126" priority="132" operator="containsText" text="%">
      <formula>NOT(ISERROR(SEARCH("%",L44)))</formula>
    </cfRule>
  </conditionalFormatting>
  <conditionalFormatting sqref="L44">
    <cfRule type="containsText" dxfId="125" priority="131" operator="containsText" text="%">
      <formula>NOT(ISERROR(SEARCH("%",L44)))</formula>
    </cfRule>
  </conditionalFormatting>
  <conditionalFormatting sqref="L44">
    <cfRule type="containsText" dxfId="124" priority="130" operator="containsText" text="%">
      <formula>NOT(ISERROR(SEARCH("%",L44)))</formula>
    </cfRule>
  </conditionalFormatting>
  <conditionalFormatting sqref="L44">
    <cfRule type="containsText" dxfId="123" priority="129" operator="containsText" text="%">
      <formula>NOT(ISERROR(SEARCH("%",L44)))</formula>
    </cfRule>
  </conditionalFormatting>
  <conditionalFormatting sqref="L44">
    <cfRule type="containsText" dxfId="122" priority="128" operator="containsText" text="%">
      <formula>NOT(ISERROR(SEARCH("%",L44)))</formula>
    </cfRule>
  </conditionalFormatting>
  <conditionalFormatting sqref="L44">
    <cfRule type="containsText" dxfId="121" priority="127" operator="containsText" text="%">
      <formula>NOT(ISERROR(SEARCH("%",L44)))</formula>
    </cfRule>
  </conditionalFormatting>
  <conditionalFormatting sqref="L44">
    <cfRule type="containsText" dxfId="120" priority="126" operator="containsText" text="%">
      <formula>NOT(ISERROR(SEARCH("%",L44)))</formula>
    </cfRule>
  </conditionalFormatting>
  <conditionalFormatting sqref="L44">
    <cfRule type="containsText" dxfId="119" priority="125" operator="containsText" text="%">
      <formula>NOT(ISERROR(SEARCH("%",L44)))</formula>
    </cfRule>
  </conditionalFormatting>
  <conditionalFormatting sqref="L44">
    <cfRule type="containsText" dxfId="118" priority="124" operator="containsText" text="%">
      <formula>NOT(ISERROR(SEARCH("%",L44)))</formula>
    </cfRule>
  </conditionalFormatting>
  <conditionalFormatting sqref="L44">
    <cfRule type="containsText" dxfId="117" priority="123" operator="containsText" text="%">
      <formula>NOT(ISERROR(SEARCH("%",L44)))</formula>
    </cfRule>
  </conditionalFormatting>
  <conditionalFormatting sqref="L44">
    <cfRule type="containsText" dxfId="116" priority="122" operator="containsText" text="%">
      <formula>NOT(ISERROR(SEARCH("%",L44)))</formula>
    </cfRule>
  </conditionalFormatting>
  <conditionalFormatting sqref="L44">
    <cfRule type="containsText" dxfId="115" priority="121" operator="containsText" text="%">
      <formula>NOT(ISERROR(SEARCH("%",L44)))</formula>
    </cfRule>
  </conditionalFormatting>
  <conditionalFormatting sqref="L44">
    <cfRule type="containsText" dxfId="114" priority="120" operator="containsText" text="%">
      <formula>NOT(ISERROR(SEARCH("%",L44)))</formula>
    </cfRule>
  </conditionalFormatting>
  <conditionalFormatting sqref="L44">
    <cfRule type="containsText" dxfId="113" priority="119" operator="containsText" text="%">
      <formula>NOT(ISERROR(SEARCH("%",L44)))</formula>
    </cfRule>
  </conditionalFormatting>
  <conditionalFormatting sqref="L44">
    <cfRule type="containsText" dxfId="112" priority="105" operator="containsText" text="%">
      <formula>NOT(ISERROR(SEARCH("%",L44)))</formula>
    </cfRule>
  </conditionalFormatting>
  <conditionalFormatting sqref="L44">
    <cfRule type="containsText" dxfId="111" priority="104" operator="containsText" text="%">
      <formula>NOT(ISERROR(SEARCH("%",L44)))</formula>
    </cfRule>
  </conditionalFormatting>
  <conditionalFormatting sqref="L44">
    <cfRule type="containsText" dxfId="110" priority="100" operator="containsText" text="%">
      <formula>NOT(ISERROR(SEARCH("%",L44)))</formula>
    </cfRule>
  </conditionalFormatting>
  <conditionalFormatting sqref="L44">
    <cfRule type="containsText" dxfId="109" priority="118" operator="containsText" text="%">
      <formula>NOT(ISERROR(SEARCH("%",L44)))</formula>
    </cfRule>
  </conditionalFormatting>
  <conditionalFormatting sqref="L44">
    <cfRule type="containsText" dxfId="108" priority="98" operator="containsText" text="%">
      <formula>NOT(ISERROR(SEARCH("%",L44)))</formula>
    </cfRule>
  </conditionalFormatting>
  <conditionalFormatting sqref="L44">
    <cfRule type="containsText" dxfId="107" priority="117" operator="containsText" text="%">
      <formula>NOT(ISERROR(SEARCH("%",L44)))</formula>
    </cfRule>
  </conditionalFormatting>
  <conditionalFormatting sqref="L44">
    <cfRule type="containsText" dxfId="106" priority="116" operator="containsText" text="%">
      <formula>NOT(ISERROR(SEARCH("%",L44)))</formula>
    </cfRule>
  </conditionalFormatting>
  <conditionalFormatting sqref="L44">
    <cfRule type="containsText" dxfId="105" priority="115" operator="containsText" text="%">
      <formula>NOT(ISERROR(SEARCH("%",L44)))</formula>
    </cfRule>
  </conditionalFormatting>
  <conditionalFormatting sqref="L44">
    <cfRule type="containsText" dxfId="104" priority="114" operator="containsText" text="%">
      <formula>NOT(ISERROR(SEARCH("%",L44)))</formula>
    </cfRule>
  </conditionalFormatting>
  <conditionalFormatting sqref="L44">
    <cfRule type="containsText" dxfId="103" priority="113" operator="containsText" text="%">
      <formula>NOT(ISERROR(SEARCH("%",L44)))</formula>
    </cfRule>
  </conditionalFormatting>
  <conditionalFormatting sqref="L44">
    <cfRule type="containsText" dxfId="102" priority="112" operator="containsText" text="%">
      <formula>NOT(ISERROR(SEARCH("%",L44)))</formula>
    </cfRule>
  </conditionalFormatting>
  <conditionalFormatting sqref="L44">
    <cfRule type="containsText" dxfId="101" priority="111" operator="containsText" text="%">
      <formula>NOT(ISERROR(SEARCH("%",L44)))</formula>
    </cfRule>
  </conditionalFormatting>
  <conditionalFormatting sqref="L44">
    <cfRule type="containsText" dxfId="100" priority="110" operator="containsText" text="%">
      <formula>NOT(ISERROR(SEARCH("%",L44)))</formula>
    </cfRule>
  </conditionalFormatting>
  <conditionalFormatting sqref="L44">
    <cfRule type="containsText" dxfId="99" priority="109" operator="containsText" text="%">
      <formula>NOT(ISERROR(SEARCH("%",L44)))</formula>
    </cfRule>
  </conditionalFormatting>
  <conditionalFormatting sqref="L44">
    <cfRule type="containsText" dxfId="98" priority="108" operator="containsText" text="%">
      <formula>NOT(ISERROR(SEARCH("%",L44)))</formula>
    </cfRule>
  </conditionalFormatting>
  <conditionalFormatting sqref="L44">
    <cfRule type="containsText" dxfId="97" priority="107" operator="containsText" text="%">
      <formula>NOT(ISERROR(SEARCH("%",L44)))</formula>
    </cfRule>
  </conditionalFormatting>
  <conditionalFormatting sqref="L44">
    <cfRule type="containsText" dxfId="96" priority="106" operator="containsText" text="%">
      <formula>NOT(ISERROR(SEARCH("%",L44)))</formula>
    </cfRule>
  </conditionalFormatting>
  <conditionalFormatting sqref="L44">
    <cfRule type="containsText" dxfId="95" priority="103" operator="containsText" text="%">
      <formula>NOT(ISERROR(SEARCH("%",L44)))</formula>
    </cfRule>
  </conditionalFormatting>
  <conditionalFormatting sqref="L44">
    <cfRule type="containsText" dxfId="94" priority="102" operator="containsText" text="%">
      <formula>NOT(ISERROR(SEARCH("%",L44)))</formula>
    </cfRule>
  </conditionalFormatting>
  <conditionalFormatting sqref="L44">
    <cfRule type="containsText" dxfId="93" priority="101" operator="containsText" text="%">
      <formula>NOT(ISERROR(SEARCH("%",L44)))</formula>
    </cfRule>
  </conditionalFormatting>
  <conditionalFormatting sqref="L44">
    <cfRule type="containsText" dxfId="92" priority="99" operator="containsText" text="%">
      <formula>NOT(ISERROR(SEARCH("%",L44)))</formula>
    </cfRule>
  </conditionalFormatting>
  <conditionalFormatting sqref="L44">
    <cfRule type="containsText" dxfId="91" priority="97" operator="containsText" text="%">
      <formula>NOT(ISERROR(SEARCH("%",L44)))</formula>
    </cfRule>
  </conditionalFormatting>
  <conditionalFormatting sqref="L44">
    <cfRule type="containsText" dxfId="90" priority="96" operator="containsText" text="%">
      <formula>NOT(ISERROR(SEARCH("%",L44)))</formula>
    </cfRule>
  </conditionalFormatting>
  <conditionalFormatting sqref="L44">
    <cfRule type="containsText" dxfId="89" priority="95" operator="containsText" text="%">
      <formula>NOT(ISERROR(SEARCH("%",L44)))</formula>
    </cfRule>
  </conditionalFormatting>
  <conditionalFormatting sqref="L44">
    <cfRule type="containsText" dxfId="88" priority="94" operator="containsText" text="%">
      <formula>NOT(ISERROR(SEARCH("%",L44)))</formula>
    </cfRule>
  </conditionalFormatting>
  <conditionalFormatting sqref="L44">
    <cfRule type="containsText" dxfId="87" priority="93" operator="containsText" text="%">
      <formula>NOT(ISERROR(SEARCH("%",L44)))</formula>
    </cfRule>
  </conditionalFormatting>
  <conditionalFormatting sqref="L44">
    <cfRule type="containsText" dxfId="86" priority="92" operator="containsText" text="%">
      <formula>NOT(ISERROR(SEARCH("%",L44)))</formula>
    </cfRule>
  </conditionalFormatting>
  <conditionalFormatting sqref="L44">
    <cfRule type="containsText" dxfId="85" priority="91" operator="containsText" text="%">
      <formula>NOT(ISERROR(SEARCH("%",L44)))</formula>
    </cfRule>
  </conditionalFormatting>
  <conditionalFormatting sqref="L44">
    <cfRule type="containsText" dxfId="84" priority="90" operator="containsText" text="%">
      <formula>NOT(ISERROR(SEARCH("%",L44)))</formula>
    </cfRule>
  </conditionalFormatting>
  <conditionalFormatting sqref="L44">
    <cfRule type="containsText" dxfId="83" priority="89" operator="containsText" text="%">
      <formula>NOT(ISERROR(SEARCH("%",L44)))</formula>
    </cfRule>
  </conditionalFormatting>
  <conditionalFormatting sqref="L44">
    <cfRule type="containsText" dxfId="82" priority="88" operator="containsText" text="%">
      <formula>NOT(ISERROR(SEARCH("%",L44)))</formula>
    </cfRule>
  </conditionalFormatting>
  <conditionalFormatting sqref="L44">
    <cfRule type="containsText" dxfId="81" priority="87" operator="containsText" text="%">
      <formula>NOT(ISERROR(SEARCH("%",L44)))</formula>
    </cfRule>
  </conditionalFormatting>
  <conditionalFormatting sqref="L44">
    <cfRule type="containsText" dxfId="80" priority="86" operator="containsText" text="%">
      <formula>NOT(ISERROR(SEARCH("%",L44)))</formula>
    </cfRule>
  </conditionalFormatting>
  <conditionalFormatting sqref="L44">
    <cfRule type="containsText" dxfId="79" priority="85" operator="containsText" text="%">
      <formula>NOT(ISERROR(SEARCH("%",L44)))</formula>
    </cfRule>
  </conditionalFormatting>
  <conditionalFormatting sqref="L44">
    <cfRule type="containsText" dxfId="78" priority="84" operator="containsText" text="%">
      <formula>NOT(ISERROR(SEARCH("%",L44)))</formula>
    </cfRule>
  </conditionalFormatting>
  <conditionalFormatting sqref="L44">
    <cfRule type="containsText" dxfId="77" priority="83" operator="containsText" text="%">
      <formula>NOT(ISERROR(SEARCH("%",L44)))</formula>
    </cfRule>
  </conditionalFormatting>
  <conditionalFormatting sqref="L44">
    <cfRule type="containsText" dxfId="76" priority="82" operator="containsText" text="%">
      <formula>NOT(ISERROR(SEARCH("%",L44)))</formula>
    </cfRule>
  </conditionalFormatting>
  <conditionalFormatting sqref="L44">
    <cfRule type="containsText" dxfId="75" priority="81" operator="containsText" text="%">
      <formula>NOT(ISERROR(SEARCH("%",L44)))</formula>
    </cfRule>
  </conditionalFormatting>
  <conditionalFormatting sqref="L44">
    <cfRule type="containsText" dxfId="74" priority="80" operator="containsText" text="%">
      <formula>NOT(ISERROR(SEARCH("%",L44)))</formula>
    </cfRule>
  </conditionalFormatting>
  <conditionalFormatting sqref="L44">
    <cfRule type="containsText" dxfId="73" priority="79" operator="containsText" text="%">
      <formula>NOT(ISERROR(SEARCH("%",L44)))</formula>
    </cfRule>
  </conditionalFormatting>
  <conditionalFormatting sqref="L44">
    <cfRule type="containsText" dxfId="72" priority="78" operator="containsText" text="%">
      <formula>NOT(ISERROR(SEARCH("%",L44)))</formula>
    </cfRule>
  </conditionalFormatting>
  <conditionalFormatting sqref="L44">
    <cfRule type="containsText" dxfId="71" priority="77" operator="containsText" text="%">
      <formula>NOT(ISERROR(SEARCH("%",L44)))</formula>
    </cfRule>
  </conditionalFormatting>
  <conditionalFormatting sqref="L44">
    <cfRule type="containsText" dxfId="70" priority="76" operator="containsText" text="%">
      <formula>NOT(ISERROR(SEARCH("%",L44)))</formula>
    </cfRule>
  </conditionalFormatting>
  <conditionalFormatting sqref="L44">
    <cfRule type="containsText" dxfId="69" priority="75" operator="containsText" text="%">
      <formula>NOT(ISERROR(SEARCH("%",L44)))</formula>
    </cfRule>
  </conditionalFormatting>
  <conditionalFormatting sqref="L44">
    <cfRule type="containsText" dxfId="68" priority="74" operator="containsText" text="%">
      <formula>NOT(ISERROR(SEARCH("%",L44)))</formula>
    </cfRule>
  </conditionalFormatting>
  <conditionalFormatting sqref="L44">
    <cfRule type="containsText" dxfId="67" priority="73" operator="containsText" text="%">
      <formula>NOT(ISERROR(SEARCH("%",L44)))</formula>
    </cfRule>
  </conditionalFormatting>
  <conditionalFormatting sqref="L44">
    <cfRule type="containsText" dxfId="66" priority="72" operator="containsText" text="%">
      <formula>NOT(ISERROR(SEARCH("%",L44)))</formula>
    </cfRule>
  </conditionalFormatting>
  <conditionalFormatting sqref="L44">
    <cfRule type="containsText" dxfId="65" priority="71" operator="containsText" text="%">
      <formula>NOT(ISERROR(SEARCH("%",L44)))</formula>
    </cfRule>
  </conditionalFormatting>
  <conditionalFormatting sqref="L44">
    <cfRule type="containsText" dxfId="64" priority="70" operator="containsText" text="%">
      <formula>NOT(ISERROR(SEARCH("%",L44)))</formula>
    </cfRule>
  </conditionalFormatting>
  <conditionalFormatting sqref="L44">
    <cfRule type="containsText" dxfId="63" priority="69" operator="containsText" text="%">
      <formula>NOT(ISERROR(SEARCH("%",L44)))</formula>
    </cfRule>
  </conditionalFormatting>
  <conditionalFormatting sqref="L44">
    <cfRule type="containsText" dxfId="62" priority="68" operator="containsText" text="%">
      <formula>NOT(ISERROR(SEARCH("%",L44)))</formula>
    </cfRule>
  </conditionalFormatting>
  <conditionalFormatting sqref="L44">
    <cfRule type="containsText" dxfId="61" priority="67" operator="containsText" text="%">
      <formula>NOT(ISERROR(SEARCH("%",L44)))</formula>
    </cfRule>
  </conditionalFormatting>
  <conditionalFormatting sqref="L44">
    <cfRule type="containsText" dxfId="60" priority="66" operator="containsText" text="%">
      <formula>NOT(ISERROR(SEARCH("%",L44)))</formula>
    </cfRule>
  </conditionalFormatting>
  <conditionalFormatting sqref="L44">
    <cfRule type="containsText" dxfId="59" priority="65" operator="containsText" text="%">
      <formula>NOT(ISERROR(SEARCH("%",L44)))</formula>
    </cfRule>
  </conditionalFormatting>
  <conditionalFormatting sqref="L44">
    <cfRule type="containsText" dxfId="58" priority="64" operator="containsText" text="%">
      <formula>NOT(ISERROR(SEARCH("%",L44)))</formula>
    </cfRule>
  </conditionalFormatting>
  <conditionalFormatting sqref="L44">
    <cfRule type="containsText" dxfId="57" priority="63" operator="containsText" text="%">
      <formula>NOT(ISERROR(SEARCH("%",L44)))</formula>
    </cfRule>
  </conditionalFormatting>
  <conditionalFormatting sqref="L44">
    <cfRule type="containsText" dxfId="56" priority="62" operator="containsText" text="%">
      <formula>NOT(ISERROR(SEARCH("%",L44)))</formula>
    </cfRule>
  </conditionalFormatting>
  <conditionalFormatting sqref="L44">
    <cfRule type="containsText" dxfId="55" priority="61" operator="containsText" text="%">
      <formula>NOT(ISERROR(SEARCH("%",L44)))</formula>
    </cfRule>
  </conditionalFormatting>
  <conditionalFormatting sqref="L44">
    <cfRule type="containsText" dxfId="54" priority="60" operator="containsText" text="%">
      <formula>NOT(ISERROR(SEARCH("%",L44)))</formula>
    </cfRule>
  </conditionalFormatting>
  <conditionalFormatting sqref="L44">
    <cfRule type="containsText" dxfId="53" priority="46" operator="containsText" text="%">
      <formula>NOT(ISERROR(SEARCH("%",L44)))</formula>
    </cfRule>
  </conditionalFormatting>
  <conditionalFormatting sqref="L44">
    <cfRule type="containsText" dxfId="52" priority="45" operator="containsText" text="%">
      <formula>NOT(ISERROR(SEARCH("%",L44)))</formula>
    </cfRule>
  </conditionalFormatting>
  <conditionalFormatting sqref="L44">
    <cfRule type="containsText" dxfId="51" priority="41" operator="containsText" text="%">
      <formula>NOT(ISERROR(SEARCH("%",L44)))</formula>
    </cfRule>
  </conditionalFormatting>
  <conditionalFormatting sqref="L44">
    <cfRule type="containsText" dxfId="50" priority="59" operator="containsText" text="%">
      <formula>NOT(ISERROR(SEARCH("%",L44)))</formula>
    </cfRule>
  </conditionalFormatting>
  <conditionalFormatting sqref="L44">
    <cfRule type="containsText" dxfId="49" priority="39" operator="containsText" text="%">
      <formula>NOT(ISERROR(SEARCH("%",L44)))</formula>
    </cfRule>
  </conditionalFormatting>
  <conditionalFormatting sqref="L44">
    <cfRule type="containsText" dxfId="48" priority="58" operator="containsText" text="%">
      <formula>NOT(ISERROR(SEARCH("%",L44)))</formula>
    </cfRule>
  </conditionalFormatting>
  <conditionalFormatting sqref="L44">
    <cfRule type="containsText" dxfId="47" priority="57" operator="containsText" text="%">
      <formula>NOT(ISERROR(SEARCH("%",L44)))</formula>
    </cfRule>
  </conditionalFormatting>
  <conditionalFormatting sqref="L44">
    <cfRule type="containsText" dxfId="46" priority="56" operator="containsText" text="%">
      <formula>NOT(ISERROR(SEARCH("%",L44)))</formula>
    </cfRule>
  </conditionalFormatting>
  <conditionalFormatting sqref="L44">
    <cfRule type="containsText" dxfId="45" priority="55" operator="containsText" text="%">
      <formula>NOT(ISERROR(SEARCH("%",L44)))</formula>
    </cfRule>
  </conditionalFormatting>
  <conditionalFormatting sqref="L44">
    <cfRule type="containsText" dxfId="44" priority="54" operator="containsText" text="%">
      <formula>NOT(ISERROR(SEARCH("%",L44)))</formula>
    </cfRule>
  </conditionalFormatting>
  <conditionalFormatting sqref="L44">
    <cfRule type="containsText" dxfId="43" priority="53" operator="containsText" text="%">
      <formula>NOT(ISERROR(SEARCH("%",L44)))</formula>
    </cfRule>
  </conditionalFormatting>
  <conditionalFormatting sqref="L44">
    <cfRule type="containsText" dxfId="42" priority="52" operator="containsText" text="%">
      <formula>NOT(ISERROR(SEARCH("%",L44)))</formula>
    </cfRule>
  </conditionalFormatting>
  <conditionalFormatting sqref="L44">
    <cfRule type="containsText" dxfId="41" priority="51" operator="containsText" text="%">
      <formula>NOT(ISERROR(SEARCH("%",L44)))</formula>
    </cfRule>
  </conditionalFormatting>
  <conditionalFormatting sqref="L44">
    <cfRule type="containsText" dxfId="40" priority="50" operator="containsText" text="%">
      <formula>NOT(ISERROR(SEARCH("%",L44)))</formula>
    </cfRule>
  </conditionalFormatting>
  <conditionalFormatting sqref="L44">
    <cfRule type="containsText" dxfId="39" priority="49" operator="containsText" text="%">
      <formula>NOT(ISERROR(SEARCH("%",L44)))</formula>
    </cfRule>
  </conditionalFormatting>
  <conditionalFormatting sqref="L44">
    <cfRule type="containsText" dxfId="38" priority="48" operator="containsText" text="%">
      <formula>NOT(ISERROR(SEARCH("%",L44)))</formula>
    </cfRule>
  </conditionalFormatting>
  <conditionalFormatting sqref="L44">
    <cfRule type="containsText" dxfId="37" priority="47" operator="containsText" text="%">
      <formula>NOT(ISERROR(SEARCH("%",L44)))</formula>
    </cfRule>
  </conditionalFormatting>
  <conditionalFormatting sqref="L44">
    <cfRule type="containsText" dxfId="36" priority="44" operator="containsText" text="%">
      <formula>NOT(ISERROR(SEARCH("%",L44)))</formula>
    </cfRule>
  </conditionalFormatting>
  <conditionalFormatting sqref="L44">
    <cfRule type="containsText" dxfId="35" priority="43" operator="containsText" text="%">
      <formula>NOT(ISERROR(SEARCH("%",L44)))</formula>
    </cfRule>
  </conditionalFormatting>
  <conditionalFormatting sqref="L44">
    <cfRule type="containsText" dxfId="34" priority="42" operator="containsText" text="%">
      <formula>NOT(ISERROR(SEARCH("%",L44)))</formula>
    </cfRule>
  </conditionalFormatting>
  <conditionalFormatting sqref="L44">
    <cfRule type="containsText" dxfId="33" priority="40" operator="containsText" text="%">
      <formula>NOT(ISERROR(SEARCH("%",L44)))</formula>
    </cfRule>
  </conditionalFormatting>
  <conditionalFormatting sqref="L44">
    <cfRule type="containsText" dxfId="32" priority="38" operator="containsText" text="%">
      <formula>NOT(ISERROR(SEARCH("%",L44)))</formula>
    </cfRule>
  </conditionalFormatting>
  <conditionalFormatting sqref="L44">
    <cfRule type="containsText" dxfId="31" priority="37" operator="containsText" text="%">
      <formula>NOT(ISERROR(SEARCH("%",L44)))</formula>
    </cfRule>
  </conditionalFormatting>
  <conditionalFormatting sqref="L44">
    <cfRule type="containsText" dxfId="30" priority="36" operator="containsText" text="%">
      <formula>NOT(ISERROR(SEARCH("%",L44)))</formula>
    </cfRule>
  </conditionalFormatting>
  <conditionalFormatting sqref="L44">
    <cfRule type="containsText" dxfId="29" priority="35" operator="containsText" text="%">
      <formula>NOT(ISERROR(SEARCH("%",L44)))</formula>
    </cfRule>
  </conditionalFormatting>
  <conditionalFormatting sqref="L44">
    <cfRule type="containsText" dxfId="28" priority="34" operator="containsText" text="%">
      <formula>NOT(ISERROR(SEARCH("%",L44)))</formula>
    </cfRule>
  </conditionalFormatting>
  <conditionalFormatting sqref="L44">
    <cfRule type="containsText" dxfId="27" priority="33" operator="containsText" text="%">
      <formula>NOT(ISERROR(SEARCH("%",L44)))</formula>
    </cfRule>
  </conditionalFormatting>
  <conditionalFormatting sqref="L44">
    <cfRule type="containsText" dxfId="26" priority="32" operator="containsText" text="%">
      <formula>NOT(ISERROR(SEARCH("%",L44)))</formula>
    </cfRule>
  </conditionalFormatting>
  <conditionalFormatting sqref="L44">
    <cfRule type="containsText" dxfId="25" priority="31" operator="containsText" text="%">
      <formula>NOT(ISERROR(SEARCH("%",L44)))</formula>
    </cfRule>
  </conditionalFormatting>
  <conditionalFormatting sqref="L44">
    <cfRule type="containsText" dxfId="24" priority="30" operator="containsText" text="%">
      <formula>NOT(ISERROR(SEARCH("%",L44)))</formula>
    </cfRule>
  </conditionalFormatting>
  <conditionalFormatting sqref="L44">
    <cfRule type="containsText" dxfId="23" priority="29" operator="containsText" text="%">
      <formula>NOT(ISERROR(SEARCH("%",L44)))</formula>
    </cfRule>
  </conditionalFormatting>
  <conditionalFormatting sqref="L44">
    <cfRule type="containsText" dxfId="22" priority="28" operator="containsText" text="%">
      <formula>NOT(ISERROR(SEARCH("%",L44)))</formula>
    </cfRule>
  </conditionalFormatting>
  <conditionalFormatting sqref="L44">
    <cfRule type="containsText" dxfId="21" priority="27" operator="containsText" text="%">
      <formula>NOT(ISERROR(SEARCH("%",L44)))</formula>
    </cfRule>
  </conditionalFormatting>
  <conditionalFormatting sqref="L44">
    <cfRule type="containsText" dxfId="20" priority="26" operator="containsText" text="%">
      <formula>NOT(ISERROR(SEARCH("%",L44)))</formula>
    </cfRule>
  </conditionalFormatting>
  <conditionalFormatting sqref="L44">
    <cfRule type="containsText" dxfId="19" priority="25" operator="containsText" text="%">
      <formula>NOT(ISERROR(SEARCH("%",L44)))</formula>
    </cfRule>
  </conditionalFormatting>
  <conditionalFormatting sqref="L44">
    <cfRule type="containsText" dxfId="18" priority="24" operator="containsText" text="%">
      <formula>NOT(ISERROR(SEARCH("%",L44)))</formula>
    </cfRule>
  </conditionalFormatting>
  <conditionalFormatting sqref="L44">
    <cfRule type="containsText" dxfId="17" priority="23" operator="containsText" text="%">
      <formula>NOT(ISERROR(SEARCH("%",L44)))</formula>
    </cfRule>
  </conditionalFormatting>
  <conditionalFormatting sqref="L44">
    <cfRule type="containsText" dxfId="16" priority="22" operator="containsText" text="%">
      <formula>NOT(ISERROR(SEARCH("%",L44)))</formula>
    </cfRule>
  </conditionalFormatting>
  <conditionalFormatting sqref="L44">
    <cfRule type="containsText" dxfId="15" priority="21" operator="containsText" text="%">
      <formula>NOT(ISERROR(SEARCH("%",L44)))</formula>
    </cfRule>
  </conditionalFormatting>
  <conditionalFormatting sqref="L44">
    <cfRule type="containsText" dxfId="14" priority="20" operator="containsText" text="%">
      <formula>NOT(ISERROR(SEARCH("%",L44)))</formula>
    </cfRule>
  </conditionalFormatting>
  <conditionalFormatting sqref="L44">
    <cfRule type="containsText" dxfId="13" priority="19" operator="containsText" text="%">
      <formula>NOT(ISERROR(SEARCH("%",L44)))</formula>
    </cfRule>
  </conditionalFormatting>
  <conditionalFormatting sqref="L44">
    <cfRule type="containsText" dxfId="12" priority="18" operator="containsText" text="%">
      <formula>NOT(ISERROR(SEARCH("%",L44)))</formula>
    </cfRule>
  </conditionalFormatting>
  <conditionalFormatting sqref="L44">
    <cfRule type="containsText" dxfId="11" priority="17" operator="containsText" text="%">
      <formula>NOT(ISERROR(SEARCH("%",L44)))</formula>
    </cfRule>
  </conditionalFormatting>
  <conditionalFormatting sqref="L44">
    <cfRule type="containsText" dxfId="10" priority="16" operator="containsText" text="%">
      <formula>NOT(ISERROR(SEARCH("%",L44)))</formula>
    </cfRule>
  </conditionalFormatting>
  <conditionalFormatting sqref="L44">
    <cfRule type="containsText" dxfId="9" priority="15" operator="containsText" text="%">
      <formula>NOT(ISERROR(SEARCH("%",L44)))</formula>
    </cfRule>
  </conditionalFormatting>
  <conditionalFormatting sqref="L44">
    <cfRule type="containsText" dxfId="8" priority="14" operator="containsText" text="%">
      <formula>NOT(ISERROR(SEARCH("%",L44)))</formula>
    </cfRule>
  </conditionalFormatting>
  <conditionalFormatting sqref="L44">
    <cfRule type="containsText" dxfId="7" priority="13" operator="containsText" text="%">
      <formula>NOT(ISERROR(SEARCH("%",L44)))</formula>
    </cfRule>
  </conditionalFormatting>
  <conditionalFormatting sqref="L44">
    <cfRule type="containsText" dxfId="6" priority="12" operator="containsText" text="%">
      <formula>NOT(ISERROR(SEARCH("%",L44)))</formula>
    </cfRule>
  </conditionalFormatting>
  <conditionalFormatting sqref="L44">
    <cfRule type="containsText" dxfId="5" priority="11" operator="containsText" text="%">
      <formula>NOT(ISERROR(SEARCH("%",L44)))</formula>
    </cfRule>
  </conditionalFormatting>
  <conditionalFormatting sqref="G53:M53">
    <cfRule type="containsText" dxfId="4" priority="10" operator="containsText" text="%">
      <formula>NOT(ISERROR(SEARCH("%",G53)))</formula>
    </cfRule>
  </conditionalFormatting>
  <conditionalFormatting sqref="G53:M53">
    <cfRule type="containsText" dxfId="3" priority="9" operator="containsText" text="%">
      <formula>NOT(ISERROR(SEARCH("%",G53)))</formula>
    </cfRule>
  </conditionalFormatting>
  <conditionalFormatting sqref="M12">
    <cfRule type="containsText" dxfId="2" priority="3" operator="containsText" text="%">
      <formula>NOT(ISERROR(SEARCH("%",M12)))</formula>
    </cfRule>
  </conditionalFormatting>
  <conditionalFormatting sqref="M12">
    <cfRule type="containsText" dxfId="1" priority="2" operator="containsText" text="%">
      <formula>NOT(ISERROR(SEARCH("%",M12)))</formula>
    </cfRule>
  </conditionalFormatting>
  <conditionalFormatting sqref="M12">
    <cfRule type="containsText" dxfId="0" priority="1" operator="containsText" text="%">
      <formula>NOT(ISERROR(SEARCH("%",M12)))</formula>
    </cfRule>
  </conditionalFormatting>
  <printOptions horizontalCentered="1"/>
  <pageMargins left="0.19685039370078741" right="0.19685039370078741" top="0.78740157480314965" bottom="0.19685039370078741" header="0" footer="0"/>
  <pageSetup scale="40" orientation="landscape" r:id="rId1"/>
  <drawing r:id="rId2"/>
</worksheet>
</file>

<file path=xl/worksheets/sheet6.xml><?xml version="1.0" encoding="utf-8"?>
<worksheet xmlns="http://schemas.openxmlformats.org/spreadsheetml/2006/main" xmlns:r="http://schemas.openxmlformats.org/officeDocument/2006/relationships">
  <sheetPr codeName="Plan6"/>
  <dimension ref="B1:E49"/>
  <sheetViews>
    <sheetView view="pageBreakPreview" zoomScale="90" zoomScaleSheetLayoutView="90" workbookViewId="0">
      <selection activeCell="B30" sqref="B30:D44"/>
    </sheetView>
  </sheetViews>
  <sheetFormatPr defaultRowHeight="12.75"/>
  <cols>
    <col min="1" max="1" width="5.7109375" customWidth="1"/>
    <col min="2" max="2" width="5.85546875" customWidth="1"/>
    <col min="3" max="3" width="82.85546875" bestFit="1" customWidth="1"/>
    <col min="4" max="4" width="20.7109375" bestFit="1" customWidth="1"/>
  </cols>
  <sheetData>
    <row r="1" spans="2:4" ht="21.75" customHeight="1" thickBot="1"/>
    <row r="2" spans="2:4">
      <c r="B2" s="889" t="s">
        <v>601</v>
      </c>
      <c r="C2" s="890"/>
      <c r="D2" s="891"/>
    </row>
    <row r="3" spans="2:4">
      <c r="B3" s="892"/>
      <c r="C3" s="893"/>
      <c r="D3" s="894"/>
    </row>
    <row r="4" spans="2:4">
      <c r="B4" s="892"/>
      <c r="C4" s="893"/>
      <c r="D4" s="894"/>
    </row>
    <row r="5" spans="2:4">
      <c r="B5" s="895"/>
      <c r="C5" s="896"/>
      <c r="D5" s="897"/>
    </row>
    <row r="6" spans="2:4" ht="16.5">
      <c r="B6" s="898" t="s">
        <v>18</v>
      </c>
      <c r="C6" s="899"/>
      <c r="D6" s="182" t="s">
        <v>602</v>
      </c>
    </row>
    <row r="7" spans="2:4" ht="15.75">
      <c r="B7" s="900" t="s">
        <v>603</v>
      </c>
      <c r="C7" s="901"/>
      <c r="D7" s="183"/>
    </row>
    <row r="8" spans="2:4" ht="47.25">
      <c r="B8" s="184" t="s">
        <v>604</v>
      </c>
      <c r="C8" s="20" t="s">
        <v>605</v>
      </c>
      <c r="D8" s="185">
        <v>0.04</v>
      </c>
    </row>
    <row r="9" spans="2:4" ht="15.75">
      <c r="B9" s="184"/>
      <c r="C9" s="21" t="s">
        <v>606</v>
      </c>
      <c r="D9" s="186">
        <f>SUM(D8)</f>
        <v>0.04</v>
      </c>
    </row>
    <row r="10" spans="2:4" ht="15.75">
      <c r="B10" s="184"/>
      <c r="C10" s="20"/>
      <c r="D10" s="186"/>
    </row>
    <row r="11" spans="2:4" ht="15.75">
      <c r="B11" s="900" t="s">
        <v>607</v>
      </c>
      <c r="C11" s="901"/>
      <c r="D11" s="186"/>
    </row>
    <row r="12" spans="2:4" ht="15.75">
      <c r="B12" s="184" t="s">
        <v>608</v>
      </c>
      <c r="C12" s="20" t="s">
        <v>609</v>
      </c>
      <c r="D12" s="185">
        <v>1.21E-2</v>
      </c>
    </row>
    <row r="13" spans="2:4" ht="15.75">
      <c r="B13" s="184" t="s">
        <v>610</v>
      </c>
      <c r="C13" s="20" t="s">
        <v>611</v>
      </c>
      <c r="D13" s="185">
        <v>4.0000000000000001E-3</v>
      </c>
    </row>
    <row r="14" spans="2:4" ht="15.75">
      <c r="B14" s="184" t="s">
        <v>610</v>
      </c>
      <c r="C14" s="20" t="s">
        <v>612</v>
      </c>
      <c r="D14" s="185">
        <v>4.0000000000000001E-3</v>
      </c>
    </row>
    <row r="15" spans="2:4" ht="15.75">
      <c r="B15" s="184" t="s">
        <v>613</v>
      </c>
      <c r="C15" s="22" t="s">
        <v>614</v>
      </c>
      <c r="D15" s="185">
        <v>1.2E-2</v>
      </c>
    </row>
    <row r="16" spans="2:4" ht="15.75">
      <c r="B16" s="184" t="s">
        <v>615</v>
      </c>
      <c r="C16" s="20" t="s">
        <v>616</v>
      </c>
      <c r="D16" s="185">
        <v>7.3999999999999996E-2</v>
      </c>
    </row>
    <row r="17" spans="2:5" ht="15.75">
      <c r="B17" s="184"/>
      <c r="C17" s="21" t="s">
        <v>617</v>
      </c>
      <c r="D17" s="186">
        <f>SUM(D12:D16)</f>
        <v>0.1061</v>
      </c>
    </row>
    <row r="18" spans="2:5" ht="15.75">
      <c r="B18" s="184"/>
      <c r="C18" s="23"/>
      <c r="D18" s="186"/>
    </row>
    <row r="19" spans="2:5" ht="15.75">
      <c r="B19" s="900" t="s">
        <v>618</v>
      </c>
      <c r="C19" s="901"/>
      <c r="D19" s="186"/>
    </row>
    <row r="20" spans="2:5" ht="15.75">
      <c r="B20" s="184" t="s">
        <v>619</v>
      </c>
      <c r="C20" s="24" t="s">
        <v>672</v>
      </c>
      <c r="D20" s="186"/>
    </row>
    <row r="21" spans="2:5" ht="15.75">
      <c r="B21" s="184" t="s">
        <v>620</v>
      </c>
      <c r="C21" s="25" t="s">
        <v>621</v>
      </c>
      <c r="D21" s="185">
        <v>0.4</v>
      </c>
    </row>
    <row r="22" spans="2:5" ht="15.75">
      <c r="B22" s="184" t="s">
        <v>622</v>
      </c>
      <c r="C22" s="26" t="s">
        <v>623</v>
      </c>
      <c r="D22" s="185">
        <v>0.05</v>
      </c>
    </row>
    <row r="23" spans="2:5" ht="15.75">
      <c r="B23" s="184" t="s">
        <v>624</v>
      </c>
      <c r="C23" s="27" t="s">
        <v>625</v>
      </c>
      <c r="D23" s="186">
        <f>D22*D21</f>
        <v>2.0000000000000004E-2</v>
      </c>
    </row>
    <row r="24" spans="2:5" ht="15.75">
      <c r="B24" s="184" t="s">
        <v>626</v>
      </c>
      <c r="C24" s="23" t="s">
        <v>627</v>
      </c>
      <c r="D24" s="187">
        <v>6.4999999999999997E-3</v>
      </c>
    </row>
    <row r="25" spans="2:5" ht="15.75">
      <c r="B25" s="184" t="s">
        <v>628</v>
      </c>
      <c r="C25" s="23" t="s">
        <v>629</v>
      </c>
      <c r="D25" s="187">
        <v>0.03</v>
      </c>
    </row>
    <row r="26" spans="2:5" ht="15.75">
      <c r="B26" s="184" t="s">
        <v>670</v>
      </c>
      <c r="C26" s="23" t="s">
        <v>671</v>
      </c>
      <c r="D26" s="187">
        <v>4.4999999999999998E-2</v>
      </c>
    </row>
    <row r="27" spans="2:5" ht="15.75">
      <c r="B27" s="184"/>
      <c r="C27" s="21" t="s">
        <v>630</v>
      </c>
      <c r="D27" s="186">
        <f>SUM(D23:D26)</f>
        <v>0.10150000000000001</v>
      </c>
    </row>
    <row r="28" spans="2:5" ht="15.75">
      <c r="B28" s="188"/>
      <c r="C28" s="28"/>
      <c r="D28" s="186"/>
    </row>
    <row r="29" spans="2:5" ht="15.75">
      <c r="B29" s="900" t="s">
        <v>631</v>
      </c>
      <c r="C29" s="901"/>
      <c r="D29" s="186">
        <f>ROUND((1+D8+D13+D15+D14)*(1+D12)*(1+D16)/(1-D27)-1,4)</f>
        <v>0.28239999999999998</v>
      </c>
      <c r="E29" s="70">
        <f>1+D29</f>
        <v>1.2824</v>
      </c>
    </row>
    <row r="30" spans="2:5">
      <c r="B30" s="886" t="s">
        <v>632</v>
      </c>
      <c r="C30" s="887"/>
      <c r="D30" s="888"/>
    </row>
    <row r="31" spans="2:5">
      <c r="B31" s="886"/>
      <c r="C31" s="887"/>
      <c r="D31" s="888"/>
    </row>
    <row r="32" spans="2:5">
      <c r="B32" s="886"/>
      <c r="C32" s="887"/>
      <c r="D32" s="888"/>
    </row>
    <row r="33" spans="2:4">
      <c r="B33" s="886"/>
      <c r="C33" s="887"/>
      <c r="D33" s="888"/>
    </row>
    <row r="34" spans="2:4">
      <c r="B34" s="886"/>
      <c r="C34" s="887"/>
      <c r="D34" s="888"/>
    </row>
    <row r="35" spans="2:4">
      <c r="B35" s="886"/>
      <c r="C35" s="887"/>
      <c r="D35" s="888"/>
    </row>
    <row r="36" spans="2:4">
      <c r="B36" s="886"/>
      <c r="C36" s="887"/>
      <c r="D36" s="888"/>
    </row>
    <row r="37" spans="2:4">
      <c r="B37" s="886"/>
      <c r="C37" s="887"/>
      <c r="D37" s="888"/>
    </row>
    <row r="38" spans="2:4">
      <c r="B38" s="886"/>
      <c r="C38" s="887"/>
      <c r="D38" s="888"/>
    </row>
    <row r="39" spans="2:4">
      <c r="B39" s="886"/>
      <c r="C39" s="887"/>
      <c r="D39" s="888"/>
    </row>
    <row r="40" spans="2:4">
      <c r="B40" s="886"/>
      <c r="C40" s="887"/>
      <c r="D40" s="888"/>
    </row>
    <row r="41" spans="2:4">
      <c r="B41" s="886"/>
      <c r="C41" s="887"/>
      <c r="D41" s="888"/>
    </row>
    <row r="42" spans="2:4">
      <c r="B42" s="886"/>
      <c r="C42" s="887"/>
      <c r="D42" s="888"/>
    </row>
    <row r="43" spans="2:4">
      <c r="B43" s="886"/>
      <c r="C43" s="887"/>
      <c r="D43" s="888"/>
    </row>
    <row r="44" spans="2:4" ht="56.25" customHeight="1">
      <c r="B44" s="886"/>
      <c r="C44" s="887"/>
      <c r="D44" s="888"/>
    </row>
    <row r="45" spans="2:4" ht="75" customHeight="1">
      <c r="B45" s="14"/>
      <c r="C45" s="189"/>
      <c r="D45" s="16"/>
    </row>
    <row r="46" spans="2:4">
      <c r="B46" s="14"/>
      <c r="C46" s="298" t="str">
        <f>'3-CRONOGRAMA'!C57</f>
        <v>VITOR GUSTAVO VERHALEN</v>
      </c>
      <c r="D46" s="16"/>
    </row>
    <row r="47" spans="2:4">
      <c r="B47" s="14"/>
      <c r="C47" s="117" t="str">
        <f>'3-CRONOGRAMA'!C58</f>
        <v>ENGENHEIRO CIVIL</v>
      </c>
      <c r="D47" s="16"/>
    </row>
    <row r="48" spans="2:4" ht="15">
      <c r="B48" s="14"/>
      <c r="C48" s="230" t="str">
        <f>'3-CRONOGRAMA'!C59</f>
        <v>CREA MT 49989</v>
      </c>
      <c r="D48" s="16"/>
    </row>
    <row r="49" spans="2:4" ht="15.75" thickBot="1">
      <c r="B49" s="176"/>
      <c r="C49" s="230"/>
      <c r="D49" s="179"/>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sheetPr codeName="Plan7"/>
  <dimension ref="A1:K931"/>
  <sheetViews>
    <sheetView showZeros="0" view="pageBreakPreview" zoomScale="80" zoomScaleNormal="70" zoomScaleSheetLayoutView="80" workbookViewId="0">
      <selection activeCell="C933" sqref="C933"/>
    </sheetView>
  </sheetViews>
  <sheetFormatPr defaultRowHeight="12.75"/>
  <cols>
    <col min="1" max="1" width="3.85546875" style="64" customWidth="1"/>
    <col min="2" max="2" width="16.28515625" style="68" bestFit="1" customWidth="1"/>
    <col min="3" max="3" width="15.28515625" style="68" bestFit="1" customWidth="1"/>
    <col min="4" max="4" width="10.42578125" style="69" bestFit="1" customWidth="1"/>
    <col min="5" max="5" width="62.85546875" style="191" customWidth="1"/>
    <col min="6" max="6" width="9.28515625" style="231" bestFit="1" customWidth="1"/>
    <col min="7" max="7" width="12.28515625" style="247" bestFit="1" customWidth="1"/>
    <col min="8" max="8" width="13.140625" style="253" bestFit="1" customWidth="1"/>
    <col min="9" max="9" width="15.42578125" style="253" bestFit="1" customWidth="1"/>
    <col min="10" max="10" width="15.28515625" style="64" bestFit="1" customWidth="1"/>
    <col min="11" max="11" width="14.28515625" style="64" bestFit="1" customWidth="1"/>
    <col min="12" max="16384" width="9.140625" style="64"/>
  </cols>
  <sheetData>
    <row r="1" spans="1:9" ht="13.5" thickBot="1"/>
    <row r="2" spans="1:9" ht="115.5" customHeight="1" thickBot="1">
      <c r="B2" s="902"/>
      <c r="C2" s="903"/>
      <c r="D2" s="903"/>
      <c r="E2" s="903"/>
      <c r="F2" s="903"/>
      <c r="G2" s="903"/>
      <c r="H2" s="903"/>
      <c r="I2" s="904"/>
    </row>
    <row r="3" spans="1:9">
      <c r="B3" s="914" t="str">
        <f>'2-ORÇAMENTO'!B3:K3</f>
        <v xml:space="preserve">OBRA:  FINALIZAÇÃO DO SALDO REMANESCENTE DA CONSTRUÇÃO DA ESCOLA MUNICIPAL DE EDUCAÇÃO BASICA </v>
      </c>
      <c r="C3" s="915"/>
      <c r="D3" s="915"/>
      <c r="E3" s="915"/>
      <c r="F3" s="915"/>
      <c r="G3" s="915"/>
      <c r="H3" s="915"/>
      <c r="I3" s="916"/>
    </row>
    <row r="4" spans="1:9">
      <c r="B4" s="914" t="str">
        <f>'2-ORÇAMENTO'!B4:K4</f>
        <v>LOCAL: EMEB ALINO FERREIRA DE MAGALHÃES</v>
      </c>
      <c r="C4" s="915"/>
      <c r="D4" s="915"/>
      <c r="E4" s="915"/>
      <c r="F4" s="915"/>
      <c r="G4" s="915"/>
      <c r="H4" s="915"/>
      <c r="I4" s="916"/>
    </row>
    <row r="5" spans="1:9">
      <c r="B5" s="914" t="str">
        <f>'2-ORÇAMENTO'!B5:K5</f>
        <v>ENDEREÇO: AVENIDA VERDÃO, ESQUINA COM RUA B, BAIRRO ALTO DA BOA VISTA - CRISTO REI, CEP 78120-550</v>
      </c>
      <c r="C5" s="915"/>
      <c r="D5" s="915"/>
      <c r="E5" s="915"/>
      <c r="F5" s="915"/>
      <c r="G5" s="915"/>
      <c r="H5" s="915"/>
      <c r="I5" s="916"/>
    </row>
    <row r="6" spans="1:9" ht="15" customHeight="1">
      <c r="B6" s="914" t="str">
        <f>'2-ORÇAMENTO'!B6:K6</f>
        <v>MUNICÍPIO: VÁRZEA GRANDE - MT</v>
      </c>
      <c r="C6" s="915"/>
      <c r="D6" s="915"/>
      <c r="E6" s="915"/>
      <c r="F6" s="915"/>
      <c r="G6" s="915"/>
      <c r="H6" s="915"/>
      <c r="I6" s="916"/>
    </row>
    <row r="7" spans="1:9" ht="13.5" thickBot="1">
      <c r="B7" s="914" t="str">
        <f>'2-ORÇAMENTO'!B7:K7</f>
        <v>DATA BASE: SINAPI-MT JULHO/COM DESONERAÇÃO/2021 - BDI - 28,24%</v>
      </c>
      <c r="C7" s="915"/>
      <c r="D7" s="915"/>
      <c r="E7" s="915"/>
      <c r="F7" s="915"/>
      <c r="G7" s="915"/>
      <c r="H7" s="915"/>
      <c r="I7" s="916"/>
    </row>
    <row r="8" spans="1:9" ht="13.5" thickBot="1">
      <c r="B8" s="905" t="s">
        <v>579</v>
      </c>
      <c r="C8" s="906"/>
      <c r="D8" s="907"/>
      <c r="E8" s="908" t="s">
        <v>18</v>
      </c>
      <c r="F8" s="908" t="s">
        <v>576</v>
      </c>
      <c r="G8" s="910" t="s">
        <v>580</v>
      </c>
      <c r="H8" s="912" t="s">
        <v>577</v>
      </c>
      <c r="I8" s="912" t="s">
        <v>578</v>
      </c>
    </row>
    <row r="9" spans="1:9" ht="13.5" thickBot="1">
      <c r="A9" s="66"/>
      <c r="B9" s="243" t="s">
        <v>574</v>
      </c>
      <c r="C9" s="243" t="s">
        <v>575</v>
      </c>
      <c r="D9" s="244" t="s">
        <v>2</v>
      </c>
      <c r="E9" s="909"/>
      <c r="F9" s="909"/>
      <c r="G9" s="911" t="s">
        <v>33</v>
      </c>
      <c r="H9" s="913"/>
      <c r="I9" s="913"/>
    </row>
    <row r="10" spans="1:9">
      <c r="B10" s="240"/>
      <c r="C10" s="240"/>
      <c r="D10" s="241"/>
      <c r="E10" s="242"/>
      <c r="F10" s="460"/>
      <c r="G10" s="248"/>
      <c r="H10" s="254"/>
      <c r="I10" s="254"/>
    </row>
    <row r="11" spans="1:9">
      <c r="B11" s="212" t="s">
        <v>4270</v>
      </c>
      <c r="C11" s="133"/>
      <c r="D11" s="67"/>
      <c r="E11" s="211"/>
      <c r="F11" s="454"/>
      <c r="G11" s="249"/>
      <c r="H11" s="255"/>
      <c r="I11" s="255"/>
    </row>
    <row r="12" spans="1:9" ht="13.5" thickBot="1">
      <c r="B12" s="514"/>
      <c r="C12" s="515"/>
      <c r="D12" s="516"/>
      <c r="E12" s="517"/>
      <c r="F12" s="518"/>
      <c r="G12" s="519"/>
      <c r="H12" s="520"/>
      <c r="I12" s="520"/>
    </row>
    <row r="13" spans="1:9" s="132" customFormat="1" ht="13.5" thickBot="1">
      <c r="B13" s="604" t="s">
        <v>7384</v>
      </c>
      <c r="C13" s="605"/>
      <c r="D13" s="605"/>
      <c r="E13" s="606" t="s">
        <v>5761</v>
      </c>
      <c r="F13" s="607" t="s">
        <v>684</v>
      </c>
      <c r="G13" s="608"/>
      <c r="H13" s="609"/>
      <c r="I13" s="610">
        <f>TRUNC(SUM(I14:I20),2)</f>
        <v>312.14999999999998</v>
      </c>
    </row>
    <row r="14" spans="1:9" s="132" customFormat="1">
      <c r="B14" s="564" t="s">
        <v>570</v>
      </c>
      <c r="C14" s="564" t="s">
        <v>7</v>
      </c>
      <c r="D14" s="565">
        <v>88262</v>
      </c>
      <c r="E14" s="566" t="str">
        <f>IF($D14&lt;&gt;"",VLOOKUP($D14,'SINAPI JULHO 2021'!$A$1:E11724,2,FALSE),"")</f>
        <v>CARPINTEIRO DE FORMAS COM ENCARGOS COMPLEMENTARES</v>
      </c>
      <c r="F14" s="567" t="str">
        <f>IF($D14&lt;&gt;"",VLOOKUP($D14,'SINAPI JULHO 2021'!$1:$1048576,3,FALSE),"")</f>
        <v>H</v>
      </c>
      <c r="G14" s="568">
        <v>1</v>
      </c>
      <c r="H14" s="569">
        <f>IF($D14&lt;&gt;"",VLOOKUP($D14,'SINAPI JULHO 2021'!$1:$1048576,4,FALSE),"")</f>
        <v>17.48</v>
      </c>
      <c r="I14" s="570">
        <f t="shared" ref="I14:I20" si="0">TRUNC(G14*H14,2)</f>
        <v>17.48</v>
      </c>
    </row>
    <row r="15" spans="1:9" s="132" customFormat="1">
      <c r="B15" s="214" t="s">
        <v>570</v>
      </c>
      <c r="C15" s="214" t="s">
        <v>7</v>
      </c>
      <c r="D15" s="215">
        <v>88316</v>
      </c>
      <c r="E15" s="134" t="str">
        <f>IF($D15&lt;&gt;"",VLOOKUP($D15,'SINAPI JULHO 2021'!$A$1:E11725,2,FALSE),"")</f>
        <v>SERVENTE COM ENCARGOS COMPLEMENTARES</v>
      </c>
      <c r="F15" s="135" t="str">
        <f>IF($D15&lt;&gt;"",VLOOKUP($D15,'SINAPI JULHO 2021'!$1:$1048576,3,FALSE),"")</f>
        <v>H</v>
      </c>
      <c r="G15" s="245">
        <v>2</v>
      </c>
      <c r="H15" s="256">
        <f>IF($D15&lt;&gt;"",VLOOKUP($D15,'SINAPI JULHO 2021'!$1:$1048576,4,FALSE),"")</f>
        <v>14.02</v>
      </c>
      <c r="I15" s="257">
        <f t="shared" si="0"/>
        <v>28.04</v>
      </c>
    </row>
    <row r="16" spans="1:9" s="132" customFormat="1" ht="12.75" customHeight="1">
      <c r="B16" s="214" t="s">
        <v>570</v>
      </c>
      <c r="C16" s="214" t="s">
        <v>7</v>
      </c>
      <c r="D16" s="215">
        <v>94962</v>
      </c>
      <c r="E16" s="134" t="str">
        <f>IF($D16&lt;&gt;"",VLOOKUP($D16,'SINAPI JULHO 2021'!$A$1:E11726,2,FALSE),"")</f>
        <v>CONCRETO MAGRO PARA LASTRO, TRAÇO 1:4,5:4,5 (EM MASSA SECA DE CIMENTO/ AREIA MÉDIA/ BRITA 1) - PREPARO MECÂNICO COM BETONEIRA 400 L. AF_05/2021</v>
      </c>
      <c r="F16" s="135" t="str">
        <f>IF($D16&lt;&gt;"",VLOOKUP($D16,'SINAPI JULHO 2021'!$1:$1048576,3,FALSE),"")</f>
        <v>M3</v>
      </c>
      <c r="G16" s="245">
        <v>0.01</v>
      </c>
      <c r="H16" s="256">
        <f>IF($D16&lt;&gt;"",VLOOKUP($D16,'SINAPI JULHO 2021'!$1:$1048576,4,FALSE),"")</f>
        <v>296.5</v>
      </c>
      <c r="I16" s="257">
        <f t="shared" si="0"/>
        <v>2.96</v>
      </c>
    </row>
    <row r="17" spans="2:9" s="132" customFormat="1" ht="25.5">
      <c r="B17" s="214" t="s">
        <v>568</v>
      </c>
      <c r="C17" s="214" t="s">
        <v>7</v>
      </c>
      <c r="D17" s="215">
        <v>4417</v>
      </c>
      <c r="E17" s="134" t="str">
        <f>IF($D17&lt;&gt;"",VLOOKUP($D17,'SINAPI JULHO 2021'!$A$1:E11727,2,FALSE),"")</f>
        <v xml:space="preserve">SARRAFO NAO APARELHADO *2,5 X 7* CM, EM MACARANDUBA, ANGELIM OU EQUIVALENTE DA REGIAO -  BRUTA                                                                                                                                                                                                                                                                                                                                                                                                            </v>
      </c>
      <c r="F17" s="135" t="str">
        <f>IF($D17&lt;&gt;"",VLOOKUP($D17,'SINAPI JULHO 2021'!$1:$1048576,3,FALSE),"")</f>
        <v xml:space="preserve">M     </v>
      </c>
      <c r="G17" s="245">
        <v>1</v>
      </c>
      <c r="H17" s="256">
        <f>IF($D17&lt;&gt;"",VLOOKUP($D17,'SINAPI JULHO 2021'!$1:$1048576,4,FALSE),"")</f>
        <v>4.0999999999999996</v>
      </c>
      <c r="I17" s="257">
        <f t="shared" si="0"/>
        <v>4.0999999999999996</v>
      </c>
    </row>
    <row r="18" spans="2:9" s="132" customFormat="1" ht="25.5">
      <c r="B18" s="214" t="s">
        <v>568</v>
      </c>
      <c r="C18" s="214" t="s">
        <v>7</v>
      </c>
      <c r="D18" s="215">
        <v>4491</v>
      </c>
      <c r="E18" s="134" t="str">
        <f>IF($D18&lt;&gt;"",VLOOKUP($D18,'SINAPI JULHO 2021'!$A$1:E11728,2,FALSE),"")</f>
        <v xml:space="preserve">PONTALETE *7,5 X 7,5* CM EM PINUS, MISTA OU EQUIVALENTE DA REGIAO - BRUTA                                                                                                                                                                                                                                                                                                                                                                                                                                 </v>
      </c>
      <c r="F18" s="135" t="str">
        <f>IF($D18&lt;&gt;"",VLOOKUP($D18,'SINAPI JULHO 2021'!$1:$1048576,3,FALSE),"")</f>
        <v xml:space="preserve">M     </v>
      </c>
      <c r="G18" s="245">
        <v>4</v>
      </c>
      <c r="H18" s="256">
        <f>IF($D18&lt;&gt;"",VLOOKUP($D18,'SINAPI JULHO 2021'!$1:$1048576,4,FALSE),"")</f>
        <v>8.14</v>
      </c>
      <c r="I18" s="257">
        <f t="shared" si="0"/>
        <v>32.56</v>
      </c>
    </row>
    <row r="19" spans="2:9" s="132" customFormat="1" ht="25.5">
      <c r="B19" s="214" t="s">
        <v>568</v>
      </c>
      <c r="C19" s="214" t="s">
        <v>7</v>
      </c>
      <c r="D19" s="215">
        <v>4813</v>
      </c>
      <c r="E19" s="134" t="str">
        <f>IF($D19&lt;&gt;"",VLOOKUP($D19,'SINAPI JULHO 2021'!$A$1:E11729,2,FALSE),"")</f>
        <v xml:space="preserve">PLACA DE OBRA (PARA CONSTRUCAO CIVIL) EM CHAPA GALVANIZADA *N. 22*, ADESIVADA, DE *2,0 X 1,125* M                                                                                                                                                                                                                                                                                                                                                                                                         </v>
      </c>
      <c r="F19" s="135" t="str">
        <f>IF($D19&lt;&gt;"",VLOOKUP($D19,'SINAPI JULHO 2021'!$1:$1048576,3,FALSE),"")</f>
        <v xml:space="preserve">M2    </v>
      </c>
      <c r="G19" s="245">
        <v>1</v>
      </c>
      <c r="H19" s="256">
        <f>IF($D19&lt;&gt;"",VLOOKUP($D19,'SINAPI JULHO 2021'!$1:$1048576,4,FALSE),"")</f>
        <v>225</v>
      </c>
      <c r="I19" s="257">
        <f t="shared" si="0"/>
        <v>225</v>
      </c>
    </row>
    <row r="20" spans="2:9" s="132" customFormat="1">
      <c r="B20" s="214" t="s">
        <v>568</v>
      </c>
      <c r="C20" s="214" t="s">
        <v>7</v>
      </c>
      <c r="D20" s="215">
        <v>5075</v>
      </c>
      <c r="E20" s="134" t="str">
        <f>IF($D20&lt;&gt;"",VLOOKUP($D20,'SINAPI JULHO 2021'!$A$1:E11730,2,FALSE),"")</f>
        <v xml:space="preserve">PREGO DE ACO POLIDO COM CABECA 18 X 30 (2 3/4 X 10)                                                                                                                                                                                                                                                                                                                                                                                                                                                       </v>
      </c>
      <c r="F20" s="135" t="str">
        <f>IF($D20&lt;&gt;"",VLOOKUP($D20,'SINAPI JULHO 2021'!$1:$1048576,3,FALSE),"")</f>
        <v xml:space="preserve">KG    </v>
      </c>
      <c r="G20" s="245">
        <v>0.11</v>
      </c>
      <c r="H20" s="256">
        <f>IF($D20&lt;&gt;"",VLOOKUP($D20,'SINAPI JULHO 2021'!$1:$1048576,4,FALSE),"")</f>
        <v>18.309999999999999</v>
      </c>
      <c r="I20" s="257">
        <f t="shared" si="0"/>
        <v>2.0099999999999998</v>
      </c>
    </row>
    <row r="21" spans="2:9" s="132" customFormat="1" ht="13.5" customHeight="1" thickBot="1">
      <c r="B21" s="514"/>
      <c r="C21" s="515"/>
      <c r="D21" s="516"/>
      <c r="E21" s="517"/>
      <c r="F21" s="518"/>
      <c r="G21" s="519"/>
      <c r="H21" s="520"/>
      <c r="I21" s="520"/>
    </row>
    <row r="22" spans="2:9" s="132" customFormat="1" ht="13.5" customHeight="1" thickBot="1">
      <c r="B22" s="604" t="s">
        <v>5742</v>
      </c>
      <c r="C22" s="605"/>
      <c r="D22" s="605"/>
      <c r="E22" s="606" t="s">
        <v>7385</v>
      </c>
      <c r="F22" s="611" t="s">
        <v>34</v>
      </c>
      <c r="G22" s="608"/>
      <c r="H22" s="609"/>
      <c r="I22" s="610">
        <f>TRUNC(SUM(I23:I24),2)</f>
        <v>3578.01</v>
      </c>
    </row>
    <row r="23" spans="2:9" s="132" customFormat="1" ht="28.5" customHeight="1">
      <c r="B23" s="564" t="s">
        <v>570</v>
      </c>
      <c r="C23" s="564" t="s">
        <v>7</v>
      </c>
      <c r="D23" s="565">
        <v>14166</v>
      </c>
      <c r="E23" s="566" t="str">
        <f>IF($D23&lt;&gt;"",VLOOKUP($D23,'SINAPI JULHO 2021'!$A$1:E11733,2,FALSE),"")</f>
        <v xml:space="preserve">POSTE CONICO CONTINUO EM ACO GALVANIZADO, RETO, ENGASTADO,  H = 7 M, DIAMETRO INFERIOR = *125* MM                                                                                                                                                                                                                                                                                                                                                                                                         </v>
      </c>
      <c r="F23" s="567" t="str">
        <f>IF($D23&lt;&gt;"",VLOOKUP($D23,'SINAPI JULHO 2021'!$1:$1048576,3,FALSE),"")</f>
        <v xml:space="preserve">UN    </v>
      </c>
      <c r="G23" s="568">
        <v>1</v>
      </c>
      <c r="H23" s="569">
        <f>IF($D23&lt;&gt;"",VLOOKUP($D23,'SINAPI JULHO 2021'!$1:$1048576,4,FALSE),"")</f>
        <v>1652.01</v>
      </c>
      <c r="I23" s="570">
        <f>TRUNC(G23*H23,2)</f>
        <v>1652.01</v>
      </c>
    </row>
    <row r="24" spans="2:9" s="132" customFormat="1" ht="36.75" customHeight="1">
      <c r="B24" s="214" t="s">
        <v>570</v>
      </c>
      <c r="C24" s="214" t="s">
        <v>7</v>
      </c>
      <c r="D24" s="215">
        <v>101508</v>
      </c>
      <c r="E24" s="134" t="str">
        <f>IF($D24&lt;&gt;"",VLOOKUP($D24,'SINAPI JULHO 2021'!$A$1:E11734,2,FALSE),"")</f>
        <v>ENTRADA DE ENERGIA ELÉTRICA, AÉREA, TRIFÁSICA, COM CAIXA DE SOBREPOR, CABO DE 35 MM2 E DISJUNTOR DIN 50A (NÃO INCLUSO O POSTE DE CONCRETO). AF_07/2020_P</v>
      </c>
      <c r="F24" s="135" t="str">
        <f>IF($D24&lt;&gt;"",VLOOKUP($D24,'SINAPI JULHO 2021'!$1:$1048576,3,FALSE),"")</f>
        <v>UN</v>
      </c>
      <c r="G24" s="245">
        <v>1</v>
      </c>
      <c r="H24" s="256">
        <f>IF($D24&lt;&gt;"",VLOOKUP($D24,'SINAPI JULHO 2021'!$1:$1048576,4,FALSE),"")</f>
        <v>1926</v>
      </c>
      <c r="I24" s="257">
        <f>TRUNC(G24*H24,2)</f>
        <v>1926</v>
      </c>
    </row>
    <row r="25" spans="2:9" s="132" customFormat="1" ht="13.5" customHeight="1" thickBot="1">
      <c r="B25" s="514"/>
      <c r="C25" s="515"/>
      <c r="D25" s="516"/>
      <c r="E25" s="517"/>
      <c r="F25" s="518"/>
      <c r="G25" s="519"/>
      <c r="H25" s="520"/>
      <c r="I25" s="520"/>
    </row>
    <row r="26" spans="2:9" s="132" customFormat="1" ht="46.5" customHeight="1" thickBot="1">
      <c r="B26" s="604" t="s">
        <v>13028</v>
      </c>
      <c r="C26" s="605"/>
      <c r="D26" s="605"/>
      <c r="E26" s="606" t="s">
        <v>13029</v>
      </c>
      <c r="F26" s="611" t="s">
        <v>13030</v>
      </c>
      <c r="G26" s="608"/>
      <c r="H26" s="609"/>
      <c r="I26" s="610">
        <f>TRUNC(SUM(I27:I30),2)</f>
        <v>1720.26</v>
      </c>
    </row>
    <row r="27" spans="2:9" s="132" customFormat="1" ht="38.25">
      <c r="B27" s="564" t="s">
        <v>568</v>
      </c>
      <c r="C27" s="564" t="s">
        <v>7</v>
      </c>
      <c r="D27" s="565">
        <v>10777</v>
      </c>
      <c r="E27" s="566" t="str">
        <f>IF($D27&lt;&gt;"",VLOOKUP($D27,'SINAPI JULHO 2021'!$A$1:E11737,2,FALSE),"")</f>
        <v xml:space="preserve">LOCACAO DE CONTAINER 2,30 X 4,30 M, ALT. 2,50 M, PARA SANITARIO, COM 3 BACIAS, 4 CHUVEIROS, 1 LAVATORIO E 1 MICTORIO                                                                                                                                                                                                                                                                                                                                                                                      </v>
      </c>
      <c r="F27" s="567" t="str">
        <f>IF($D27&lt;&gt;"",VLOOKUP($D27,'SINAPI JULHO 2021'!$1:$1048576,3,FALSE),"")</f>
        <v xml:space="preserve">MES   </v>
      </c>
      <c r="G27" s="568">
        <v>1</v>
      </c>
      <c r="H27" s="569">
        <f>IF($D27&lt;&gt;"",VLOOKUP($D27,'SINAPI JULHO 2021'!$1:$1048576,4,FALSE),"")</f>
        <v>664.21</v>
      </c>
      <c r="I27" s="570">
        <f>TRUNC(G27*H27,2)</f>
        <v>664.21</v>
      </c>
    </row>
    <row r="28" spans="2:9" s="132" customFormat="1" ht="38.25">
      <c r="B28" s="214" t="s">
        <v>568</v>
      </c>
      <c r="C28" s="214" t="s">
        <v>7</v>
      </c>
      <c r="D28" s="215">
        <v>10775</v>
      </c>
      <c r="E28" s="134" t="str">
        <f>IF($D28&lt;&gt;"",VLOOKUP($D28,'SINAPI JULHO 2021'!$A$1:E11738,2,FALSE),"")</f>
        <v xml:space="preserve">LOCACAO DE CONTAINER 2,30  X  6,00 M, ALT. 2,50 M, COM 1 SANITARIO, PARA ESCRITORIO, COMPLETO, SEM DIVISORIAS INTERNAS                                                                                                                                                                                                                                                                                                                                                                                    </v>
      </c>
      <c r="F28" s="135" t="str">
        <f>IF($D28&lt;&gt;"",VLOOKUP($D28,'SINAPI JULHO 2021'!$1:$1048576,3,FALSE),"")</f>
        <v xml:space="preserve">MES   </v>
      </c>
      <c r="G28" s="245">
        <v>1</v>
      </c>
      <c r="H28" s="256">
        <f>IF($D28&lt;&gt;"",VLOOKUP($D28,'SINAPI JULHO 2021'!$1:$1048576,4,FALSE),"")</f>
        <v>585</v>
      </c>
      <c r="I28" s="257">
        <f>TRUNC(G28*H28,2)</f>
        <v>585</v>
      </c>
    </row>
    <row r="29" spans="2:9" s="132" customFormat="1" ht="29.25" customHeight="1">
      <c r="B29" s="214" t="s">
        <v>568</v>
      </c>
      <c r="C29" s="214" t="s">
        <v>7</v>
      </c>
      <c r="D29" s="215">
        <v>10776</v>
      </c>
      <c r="E29" s="134" t="str">
        <f>IF($D29&lt;&gt;"",VLOOKUP($D29,'SINAPI JULHO 2021'!$A$1:E11739,2,FALSE),"")</f>
        <v xml:space="preserve">LOCACAO DE CONTAINER 2,30  X  6,00 M, ALT. 2,50 M, PARA ESCRITORIO, SEM DIVISORIAS INTERNAS E SEM SANITARIO                                                                                                                                                                                                                                                                                                                                                                                               </v>
      </c>
      <c r="F29" s="135" t="str">
        <f>IF($D29&lt;&gt;"",VLOOKUP($D29,'SINAPI JULHO 2021'!$1:$1048576,3,FALSE),"")</f>
        <v xml:space="preserve">MES   </v>
      </c>
      <c r="G29" s="245">
        <v>1</v>
      </c>
      <c r="H29" s="256">
        <f>IF($D29&lt;&gt;"",VLOOKUP($D29,'SINAPI JULHO 2021'!$1:$1048576,4,FALSE),"")</f>
        <v>457.03</v>
      </c>
      <c r="I29" s="257">
        <f>TRUNC(G29*H29,2)</f>
        <v>457.03</v>
      </c>
    </row>
    <row r="30" spans="2:9" s="132" customFormat="1" ht="13.5" customHeight="1">
      <c r="B30" s="214" t="s">
        <v>570</v>
      </c>
      <c r="C30" s="214" t="s">
        <v>7</v>
      </c>
      <c r="D30" s="215">
        <v>88316</v>
      </c>
      <c r="E30" s="134" t="str">
        <f>IF($D30&lt;&gt;"",VLOOKUP($D30,'SINAPI JULHO 2021'!$A$1:E11740,2,FALSE),"")</f>
        <v>SERVENTE COM ENCARGOS COMPLEMENTARES</v>
      </c>
      <c r="F30" s="135" t="str">
        <f>IF($D30&lt;&gt;"",VLOOKUP($D30,'SINAPI JULHO 2021'!$1:$1048576,3,FALSE),"")</f>
        <v>H</v>
      </c>
      <c r="G30" s="245">
        <v>1</v>
      </c>
      <c r="H30" s="256">
        <f>IF($D30&lt;&gt;"",VLOOKUP($D30,'SINAPI JULHO 2021'!$1:$1048576,4,FALSE),"")</f>
        <v>14.02</v>
      </c>
      <c r="I30" s="257">
        <f t="shared" ref="I30" si="1">TRUNC(G30*H30,2)</f>
        <v>14.02</v>
      </c>
    </row>
    <row r="31" spans="2:9" s="132" customFormat="1" ht="13.5" customHeight="1" thickBot="1">
      <c r="B31" s="514"/>
      <c r="C31" s="515"/>
      <c r="D31" s="516"/>
      <c r="E31" s="517"/>
      <c r="F31" s="518"/>
      <c r="G31" s="519"/>
      <c r="H31" s="520"/>
      <c r="I31" s="520"/>
    </row>
    <row r="32" spans="2:9" s="105" customFormat="1" ht="13.5" thickBot="1">
      <c r="B32" s="612" t="s">
        <v>4272</v>
      </c>
      <c r="C32" s="613"/>
      <c r="D32" s="613"/>
      <c r="E32" s="614" t="s">
        <v>3502</v>
      </c>
      <c r="F32" s="615" t="s">
        <v>31</v>
      </c>
      <c r="G32" s="616"/>
      <c r="H32" s="617"/>
      <c r="I32" s="610">
        <f>TRUNC(SUM(I33:I34),2)</f>
        <v>94.89</v>
      </c>
    </row>
    <row r="33" spans="2:9">
      <c r="B33" s="240" t="s">
        <v>570</v>
      </c>
      <c r="C33" s="240" t="s">
        <v>7</v>
      </c>
      <c r="D33" s="241">
        <v>88309</v>
      </c>
      <c r="E33" s="566" t="str">
        <f>IF($D33&lt;&gt;"",VLOOKUP($D33,'SINAPI JULHO 2021'!$A$1:E11737,2,FALSE),"")</f>
        <v>PEDREIRO COM ENCARGOS COMPLEMENTARES</v>
      </c>
      <c r="F33" s="567" t="str">
        <f>IF($D33&lt;&gt;"",VLOOKUP($D33,'SINAPI JULHO 2021'!$1:$1048576,3,FALSE),"")</f>
        <v>H</v>
      </c>
      <c r="G33" s="248">
        <v>1.8</v>
      </c>
      <c r="H33" s="569">
        <f>IF($D33&lt;&gt;"",VLOOKUP($D33,'SINAPI JULHO 2021'!$1:$1048576,4,FALSE),"")</f>
        <v>17.670000000000002</v>
      </c>
      <c r="I33" s="570">
        <f>TRUNC(G33*H33,2)</f>
        <v>31.8</v>
      </c>
    </row>
    <row r="34" spans="2:9">
      <c r="B34" s="133" t="s">
        <v>570</v>
      </c>
      <c r="C34" s="133" t="s">
        <v>7</v>
      </c>
      <c r="D34" s="133">
        <v>88316</v>
      </c>
      <c r="E34" s="134" t="str">
        <f>IF($D34&lt;&gt;"",VLOOKUP($D34,'SINAPI JULHO 2021'!$A$1:E11738,2,FALSE),"")</f>
        <v>SERVENTE COM ENCARGOS COMPLEMENTARES</v>
      </c>
      <c r="F34" s="135" t="str">
        <f>IF($D34&lt;&gt;"",VLOOKUP($D34,'SINAPI JULHO 2021'!$1:$1048576,3,FALSE),"")</f>
        <v>H</v>
      </c>
      <c r="G34" s="249">
        <v>4.5</v>
      </c>
      <c r="H34" s="256">
        <f>IF($D34&lt;&gt;"",VLOOKUP($D34,'SINAPI JULHO 2021'!$1:$1048576,4,FALSE),"")</f>
        <v>14.02</v>
      </c>
      <c r="I34" s="257">
        <f>TRUNC(G34*H34,2)</f>
        <v>63.09</v>
      </c>
    </row>
    <row r="35" spans="2:9" ht="13.5" thickBot="1">
      <c r="B35" s="514"/>
      <c r="C35" s="515"/>
      <c r="D35" s="516"/>
      <c r="E35" s="517"/>
      <c r="F35" s="518"/>
      <c r="G35" s="519"/>
      <c r="H35" s="520"/>
      <c r="I35" s="520"/>
    </row>
    <row r="36" spans="2:9" s="132" customFormat="1" ht="13.5" thickBot="1">
      <c r="B36" s="618" t="s">
        <v>4273</v>
      </c>
      <c r="C36" s="619"/>
      <c r="D36" s="619"/>
      <c r="E36" s="620" t="s">
        <v>6146</v>
      </c>
      <c r="F36" s="611" t="s">
        <v>34</v>
      </c>
      <c r="G36" s="621"/>
      <c r="H36" s="622"/>
      <c r="I36" s="623">
        <f>TRUNC(SUM(I37:I45),2)</f>
        <v>1700.65</v>
      </c>
    </row>
    <row r="37" spans="2:9" s="132" customFormat="1" ht="76.5">
      <c r="B37" s="571" t="s">
        <v>570</v>
      </c>
      <c r="C37" s="240" t="s">
        <v>7</v>
      </c>
      <c r="D37" s="241">
        <v>90084</v>
      </c>
      <c r="E37" s="566" t="str">
        <f>IF($D37&lt;&gt;"",VLOOKUP($D37,'SINAPI JULHO 2021'!$A$1:E11741,2,FALSE),"")</f>
        <v>ESCAVAÇÃO MECANIZADA DE VALA COM PROF. MAIOR QUE 1,5 M ATÉ 3,0 M (MÉDIA ENTRE MONTANTE E JUSANTE/UMA COMPOSIÇÃO POR TRECHO), COM ESCAVADEIRA HIDRÁULICA (0,8 M3/111 HP), LARGURA ATÉ 1,5 M, EM SOLO DE 1A CATEGORIA, EM LOCAIS COM ALTO NÍVEL DE INTERFERÊNCIA. AF_02/2021</v>
      </c>
      <c r="F37" s="567" t="str">
        <f>IF($D37&lt;&gt;"",VLOOKUP($D37,'SINAPI JULHO 2021'!$1:$1048576,3,FALSE),"")</f>
        <v>M3</v>
      </c>
      <c r="G37" s="572">
        <v>5</v>
      </c>
      <c r="H37" s="569">
        <f>IF($D37&lt;&gt;"",VLOOKUP($D37,'SINAPI JULHO 2021'!$1:$1048576,4,FALSE),"")</f>
        <v>7.28</v>
      </c>
      <c r="I37" s="570">
        <f t="shared" ref="I37:I45" si="2">TRUNC(G37*H37,2)</f>
        <v>36.4</v>
      </c>
    </row>
    <row r="38" spans="2:9" s="132" customFormat="1" ht="63.75">
      <c r="B38" s="276" t="s">
        <v>570</v>
      </c>
      <c r="C38" s="133" t="s">
        <v>7</v>
      </c>
      <c r="D38" s="138">
        <v>5678</v>
      </c>
      <c r="E38" s="134" t="str">
        <f>IF($D38&lt;&gt;"",VLOOKUP($D38,'SINAPI JULHO 2021'!$A$1:E11742,2,FALSE),"")</f>
        <v>RETROESCAVADEIRA SOBRE RODAS COM CARREGADEIRA, TRAÇÃO 4X4, POTÊNCIA LÍQ. 88 HP, CAÇAMBA CARREG. CAP. MÍN. 1 M3, CAÇAMBA RETRO CAP. 0,26 M3, PESO OPERACIONAL MÍN. 6.674 KG, PROFUNDIDADE ESCAVAÇÃO MÁX. 4,37 M - CHP DIURNO. AF_06/2014</v>
      </c>
      <c r="F38" s="135" t="str">
        <f>IF($D38&lt;&gt;"",VLOOKUP($D38,'SINAPI JULHO 2021'!$1:$1048576,3,FALSE),"")</f>
        <v>CHP</v>
      </c>
      <c r="G38" s="260">
        <v>3</v>
      </c>
      <c r="H38" s="256">
        <f>IF($D38&lt;&gt;"",VLOOKUP($D38,'SINAPI JULHO 2021'!$1:$1048576,4,FALSE),"")</f>
        <v>101.95</v>
      </c>
      <c r="I38" s="257">
        <f t="shared" si="2"/>
        <v>305.85000000000002</v>
      </c>
    </row>
    <row r="39" spans="2:9" s="132" customFormat="1" ht="63.75">
      <c r="B39" s="276" t="s">
        <v>570</v>
      </c>
      <c r="C39" s="133" t="s">
        <v>7</v>
      </c>
      <c r="D39" s="138">
        <v>5679</v>
      </c>
      <c r="E39" s="134" t="str">
        <f>IF($D39&lt;&gt;"",VLOOKUP($D39,'SINAPI JULHO 2021'!$A$1:E11743,2,FALSE),"")</f>
        <v>RETROESCAVADEIRA SOBRE RODAS COM CARREGADEIRA, TRAÇÃO 4X4, POTÊNCIA LÍQ. 88 HP, CAÇAMBA CARREG. CAP. MÍN. 1 M3, CAÇAMBA RETRO CAP. 0,26 M3, PESO OPERACIONAL MÍN. 6.674 KG, PROFUNDIDADE ESCAVAÇÃO MÁX. 4,37 M - CHI DIURNO. AF_06/2014</v>
      </c>
      <c r="F39" s="135" t="str">
        <f>IF($D39&lt;&gt;"",VLOOKUP($D39,'SINAPI JULHO 2021'!$1:$1048576,3,FALSE),"")</f>
        <v>CHI</v>
      </c>
      <c r="G39" s="260">
        <v>3</v>
      </c>
      <c r="H39" s="256">
        <f>IF($D39&lt;&gt;"",VLOOKUP($D39,'SINAPI JULHO 2021'!$1:$1048576,4,FALSE),"")</f>
        <v>36.340000000000003</v>
      </c>
      <c r="I39" s="257">
        <f t="shared" si="2"/>
        <v>109.02</v>
      </c>
    </row>
    <row r="40" spans="2:9" s="132" customFormat="1" ht="63.75">
      <c r="B40" s="276" t="s">
        <v>570</v>
      </c>
      <c r="C40" s="133" t="s">
        <v>7</v>
      </c>
      <c r="D40" s="277">
        <v>92105</v>
      </c>
      <c r="E40" s="134" t="str">
        <f>IF($D40&lt;&gt;"",VLOOKUP($D40,'SINAPI JULHO 2021'!$A$1:E11744,2,FALSE),"")</f>
        <v>CAMINHÃO PARA EQUIPAMENTO DE LIMPEZA A SUCÇÃO COM CAMINHÃO TRUCADO DE PESO BRUTO TOTAL 23000 KG, CARGA ÚTIL MÁX. 15935 KG, DISTÂNCIA ENTRE EIXOS 4,80 M, POTÊNCIA 230 CV, INCLUSIVE LIMPADORA A SUCÇÃO, TANQUE 12000 L - MATERIAIS NA OPERAÇÃO. AF_11/2015</v>
      </c>
      <c r="F40" s="135" t="str">
        <f>IF($D40&lt;&gt;"",VLOOKUP($D40,'SINAPI JULHO 2021'!$1:$1048576,3,FALSE),"")</f>
        <v>H</v>
      </c>
      <c r="G40" s="260">
        <v>4</v>
      </c>
      <c r="H40" s="256">
        <f>IF($D40&lt;&gt;"",VLOOKUP($D40,'SINAPI JULHO 2021'!$1:$1048576,4,FALSE),"")</f>
        <v>158.54</v>
      </c>
      <c r="I40" s="257">
        <f t="shared" si="2"/>
        <v>634.16</v>
      </c>
    </row>
    <row r="41" spans="2:9" s="132" customFormat="1" ht="51">
      <c r="B41" s="276" t="s">
        <v>570</v>
      </c>
      <c r="C41" s="133" t="s">
        <v>7</v>
      </c>
      <c r="D41" s="277">
        <v>100981</v>
      </c>
      <c r="E41" s="134" t="str">
        <f>IF($D41&lt;&gt;"",VLOOKUP($D41,'SINAPI JULHO 2021'!$A$1:E11745,2,FALSE),"")</f>
        <v>CARGA, MANOBRA E DESCARGA DE ENTULHO EM CAMINHÃO BASCULANTE 6 M³ - CARGA COM ESCAVADEIRA HIDRÁULICA  (CAÇAMBA DE 0,80 M³ / 111 HP) E DESCARGA LIVRE (UNIDADE: M3). AF_07/2020</v>
      </c>
      <c r="F41" s="135" t="str">
        <f>IF($D41&lt;&gt;"",VLOOKUP($D41,'SINAPI JULHO 2021'!$1:$1048576,3,FALSE),"")</f>
        <v>M3</v>
      </c>
      <c r="G41" s="260">
        <f>5.8*1.3</f>
        <v>7.54</v>
      </c>
      <c r="H41" s="256">
        <f>IF($D41&lt;&gt;"",VLOOKUP($D41,'SINAPI JULHO 2021'!$1:$1048576,4,FALSE),"")</f>
        <v>6.22</v>
      </c>
      <c r="I41" s="257">
        <f t="shared" si="2"/>
        <v>46.89</v>
      </c>
    </row>
    <row r="42" spans="2:9" s="132" customFormat="1" ht="38.25">
      <c r="B42" s="276" t="s">
        <v>570</v>
      </c>
      <c r="C42" s="133" t="s">
        <v>7</v>
      </c>
      <c r="D42" s="277">
        <v>97914</v>
      </c>
      <c r="E42" s="134" t="str">
        <f>IF($D42&lt;&gt;"",VLOOKUP($D42,'SINAPI JULHO 2021'!$A$1:E11746,2,FALSE),"")</f>
        <v>TRANSPORTE COM CAMINHÃO BASCULANTE DE 6 M³, EM VIA URBANA PAVIMENTADA, DMT ATÉ 30 KM (UNIDADE: M3XKM). AF_07/2020</v>
      </c>
      <c r="F42" s="135" t="str">
        <f>IF($D42&lt;&gt;"",VLOOKUP($D42,'SINAPI JULHO 2021'!$1:$1048576,3,FALSE),"")</f>
        <v>M3XKM</v>
      </c>
      <c r="G42" s="260">
        <f>G41*10</f>
        <v>75.400000000000006</v>
      </c>
      <c r="H42" s="256">
        <f>IF($D42&lt;&gt;"",VLOOKUP($D42,'SINAPI JULHO 2021'!$1:$1048576,4,FALSE),"")</f>
        <v>2.0299999999999998</v>
      </c>
      <c r="I42" s="257">
        <f t="shared" si="2"/>
        <v>153.06</v>
      </c>
    </row>
    <row r="43" spans="2:9" s="132" customFormat="1" ht="25.5">
      <c r="B43" s="276" t="s">
        <v>570</v>
      </c>
      <c r="C43" s="133" t="s">
        <v>7</v>
      </c>
      <c r="D43" s="277">
        <v>94319</v>
      </c>
      <c r="E43" s="134" t="str">
        <f>IF($D43&lt;&gt;"",VLOOKUP($D43,'SINAPI JULHO 2021'!$A$1:E11747,2,FALSE),"")</f>
        <v>ATERRO MANUAL DE VALAS COM SOLO ARGILO-ARENOSO E COMPACTAÇÃO MECANIZADA. AF_05/2016</v>
      </c>
      <c r="F43" s="135" t="str">
        <f>IF($D43&lt;&gt;"",VLOOKUP($D43,'SINAPI JULHO 2021'!$1:$1048576,3,FALSE),"")</f>
        <v>M3</v>
      </c>
      <c r="G43" s="260">
        <v>10</v>
      </c>
      <c r="H43" s="256">
        <f>IF($D43&lt;&gt;"",VLOOKUP($D43,'SINAPI JULHO 2021'!$1:$1048576,4,FALSE),"")</f>
        <v>32.020000000000003</v>
      </c>
      <c r="I43" s="257">
        <f t="shared" si="2"/>
        <v>320.2</v>
      </c>
    </row>
    <row r="44" spans="2:9" s="132" customFormat="1">
      <c r="B44" s="276" t="s">
        <v>570</v>
      </c>
      <c r="C44" s="133" t="s">
        <v>7</v>
      </c>
      <c r="D44" s="67">
        <v>88309</v>
      </c>
      <c r="E44" s="134" t="str">
        <f>IF($D44&lt;&gt;"",VLOOKUP($D44,'SINAPI JULHO 2021'!$A$1:E11748,2,FALSE),"")</f>
        <v>PEDREIRO COM ENCARGOS COMPLEMENTARES</v>
      </c>
      <c r="F44" s="135" t="str">
        <f>IF($D44&lt;&gt;"",VLOOKUP($D44,'SINAPI JULHO 2021'!$1:$1048576,3,FALSE),"")</f>
        <v>H</v>
      </c>
      <c r="G44" s="260">
        <v>3</v>
      </c>
      <c r="H44" s="256">
        <f>IF($D44&lt;&gt;"",VLOOKUP($D44,'SINAPI JULHO 2021'!$1:$1048576,4,FALSE),"")</f>
        <v>17.670000000000002</v>
      </c>
      <c r="I44" s="257">
        <f t="shared" si="2"/>
        <v>53.01</v>
      </c>
    </row>
    <row r="45" spans="2:9" s="132" customFormat="1">
      <c r="B45" s="276" t="s">
        <v>570</v>
      </c>
      <c r="C45" s="133" t="s">
        <v>7</v>
      </c>
      <c r="D45" s="133">
        <v>88316</v>
      </c>
      <c r="E45" s="134" t="str">
        <f>IF($D45&lt;&gt;"",VLOOKUP($D45,'SINAPI JULHO 2021'!$A$1:E11749,2,FALSE),"")</f>
        <v>SERVENTE COM ENCARGOS COMPLEMENTARES</v>
      </c>
      <c r="F45" s="135" t="str">
        <f>IF($D45&lt;&gt;"",VLOOKUP($D45,'SINAPI JULHO 2021'!$1:$1048576,3,FALSE),"")</f>
        <v>H</v>
      </c>
      <c r="G45" s="260">
        <v>3</v>
      </c>
      <c r="H45" s="256">
        <f>IF($D45&lt;&gt;"",VLOOKUP($D45,'SINAPI JULHO 2021'!$1:$1048576,4,FALSE),"")</f>
        <v>14.02</v>
      </c>
      <c r="I45" s="257">
        <f t="shared" si="2"/>
        <v>42.06</v>
      </c>
    </row>
    <row r="46" spans="2:9" s="132" customFormat="1">
      <c r="B46" s="277"/>
      <c r="C46" s="133"/>
      <c r="D46" s="133"/>
      <c r="E46" s="134"/>
      <c r="F46" s="135"/>
      <c r="G46" s="260"/>
      <c r="H46" s="256"/>
      <c r="I46" s="257"/>
    </row>
    <row r="47" spans="2:9" s="132" customFormat="1">
      <c r="B47" s="212" t="s">
        <v>7355</v>
      </c>
      <c r="C47" s="133"/>
      <c r="D47" s="133"/>
      <c r="E47" s="134"/>
      <c r="F47" s="135"/>
      <c r="G47" s="260"/>
      <c r="H47" s="256"/>
      <c r="I47" s="257"/>
    </row>
    <row r="48" spans="2:9" s="132" customFormat="1" ht="13.5" thickBot="1">
      <c r="B48" s="521"/>
      <c r="C48" s="515"/>
      <c r="D48" s="515"/>
      <c r="E48" s="522"/>
      <c r="F48" s="523"/>
      <c r="G48" s="524"/>
      <c r="H48" s="525"/>
      <c r="I48" s="526"/>
    </row>
    <row r="49" spans="2:9" s="132" customFormat="1" ht="51" customHeight="1" thickBot="1">
      <c r="B49" s="612" t="s">
        <v>7356</v>
      </c>
      <c r="C49" s="613"/>
      <c r="D49" s="613"/>
      <c r="E49" s="614" t="s">
        <v>7362</v>
      </c>
      <c r="F49" s="615" t="s">
        <v>42</v>
      </c>
      <c r="G49" s="616"/>
      <c r="H49" s="617"/>
      <c r="I49" s="610">
        <f>TRUNC(SUM(I50:I57),2)</f>
        <v>221.3</v>
      </c>
    </row>
    <row r="50" spans="2:9" s="132" customFormat="1">
      <c r="B50" s="240" t="s">
        <v>570</v>
      </c>
      <c r="C50" s="240" t="s">
        <v>7</v>
      </c>
      <c r="D50" s="241">
        <v>88262</v>
      </c>
      <c r="E50" s="566" t="str">
        <f>IF($D50&lt;&gt;"",VLOOKUP($D50,'SINAPI JULHO 2021'!$A$1:E11726,2,FALSE),"")</f>
        <v>CARPINTEIRO DE FORMAS COM ENCARGOS COMPLEMENTARES</v>
      </c>
      <c r="F50" s="567" t="str">
        <f>IF($D50&lt;&gt;"",VLOOKUP($D50,'SINAPI JULHO 2021'!$1:$1048576,3,FALSE),"")</f>
        <v>H</v>
      </c>
      <c r="G50" s="573">
        <v>0.5</v>
      </c>
      <c r="H50" s="569">
        <f>IF($D50&lt;&gt;"",VLOOKUP($D50,'SINAPI JULHO 2021'!$1:$1048576,4,FALSE),"")</f>
        <v>17.48</v>
      </c>
      <c r="I50" s="570">
        <f t="shared" ref="I50:I55" si="3">TRUNC(G50*H50,2)</f>
        <v>8.74</v>
      </c>
    </row>
    <row r="51" spans="2:9" s="132" customFormat="1">
      <c r="B51" s="133" t="s">
        <v>570</v>
      </c>
      <c r="C51" s="133" t="s">
        <v>7</v>
      </c>
      <c r="D51" s="67">
        <v>88316</v>
      </c>
      <c r="E51" s="134" t="str">
        <f>IF($D51&lt;&gt;"",VLOOKUP($D51,'SINAPI JULHO 2021'!$A$1:E11727,2,FALSE),"")</f>
        <v>SERVENTE COM ENCARGOS COMPLEMENTARES</v>
      </c>
      <c r="F51" s="135" t="str">
        <f>IF($D51&lt;&gt;"",VLOOKUP($D51,'SINAPI JULHO 2021'!$1:$1048576,3,FALSE),"")</f>
        <v>H</v>
      </c>
      <c r="G51" s="337">
        <v>0.36</v>
      </c>
      <c r="H51" s="256">
        <f>IF($D51&lt;&gt;"",VLOOKUP($D51,'SINAPI JULHO 2021'!$1:$1048576,4,FALSE),"")</f>
        <v>14.02</v>
      </c>
      <c r="I51" s="257">
        <f t="shared" si="3"/>
        <v>5.04</v>
      </c>
    </row>
    <row r="52" spans="2:9" s="132" customFormat="1" ht="25.5">
      <c r="B52" s="133" t="s">
        <v>570</v>
      </c>
      <c r="C52" s="133" t="s">
        <v>7</v>
      </c>
      <c r="D52" s="67">
        <v>92273</v>
      </c>
      <c r="E52" s="134" t="str">
        <f>IF($D52&lt;&gt;"",VLOOKUP($D52,'SINAPI JULHO 2021'!$A$1:E11728,2,FALSE),"")</f>
        <v>FABRICAÇÃO DE ESCORAS DO TIPO PONTALETE, EM MADEIRA, PARA PÉ-DIREITO SIMPLES. AF_09/2020</v>
      </c>
      <c r="F52" s="135" t="str">
        <f>IF($D52&lt;&gt;"",VLOOKUP($D52,'SINAPI JULHO 2021'!$1:$1048576,3,FALSE),"")</f>
        <v>M</v>
      </c>
      <c r="G52" s="337">
        <v>1.1000000000000001</v>
      </c>
      <c r="H52" s="256">
        <f>IF($D52&lt;&gt;"",VLOOKUP($D52,'SINAPI JULHO 2021'!$1:$1048576,4,FALSE),"")</f>
        <v>13.52</v>
      </c>
      <c r="I52" s="257">
        <f t="shared" si="3"/>
        <v>14.87</v>
      </c>
    </row>
    <row r="53" spans="2:9" s="132" customFormat="1" ht="51">
      <c r="B53" s="133" t="s">
        <v>570</v>
      </c>
      <c r="C53" s="133" t="s">
        <v>7</v>
      </c>
      <c r="D53" s="67">
        <v>92723</v>
      </c>
      <c r="E53" s="134" t="str">
        <f>IF($D53&lt;&gt;"",VLOOKUP($D53,'SINAPI JULHO 2021'!$A$1:E11729,2,FALSE),"")</f>
        <v>CONCRETAGEM DE VIGAS E LAJES, FCK=20 MPA, PARA LAJES PREMOLDADAS COM USO DE BOMBA EM EDIFICAÇÃO COM ÁREA MÉDIA DE LAJES MENOR OU IGUAL A 20 M² - LANÇAMENTO, ADENSAMENTO E ACABAMENTO. AF_12/2015</v>
      </c>
      <c r="F53" s="135" t="str">
        <f>IF($D53&lt;&gt;"",VLOOKUP($D53,'SINAPI JULHO 2021'!$1:$1048576,3,FALSE),"")</f>
        <v>M3</v>
      </c>
      <c r="G53" s="337">
        <v>6.7000000000000004E-2</v>
      </c>
      <c r="H53" s="256">
        <f>IF($D53&lt;&gt;"",VLOOKUP($D53,'SINAPI JULHO 2021'!$1:$1048576,4,FALSE),"")</f>
        <v>521.54999999999995</v>
      </c>
      <c r="I53" s="257">
        <f t="shared" si="3"/>
        <v>34.94</v>
      </c>
    </row>
    <row r="54" spans="2:9" s="132" customFormat="1" ht="38.25">
      <c r="B54" s="133" t="s">
        <v>570</v>
      </c>
      <c r="C54" s="133" t="s">
        <v>7</v>
      </c>
      <c r="D54" s="67">
        <v>92783</v>
      </c>
      <c r="E54" s="134" t="str">
        <f>IF($D54&lt;&gt;"",VLOOKUP($D54,'SINAPI JULHO 2021'!$A$1:E11730,2,FALSE),"")</f>
        <v>ARMAÇÃO DE LAJE DE UMA ESTRUTURA CONVENCIONAL DE CONCRETO ARMADO EM UMA EDIFICAÇÃO TÉRREA OU SOBRADO UTILIZANDO AÇO CA-60 DE 4,2 MM - MONTAGEM. AF_12/2015</v>
      </c>
      <c r="F54" s="135" t="str">
        <f>IF($D54&lt;&gt;"",VLOOKUP($D54,'SINAPI JULHO 2021'!$1:$1048576,3,FALSE),"")</f>
        <v>KG</v>
      </c>
      <c r="G54" s="337">
        <v>1</v>
      </c>
      <c r="H54" s="256">
        <f>IF($D54&lt;&gt;"",VLOOKUP($D54,'SINAPI JULHO 2021'!$1:$1048576,4,FALSE),"")</f>
        <v>20.5</v>
      </c>
      <c r="I54" s="257">
        <f t="shared" si="3"/>
        <v>20.5</v>
      </c>
    </row>
    <row r="55" spans="2:9" s="132" customFormat="1" ht="38.25">
      <c r="B55" s="133" t="s">
        <v>568</v>
      </c>
      <c r="C55" s="133" t="s">
        <v>7</v>
      </c>
      <c r="D55" s="67">
        <v>3746</v>
      </c>
      <c r="E55" s="134" t="str">
        <f>IF($D55&lt;&gt;"",VLOOKUP($D55,'SINAPI JULHO 2021'!$A$1:E11731,2,FALSE),"")</f>
        <v xml:space="preserve">LAJE PRE-MOLDADA TRELICADA (LAJOTAS + VIGOTAS) PARA PISO, UNIDIRECIONAL, SOBRECARGA DE 200 KG/M2, VAO ATE 6,00 M (SEM COLOCACAO)                                                                                                                                                                                                                                                                                                                                                                          </v>
      </c>
      <c r="F55" s="135" t="str">
        <f>IF($D55&lt;&gt;"",VLOOKUP($D55,'SINAPI JULHO 2021'!$1:$1048576,3,FALSE),"")</f>
        <v xml:space="preserve">M2    </v>
      </c>
      <c r="G55" s="337">
        <v>1</v>
      </c>
      <c r="H55" s="256">
        <f>IF($D55&lt;&gt;"",VLOOKUP($D55,'SINAPI JULHO 2021'!$1:$1048576,4,FALSE),"")</f>
        <v>116.36</v>
      </c>
      <c r="I55" s="257">
        <f t="shared" si="3"/>
        <v>116.36</v>
      </c>
    </row>
    <row r="56" spans="2:9" s="132" customFormat="1" ht="29.25" customHeight="1">
      <c r="B56" s="133" t="s">
        <v>568</v>
      </c>
      <c r="C56" s="133" t="s">
        <v>7</v>
      </c>
      <c r="D56" s="67">
        <v>6193</v>
      </c>
      <c r="E56" s="134" t="str">
        <f>IF($D56&lt;&gt;"",VLOOKUP($D56,'SINAPI JULHO 2021'!$A$1:E11732,2,FALSE),"")</f>
        <v xml:space="preserve">TABUA  NAO  APARELHADA  *2,5 X 20* CM, EM MACARANDUBA, ANGELIM OU EQUIVALENTE DA REGIAO - BRUTA                                                                                                                                                                                                                                                                                                                                                                                                           </v>
      </c>
      <c r="F56" s="135" t="str">
        <f>IF($D56&lt;&gt;"",VLOOKUP($D56,'SINAPI JULHO 2021'!$1:$1048576,3,FALSE),"")</f>
        <v xml:space="preserve">M     </v>
      </c>
      <c r="G56" s="337">
        <v>1.87</v>
      </c>
      <c r="H56" s="256">
        <f>IF($D56&lt;&gt;"",VLOOKUP($D56,'SINAPI JULHO 2021'!$1:$1048576,4,FALSE),"")</f>
        <v>10.67</v>
      </c>
      <c r="I56" s="257">
        <f>TRUNC(G56*H56,2)</f>
        <v>19.95</v>
      </c>
    </row>
    <row r="57" spans="2:9" s="132" customFormat="1">
      <c r="B57" s="133" t="s">
        <v>568</v>
      </c>
      <c r="C57" s="133" t="s">
        <v>7</v>
      </c>
      <c r="D57" s="67">
        <v>40304</v>
      </c>
      <c r="E57" s="134" t="str">
        <f>IF($D57&lt;&gt;"",VLOOKUP($D57,'SINAPI JULHO 2021'!$A$1:E11733,2,FALSE),"")</f>
        <v xml:space="preserve">PREGO DE ACO POLIDO COM CABECA DUPLA 17 X 27 (2 1/2 X 11)                                                                                                                                                                                                                                                                                                                                                                                                                                                 </v>
      </c>
      <c r="F57" s="135" t="str">
        <f>IF($D57&lt;&gt;"",VLOOKUP($D57,'SINAPI JULHO 2021'!$1:$1048576,3,FALSE),"")</f>
        <v xml:space="preserve">KG    </v>
      </c>
      <c r="G57" s="337">
        <v>0.04</v>
      </c>
      <c r="H57" s="256">
        <f>IF($D57&lt;&gt;"",VLOOKUP($D57,'SINAPI JULHO 2021'!$1:$1048576,4,FALSE),"")</f>
        <v>22.6</v>
      </c>
      <c r="I57" s="257">
        <f>TRUNC(G57*H57,2)</f>
        <v>0.9</v>
      </c>
    </row>
    <row r="58" spans="2:9" s="132" customFormat="1">
      <c r="B58" s="277"/>
      <c r="C58" s="133"/>
      <c r="D58" s="133"/>
      <c r="E58" s="134"/>
      <c r="F58" s="135"/>
      <c r="G58" s="260"/>
      <c r="H58" s="256"/>
      <c r="I58" s="257"/>
    </row>
    <row r="59" spans="2:9" s="132" customFormat="1">
      <c r="B59" s="212" t="s">
        <v>7354</v>
      </c>
      <c r="C59" s="133"/>
      <c r="D59" s="133"/>
      <c r="E59" s="134"/>
      <c r="F59" s="135"/>
      <c r="G59" s="260"/>
      <c r="H59" s="256"/>
      <c r="I59" s="257"/>
    </row>
    <row r="60" spans="2:9" s="132" customFormat="1" ht="13.5" thickBot="1">
      <c r="B60" s="521"/>
      <c r="C60" s="515"/>
      <c r="D60" s="515"/>
      <c r="E60" s="522"/>
      <c r="F60" s="523"/>
      <c r="G60" s="524"/>
      <c r="H60" s="525"/>
      <c r="I60" s="526"/>
    </row>
    <row r="61" spans="2:9" s="132" customFormat="1" ht="35.25" customHeight="1" thickBot="1">
      <c r="B61" s="612" t="s">
        <v>7137</v>
      </c>
      <c r="C61" s="613"/>
      <c r="D61" s="613"/>
      <c r="E61" s="614" t="s">
        <v>7136</v>
      </c>
      <c r="F61" s="615" t="s">
        <v>42</v>
      </c>
      <c r="G61" s="616"/>
      <c r="H61" s="617"/>
      <c r="I61" s="610">
        <f>TRUNC(SUM(I62:I68),2)</f>
        <v>647.6</v>
      </c>
    </row>
    <row r="62" spans="2:9" s="132" customFormat="1" ht="38.25">
      <c r="B62" s="240" t="s">
        <v>570</v>
      </c>
      <c r="C62" s="240" t="s">
        <v>7</v>
      </c>
      <c r="D62" s="241">
        <v>96624</v>
      </c>
      <c r="E62" s="566" t="str">
        <f>IF($D62&lt;&gt;"",VLOOKUP($D62,'SINAPI JULHO 2021'!$A$1:E11751,2,FALSE),"")</f>
        <v>LASTRO COM MATERIAL GRANULAR (PEDRA BRITADA N.2), APLICADO EM PISOS OU LAJES SOBRE SOLO, ESPESSURA DE *10 CM*. AF_08/2017</v>
      </c>
      <c r="F62" s="567" t="str">
        <f>IF($D62&lt;&gt;"",VLOOKUP($D62,'SINAPI JULHO 2021'!$1:$1048576,3,FALSE),"")</f>
        <v>M3</v>
      </c>
      <c r="G62" s="573">
        <v>0.1</v>
      </c>
      <c r="H62" s="569">
        <f>IF($D62&lt;&gt;"",VLOOKUP($D62,'SINAPI JULHO 2021'!$1:$1048576,4,FALSE),"")</f>
        <v>113.54</v>
      </c>
      <c r="I62" s="570">
        <f t="shared" ref="I62:I68" si="4">TRUNC(G62*H62,2)</f>
        <v>11.35</v>
      </c>
    </row>
    <row r="63" spans="2:9" s="132" customFormat="1" ht="25.5">
      <c r="B63" s="133" t="s">
        <v>570</v>
      </c>
      <c r="C63" s="133" t="s">
        <v>7</v>
      </c>
      <c r="D63" s="67">
        <v>97082</v>
      </c>
      <c r="E63" s="134" t="str">
        <f>IF($D63&lt;&gt;"",VLOOKUP($D63,'SINAPI JULHO 2021'!$A$1:E11752,2,FALSE),"")</f>
        <v>ESCAVAÇÃO MANUAL DE VIGA DE BORDA PARA RADIER. AF_09/2017</v>
      </c>
      <c r="F63" s="135" t="str">
        <f>IF($D63&lt;&gt;"",VLOOKUP($D63,'SINAPI JULHO 2021'!$1:$1048576,3,FALSE),"")</f>
        <v>M3</v>
      </c>
      <c r="G63" s="337">
        <v>3.5000000000000003E-2</v>
      </c>
      <c r="H63" s="256">
        <f>IF($D63&lt;&gt;"",VLOOKUP($D63,'SINAPI JULHO 2021'!$1:$1048576,4,FALSE),"")</f>
        <v>40.71</v>
      </c>
      <c r="I63" s="257">
        <f t="shared" si="4"/>
        <v>1.42</v>
      </c>
    </row>
    <row r="64" spans="2:9" s="132" customFormat="1" ht="32.25" customHeight="1">
      <c r="B64" s="133" t="s">
        <v>570</v>
      </c>
      <c r="C64" s="133" t="s">
        <v>7</v>
      </c>
      <c r="D64" s="67">
        <v>97083</v>
      </c>
      <c r="E64" s="134" t="str">
        <f>IF($D64&lt;&gt;"",VLOOKUP($D64,'SINAPI JULHO 2021'!$A$1:E11753,2,FALSE),"")</f>
        <v>COMPACTAÇÃO MECÂNICA DE SOLO PARA EXECUÇÃO DE RADIER, COM COMPACTADOR DE SOLOS A PERCUSSÃO. AF_09/2017</v>
      </c>
      <c r="F64" s="135" t="str">
        <f>IF($D64&lt;&gt;"",VLOOKUP($D64,'SINAPI JULHO 2021'!$1:$1048576,3,FALSE),"")</f>
        <v>M2</v>
      </c>
      <c r="G64" s="337">
        <v>1</v>
      </c>
      <c r="H64" s="256">
        <f>IF($D64&lt;&gt;"",VLOOKUP($D64,'SINAPI JULHO 2021'!$1:$1048576,4,FALSE),"")</f>
        <v>2.21</v>
      </c>
      <c r="I64" s="257">
        <f t="shared" si="4"/>
        <v>2.21</v>
      </c>
    </row>
    <row r="65" spans="2:9" s="132" customFormat="1" ht="28.5" customHeight="1">
      <c r="B65" s="133" t="s">
        <v>570</v>
      </c>
      <c r="C65" s="133" t="s">
        <v>7</v>
      </c>
      <c r="D65" s="67">
        <v>97086</v>
      </c>
      <c r="E65" s="134" t="str">
        <f>IF($D65&lt;&gt;"",VLOOKUP($D65,'SINAPI JULHO 2021'!$A$1:E11754,2,FALSE),"")</f>
        <v>FABRICAÇÃO, MONTAGEM E DESMONTAGEM DE FORMA PARA RADIER, EM MADEIRA SERRADA, 4 UTILIZAÇÕES. AF_09/2017</v>
      </c>
      <c r="F65" s="135" t="str">
        <f>IF($D65&lt;&gt;"",VLOOKUP($D65,'SINAPI JULHO 2021'!$1:$1048576,3,FALSE),"")</f>
        <v>M2</v>
      </c>
      <c r="G65" s="337">
        <v>0.5</v>
      </c>
      <c r="H65" s="256">
        <f>IF($D65&lt;&gt;"",VLOOKUP($D65,'SINAPI JULHO 2021'!$1:$1048576,4,FALSE),"")</f>
        <v>82</v>
      </c>
      <c r="I65" s="257">
        <f t="shared" si="4"/>
        <v>41</v>
      </c>
    </row>
    <row r="66" spans="2:9" s="132" customFormat="1" ht="26.25" customHeight="1">
      <c r="B66" s="133" t="s">
        <v>570</v>
      </c>
      <c r="C66" s="133" t="s">
        <v>7</v>
      </c>
      <c r="D66" s="67">
        <v>97087</v>
      </c>
      <c r="E66" s="134" t="str">
        <f>IF($D66&lt;&gt;"",VLOOKUP($D66,'SINAPI JULHO 2021'!$A$1:E11755,2,FALSE),"")</f>
        <v>CAMADA SEPARADORA PARA EXECUÇÃO DE RADIER, EM LONA PLÁSTICA. AF_09/2017</v>
      </c>
      <c r="F66" s="135" t="str">
        <f>IF($D66&lt;&gt;"",VLOOKUP($D66,'SINAPI JULHO 2021'!$1:$1048576,3,FALSE),"")</f>
        <v>M2</v>
      </c>
      <c r="G66" s="337">
        <v>1</v>
      </c>
      <c r="H66" s="256">
        <f>IF($D66&lt;&gt;"",VLOOKUP($D66,'SINAPI JULHO 2021'!$1:$1048576,4,FALSE),"")</f>
        <v>2.4700000000000002</v>
      </c>
      <c r="I66" s="257">
        <f t="shared" si="4"/>
        <v>2.4700000000000002</v>
      </c>
    </row>
    <row r="67" spans="2:9" s="132" customFormat="1" ht="34.5" customHeight="1">
      <c r="B67" s="133" t="s">
        <v>570</v>
      </c>
      <c r="C67" s="133" t="s">
        <v>7</v>
      </c>
      <c r="D67" s="67">
        <v>97093</v>
      </c>
      <c r="E67" s="134" t="str">
        <f>IF($D67&lt;&gt;"",VLOOKUP($D67,'SINAPI JULHO 2021'!$A$1:E11756,2,FALSE),"")</f>
        <v>ARMAÇÃO PARA EXECUÇÃO DE RADIER, COM USO DE TELA Q-283. AF_09/2017</v>
      </c>
      <c r="F67" s="135" t="str">
        <f>IF($D67&lt;&gt;"",VLOOKUP($D67,'SINAPI JULHO 2021'!$1:$1048576,3,FALSE),"")</f>
        <v>KG</v>
      </c>
      <c r="G67" s="337">
        <v>16.5</v>
      </c>
      <c r="H67" s="256">
        <f>IF($D67&lt;&gt;"",VLOOKUP($D67,'SINAPI JULHO 2021'!$1:$1048576,4,FALSE),"")</f>
        <v>22.64</v>
      </c>
      <c r="I67" s="257">
        <f t="shared" si="4"/>
        <v>373.56</v>
      </c>
    </row>
    <row r="68" spans="2:9" s="132" customFormat="1" ht="38.25">
      <c r="B68" s="133" t="s">
        <v>570</v>
      </c>
      <c r="C68" s="133" t="s">
        <v>7</v>
      </c>
      <c r="D68" s="67">
        <v>97095</v>
      </c>
      <c r="E68" s="134" t="str">
        <f>IF($D68&lt;&gt;"",VLOOKUP($D68,'SINAPI JULHO 2021'!$A$1:E11757,2,FALSE),"")</f>
        <v>CONCRETAGEM DE RADIER, PISO OU LAJE SOBRE SOLO, FCK 30 MPA, PARA ESPESSURA DE 15 CM - LANÇAMENTO, ADENSAMENTO E ACABAMENTO. AF_09/2017</v>
      </c>
      <c r="F68" s="135" t="str">
        <f>IF($D68&lt;&gt;"",VLOOKUP($D68,'SINAPI JULHO 2021'!$1:$1048576,3,FALSE),"")</f>
        <v>M3</v>
      </c>
      <c r="G68" s="337">
        <v>0.4</v>
      </c>
      <c r="H68" s="256">
        <f>IF($D68&lt;&gt;"",VLOOKUP($D68,'SINAPI JULHO 2021'!$1:$1048576,4,FALSE),"")</f>
        <v>538.99</v>
      </c>
      <c r="I68" s="257">
        <f t="shared" si="4"/>
        <v>215.59</v>
      </c>
    </row>
    <row r="69" spans="2:9" s="132" customFormat="1">
      <c r="B69" s="278"/>
      <c r="C69" s="278"/>
      <c r="D69" s="277"/>
      <c r="E69" s="134"/>
      <c r="F69" s="135"/>
      <c r="G69" s="260"/>
      <c r="H69" s="256"/>
      <c r="I69" s="279"/>
    </row>
    <row r="70" spans="2:9" s="132" customFormat="1">
      <c r="B70" s="212" t="s">
        <v>7353</v>
      </c>
      <c r="C70" s="278"/>
      <c r="D70" s="277"/>
      <c r="E70" s="134"/>
      <c r="F70" s="135"/>
      <c r="G70" s="260"/>
      <c r="H70" s="256"/>
      <c r="I70" s="279"/>
    </row>
    <row r="71" spans="2:9" s="132" customFormat="1" ht="13.5" thickBot="1">
      <c r="B71" s="527"/>
      <c r="C71" s="527"/>
      <c r="D71" s="521"/>
      <c r="E71" s="522"/>
      <c r="F71" s="523"/>
      <c r="G71" s="524"/>
      <c r="H71" s="525"/>
      <c r="I71" s="528"/>
    </row>
    <row r="72" spans="2:9" s="132" customFormat="1" ht="51.75" thickBot="1">
      <c r="B72" s="624" t="s">
        <v>6858</v>
      </c>
      <c r="C72" s="611"/>
      <c r="D72" s="611"/>
      <c r="E72" s="620" t="s">
        <v>6972</v>
      </c>
      <c r="F72" s="611" t="s">
        <v>14</v>
      </c>
      <c r="G72" s="608"/>
      <c r="H72" s="625"/>
      <c r="I72" s="626">
        <f>TRUNC(SUM(I73:I78),2)</f>
        <v>105.77</v>
      </c>
    </row>
    <row r="73" spans="2:9" s="132" customFormat="1" ht="25.5">
      <c r="B73" s="240" t="s">
        <v>568</v>
      </c>
      <c r="C73" s="240" t="s">
        <v>7</v>
      </c>
      <c r="D73" s="240">
        <v>1322</v>
      </c>
      <c r="E73" s="566" t="str">
        <f>IF($D73&lt;&gt;"",VLOOKUP($D73,'SINAPI JULHO 2021'!$A$1:E11757,2,FALSE),"")</f>
        <v xml:space="preserve">CHAPA DE ACO FINA A QUENTE BITOLA MSG 16, E = 1,50 MM (12,00 KG/M2)                                                                                                                                                                                                                                                                                                                                                                                                                                       </v>
      </c>
      <c r="F73" s="567" t="str">
        <f>IF($D73&lt;&gt;"",VLOOKUP($D73,'SINAPI JULHO 2021'!$1:$1048576,3,FALSE),"")</f>
        <v xml:space="preserve">KG    </v>
      </c>
      <c r="G73" s="574">
        <f>12*0.25*1</f>
        <v>3</v>
      </c>
      <c r="H73" s="569">
        <f>IF($D73&lt;&gt;"",VLOOKUP($D73,'SINAPI JULHO 2021'!$1:$1048576,4,FALSE),"")</f>
        <v>10.94</v>
      </c>
      <c r="I73" s="570">
        <f t="shared" ref="I73:I78" si="5">TRUNC(G73*H73,2)</f>
        <v>32.82</v>
      </c>
    </row>
    <row r="74" spans="2:9" s="132" customFormat="1" ht="38.25">
      <c r="B74" s="133" t="s">
        <v>568</v>
      </c>
      <c r="C74" s="133" t="s">
        <v>7</v>
      </c>
      <c r="D74" s="133">
        <v>100719</v>
      </c>
      <c r="E74" s="134" t="str">
        <f>IF($D74&lt;&gt;"",VLOOKUP($D74,'SINAPI JULHO 2021'!$A$1:E11758,2,FALSE),"")</f>
        <v>PINTURA COM TINTA ALQUÍDICA DE FUNDO (TIPO ZARCÃO) PULVERIZADA SOBRE PERFIL METÁLICO EXECUTADO EM FÁBRICA (POR DEMÃO). AF_01/2020_P</v>
      </c>
      <c r="F74" s="135" t="str">
        <f>IF($D74&lt;&gt;"",VLOOKUP($D74,'SINAPI JULHO 2021'!$1:$1048576,3,FALSE),"")</f>
        <v>M2</v>
      </c>
      <c r="G74" s="246">
        <f>1*0.25*2</f>
        <v>0.5</v>
      </c>
      <c r="H74" s="256">
        <f>IF($D74&lt;&gt;"",VLOOKUP($D74,'SINAPI JULHO 2021'!$1:$1048576,4,FALSE),"")</f>
        <v>7.05</v>
      </c>
      <c r="I74" s="257">
        <f t="shared" si="5"/>
        <v>3.52</v>
      </c>
    </row>
    <row r="75" spans="2:9" s="132" customFormat="1" ht="51">
      <c r="B75" s="133" t="s">
        <v>600</v>
      </c>
      <c r="C75" s="133" t="s">
        <v>7</v>
      </c>
      <c r="D75" s="133">
        <v>100759</v>
      </c>
      <c r="E75" s="134" t="str">
        <f>IF($D75&lt;&gt;"",VLOOKUP($D75,'SINAPI JULHO 2021'!$A$1:E11759,2,FALSE),"")</f>
        <v>PINTURA COM TINTA ALQUÍDICA DE ACABAMENTO (ESMALTE SINTÉTICO BRILHANTE) PULVERIZADA SOBRE SUPERFÍCIES METÁLICAS (EXCETO PERFIL) EXECUTADO EM OBRA (02 DEMÃOS). AF_01/2020_P</v>
      </c>
      <c r="F75" s="135" t="str">
        <f>IF($D75&lt;&gt;"",VLOOKUP($D75,'SINAPI JULHO 2021'!$1:$1048576,3,FALSE),"")</f>
        <v>M2</v>
      </c>
      <c r="G75" s="246">
        <f>1*0.25*2</f>
        <v>0.5</v>
      </c>
      <c r="H75" s="256">
        <f>IF($D75&lt;&gt;"",VLOOKUP($D75,'SINAPI JULHO 2021'!$1:$1048576,4,FALSE),"")</f>
        <v>31.59</v>
      </c>
      <c r="I75" s="257">
        <f t="shared" si="5"/>
        <v>15.79</v>
      </c>
    </row>
    <row r="76" spans="2:9" s="132" customFormat="1" ht="25.5">
      <c r="B76" s="133" t="s">
        <v>600</v>
      </c>
      <c r="C76" s="133" t="s">
        <v>7</v>
      </c>
      <c r="D76" s="133">
        <v>98746</v>
      </c>
      <c r="E76" s="134" t="str">
        <f>IF($D76&lt;&gt;"",VLOOKUP($D76,'SINAPI JULHO 2021'!$A$1:E11760,2,FALSE),"")</f>
        <v>SOLDA DE TOPO EM CHAPA/PERFIL/TUBO DE AÇO CHANFRADO, ESPESSURA=1/4''. AF_06/2018</v>
      </c>
      <c r="F76" s="135" t="str">
        <f>IF($D76&lt;&gt;"",VLOOKUP($D76,'SINAPI JULHO 2021'!$1:$1048576,3,FALSE),"")</f>
        <v>M</v>
      </c>
      <c r="G76" s="246">
        <f>0.5+0.4</f>
        <v>0.9</v>
      </c>
      <c r="H76" s="256">
        <f>IF($D76&lt;&gt;"",VLOOKUP($D76,'SINAPI JULHO 2021'!$1:$1048576,4,FALSE),"")</f>
        <v>42.05</v>
      </c>
      <c r="I76" s="257">
        <f t="shared" si="5"/>
        <v>37.840000000000003</v>
      </c>
    </row>
    <row r="77" spans="2:9" s="132" customFormat="1">
      <c r="B77" s="133" t="s">
        <v>600</v>
      </c>
      <c r="C77" s="133" t="s">
        <v>7</v>
      </c>
      <c r="D77" s="133">
        <v>88315</v>
      </c>
      <c r="E77" s="134" t="str">
        <f>IF($D77&lt;&gt;"",VLOOKUP($D77,'SINAPI JULHO 2021'!$A$1:E11761,2,FALSE),"")</f>
        <v>SERRALHEIRO COM ENCARGOS COMPLEMENTARES</v>
      </c>
      <c r="F77" s="135" t="str">
        <f>IF($D77&lt;&gt;"",VLOOKUP($D77,'SINAPI JULHO 2021'!$1:$1048576,3,FALSE),"")</f>
        <v>H</v>
      </c>
      <c r="G77" s="246">
        <v>0.5</v>
      </c>
      <c r="H77" s="256">
        <f>IF($D77&lt;&gt;"",VLOOKUP($D77,'SINAPI JULHO 2021'!$1:$1048576,4,FALSE),"")</f>
        <v>17.579999999999998</v>
      </c>
      <c r="I77" s="257">
        <f t="shared" si="5"/>
        <v>8.7899999999999991</v>
      </c>
    </row>
    <row r="78" spans="2:9" s="132" customFormat="1">
      <c r="B78" s="133" t="s">
        <v>600</v>
      </c>
      <c r="C78" s="133" t="s">
        <v>7</v>
      </c>
      <c r="D78" s="133">
        <v>88316</v>
      </c>
      <c r="E78" s="134" t="str">
        <f>IF($D78&lt;&gt;"",VLOOKUP($D78,'SINAPI JULHO 2021'!$A$1:E11762,2,FALSE),"")</f>
        <v>SERVENTE COM ENCARGOS COMPLEMENTARES</v>
      </c>
      <c r="F78" s="135" t="str">
        <f>IF($D78&lt;&gt;"",VLOOKUP($D78,'SINAPI JULHO 2021'!$1:$1048576,3,FALSE),"")</f>
        <v>H</v>
      </c>
      <c r="G78" s="246">
        <v>0.5</v>
      </c>
      <c r="H78" s="256">
        <f>IF($D78&lt;&gt;"",VLOOKUP($D78,'SINAPI JULHO 2021'!$1:$1048576,4,FALSE),"")</f>
        <v>14.02</v>
      </c>
      <c r="I78" s="257">
        <f t="shared" si="5"/>
        <v>7.01</v>
      </c>
    </row>
    <row r="79" spans="2:9" s="132" customFormat="1" ht="13.5" thickBot="1">
      <c r="B79" s="527"/>
      <c r="C79" s="527"/>
      <c r="D79" s="521"/>
      <c r="E79" s="522"/>
      <c r="F79" s="523"/>
      <c r="G79" s="524"/>
      <c r="H79" s="525"/>
      <c r="I79" s="528"/>
    </row>
    <row r="80" spans="2:9" ht="48.75" customHeight="1" thickBot="1">
      <c r="B80" s="612" t="s">
        <v>4279</v>
      </c>
      <c r="C80" s="613"/>
      <c r="D80" s="613"/>
      <c r="E80" s="614" t="s">
        <v>13101</v>
      </c>
      <c r="F80" s="615" t="s">
        <v>34</v>
      </c>
      <c r="G80" s="616" t="s">
        <v>33</v>
      </c>
      <c r="H80" s="617"/>
      <c r="I80" s="610">
        <f>TRUNC(SUM(I81:I85),2)</f>
        <v>909.76</v>
      </c>
    </row>
    <row r="81" spans="2:11">
      <c r="B81" s="575" t="s">
        <v>570</v>
      </c>
      <c r="C81" s="575" t="s">
        <v>7</v>
      </c>
      <c r="D81" s="240">
        <v>88316</v>
      </c>
      <c r="E81" s="566" t="str">
        <f>IF($D81&lt;&gt;"",VLOOKUP($D81,'SINAPI JULHO 2021'!$A$1:E11766,2,FALSE),"")</f>
        <v>SERVENTE COM ENCARGOS COMPLEMENTARES</v>
      </c>
      <c r="F81" s="567" t="str">
        <f>IF($D81&lt;&gt;"",VLOOKUP($D81,'SINAPI JULHO 2021'!$1:$1048576,3,FALSE),"")</f>
        <v>H</v>
      </c>
      <c r="G81" s="576">
        <v>5.3</v>
      </c>
      <c r="H81" s="569">
        <f>IF($D81&lt;&gt;"",VLOOKUP($D81,'SINAPI JULHO 2021'!$1:$1048576,4,FALSE),"")</f>
        <v>14.02</v>
      </c>
      <c r="I81" s="570">
        <f>TRUNC(G81*H81,2)</f>
        <v>74.3</v>
      </c>
    </row>
    <row r="82" spans="2:11">
      <c r="B82" s="140" t="s">
        <v>570</v>
      </c>
      <c r="C82" s="193" t="s">
        <v>7</v>
      </c>
      <c r="D82" s="140">
        <v>88309</v>
      </c>
      <c r="E82" s="134" t="str">
        <f>IF($D82&lt;&gt;"",VLOOKUP($D82,'SINAPI JULHO 2021'!$A$1:E11767,2,FALSE),"")</f>
        <v>PEDREIRO COM ENCARGOS COMPLEMENTARES</v>
      </c>
      <c r="F82" s="135" t="str">
        <f>IF($D82&lt;&gt;"",VLOOKUP($D82,'SINAPI JULHO 2021'!$1:$1048576,3,FALSE),"")</f>
        <v>H</v>
      </c>
      <c r="G82" s="251">
        <v>1.5209999999999999</v>
      </c>
      <c r="H82" s="256">
        <f>IF($D82&lt;&gt;"",VLOOKUP($D82,'SINAPI JULHO 2021'!$1:$1048576,4,FALSE),"")</f>
        <v>17.670000000000002</v>
      </c>
      <c r="I82" s="257">
        <f>TRUNC(G82*H82,2)</f>
        <v>26.87</v>
      </c>
      <c r="K82" s="401"/>
    </row>
    <row r="83" spans="2:11">
      <c r="B83" s="140" t="s">
        <v>570</v>
      </c>
      <c r="C83" s="193" t="s">
        <v>7</v>
      </c>
      <c r="D83" s="216">
        <v>88315</v>
      </c>
      <c r="E83" s="134" t="str">
        <f>IF($D83&lt;&gt;"",VLOOKUP($D83,'SINAPI JULHO 2021'!$A$1:E11768,2,FALSE),"")</f>
        <v>SERRALHEIRO COM ENCARGOS COMPLEMENTARES</v>
      </c>
      <c r="F83" s="135" t="str">
        <f>IF($D83&lt;&gt;"",VLOOKUP($D83,'SINAPI JULHO 2021'!$1:$1048576,3,FALSE),"")</f>
        <v>H</v>
      </c>
      <c r="G83" s="251">
        <v>3.02</v>
      </c>
      <c r="H83" s="256">
        <f>IF($D83&lt;&gt;"",VLOOKUP($D83,'SINAPI JULHO 2021'!$1:$1048576,4,FALSE),"")</f>
        <v>17.579999999999998</v>
      </c>
      <c r="I83" s="257">
        <f>TRUNC(G83*H83,2)</f>
        <v>53.09</v>
      </c>
    </row>
    <row r="84" spans="2:11" ht="26.25" customHeight="1">
      <c r="B84" s="455" t="s">
        <v>568</v>
      </c>
      <c r="C84" s="190" t="s">
        <v>569</v>
      </c>
      <c r="D84" s="140"/>
      <c r="E84" s="134" t="s">
        <v>13101</v>
      </c>
      <c r="F84" s="135" t="s">
        <v>34</v>
      </c>
      <c r="G84" s="251">
        <v>1</v>
      </c>
      <c r="H84" s="256">
        <v>750</v>
      </c>
      <c r="I84" s="257">
        <f>TRUNC(G84*H84,2)</f>
        <v>750</v>
      </c>
    </row>
    <row r="85" spans="2:11" ht="12.75" customHeight="1" thickBot="1">
      <c r="B85" s="529" t="s">
        <v>570</v>
      </c>
      <c r="C85" s="530" t="s">
        <v>7</v>
      </c>
      <c r="D85" s="529">
        <v>88627</v>
      </c>
      <c r="E85" s="522" t="str">
        <f>IF($D85&lt;&gt;"",VLOOKUP($D85,'SINAPI JULHO 2021'!$A$1:E11770,2,FALSE),"")</f>
        <v>ARGAMASSA TRAÇO 1:0,5:4,5 (EM VOLUME DE CIMENTO, CAL E AREIA MÉDIA ÚMIDA) PARA ASSENTAMENTO DE ALVENARIA, PREPARO MANUAL. AF_08/2019</v>
      </c>
      <c r="F85" s="523" t="str">
        <f>IF($D85&lt;&gt;"",VLOOKUP($D85,'SINAPI JULHO 2021'!$1:$1048576,3,FALSE),"")</f>
        <v>M3</v>
      </c>
      <c r="G85" s="531">
        <v>1.1339999999999999E-2</v>
      </c>
      <c r="H85" s="525">
        <f>IF($D85&lt;&gt;"",VLOOKUP($D85,'SINAPI JULHO 2021'!$1:$1048576,4,FALSE),"")</f>
        <v>485.09</v>
      </c>
      <c r="I85" s="526">
        <f>TRUNC(G85*H85,2)</f>
        <v>5.5</v>
      </c>
    </row>
    <row r="86" spans="2:11" ht="51.75" thickBot="1">
      <c r="B86" s="612" t="s">
        <v>4280</v>
      </c>
      <c r="C86" s="627"/>
      <c r="D86" s="628"/>
      <c r="E86" s="629" t="s">
        <v>7255</v>
      </c>
      <c r="F86" s="630" t="s">
        <v>42</v>
      </c>
      <c r="G86" s="608"/>
      <c r="H86" s="617"/>
      <c r="I86" s="610">
        <f>TRUNC(SUM(I87:I90),2)</f>
        <v>1379.51</v>
      </c>
    </row>
    <row r="87" spans="2:11" ht="39" customHeight="1">
      <c r="B87" s="240" t="s">
        <v>568</v>
      </c>
      <c r="C87" s="240" t="s">
        <v>7</v>
      </c>
      <c r="D87" s="241">
        <v>4943</v>
      </c>
      <c r="E87" s="566" t="str">
        <f>IF($D87&lt;&gt;"",VLOOKUP($D87,'SINAPI JULHO 2021'!$A$1:E11772,2,FALSE),"")</f>
        <v xml:space="preserve">PORTA DE ENROLAR MANUAL COMPLETA, PERFIL MEIA CANA VAZADA TIJOLINHO, EM ACO GALVANIZADO NATURAL, CHAPA NUMERO 24 (SEM INSTALACAO)                                                                                                                                                                                                                                                                                                                                                                         </v>
      </c>
      <c r="F87" s="567" t="str">
        <f>IF($D87&lt;&gt;"",VLOOKUP($D87,'SINAPI JULHO 2021'!$1:$1048576,3,FALSE),"")</f>
        <v xml:space="preserve">M2    </v>
      </c>
      <c r="G87" s="577">
        <v>1</v>
      </c>
      <c r="H87" s="569">
        <f>IF($D87&lt;&gt;"",VLOOKUP($D87,'SINAPI JULHO 2021'!$1:$1048576,4,FALSE),"")</f>
        <v>753.14</v>
      </c>
      <c r="I87" s="570">
        <f>TRUNC(G87*H87,2)</f>
        <v>753.14</v>
      </c>
    </row>
    <row r="88" spans="2:11" ht="41.25" customHeight="1">
      <c r="B88" s="133" t="s">
        <v>568</v>
      </c>
      <c r="C88" s="133" t="s">
        <v>7</v>
      </c>
      <c r="D88" s="67">
        <v>86889</v>
      </c>
      <c r="E88" s="134" t="str">
        <f>IF($D88&lt;&gt;"",VLOOKUP($D88,'SINAPI JULHO 2021'!$A$1:E11773,2,FALSE),"")</f>
        <v>BANCADA DE GRANITO CINZA POLIDO, DE 1,50 X 0,60 M, PARA PIA DE COZINHA - FORNECIMENTO E INSTALAÇÃO. AF_01/2020</v>
      </c>
      <c r="F88" s="135" t="str">
        <f>IF($D88&lt;&gt;"",VLOOKUP($D88,'SINAPI JULHO 2021'!$1:$1048576,3,FALSE),"")</f>
        <v>UN</v>
      </c>
      <c r="G88" s="250">
        <v>1.1000000000000001</v>
      </c>
      <c r="H88" s="256">
        <f>IF($D88&lt;&gt;"",VLOOKUP($D88,'SINAPI JULHO 2021'!$1:$1048576,4,FALSE),"")</f>
        <v>540.62</v>
      </c>
      <c r="I88" s="257">
        <f>TRUNC(G88*H88,2)</f>
        <v>594.67999999999995</v>
      </c>
    </row>
    <row r="89" spans="2:11" ht="12.75" customHeight="1">
      <c r="B89" s="133" t="s">
        <v>600</v>
      </c>
      <c r="C89" s="133" t="s">
        <v>7</v>
      </c>
      <c r="D89" s="67">
        <v>88309</v>
      </c>
      <c r="E89" s="134" t="str">
        <f>IF($D89&lt;&gt;"",VLOOKUP($D89,'SINAPI JULHO 2021'!$A$1:E11776,2,FALSE),"")</f>
        <v>PEDREIRO COM ENCARGOS COMPLEMENTARES</v>
      </c>
      <c r="F89" s="135" t="str">
        <f>IF($D89&lt;&gt;"",VLOOKUP($D89,'SINAPI JULHO 2021'!$1:$1048576,3,FALSE),"")</f>
        <v>H</v>
      </c>
      <c r="G89" s="250">
        <v>1</v>
      </c>
      <c r="H89" s="256">
        <f>IF($D89&lt;&gt;"",VLOOKUP($D89,'SINAPI JULHO 2021'!$1:$1048576,4,FALSE),"")</f>
        <v>17.670000000000002</v>
      </c>
      <c r="I89" s="257">
        <f>TRUNC(G89*H89,2)</f>
        <v>17.670000000000002</v>
      </c>
    </row>
    <row r="90" spans="2:11">
      <c r="B90" s="133" t="s">
        <v>600</v>
      </c>
      <c r="C90" s="133" t="s">
        <v>7</v>
      </c>
      <c r="D90" s="67">
        <v>88316</v>
      </c>
      <c r="E90" s="134" t="str">
        <f>IF($D90&lt;&gt;"",VLOOKUP($D90,'SINAPI JULHO 2021'!$A$1:E11777,2,FALSE),"")</f>
        <v>SERVENTE COM ENCARGOS COMPLEMENTARES</v>
      </c>
      <c r="F90" s="135" t="str">
        <f>IF($D90&lt;&gt;"",VLOOKUP($D90,'SINAPI JULHO 2021'!$1:$1048576,3,FALSE),"")</f>
        <v>H</v>
      </c>
      <c r="G90" s="250">
        <v>1</v>
      </c>
      <c r="H90" s="256">
        <f>IF($D90&lt;&gt;"",VLOOKUP($D90,'SINAPI JULHO 2021'!$1:$1048576,4,FALSE),"")</f>
        <v>14.02</v>
      </c>
      <c r="I90" s="257">
        <f>TRUNC(G90*H90,2)</f>
        <v>14.02</v>
      </c>
    </row>
    <row r="91" spans="2:11" s="132" customFormat="1" ht="13.5" thickBot="1">
      <c r="B91" s="515"/>
      <c r="C91" s="515"/>
      <c r="D91" s="516"/>
      <c r="E91" s="522"/>
      <c r="F91" s="523"/>
      <c r="G91" s="532"/>
      <c r="H91" s="525"/>
      <c r="I91" s="520"/>
    </row>
    <row r="92" spans="2:11" s="132" customFormat="1" ht="33.75" customHeight="1" thickBot="1">
      <c r="B92" s="618" t="s">
        <v>4281</v>
      </c>
      <c r="C92" s="619"/>
      <c r="D92" s="619"/>
      <c r="E92" s="629" t="s">
        <v>13100</v>
      </c>
      <c r="F92" s="611" t="s">
        <v>42</v>
      </c>
      <c r="G92" s="608"/>
      <c r="H92" s="609"/>
      <c r="I92" s="610">
        <f>TRUNC(SUM(I93:I94),2)</f>
        <v>253.02</v>
      </c>
    </row>
    <row r="93" spans="2:11" s="132" customFormat="1" ht="32.25" customHeight="1">
      <c r="B93" s="578" t="s">
        <v>568</v>
      </c>
      <c r="C93" s="240" t="s">
        <v>569</v>
      </c>
      <c r="D93" s="579"/>
      <c r="E93" s="566" t="s">
        <v>13099</v>
      </c>
      <c r="F93" s="580" t="s">
        <v>4469</v>
      </c>
      <c r="G93" s="577">
        <v>1</v>
      </c>
      <c r="H93" s="569">
        <v>239</v>
      </c>
      <c r="I93" s="570">
        <f>TRUNC(G93*H93,2)</f>
        <v>239</v>
      </c>
    </row>
    <row r="94" spans="2:11" s="132" customFormat="1" ht="18" customHeight="1" thickBot="1">
      <c r="B94" s="515" t="s">
        <v>570</v>
      </c>
      <c r="C94" s="515" t="s">
        <v>7</v>
      </c>
      <c r="D94" s="533">
        <v>88316</v>
      </c>
      <c r="E94" s="522" t="str">
        <f>IF($D94&lt;&gt;"",VLOOKUP($D94,'SINAPI JULHO 2021'!$A$1:E11781,2,FALSE),"")</f>
        <v>SERVENTE COM ENCARGOS COMPLEMENTARES</v>
      </c>
      <c r="F94" s="523" t="str">
        <f>IF($D94&lt;&gt;"",VLOOKUP($D94,'SINAPI JULHO 2021'!$1:$1048576,3,FALSE),"")</f>
        <v>H</v>
      </c>
      <c r="G94" s="534">
        <v>1</v>
      </c>
      <c r="H94" s="525">
        <f>IF($D94&lt;&gt;"",VLOOKUP($D94,'SINAPI JULHO 2021'!$1:$1048576,4,FALSE),"")</f>
        <v>14.02</v>
      </c>
      <c r="I94" s="526">
        <f>TRUNC(G94*H94,2)</f>
        <v>14.02</v>
      </c>
    </row>
    <row r="95" spans="2:11" s="132" customFormat="1" ht="26.25" customHeight="1" thickBot="1">
      <c r="B95" s="612" t="s">
        <v>6745</v>
      </c>
      <c r="C95" s="613"/>
      <c r="D95" s="613"/>
      <c r="E95" s="614" t="s">
        <v>6746</v>
      </c>
      <c r="F95" s="615" t="s">
        <v>34</v>
      </c>
      <c r="G95" s="616" t="s">
        <v>33</v>
      </c>
      <c r="H95" s="617"/>
      <c r="I95" s="610">
        <f>TRUNC(SUM(I96:I100),2)</f>
        <v>805.26</v>
      </c>
    </row>
    <row r="96" spans="2:11" s="132" customFormat="1" ht="18" customHeight="1">
      <c r="B96" s="575" t="s">
        <v>570</v>
      </c>
      <c r="C96" s="575" t="s">
        <v>7</v>
      </c>
      <c r="D96" s="240">
        <v>88316</v>
      </c>
      <c r="E96" s="566" t="str">
        <f>IF($D96&lt;&gt;"",VLOOKUP($D96,'SINAPI JULHO 2021'!$A$1:E11783,2,FALSE),"")</f>
        <v>SERVENTE COM ENCARGOS COMPLEMENTARES</v>
      </c>
      <c r="F96" s="567" t="str">
        <f>IF($D96&lt;&gt;"",VLOOKUP($D96,'SINAPI JULHO 2021'!$1:$1048576,3,FALSE),"")</f>
        <v>H</v>
      </c>
      <c r="G96" s="576">
        <v>5.3</v>
      </c>
      <c r="H96" s="569">
        <f>IF($D96&lt;&gt;"",VLOOKUP($D96,'SINAPI JULHO 2021'!$1:$1048576,4,FALSE),"")</f>
        <v>14.02</v>
      </c>
      <c r="I96" s="570">
        <f>TRUNC(G96*H96,2)</f>
        <v>74.3</v>
      </c>
    </row>
    <row r="97" spans="2:9" s="132" customFormat="1" ht="18" customHeight="1">
      <c r="B97" s="140" t="s">
        <v>570</v>
      </c>
      <c r="C97" s="193" t="s">
        <v>7</v>
      </c>
      <c r="D97" s="140">
        <v>88309</v>
      </c>
      <c r="E97" s="134" t="str">
        <f>IF($D97&lt;&gt;"",VLOOKUP($D97,'SINAPI JULHO 2021'!$A$1:E11784,2,FALSE),"")</f>
        <v>PEDREIRO COM ENCARGOS COMPLEMENTARES</v>
      </c>
      <c r="F97" s="135" t="str">
        <f>IF($D97&lt;&gt;"",VLOOKUP($D97,'SINAPI JULHO 2021'!$1:$1048576,3,FALSE),"")</f>
        <v>H</v>
      </c>
      <c r="G97" s="251">
        <v>1.5209999999999999</v>
      </c>
      <c r="H97" s="256">
        <f>IF($D97&lt;&gt;"",VLOOKUP($D97,'SINAPI JULHO 2021'!$1:$1048576,4,FALSE),"")</f>
        <v>17.670000000000002</v>
      </c>
      <c r="I97" s="257">
        <f>TRUNC(G97*H97,2)</f>
        <v>26.87</v>
      </c>
    </row>
    <row r="98" spans="2:9" s="132" customFormat="1" ht="18" customHeight="1">
      <c r="B98" s="140" t="s">
        <v>570</v>
      </c>
      <c r="C98" s="193" t="s">
        <v>7</v>
      </c>
      <c r="D98" s="216">
        <v>88315</v>
      </c>
      <c r="E98" s="134" t="str">
        <f>IF($D98&lt;&gt;"",VLOOKUP($D98,'SINAPI JULHO 2021'!$A$1:E11785,2,FALSE),"")</f>
        <v>SERRALHEIRO COM ENCARGOS COMPLEMENTARES</v>
      </c>
      <c r="F98" s="135" t="str">
        <f>IF($D98&lt;&gt;"",VLOOKUP($D98,'SINAPI JULHO 2021'!$1:$1048576,3,FALSE),"")</f>
        <v>H</v>
      </c>
      <c r="G98" s="251">
        <v>3.02</v>
      </c>
      <c r="H98" s="256">
        <f>IF($D98&lt;&gt;"",VLOOKUP($D98,'SINAPI JULHO 2021'!$1:$1048576,4,FALSE),"")</f>
        <v>17.579999999999998</v>
      </c>
      <c r="I98" s="257">
        <f>TRUNC(G98*H98,2)</f>
        <v>53.09</v>
      </c>
    </row>
    <row r="99" spans="2:9" s="132" customFormat="1" ht="24.75" customHeight="1">
      <c r="B99" s="455" t="s">
        <v>568</v>
      </c>
      <c r="C99" s="190" t="s">
        <v>569</v>
      </c>
      <c r="D99" s="140"/>
      <c r="E99" s="134" t="s">
        <v>6746</v>
      </c>
      <c r="F99" s="135" t="s">
        <v>34</v>
      </c>
      <c r="G99" s="251">
        <v>1</v>
      </c>
      <c r="H99" s="256">
        <v>645.5</v>
      </c>
      <c r="I99" s="257">
        <f>TRUNC(G99*H99,2)</f>
        <v>645.5</v>
      </c>
    </row>
    <row r="100" spans="2:9" s="132" customFormat="1" ht="50.25" customHeight="1" thickBot="1">
      <c r="B100" s="529" t="s">
        <v>570</v>
      </c>
      <c r="C100" s="530" t="s">
        <v>7</v>
      </c>
      <c r="D100" s="529">
        <v>88627</v>
      </c>
      <c r="E100" s="522" t="str">
        <f>IF($D100&lt;&gt;"",VLOOKUP($D100,'SINAPI JULHO 2021'!$A$1:E11787,2,FALSE),"")</f>
        <v>ARGAMASSA TRAÇO 1:0,5:4,5 (EM VOLUME DE CIMENTO, CAL E AREIA MÉDIA ÚMIDA) PARA ASSENTAMENTO DE ALVENARIA, PREPARO MANUAL. AF_08/2019</v>
      </c>
      <c r="F100" s="523" t="str">
        <f>IF($D100&lt;&gt;"",VLOOKUP($D100,'SINAPI JULHO 2021'!$1:$1048576,3,FALSE),"")</f>
        <v>M3</v>
      </c>
      <c r="G100" s="531">
        <v>1.1339999999999999E-2</v>
      </c>
      <c r="H100" s="525">
        <f>IF($D100&lt;&gt;"",VLOOKUP($D100,'SINAPI JULHO 2021'!$1:$1048576,4,FALSE),"")</f>
        <v>485.09</v>
      </c>
      <c r="I100" s="526">
        <f>TRUNC(G100*H100,2)</f>
        <v>5.5</v>
      </c>
    </row>
    <row r="101" spans="2:9" s="132" customFormat="1" ht="49.5" customHeight="1" thickBot="1">
      <c r="B101" s="612" t="s">
        <v>6747</v>
      </c>
      <c r="C101" s="613"/>
      <c r="D101" s="613"/>
      <c r="E101" s="614" t="s">
        <v>6748</v>
      </c>
      <c r="F101" s="615" t="s">
        <v>42</v>
      </c>
      <c r="G101" s="616" t="s">
        <v>33</v>
      </c>
      <c r="H101" s="617"/>
      <c r="I101" s="610">
        <f>TRUNC(SUM(I102:I104),2)</f>
        <v>1018.41</v>
      </c>
    </row>
    <row r="102" spans="2:9" s="132" customFormat="1" ht="18" customHeight="1">
      <c r="B102" s="575" t="s">
        <v>570</v>
      </c>
      <c r="C102" s="581" t="s">
        <v>7</v>
      </c>
      <c r="D102" s="575">
        <v>88309</v>
      </c>
      <c r="E102" s="566" t="str">
        <f>IF($D102&lt;&gt;"",VLOOKUP($D102,'SINAPI JULHO 2021'!$A$1:E11790,2,FALSE),"")</f>
        <v>PEDREIRO COM ENCARGOS COMPLEMENTARES</v>
      </c>
      <c r="F102" s="567" t="str">
        <f>IF($D102&lt;&gt;"",VLOOKUP($D102,'SINAPI JULHO 2021'!$1:$1048576,3,FALSE),"")</f>
        <v>H</v>
      </c>
      <c r="G102" s="576">
        <v>1</v>
      </c>
      <c r="H102" s="569">
        <f>IF($D102&lt;&gt;"",VLOOKUP($D102,'SINAPI JULHO 2021'!$1:$1048576,4,FALSE),"")</f>
        <v>17.670000000000002</v>
      </c>
      <c r="I102" s="570">
        <f>TRUNC(G102*H102,2)</f>
        <v>17.670000000000002</v>
      </c>
    </row>
    <row r="103" spans="2:9" s="132" customFormat="1" ht="48.75" customHeight="1">
      <c r="B103" s="140" t="s">
        <v>570</v>
      </c>
      <c r="C103" s="193" t="s">
        <v>7</v>
      </c>
      <c r="D103" s="216">
        <v>37561</v>
      </c>
      <c r="E103" s="134" t="str">
        <f>IF($D103&lt;&gt;"",VLOOKUP($D103,'SINAPI JULHO 2021'!$A$1:E11791,2,FALSE),"")</f>
        <v xml:space="preserve">PORTAO DE CORRER EM CHAPA TIPO PAINEL LAMBRIL QUADRADO, COM PORTA SOCIAL COMPLETA INCLUIDA, COM REQUADRO, ACABAMENTO NATURAL, COM TRILHOS E ROLDANAS                                                                                                                                                                                                                                                                                                                                                      </v>
      </c>
      <c r="F103" s="135" t="str">
        <f>IF($D103&lt;&gt;"",VLOOKUP($D103,'SINAPI JULHO 2021'!$1:$1048576,3,FALSE),"")</f>
        <v xml:space="preserve">M2    </v>
      </c>
      <c r="G103" s="251">
        <v>1</v>
      </c>
      <c r="H103" s="256">
        <f>IF($D103&lt;&gt;"",VLOOKUP($D103,'SINAPI JULHO 2021'!$1:$1048576,4,FALSE),"")</f>
        <v>995.24</v>
      </c>
      <c r="I103" s="257">
        <f>TRUNC(G103*H103,2)</f>
        <v>995.24</v>
      </c>
    </row>
    <row r="104" spans="2:9" s="132" customFormat="1" ht="25.5" customHeight="1">
      <c r="B104" s="140" t="s">
        <v>570</v>
      </c>
      <c r="C104" s="193" t="s">
        <v>7</v>
      </c>
      <c r="D104" s="140">
        <v>88627</v>
      </c>
      <c r="E104" s="134" t="str">
        <f>IF($D104&lt;&gt;"",VLOOKUP($D104,'SINAPI JULHO 2021'!$A$1:E11793,2,FALSE),"")</f>
        <v>ARGAMASSA TRAÇO 1:0,5:4,5 (EM VOLUME DE CIMENTO, CAL E AREIA MÉDIA ÚMIDA) PARA ASSENTAMENTO DE ALVENARIA, PREPARO MANUAL. AF_08/2019</v>
      </c>
      <c r="F104" s="135" t="str">
        <f>IF($D104&lt;&gt;"",VLOOKUP($D104,'SINAPI JULHO 2021'!$1:$1048576,3,FALSE),"")</f>
        <v>M3</v>
      </c>
      <c r="G104" s="251">
        <v>1.1339999999999999E-2</v>
      </c>
      <c r="H104" s="256">
        <f>IF($D104&lt;&gt;"",VLOOKUP($D104,'SINAPI JULHO 2021'!$1:$1048576,4,FALSE),"")</f>
        <v>485.09</v>
      </c>
      <c r="I104" s="257">
        <f>TRUNC(G104*H104,2)</f>
        <v>5.5</v>
      </c>
    </row>
    <row r="105" spans="2:9" s="132" customFormat="1" ht="18" customHeight="1" thickBot="1">
      <c r="B105" s="515"/>
      <c r="C105" s="515"/>
      <c r="D105" s="533"/>
      <c r="E105" s="522"/>
      <c r="F105" s="523"/>
      <c r="G105" s="534"/>
      <c r="H105" s="525"/>
      <c r="I105" s="526"/>
    </row>
    <row r="106" spans="2:9" s="132" customFormat="1" ht="63.75" customHeight="1" thickBot="1">
      <c r="B106" s="612" t="s">
        <v>6859</v>
      </c>
      <c r="C106" s="613"/>
      <c r="D106" s="613"/>
      <c r="E106" s="614" t="s">
        <v>6863</v>
      </c>
      <c r="F106" s="615" t="s">
        <v>42</v>
      </c>
      <c r="G106" s="616" t="s">
        <v>33</v>
      </c>
      <c r="H106" s="617"/>
      <c r="I106" s="610">
        <f>TRUNC(SUM(I107:I111),2)</f>
        <v>607.83000000000004</v>
      </c>
    </row>
    <row r="107" spans="2:9" s="132" customFormat="1" ht="18" customHeight="1">
      <c r="B107" s="575" t="s">
        <v>570</v>
      </c>
      <c r="C107" s="575" t="s">
        <v>7</v>
      </c>
      <c r="D107" s="240">
        <v>88316</v>
      </c>
      <c r="E107" s="566" t="str">
        <f>IF($D107&lt;&gt;"",VLOOKUP($D107,'SINAPI JULHO 2021'!$A$1:E11796,2,FALSE),"")</f>
        <v>SERVENTE COM ENCARGOS COMPLEMENTARES</v>
      </c>
      <c r="F107" s="567" t="str">
        <f>IF($D107&lt;&gt;"",VLOOKUP($D107,'SINAPI JULHO 2021'!$1:$1048576,3,FALSE),"")</f>
        <v>H</v>
      </c>
      <c r="G107" s="576">
        <v>1</v>
      </c>
      <c r="H107" s="569">
        <f>IF($D107&lt;&gt;"",VLOOKUP($D107,'SINAPI JULHO 2021'!$1:$1048576,4,FALSE),"")</f>
        <v>14.02</v>
      </c>
      <c r="I107" s="570">
        <f>TRUNC(G107*H107,2)</f>
        <v>14.02</v>
      </c>
    </row>
    <row r="108" spans="2:9" s="132" customFormat="1" ht="18" customHeight="1">
      <c r="B108" s="140" t="s">
        <v>570</v>
      </c>
      <c r="C108" s="193" t="s">
        <v>7</v>
      </c>
      <c r="D108" s="140">
        <v>88309</v>
      </c>
      <c r="E108" s="134" t="str">
        <f>IF($D108&lt;&gt;"",VLOOKUP($D108,'SINAPI JULHO 2021'!$A$1:E11797,2,FALSE),"")</f>
        <v>PEDREIRO COM ENCARGOS COMPLEMENTARES</v>
      </c>
      <c r="F108" s="135" t="str">
        <f>IF($D108&lt;&gt;"",VLOOKUP($D108,'SINAPI JULHO 2021'!$1:$1048576,3,FALSE),"")</f>
        <v>H</v>
      </c>
      <c r="G108" s="251">
        <v>1</v>
      </c>
      <c r="H108" s="256">
        <f>IF($D108&lt;&gt;"",VLOOKUP($D108,'SINAPI JULHO 2021'!$1:$1048576,4,FALSE),"")</f>
        <v>17.670000000000002</v>
      </c>
      <c r="I108" s="257">
        <f>TRUNC(G108*H108,2)</f>
        <v>17.670000000000002</v>
      </c>
    </row>
    <row r="109" spans="2:9" s="132" customFormat="1" ht="38.25">
      <c r="B109" s="140" t="s">
        <v>568</v>
      </c>
      <c r="C109" s="193" t="s">
        <v>7</v>
      </c>
      <c r="D109" s="216">
        <v>4948</v>
      </c>
      <c r="E109" s="134" t="str">
        <f>IF($D109&lt;&gt;"",VLOOKUP($D109,'SINAPI JULHO 2021'!$A$1:E11798,2,FALSE),"")</f>
        <v xml:space="preserve">PORTAO DE ABRIR EM GRADIL DE METALON REDONDO DE 3/4"  VERTICAL, COM REQUADRO, ACABAMENTO NATURAL - COMPLETO                                                                                                                                                                                                                                                                                                                                                                                               </v>
      </c>
      <c r="F109" s="135" t="str">
        <f>IF($D109&lt;&gt;"",VLOOKUP($D109,'SINAPI JULHO 2021'!$1:$1048576,3,FALSE),"")</f>
        <v xml:space="preserve">M2    </v>
      </c>
      <c r="G109" s="251">
        <v>1</v>
      </c>
      <c r="H109" s="256">
        <f>IF($D109&lt;&gt;"",VLOOKUP($D109,'SINAPI JULHO 2021'!$1:$1048576,4,FALSE),"")</f>
        <v>483.85</v>
      </c>
      <c r="I109" s="257">
        <f>TRUNC(G109*H109,2)</f>
        <v>483.85</v>
      </c>
    </row>
    <row r="110" spans="2:9" s="132" customFormat="1" ht="43.5" customHeight="1">
      <c r="B110" s="140" t="s">
        <v>568</v>
      </c>
      <c r="C110" s="193" t="s">
        <v>7</v>
      </c>
      <c r="D110" s="216">
        <v>100709</v>
      </c>
      <c r="E110" s="134" t="str">
        <f>IF($D110&lt;&gt;"",VLOOKUP($D110,'SINAPI JULHO 2021'!$A$1:E11799,2,FALSE),"")</f>
        <v>DOBRADIÇA EM AÇO/FERRO, 3" X 21/2", E=1,9 A 2MM, SEN ANEL, CROMADO OU ZINCADO, TAMPA BOLA, COM PARAFUSOS. AF_12/2019</v>
      </c>
      <c r="F110" s="135" t="str">
        <f>IF($D110&lt;&gt;"",VLOOKUP($D110,'SINAPI JULHO 2021'!$1:$1048576,3,FALSE),"")</f>
        <v>UN</v>
      </c>
      <c r="G110" s="251">
        <v>2</v>
      </c>
      <c r="H110" s="256">
        <f>IF($D110&lt;&gt;"",VLOOKUP($D110,'SINAPI JULHO 2021'!$1:$1048576,4,FALSE),"")</f>
        <v>34.020000000000003</v>
      </c>
      <c r="I110" s="257">
        <f>TRUNC(G110*H110,2)</f>
        <v>68.040000000000006</v>
      </c>
    </row>
    <row r="111" spans="2:9" s="132" customFormat="1" ht="38.25">
      <c r="B111" s="140" t="s">
        <v>570</v>
      </c>
      <c r="C111" s="193" t="s">
        <v>7</v>
      </c>
      <c r="D111" s="140">
        <v>88627</v>
      </c>
      <c r="E111" s="134" t="str">
        <f>IF($D111&lt;&gt;"",VLOOKUP($D111,'SINAPI JULHO 2021'!$A$1:E11800,2,FALSE),"")</f>
        <v>ARGAMASSA TRAÇO 1:0,5:4,5 (EM VOLUME DE CIMENTO, CAL E AREIA MÉDIA ÚMIDA) PARA ASSENTAMENTO DE ALVENARIA, PREPARO MANUAL. AF_08/2019</v>
      </c>
      <c r="F111" s="135" t="str">
        <f>IF($D111&lt;&gt;"",VLOOKUP($D111,'SINAPI JULHO 2021'!$1:$1048576,3,FALSE),"")</f>
        <v>M3</v>
      </c>
      <c r="G111" s="251">
        <v>0.05</v>
      </c>
      <c r="H111" s="256">
        <f>IF($D111&lt;&gt;"",VLOOKUP($D111,'SINAPI JULHO 2021'!$1:$1048576,4,FALSE),"")</f>
        <v>485.09</v>
      </c>
      <c r="I111" s="257">
        <f>TRUNC(G111*H111,2)</f>
        <v>24.25</v>
      </c>
    </row>
    <row r="112" spans="2:9" s="132" customFormat="1" ht="13.5" thickBot="1">
      <c r="B112" s="515"/>
      <c r="C112" s="515"/>
      <c r="D112" s="533"/>
      <c r="E112" s="522"/>
      <c r="F112" s="523"/>
      <c r="G112" s="534"/>
      <c r="H112" s="525"/>
      <c r="I112" s="526"/>
    </row>
    <row r="113" spans="2:11" s="132" customFormat="1" ht="52.5" customHeight="1" thickBot="1">
      <c r="B113" s="612" t="s">
        <v>7258</v>
      </c>
      <c r="C113" s="613"/>
      <c r="D113" s="613"/>
      <c r="E113" s="614" t="s">
        <v>7259</v>
      </c>
      <c r="F113" s="615" t="s">
        <v>42</v>
      </c>
      <c r="G113" s="616" t="s">
        <v>33</v>
      </c>
      <c r="H113" s="617"/>
      <c r="I113" s="610">
        <f>TRUNC(SUM(I114:I120),2)</f>
        <v>474.23</v>
      </c>
      <c r="K113" s="400"/>
    </row>
    <row r="114" spans="2:11" s="132" customFormat="1">
      <c r="B114" s="575" t="s">
        <v>570</v>
      </c>
      <c r="C114" s="575" t="s">
        <v>7</v>
      </c>
      <c r="D114" s="240">
        <v>88316</v>
      </c>
      <c r="E114" s="566" t="str">
        <f>IF($D114&lt;&gt;"",VLOOKUP($D114,'SINAPI JULHO 2021'!$A$1:E11803,2,FALSE),"")</f>
        <v>SERVENTE COM ENCARGOS COMPLEMENTARES</v>
      </c>
      <c r="F114" s="567" t="str">
        <f>IF($D114&lt;&gt;"",VLOOKUP($D114,'SINAPI JULHO 2021'!$1:$1048576,3,FALSE),"")</f>
        <v>H</v>
      </c>
      <c r="G114" s="576">
        <v>1</v>
      </c>
      <c r="H114" s="569">
        <f>IF($D114&lt;&gt;"",VLOOKUP($D114,'SINAPI JULHO 2021'!$1:$1048576,4,FALSE),"")</f>
        <v>14.02</v>
      </c>
      <c r="I114" s="570">
        <f t="shared" ref="I114:I119" si="6">TRUNC(G114*H114,2)</f>
        <v>14.02</v>
      </c>
    </row>
    <row r="115" spans="2:11" s="132" customFormat="1">
      <c r="B115" s="140" t="s">
        <v>570</v>
      </c>
      <c r="C115" s="193" t="s">
        <v>7</v>
      </c>
      <c r="D115" s="140">
        <v>88315</v>
      </c>
      <c r="E115" s="134" t="str">
        <f>IF($D115&lt;&gt;"",VLOOKUP($D115,'SINAPI JULHO 2021'!$A$1:E11804,2,FALSE),"")</f>
        <v>SERRALHEIRO COM ENCARGOS COMPLEMENTARES</v>
      </c>
      <c r="F115" s="135" t="str">
        <f>IF($D115&lt;&gt;"",VLOOKUP($D115,'SINAPI JULHO 2021'!$1:$1048576,3,FALSE),"")</f>
        <v>H</v>
      </c>
      <c r="G115" s="251">
        <v>1</v>
      </c>
      <c r="H115" s="256">
        <f>IF($D115&lt;&gt;"",VLOOKUP($D115,'SINAPI JULHO 2021'!$1:$1048576,4,FALSE),"")</f>
        <v>17.579999999999998</v>
      </c>
      <c r="I115" s="257">
        <f t="shared" si="6"/>
        <v>17.579999999999998</v>
      </c>
    </row>
    <row r="116" spans="2:11" s="132" customFormat="1" ht="25.5">
      <c r="B116" s="140" t="s">
        <v>570</v>
      </c>
      <c r="C116" s="193" t="s">
        <v>7</v>
      </c>
      <c r="D116" s="216">
        <v>88629</v>
      </c>
      <c r="E116" s="134" t="str">
        <f>IF($D116&lt;&gt;"",VLOOKUP($D116,'SINAPI JULHO 2021'!$A$1:E11805,2,FALSE),"")</f>
        <v>ARGAMASSA TRAÇO 1:3 (EM VOLUME DE CIMENTO E AREIA MÉDIA ÚMIDA), PREPARO MANUAL. AF_08/2019</v>
      </c>
      <c r="F116" s="135" t="str">
        <f>IF($D116&lt;&gt;"",VLOOKUP($D116,'SINAPI JULHO 2021'!$1:$1048576,3,FALSE),"")</f>
        <v>M3</v>
      </c>
      <c r="G116" s="251">
        <v>0.01</v>
      </c>
      <c r="H116" s="256">
        <f>IF($D116&lt;&gt;"",VLOOKUP($D116,'SINAPI JULHO 2021'!$1:$1048576,4,FALSE),"")</f>
        <v>509.05</v>
      </c>
      <c r="I116" s="257">
        <f t="shared" si="6"/>
        <v>5.09</v>
      </c>
    </row>
    <row r="117" spans="2:11" s="132" customFormat="1" ht="38.25">
      <c r="B117" s="140" t="s">
        <v>570</v>
      </c>
      <c r="C117" s="193" t="s">
        <v>7</v>
      </c>
      <c r="D117" s="216">
        <v>100743</v>
      </c>
      <c r="E117" s="134" t="str">
        <f>IF($D117&lt;&gt;"",VLOOKUP($D117,'SINAPI JULHO 2021'!$A$1:E11806,2,FALSE),"")</f>
        <v>PINTURA COM TINTA ALQUÍDICA DE ACABAMENTO (ESMALTE SINTÉTICO BRILHANTE) PULVERIZADA SOBRE PERFIL METÁLICO EXECUTADO EM FÁBRICA  (POR DEMÃO). AF_01/2020_P</v>
      </c>
      <c r="F117" s="135" t="str">
        <f>IF($D117&lt;&gt;"",VLOOKUP($D117,'SINAPI JULHO 2021'!$1:$1048576,3,FALSE),"")</f>
        <v>M2</v>
      </c>
      <c r="G117" s="251">
        <v>3</v>
      </c>
      <c r="H117" s="256">
        <f>IF($D117&lt;&gt;"",VLOOKUP($D117,'SINAPI JULHO 2021'!$1:$1048576,4,FALSE),"")</f>
        <v>6.78</v>
      </c>
      <c r="I117" s="257">
        <f>TRUNC(G117*H117,2)</f>
        <v>20.34</v>
      </c>
    </row>
    <row r="118" spans="2:11" s="132" customFormat="1" ht="25.5">
      <c r="B118" s="140" t="s">
        <v>570</v>
      </c>
      <c r="C118" s="193" t="s">
        <v>7</v>
      </c>
      <c r="D118" s="67">
        <v>98746</v>
      </c>
      <c r="E118" s="134" t="str">
        <f>IF($D118&lt;&gt;"",VLOOKUP($D118,'SINAPI JULHO 2021'!$A$1:E11805,2,FALSE),"")</f>
        <v>SOLDA DE TOPO EM CHAPA/PERFIL/TUBO DE AÇO CHANFRADO, ESPESSURA=1/4''. AF_06/2018</v>
      </c>
      <c r="F118" s="135" t="str">
        <f>IF($D118&lt;&gt;"",VLOOKUP($D118,'SINAPI JULHO 2021'!$1:$1048576,3,FALSE),"")</f>
        <v>M</v>
      </c>
      <c r="G118" s="251">
        <v>1</v>
      </c>
      <c r="H118" s="256">
        <f>IF($D118&lt;&gt;"",VLOOKUP($D118,'SINAPI JULHO 2021'!$1:$1048576,4,FALSE),"")</f>
        <v>42.05</v>
      </c>
      <c r="I118" s="257">
        <f>TRUNC(G118*H118,2)</f>
        <v>42.05</v>
      </c>
    </row>
    <row r="119" spans="2:11" s="132" customFormat="1" ht="38.25">
      <c r="B119" s="140" t="s">
        <v>568</v>
      </c>
      <c r="C119" s="193" t="s">
        <v>7</v>
      </c>
      <c r="D119" s="216">
        <v>43105</v>
      </c>
      <c r="E119" s="134" t="str">
        <f>IF($D119&lt;&gt;"",VLOOKUP($D119,'SINAPI JULHO 2021'!$A$1:E11806,2,FALSE),"")</f>
        <v xml:space="preserve">CHAPA DE ACO CARBONO GALVANIZADA, PERFURADA (GRADE FUROS) E = 1,5 MM, DIAMETRO DO FURO = 9,52 MM (FUROS ALTERNADOS HORIZ.)                                                                                                                                                                                                                                                                                                                                                                                </v>
      </c>
      <c r="F119" s="135" t="str">
        <f>IF($D119&lt;&gt;"",VLOOKUP($D119,'SINAPI JULHO 2021'!$1:$1048576,3,FALSE),"")</f>
        <v xml:space="preserve">KG    </v>
      </c>
      <c r="G119" s="251">
        <f>7.55</f>
        <v>7.55</v>
      </c>
      <c r="H119" s="256">
        <f>IF($D119&lt;&gt;"",VLOOKUP($D119,'SINAPI JULHO 2021'!$1:$1048576,4,FALSE),"")</f>
        <v>40.08</v>
      </c>
      <c r="I119" s="257">
        <f t="shared" si="6"/>
        <v>302.60000000000002</v>
      </c>
    </row>
    <row r="120" spans="2:11" s="132" customFormat="1" ht="25.5">
      <c r="B120" s="140" t="s">
        <v>568</v>
      </c>
      <c r="C120" s="193" t="s">
        <v>7</v>
      </c>
      <c r="D120" s="140">
        <v>4777</v>
      </c>
      <c r="E120" s="134" t="str">
        <f>IF($D120&lt;&gt;"",VLOOKUP($D120,'SINAPI JULHO 2021'!$A$1:E11808,2,FALSE),"")</f>
        <v xml:space="preserve">CANTONEIRA ACO ABAS IGUAIS (QUALQUER BITOLA), ESPESSURA ENTRE 1/8" E 1/4"                                                                                                                                                                                                                                                                                                                                                                                                                                 </v>
      </c>
      <c r="F120" s="135" t="str">
        <f>IF($D120&lt;&gt;"",VLOOKUP($D120,'SINAPI JULHO 2021'!$1:$1048576,3,FALSE),"")</f>
        <v xml:space="preserve">KG    </v>
      </c>
      <c r="G120" s="251">
        <v>7.55</v>
      </c>
      <c r="H120" s="256">
        <f>IF($D120&lt;&gt;"",VLOOKUP($D120,'SINAPI JULHO 2021'!$1:$1048576,4,FALSE),"")</f>
        <v>9.61</v>
      </c>
      <c r="I120" s="257">
        <f>TRUNC(G120*H120,2)</f>
        <v>72.55</v>
      </c>
    </row>
    <row r="121" spans="2:11" s="132" customFormat="1">
      <c r="B121" s="133"/>
      <c r="C121" s="133"/>
      <c r="D121" s="65"/>
      <c r="E121" s="134"/>
      <c r="F121" s="135"/>
      <c r="G121" s="250"/>
      <c r="H121" s="256"/>
      <c r="I121" s="257"/>
    </row>
    <row r="122" spans="2:11" s="132" customFormat="1">
      <c r="B122" s="510" t="s">
        <v>7261</v>
      </c>
      <c r="C122" s="133"/>
      <c r="D122" s="65"/>
      <c r="E122" s="134"/>
      <c r="F122" s="135"/>
      <c r="G122" s="250"/>
      <c r="H122" s="256"/>
      <c r="I122" s="257"/>
    </row>
    <row r="123" spans="2:11" s="132" customFormat="1" ht="13.5" thickBot="1">
      <c r="B123" s="515"/>
      <c r="C123" s="515"/>
      <c r="D123" s="533"/>
      <c r="E123" s="522"/>
      <c r="F123" s="523"/>
      <c r="G123" s="534"/>
      <c r="H123" s="525"/>
      <c r="I123" s="526"/>
    </row>
    <row r="124" spans="2:11" s="132" customFormat="1" ht="38.25" customHeight="1" thickBot="1">
      <c r="B124" s="618" t="s">
        <v>7269</v>
      </c>
      <c r="C124" s="619"/>
      <c r="D124" s="619"/>
      <c r="E124" s="620" t="s">
        <v>7262</v>
      </c>
      <c r="F124" s="611" t="s">
        <v>42</v>
      </c>
      <c r="G124" s="608"/>
      <c r="H124" s="609"/>
      <c r="I124" s="610">
        <f>TRUNC(SUM(I125:I131),2)</f>
        <v>562.26</v>
      </c>
    </row>
    <row r="125" spans="2:11" s="132" customFormat="1">
      <c r="B125" s="240" t="s">
        <v>570</v>
      </c>
      <c r="C125" s="240" t="s">
        <v>7</v>
      </c>
      <c r="D125" s="582">
        <v>88274</v>
      </c>
      <c r="E125" s="566" t="str">
        <f>IF($D125&lt;&gt;"",VLOOKUP($D125,'SINAPI JULHO 2021'!$A$1:E11790,2,FALSE),"")</f>
        <v>MARMORISTA/GRANITEIRO COM ENCARGOS COMPLEMENTARES</v>
      </c>
      <c r="F125" s="567" t="str">
        <f>IF($D125&lt;&gt;"",VLOOKUP($D125,'SINAPI JULHO 2021'!$1:$1048576,3,FALSE),"")</f>
        <v>H</v>
      </c>
      <c r="G125" s="574">
        <v>1.5</v>
      </c>
      <c r="H125" s="569">
        <f>IF($D125&lt;&gt;"",VLOOKUP($D125,'SINAPI JULHO 2021'!$1:$1048576,4,FALSE),"")</f>
        <v>17.899999999999999</v>
      </c>
      <c r="I125" s="570">
        <f t="shared" ref="I125:I131" si="7">TRUNC(G125*H125,2)</f>
        <v>26.85</v>
      </c>
    </row>
    <row r="126" spans="2:11" s="132" customFormat="1">
      <c r="B126" s="133" t="s">
        <v>570</v>
      </c>
      <c r="C126" s="133" t="s">
        <v>7</v>
      </c>
      <c r="D126" s="136">
        <v>88316</v>
      </c>
      <c r="E126" s="134" t="str">
        <f>IF($D126&lt;&gt;"",VLOOKUP($D126,'SINAPI JULHO 2021'!$A$1:E11791,2,FALSE),"")</f>
        <v>SERVENTE COM ENCARGOS COMPLEMENTARES</v>
      </c>
      <c r="F126" s="135" t="str">
        <f>IF($D126&lt;&gt;"",VLOOKUP($D126,'SINAPI JULHO 2021'!$1:$1048576,3,FALSE),"")</f>
        <v>H</v>
      </c>
      <c r="G126" s="246">
        <v>1</v>
      </c>
      <c r="H126" s="256">
        <f>IF($D126&lt;&gt;"",VLOOKUP($D126,'SINAPI JULHO 2021'!$1:$1048576,4,FALSE),"")</f>
        <v>14.02</v>
      </c>
      <c r="I126" s="257">
        <f t="shared" si="7"/>
        <v>14.02</v>
      </c>
    </row>
    <row r="127" spans="2:11" s="132" customFormat="1">
      <c r="B127" s="133" t="s">
        <v>568</v>
      </c>
      <c r="C127" s="133" t="s">
        <v>7</v>
      </c>
      <c r="D127" s="136">
        <v>4823</v>
      </c>
      <c r="E127" s="134" t="str">
        <f>IF($D127&lt;&gt;"",VLOOKUP($D127,'SINAPI JULHO 2021'!$A$1:E11792,2,FALSE),"")</f>
        <v xml:space="preserve">MASSA PLASTICA PARA MARMORE/GRANITO                                                                                                                                                                                                                                                                                                                                                                                                                                                                       </v>
      </c>
      <c r="F127" s="135" t="str">
        <f>IF($D127&lt;&gt;"",VLOOKUP($D127,'SINAPI JULHO 2021'!$1:$1048576,3,FALSE),"")</f>
        <v xml:space="preserve">KG    </v>
      </c>
      <c r="G127" s="246">
        <v>0.55000000000000004</v>
      </c>
      <c r="H127" s="256">
        <f>IF($D127&lt;&gt;"",VLOOKUP($D127,'SINAPI JULHO 2021'!$1:$1048576,4,FALSE),"")</f>
        <v>38.299999999999997</v>
      </c>
      <c r="I127" s="257">
        <f t="shared" si="7"/>
        <v>21.06</v>
      </c>
    </row>
    <row r="128" spans="2:11" s="132" customFormat="1" ht="38.25">
      <c r="B128" s="133" t="s">
        <v>568</v>
      </c>
      <c r="C128" s="133" t="s">
        <v>7</v>
      </c>
      <c r="D128" s="136">
        <v>7568</v>
      </c>
      <c r="E128" s="134" t="str">
        <f>IF($D128&lt;&gt;"",VLOOKUP($D128,'SINAPI JULHO 2021'!$A$1:E11793,2,FALSE),"")</f>
        <v xml:space="preserve">BUCHA DE NYLON SEM ABA S10, COM PARAFUSO DE 6,10 X 65 MM EM ACO ZINCADO COM ROSCA SOBERBA, CABECA CHATA E FENDA PHILLIPS                                                                                                                                                                                                                                                                                                                                                                                  </v>
      </c>
      <c r="F128" s="135" t="str">
        <f>IF($D128&lt;&gt;"",VLOOKUP($D128,'SINAPI JULHO 2021'!$1:$1048576,3,FALSE),"")</f>
        <v xml:space="preserve">UN    </v>
      </c>
      <c r="G128" s="246">
        <v>6</v>
      </c>
      <c r="H128" s="256">
        <f>IF($D128&lt;&gt;"",VLOOKUP($D128,'SINAPI JULHO 2021'!$1:$1048576,4,FALSE),"")</f>
        <v>0.79</v>
      </c>
      <c r="I128" s="257">
        <f t="shared" si="7"/>
        <v>4.74</v>
      </c>
    </row>
    <row r="129" spans="2:9" s="132" customFormat="1" ht="38.25">
      <c r="B129" s="133" t="s">
        <v>568</v>
      </c>
      <c r="C129" s="133" t="s">
        <v>7</v>
      </c>
      <c r="D129" s="136">
        <v>25976</v>
      </c>
      <c r="E129" s="134" t="str">
        <f>IF($D129&lt;&gt;"",VLOOKUP($D129,'SINAPI JULHO 2021'!$A$1:E11794,2,FALSE),"")</f>
        <v xml:space="preserve">DIVISORIA EM GRANITO, COM DUAS FACES POLIDAS, TIPO ANDORINHA/ QUARTZ/ CASTELO/ CORUMBA OU OUTROS EQUIVALENTES DA REGIAO, E=  *3,0* CM                                                                                                                                                                                                                                                                                                                                                                     </v>
      </c>
      <c r="F129" s="135" t="str">
        <f>IF($D129&lt;&gt;"",VLOOKUP($D129,'SINAPI JULHO 2021'!$1:$1048576,3,FALSE),"")</f>
        <v xml:space="preserve">M2    </v>
      </c>
      <c r="G129" s="246">
        <v>1</v>
      </c>
      <c r="H129" s="256">
        <f>IF($D129&lt;&gt;"",VLOOKUP($D129,'SINAPI JULHO 2021'!$1:$1048576,4,FALSE),"")</f>
        <v>468.42</v>
      </c>
      <c r="I129" s="257">
        <f t="shared" si="7"/>
        <v>468.42</v>
      </c>
    </row>
    <row r="130" spans="2:9" s="132" customFormat="1">
      <c r="B130" s="133" t="s">
        <v>568</v>
      </c>
      <c r="C130" s="133" t="s">
        <v>7</v>
      </c>
      <c r="D130" s="136">
        <v>37329</v>
      </c>
      <c r="E130" s="134" t="str">
        <f>IF($D130&lt;&gt;"",VLOOKUP($D130,'SINAPI JULHO 2021'!$A$1:E11795,2,FALSE),"")</f>
        <v xml:space="preserve">REJUNTE EPOXI, QUALQUER COR                                                                                                                                                                                                                                                                                                                                                                                                                                                                               </v>
      </c>
      <c r="F130" s="135" t="str">
        <f>IF($D130&lt;&gt;"",VLOOKUP($D130,'SINAPI JULHO 2021'!$1:$1048576,3,FALSE),"")</f>
        <v xml:space="preserve">KG    </v>
      </c>
      <c r="G130" s="246">
        <v>0.03</v>
      </c>
      <c r="H130" s="256">
        <f>IF($D130&lt;&gt;"",VLOOKUP($D130,'SINAPI JULHO 2021'!$1:$1048576,4,FALSE),"")</f>
        <v>96.46</v>
      </c>
      <c r="I130" s="257">
        <f t="shared" si="7"/>
        <v>2.89</v>
      </c>
    </row>
    <row r="131" spans="2:9" s="132" customFormat="1" ht="26.25" customHeight="1">
      <c r="B131" s="133" t="s">
        <v>568</v>
      </c>
      <c r="C131" s="133" t="s">
        <v>7</v>
      </c>
      <c r="D131" s="136">
        <v>37591</v>
      </c>
      <c r="E131" s="134" t="str">
        <f>IF($D131&lt;&gt;"",VLOOKUP($D131,'SINAPI JULHO 2021'!$A$1:E11796,2,FALSE),"")</f>
        <v xml:space="preserve">SUPORTE MAO-FRANCESA EM ACO, ABAS IGUAIS 40 CM, CAPACIDADE MINIMA 70 KG, BRANCO                                                                                                                                                                                                                                                                                                                                                                                                                           </v>
      </c>
      <c r="F131" s="135" t="str">
        <f>IF($D131&lt;&gt;"",VLOOKUP($D131,'SINAPI JULHO 2021'!$1:$1048576,3,FALSE),"")</f>
        <v xml:space="preserve">UN    </v>
      </c>
      <c r="G131" s="246">
        <v>1</v>
      </c>
      <c r="H131" s="256">
        <f>IF($D131&lt;&gt;"",VLOOKUP($D131,'SINAPI JULHO 2021'!$1:$1048576,4,FALSE),"")</f>
        <v>24.28</v>
      </c>
      <c r="I131" s="257">
        <f t="shared" si="7"/>
        <v>24.28</v>
      </c>
    </row>
    <row r="132" spans="2:9" s="132" customFormat="1" ht="13.5" thickBot="1">
      <c r="B132" s="515"/>
      <c r="C132" s="515"/>
      <c r="D132" s="533"/>
      <c r="E132" s="522"/>
      <c r="F132" s="523"/>
      <c r="G132" s="534"/>
      <c r="H132" s="525"/>
      <c r="I132" s="526"/>
    </row>
    <row r="133" spans="2:9" s="132" customFormat="1" ht="45.75" customHeight="1" thickBot="1">
      <c r="B133" s="618" t="s">
        <v>7270</v>
      </c>
      <c r="C133" s="619"/>
      <c r="D133" s="619"/>
      <c r="E133" s="620" t="s">
        <v>7277</v>
      </c>
      <c r="F133" s="611" t="s">
        <v>42</v>
      </c>
      <c r="G133" s="608"/>
      <c r="H133" s="609"/>
      <c r="I133" s="610">
        <f>TRUNC(SUM(I134:I140),2)</f>
        <v>653.16999999999996</v>
      </c>
    </row>
    <row r="134" spans="2:9" s="132" customFormat="1" ht="15" customHeight="1">
      <c r="B134" s="240" t="s">
        <v>600</v>
      </c>
      <c r="C134" s="240" t="s">
        <v>7</v>
      </c>
      <c r="D134" s="582">
        <v>88274</v>
      </c>
      <c r="E134" s="566" t="str">
        <f>IF($D134&lt;&gt;"",VLOOKUP($D134,'SINAPI JULHO 2021'!$A$1:E11814,2,FALSE),"")</f>
        <v>MARMORISTA/GRANITEIRO COM ENCARGOS COMPLEMENTARES</v>
      </c>
      <c r="F134" s="567" t="str">
        <f>IF($D134&lt;&gt;"",VLOOKUP($D134,'SINAPI JULHO 2021'!$1:$1048576,3,FALSE),"")</f>
        <v>H</v>
      </c>
      <c r="G134" s="574">
        <v>1.5</v>
      </c>
      <c r="H134" s="569">
        <f>IF($D134&lt;&gt;"",VLOOKUP($D134,'SINAPI JULHO 2021'!$1:$1048576,4,FALSE),"")</f>
        <v>17.899999999999999</v>
      </c>
      <c r="I134" s="570">
        <f>TRUNC(G134*H134,2)</f>
        <v>26.85</v>
      </c>
    </row>
    <row r="135" spans="2:9" s="132" customFormat="1" ht="16.5" customHeight="1">
      <c r="B135" s="133" t="s">
        <v>600</v>
      </c>
      <c r="C135" s="133" t="s">
        <v>7</v>
      </c>
      <c r="D135" s="136">
        <v>88316</v>
      </c>
      <c r="E135" s="134" t="str">
        <f>IF($D135&lt;&gt;"",VLOOKUP($D135,'SINAPI JULHO 2021'!$A$1:E11815,2,FALSE),"")</f>
        <v>SERVENTE COM ENCARGOS COMPLEMENTARES</v>
      </c>
      <c r="F135" s="135" t="str">
        <f>IF($D135&lt;&gt;"",VLOOKUP($D135,'SINAPI JULHO 2021'!$1:$1048576,3,FALSE),"")</f>
        <v>H</v>
      </c>
      <c r="G135" s="246">
        <v>1</v>
      </c>
      <c r="H135" s="256">
        <f>IF($D135&lt;&gt;"",VLOOKUP($D135,'SINAPI JULHO 2021'!$1:$1048576,4,FALSE),"")</f>
        <v>14.02</v>
      </c>
      <c r="I135" s="257">
        <f t="shared" ref="I135:I140" si="8">TRUNC(G135*H135,2)</f>
        <v>14.02</v>
      </c>
    </row>
    <row r="136" spans="2:9" s="132" customFormat="1">
      <c r="B136" s="133" t="s">
        <v>568</v>
      </c>
      <c r="C136" s="133" t="s">
        <v>7</v>
      </c>
      <c r="D136" s="136">
        <v>4823</v>
      </c>
      <c r="E136" s="134" t="str">
        <f>IF($D136&lt;&gt;"",VLOOKUP($D136,'SINAPI JULHO 2021'!$A$1:E11816,2,FALSE),"")</f>
        <v xml:space="preserve">MASSA PLASTICA PARA MARMORE/GRANITO                                                                                                                                                                                                                                                                                                                                                                                                                                                                       </v>
      </c>
      <c r="F136" s="135" t="str">
        <f>IF($D136&lt;&gt;"",VLOOKUP($D136,'SINAPI JULHO 2021'!$1:$1048576,3,FALSE),"")</f>
        <v xml:space="preserve">KG    </v>
      </c>
      <c r="G136" s="246">
        <v>0.55000000000000004</v>
      </c>
      <c r="H136" s="256">
        <f>IF($D136&lt;&gt;"",VLOOKUP($D136,'SINAPI JULHO 2021'!$1:$1048576,4,FALSE),"")</f>
        <v>38.299999999999997</v>
      </c>
      <c r="I136" s="257">
        <f t="shared" si="8"/>
        <v>21.06</v>
      </c>
    </row>
    <row r="137" spans="2:9" s="132" customFormat="1" ht="27.75" customHeight="1">
      <c r="B137" s="133" t="s">
        <v>568</v>
      </c>
      <c r="C137" s="133" t="s">
        <v>7</v>
      </c>
      <c r="D137" s="136">
        <v>7568</v>
      </c>
      <c r="E137" s="134" t="str">
        <f>IF($D137&lt;&gt;"",VLOOKUP($D137,'SINAPI JULHO 2021'!$A$1:E11817,2,FALSE),"")</f>
        <v xml:space="preserve">BUCHA DE NYLON SEM ABA S10, COM PARAFUSO DE 6,10 X 65 MM EM ACO ZINCADO COM ROSCA SOBERBA, CABECA CHATA E FENDA PHILLIPS                                                                                                                                                                                                                                                                                                                                                                                  </v>
      </c>
      <c r="F137" s="135" t="str">
        <f>IF($D137&lt;&gt;"",VLOOKUP($D137,'SINAPI JULHO 2021'!$1:$1048576,3,FALSE),"")</f>
        <v xml:space="preserve">UN    </v>
      </c>
      <c r="G137" s="246">
        <v>6</v>
      </c>
      <c r="H137" s="256">
        <f>IF($D137&lt;&gt;"",VLOOKUP($D137,'SINAPI JULHO 2021'!$1:$1048576,4,FALSE),"")</f>
        <v>0.79</v>
      </c>
      <c r="I137" s="257">
        <f t="shared" si="8"/>
        <v>4.74</v>
      </c>
    </row>
    <row r="138" spans="2:9" s="132" customFormat="1" ht="29.25" customHeight="1">
      <c r="B138" s="133" t="s">
        <v>568</v>
      </c>
      <c r="C138" s="133" t="s">
        <v>7</v>
      </c>
      <c r="D138" s="136">
        <v>11795</v>
      </c>
      <c r="E138" s="134" t="str">
        <f>IF($D138&lt;&gt;"",VLOOKUP($D138,'SINAPI JULHO 2021'!$A$1:E11818,2,FALSE),"")</f>
        <v xml:space="preserve">GRANITO PARA BANCADA, POLIDO, TIPO ANDORINHA/ QUARTZ/ CASTELO/ CORUMBA OU OUTROS EQUIVALENTES DA REGIAO, E=  *2,5* CM                                                                                                                                                                                                                                                                                                                                                                                     </v>
      </c>
      <c r="F138" s="135" t="str">
        <f>IF($D138&lt;&gt;"",VLOOKUP($D138,'SINAPI JULHO 2021'!$1:$1048576,3,FALSE),"")</f>
        <v xml:space="preserve">M2    </v>
      </c>
      <c r="G138" s="246">
        <v>1.25</v>
      </c>
      <c r="H138" s="256">
        <f>IF($D138&lt;&gt;"",VLOOKUP($D138,'SINAPI JULHO 2021'!$1:$1048576,4,FALSE),"")</f>
        <v>422.64</v>
      </c>
      <c r="I138" s="257">
        <f t="shared" si="8"/>
        <v>528.29999999999995</v>
      </c>
    </row>
    <row r="139" spans="2:9" s="132" customFormat="1" ht="16.5" customHeight="1">
      <c r="B139" s="133" t="s">
        <v>568</v>
      </c>
      <c r="C139" s="133" t="s">
        <v>7</v>
      </c>
      <c r="D139" s="136">
        <v>37329</v>
      </c>
      <c r="E139" s="134" t="str">
        <f>IF($D139&lt;&gt;"",VLOOKUP($D139,'SINAPI JULHO 2021'!$A$1:E11819,2,FALSE),"")</f>
        <v xml:space="preserve">REJUNTE EPOXI, QUALQUER COR                                                                                                                                                                                                                                                                                                                                                                                                                                                                               </v>
      </c>
      <c r="F139" s="135" t="str">
        <f>IF($D139&lt;&gt;"",VLOOKUP($D139,'SINAPI JULHO 2021'!$1:$1048576,3,FALSE),"")</f>
        <v xml:space="preserve">KG    </v>
      </c>
      <c r="G139" s="246">
        <v>0.1</v>
      </c>
      <c r="H139" s="256">
        <f>IF($D139&lt;&gt;"",VLOOKUP($D139,'SINAPI JULHO 2021'!$1:$1048576,4,FALSE),"")</f>
        <v>96.46</v>
      </c>
      <c r="I139" s="257">
        <f t="shared" si="8"/>
        <v>9.64</v>
      </c>
    </row>
    <row r="140" spans="2:9" s="132" customFormat="1" ht="25.5">
      <c r="B140" s="133" t="s">
        <v>568</v>
      </c>
      <c r="C140" s="133" t="s">
        <v>7</v>
      </c>
      <c r="D140" s="136">
        <v>37591</v>
      </c>
      <c r="E140" s="134" t="str">
        <f>IF($D140&lt;&gt;"",VLOOKUP($D140,'SINAPI JULHO 2021'!$A$1:E11820,2,FALSE),"")</f>
        <v xml:space="preserve">SUPORTE MAO-FRANCESA EM ACO, ABAS IGUAIS 40 CM, CAPACIDADE MINIMA 70 KG, BRANCO                                                                                                                                                                                                                                                                                                                                                                                                                           </v>
      </c>
      <c r="F140" s="135" t="str">
        <f>IF($D140&lt;&gt;"",VLOOKUP($D140,'SINAPI JULHO 2021'!$1:$1048576,3,FALSE),"")</f>
        <v xml:space="preserve">UN    </v>
      </c>
      <c r="G140" s="246">
        <v>2</v>
      </c>
      <c r="H140" s="256">
        <f>IF($D140&lt;&gt;"",VLOOKUP($D140,'SINAPI JULHO 2021'!$1:$1048576,4,FALSE),"")</f>
        <v>24.28</v>
      </c>
      <c r="I140" s="257">
        <f t="shared" si="8"/>
        <v>48.56</v>
      </c>
    </row>
    <row r="141" spans="2:9" s="132" customFormat="1">
      <c r="B141" s="133"/>
      <c r="C141" s="133"/>
      <c r="D141" s="65"/>
      <c r="E141" s="134"/>
      <c r="F141" s="135"/>
      <c r="G141" s="250"/>
      <c r="H141" s="256"/>
      <c r="I141" s="257"/>
    </row>
    <row r="142" spans="2:9" s="132" customFormat="1">
      <c r="B142" s="510" t="s">
        <v>6862</v>
      </c>
      <c r="C142" s="133"/>
      <c r="D142" s="65"/>
      <c r="E142" s="134"/>
      <c r="F142" s="135"/>
      <c r="G142" s="250"/>
      <c r="H142" s="256"/>
      <c r="I142" s="257"/>
    </row>
    <row r="143" spans="2:9" s="132" customFormat="1" ht="13.5" thickBot="1">
      <c r="B143" s="515"/>
      <c r="C143" s="515"/>
      <c r="D143" s="533"/>
      <c r="E143" s="522"/>
      <c r="F143" s="523"/>
      <c r="G143" s="534"/>
      <c r="H143" s="525"/>
      <c r="I143" s="526"/>
    </row>
    <row r="144" spans="2:9" s="132" customFormat="1" ht="26.25" thickBot="1">
      <c r="B144" s="618" t="s">
        <v>4287</v>
      </c>
      <c r="C144" s="619"/>
      <c r="D144" s="619"/>
      <c r="E144" s="620" t="s">
        <v>13032</v>
      </c>
      <c r="F144" s="611" t="s">
        <v>42</v>
      </c>
      <c r="G144" s="608"/>
      <c r="H144" s="609"/>
      <c r="I144" s="610">
        <f>TRUNC(SUM(I145:I147),2)</f>
        <v>95.56</v>
      </c>
    </row>
    <row r="145" spans="2:9" s="132" customFormat="1">
      <c r="B145" s="240" t="s">
        <v>600</v>
      </c>
      <c r="C145" s="240" t="s">
        <v>7</v>
      </c>
      <c r="D145" s="582">
        <v>88309</v>
      </c>
      <c r="E145" s="566" t="str">
        <f>IF($D145&lt;&gt;"",VLOOKUP($D145,'SINAPI JULHO 2021'!$A$1:E11818,2,FALSE),"")</f>
        <v>PEDREIRO COM ENCARGOS COMPLEMENTARES</v>
      </c>
      <c r="F145" s="567" t="str">
        <f>IF($D145&lt;&gt;"",VLOOKUP($D145,'SINAPI JULHO 2021'!$1:$1048576,3,FALSE),"")</f>
        <v>H</v>
      </c>
      <c r="G145" s="574">
        <v>0.1</v>
      </c>
      <c r="H145" s="569">
        <f>IF($D145&lt;&gt;"",VLOOKUP($D145,'SINAPI JULHO 2021'!$1:$1048576,4,FALSE),"")</f>
        <v>17.670000000000002</v>
      </c>
      <c r="I145" s="570">
        <f>TRUNC(G145*H145,2)</f>
        <v>1.76</v>
      </c>
    </row>
    <row r="146" spans="2:9" s="132" customFormat="1">
      <c r="B146" s="133" t="s">
        <v>600</v>
      </c>
      <c r="C146" s="133" t="s">
        <v>7</v>
      </c>
      <c r="D146" s="136">
        <v>88316</v>
      </c>
      <c r="E146" s="134" t="str">
        <f>IF($D146&lt;&gt;"",VLOOKUP($D146,'SINAPI JULHO 2021'!$A$1:E11819,2,FALSE),"")</f>
        <v>SERVENTE COM ENCARGOS COMPLEMENTARES</v>
      </c>
      <c r="F146" s="135" t="str">
        <f>IF($D146&lt;&gt;"",VLOOKUP($D146,'SINAPI JULHO 2021'!$1:$1048576,3,FALSE),"")</f>
        <v>H</v>
      </c>
      <c r="G146" s="246">
        <v>0.1</v>
      </c>
      <c r="H146" s="256">
        <f>IF($D146&lt;&gt;"",VLOOKUP($D146,'SINAPI JULHO 2021'!$1:$1048576,4,FALSE),"")</f>
        <v>14.02</v>
      </c>
      <c r="I146" s="257">
        <f>TRUNC(G146*H146,2)</f>
        <v>1.4</v>
      </c>
    </row>
    <row r="147" spans="2:9" s="132" customFormat="1" ht="25.5" customHeight="1">
      <c r="B147" s="133" t="s">
        <v>568</v>
      </c>
      <c r="C147" s="133" t="s">
        <v>7</v>
      </c>
      <c r="D147" s="136">
        <v>4786</v>
      </c>
      <c r="E147" s="134" t="str">
        <f>IF($D147&lt;&gt;"",VLOOKUP($D147,'SINAPI JULHO 2021'!$A$1:E11820,2,FALSE),"")</f>
        <v xml:space="preserve">PISO EM GRANILITE, MARMORITE OU GRANITINA, AGREGADO COR PRETO, CINZA, PALHA OU BRANCO, E=  *8* MM (INCLUSO EXECUCAO)                                                                                                                                                                                                                                                                                                                                                                                      </v>
      </c>
      <c r="F147" s="135" t="str">
        <f>IF($D147&lt;&gt;"",VLOOKUP($D147,'SINAPI JULHO 2021'!$1:$1048576,3,FALSE),"")</f>
        <v xml:space="preserve">M2    </v>
      </c>
      <c r="G147" s="246">
        <v>1.05</v>
      </c>
      <c r="H147" s="256">
        <f>IF($D147&lt;&gt;"",VLOOKUP($D147,'SINAPI JULHO 2021'!$1:$1048576,4,FALSE),"")</f>
        <v>88</v>
      </c>
      <c r="I147" s="257">
        <f>TRUNC(G147*H147,2)</f>
        <v>92.4</v>
      </c>
    </row>
    <row r="148" spans="2:9" s="132" customFormat="1" ht="13.5" thickBot="1">
      <c r="B148" s="515"/>
      <c r="C148" s="515"/>
      <c r="D148" s="533"/>
      <c r="E148" s="522"/>
      <c r="F148" s="523"/>
      <c r="G148" s="534"/>
      <c r="H148" s="525"/>
      <c r="I148" s="526"/>
    </row>
    <row r="149" spans="2:9" s="132" customFormat="1" ht="40.5" customHeight="1" thickBot="1">
      <c r="B149" s="618" t="s">
        <v>13031</v>
      </c>
      <c r="C149" s="619"/>
      <c r="D149" s="619"/>
      <c r="E149" s="620" t="s">
        <v>7327</v>
      </c>
      <c r="F149" s="611" t="s">
        <v>42</v>
      </c>
      <c r="G149" s="608"/>
      <c r="H149" s="609"/>
      <c r="I149" s="610">
        <f>TRUNC(SUM(I150:I152),2)</f>
        <v>128.47</v>
      </c>
    </row>
    <row r="150" spans="2:9" s="132" customFormat="1">
      <c r="B150" s="240" t="s">
        <v>600</v>
      </c>
      <c r="C150" s="240" t="s">
        <v>7</v>
      </c>
      <c r="D150" s="582">
        <v>88309</v>
      </c>
      <c r="E150" s="566" t="str">
        <f>IF($D150&lt;&gt;"",VLOOKUP($D150,'SINAPI JULHO 2021'!$A$1:E11823,2,FALSE),"")</f>
        <v>PEDREIRO COM ENCARGOS COMPLEMENTARES</v>
      </c>
      <c r="F150" s="567" t="str">
        <f>IF($D150&lt;&gt;"",VLOOKUP($D150,'SINAPI JULHO 2021'!$1:$1048576,3,FALSE),"")</f>
        <v>H</v>
      </c>
      <c r="G150" s="574">
        <v>0.1</v>
      </c>
      <c r="H150" s="569">
        <f>IF($D150&lt;&gt;"",VLOOKUP($D150,'SINAPI JULHO 2021'!$1:$1048576,4,FALSE),"")</f>
        <v>17.670000000000002</v>
      </c>
      <c r="I150" s="570">
        <f>TRUNC(G150*H150,2)</f>
        <v>1.76</v>
      </c>
    </row>
    <row r="151" spans="2:9" s="132" customFormat="1">
      <c r="B151" s="133" t="s">
        <v>600</v>
      </c>
      <c r="C151" s="133" t="s">
        <v>7</v>
      </c>
      <c r="D151" s="136">
        <v>88316</v>
      </c>
      <c r="E151" s="134" t="str">
        <f>IF($D151&lt;&gt;"",VLOOKUP($D151,'SINAPI JULHO 2021'!$A$1:E11824,2,FALSE),"")</f>
        <v>SERVENTE COM ENCARGOS COMPLEMENTARES</v>
      </c>
      <c r="F151" s="135" t="str">
        <f>IF($D151&lt;&gt;"",VLOOKUP($D151,'SINAPI JULHO 2021'!$1:$1048576,3,FALSE),"")</f>
        <v>H</v>
      </c>
      <c r="G151" s="246">
        <v>0.1</v>
      </c>
      <c r="H151" s="256">
        <f>IF($D151&lt;&gt;"",VLOOKUP($D151,'SINAPI JULHO 2021'!$1:$1048576,4,FALSE),"")</f>
        <v>14.02</v>
      </c>
      <c r="I151" s="257">
        <f>TRUNC(G151*H151,2)</f>
        <v>1.4</v>
      </c>
    </row>
    <row r="152" spans="2:9" s="132" customFormat="1" ht="25.5">
      <c r="B152" s="133" t="s">
        <v>568</v>
      </c>
      <c r="C152" s="133" t="s">
        <v>7</v>
      </c>
      <c r="D152" s="136">
        <v>40652</v>
      </c>
      <c r="E152" s="134" t="str">
        <f>IF($D152&lt;&gt;"",VLOOKUP($D152,'SINAPI JULHO 2021'!$A$1:E11825,2,FALSE),"")</f>
        <v xml:space="preserve">PISO FULGET (GRANITO LAVADO) MOLDADO IN LOCO (INCLUSO EXECUCAO)                                                                                                                                                                                                                                                                                                                                                                                                                                           </v>
      </c>
      <c r="F152" s="135" t="str">
        <f>IF($D152&lt;&gt;"",VLOOKUP($D152,'SINAPI JULHO 2021'!$1:$1048576,3,FALSE),"")</f>
        <v xml:space="preserve">M2    </v>
      </c>
      <c r="G152" s="246">
        <v>1</v>
      </c>
      <c r="H152" s="256">
        <f>IF($D152&lt;&gt;"",VLOOKUP($D152,'SINAPI JULHO 2021'!$1:$1048576,4,FALSE),"")</f>
        <v>125.31</v>
      </c>
      <c r="I152" s="257">
        <f>TRUNC(G152*H152,2)</f>
        <v>125.31</v>
      </c>
    </row>
    <row r="153" spans="2:9" s="132" customFormat="1">
      <c r="B153" s="133"/>
      <c r="C153" s="133"/>
      <c r="D153" s="65"/>
      <c r="E153" s="134"/>
      <c r="F153" s="135"/>
      <c r="G153" s="250"/>
      <c r="H153" s="256"/>
      <c r="I153" s="257"/>
    </row>
    <row r="154" spans="2:9">
      <c r="B154" s="510" t="s">
        <v>3508</v>
      </c>
      <c r="C154" s="133"/>
      <c r="D154" s="67"/>
      <c r="E154" s="211"/>
      <c r="F154" s="454"/>
      <c r="G154" s="249"/>
      <c r="H154" s="255"/>
      <c r="I154" s="255"/>
    </row>
    <row r="155" spans="2:9" s="132" customFormat="1" ht="13.5" thickBot="1">
      <c r="B155" s="535"/>
      <c r="C155" s="515"/>
      <c r="D155" s="516"/>
      <c r="E155" s="517"/>
      <c r="F155" s="518"/>
      <c r="G155" s="519"/>
      <c r="H155" s="520"/>
      <c r="I155" s="520"/>
    </row>
    <row r="156" spans="2:9" s="132" customFormat="1" ht="26.25" thickBot="1">
      <c r="B156" s="618" t="s">
        <v>4283</v>
      </c>
      <c r="C156" s="619"/>
      <c r="D156" s="619"/>
      <c r="E156" s="620" t="s">
        <v>7349</v>
      </c>
      <c r="F156" s="611" t="s">
        <v>679</v>
      </c>
      <c r="G156" s="608"/>
      <c r="H156" s="609"/>
      <c r="I156" s="610">
        <f>TRUNC(SUM(I157:I162),2)</f>
        <v>6250.48</v>
      </c>
    </row>
    <row r="157" spans="2:9" s="132" customFormat="1" ht="38.25" customHeight="1">
      <c r="B157" s="240" t="s">
        <v>568</v>
      </c>
      <c r="C157" s="240" t="s">
        <v>7</v>
      </c>
      <c r="D157" s="582">
        <v>40424</v>
      </c>
      <c r="E157" s="566" t="str">
        <f>IF($D157&lt;&gt;"",VLOOKUP($D157,'SINAPI JULHO 2021'!$A$1:E11810,2,FALSE),"")</f>
        <v xml:space="preserve">CHAPA DE ACO CARBONO LAMINADO A QUENTE, QUALIDADE ESTRUTURAL, BITOLA 3/16", E =4,75 MM (37,29 KG/M2)                                                                                                                                                                                                                                                                                                                                                                                                      </v>
      </c>
      <c r="F157" s="567" t="str">
        <f>IF($D157&lt;&gt;"",VLOOKUP($D157,'SINAPI JULHO 2021'!$1:$1048576,3,FALSE),"")</f>
        <v xml:space="preserve">KG    </v>
      </c>
      <c r="G157" s="574">
        <f>13.1*37.29</f>
        <v>488.49899999999997</v>
      </c>
      <c r="H157" s="569">
        <f>IF($D157&lt;&gt;"",VLOOKUP($D157,'SINAPI JULHO 2021'!$1:$1048576,4,FALSE),"")</f>
        <v>10.18</v>
      </c>
      <c r="I157" s="570">
        <f t="shared" ref="I157:I162" si="9">TRUNC(G157*H157,2)</f>
        <v>4972.91</v>
      </c>
    </row>
    <row r="158" spans="2:9" s="132" customFormat="1" ht="38.25">
      <c r="B158" s="133" t="s">
        <v>570</v>
      </c>
      <c r="C158" s="133" t="s">
        <v>7</v>
      </c>
      <c r="D158" s="136">
        <v>100727</v>
      </c>
      <c r="E158" s="134" t="str">
        <f>IF($D158&lt;&gt;"",VLOOKUP($D158,'SINAPI JULHO 2021'!$A$1:E11811,2,FALSE),"")</f>
        <v>PINTURA COM TINTA EPOXÍDICA DE FUNDO PULVERIZADA SOBRE PERFIL METÁLICO EXECUTADO EM FÁBRICA (POR DEMÃO). AF_01/2020_P</v>
      </c>
      <c r="F158" s="135" t="str">
        <f>IF($D158&lt;&gt;"",VLOOKUP($D158,'SINAPI JULHO 2021'!$1:$1048576,3,FALSE),"")</f>
        <v>M2</v>
      </c>
      <c r="G158" s="246">
        <f>13.1*2</f>
        <v>26.2</v>
      </c>
      <c r="H158" s="256">
        <f>IF($D158&lt;&gt;"",VLOOKUP($D158,'SINAPI JULHO 2021'!$1:$1048576,4,FALSE),"")</f>
        <v>12.32</v>
      </c>
      <c r="I158" s="257">
        <f t="shared" si="9"/>
        <v>322.77999999999997</v>
      </c>
    </row>
    <row r="159" spans="2:9" s="132" customFormat="1" ht="24" customHeight="1">
      <c r="B159" s="133" t="s">
        <v>570</v>
      </c>
      <c r="C159" s="133" t="s">
        <v>7</v>
      </c>
      <c r="D159" s="136">
        <v>100751</v>
      </c>
      <c r="E159" s="134" t="str">
        <f>IF($D159&lt;&gt;"",VLOOKUP($D159,'SINAPI JULHO 2021'!$A$1:E11812,2,FALSE),"")</f>
        <v>PINTURA COM TINTA EPOXÍDICA DE ACABAMENTO PULVERIZADA SOBRE PERFIL METÁLICO EXECUTADO EM FÁBRICA (02 DEMÃOS). AF_01/2020_P</v>
      </c>
      <c r="F159" s="135" t="str">
        <f>IF($D159&lt;&gt;"",VLOOKUP($D159,'SINAPI JULHO 2021'!$1:$1048576,3,FALSE),"")</f>
        <v>M2</v>
      </c>
      <c r="G159" s="246">
        <f>G158</f>
        <v>26.2</v>
      </c>
      <c r="H159" s="256">
        <f>IF($D159&lt;&gt;"",VLOOKUP($D159,'SINAPI JULHO 2021'!$1:$1048576,4,FALSE),"")</f>
        <v>27.04</v>
      </c>
      <c r="I159" s="257">
        <f t="shared" si="9"/>
        <v>708.44</v>
      </c>
    </row>
    <row r="160" spans="2:9" s="132" customFormat="1">
      <c r="B160" s="133" t="s">
        <v>570</v>
      </c>
      <c r="C160" s="133" t="s">
        <v>7</v>
      </c>
      <c r="D160" s="136">
        <v>88316</v>
      </c>
      <c r="E160" s="134" t="str">
        <f>IF($D160&lt;&gt;"",VLOOKUP($D160,'SINAPI JULHO 2021'!$A$1:E11813,2,FALSE),"")</f>
        <v>SERVENTE COM ENCARGOS COMPLEMENTARES</v>
      </c>
      <c r="F160" s="135" t="str">
        <f>IF($D160&lt;&gt;"",VLOOKUP($D160,'SINAPI JULHO 2021'!$1:$1048576,3,FALSE),"")</f>
        <v>H</v>
      </c>
      <c r="G160" s="246">
        <v>5</v>
      </c>
      <c r="H160" s="256">
        <f>IF($D160&lt;&gt;"",VLOOKUP($D160,'SINAPI JULHO 2021'!$1:$1048576,4,FALSE),"")</f>
        <v>14.02</v>
      </c>
      <c r="I160" s="257">
        <f t="shared" si="9"/>
        <v>70.099999999999994</v>
      </c>
    </row>
    <row r="161" spans="2:9" s="132" customFormat="1">
      <c r="B161" s="133" t="s">
        <v>570</v>
      </c>
      <c r="C161" s="133" t="s">
        <v>7</v>
      </c>
      <c r="D161" s="136">
        <v>88309</v>
      </c>
      <c r="E161" s="134" t="str">
        <f>IF($D161&lt;&gt;"",VLOOKUP($D161,'SINAPI JULHO 2021'!$A$1:E11814,2,FALSE),"")</f>
        <v>PEDREIRO COM ENCARGOS COMPLEMENTARES</v>
      </c>
      <c r="F161" s="135" t="str">
        <f>IF($D161&lt;&gt;"",VLOOKUP($D161,'SINAPI JULHO 2021'!$1:$1048576,3,FALSE),"")</f>
        <v>H</v>
      </c>
      <c r="G161" s="246">
        <v>5</v>
      </c>
      <c r="H161" s="256">
        <f>IF($D161&lt;&gt;"",VLOOKUP($D161,'SINAPI JULHO 2021'!$1:$1048576,4,FALSE),"")</f>
        <v>17.670000000000002</v>
      </c>
      <c r="I161" s="257">
        <f t="shared" si="9"/>
        <v>88.35</v>
      </c>
    </row>
    <row r="162" spans="2:9" s="132" customFormat="1">
      <c r="B162" s="133" t="s">
        <v>570</v>
      </c>
      <c r="C162" s="133" t="s">
        <v>7</v>
      </c>
      <c r="D162" s="136">
        <v>88315</v>
      </c>
      <c r="E162" s="134" t="str">
        <f>IF($D162&lt;&gt;"",VLOOKUP($D162,'SINAPI JULHO 2021'!$A$1:E11811,2,FALSE),"")</f>
        <v>SERRALHEIRO COM ENCARGOS COMPLEMENTARES</v>
      </c>
      <c r="F162" s="135" t="str">
        <f>IF($D162&lt;&gt;"",VLOOKUP($D162,'SINAPI JULHO 2021'!$1:$1048576,3,FALSE),"")</f>
        <v>H</v>
      </c>
      <c r="G162" s="246">
        <v>5</v>
      </c>
      <c r="H162" s="256">
        <f>IF($D162&lt;&gt;"",VLOOKUP($D162,'SINAPI JULHO 2021'!$1:$1048576,4,FALSE),"")</f>
        <v>17.579999999999998</v>
      </c>
      <c r="I162" s="257">
        <f t="shared" si="9"/>
        <v>87.9</v>
      </c>
    </row>
    <row r="163" spans="2:9" s="132" customFormat="1" ht="13.5" thickBot="1">
      <c r="B163" s="535"/>
      <c r="C163" s="515"/>
      <c r="D163" s="516"/>
      <c r="E163" s="517"/>
      <c r="F163" s="518"/>
      <c r="G163" s="519"/>
      <c r="H163" s="520"/>
      <c r="I163" s="520"/>
    </row>
    <row r="164" spans="2:9" ht="26.25" thickBot="1">
      <c r="B164" s="618" t="s">
        <v>4284</v>
      </c>
      <c r="C164" s="619"/>
      <c r="D164" s="619"/>
      <c r="E164" s="620" t="s">
        <v>6974</v>
      </c>
      <c r="F164" s="611" t="s">
        <v>42</v>
      </c>
      <c r="G164" s="608"/>
      <c r="H164" s="609"/>
      <c r="I164" s="610">
        <f>TRUNC(SUM(I165:I166),2)</f>
        <v>12.76</v>
      </c>
    </row>
    <row r="165" spans="2:9" ht="21" customHeight="1">
      <c r="B165" s="240" t="s">
        <v>600</v>
      </c>
      <c r="C165" s="240" t="s">
        <v>7</v>
      </c>
      <c r="D165" s="241">
        <v>43650</v>
      </c>
      <c r="E165" s="566" t="str">
        <f>IF($D165&lt;&gt;"",VLOOKUP($D165,'SINAPI JULHO 2021'!$A$1:E11820,2,FALSE),"")</f>
        <v xml:space="preserve">TINTA ESMALTE BASE AGUA PREMIUM BRILHANTE                                                                                                                                                                                                                                                                                                                                                                                                                                                                 </v>
      </c>
      <c r="F165" s="567" t="str">
        <f>IF($D165&lt;&gt;"",VLOOKUP($D165,'SINAPI JULHO 2021'!$1:$1048576,3,FALSE),"")</f>
        <v xml:space="preserve">L     </v>
      </c>
      <c r="G165" s="574">
        <v>0.21</v>
      </c>
      <c r="H165" s="569">
        <f>IF($D165&lt;&gt;"",VLOOKUP($D165,'SINAPI JULHO 2021'!$1:$1048576,4,FALSE),"")</f>
        <v>25.21</v>
      </c>
      <c r="I165" s="570">
        <f>TRUNC(G165*H165,2)</f>
        <v>5.29</v>
      </c>
    </row>
    <row r="166" spans="2:9" ht="15.75" customHeight="1">
      <c r="B166" s="133" t="s">
        <v>600</v>
      </c>
      <c r="C166" s="133" t="s">
        <v>7</v>
      </c>
      <c r="D166" s="67">
        <v>88310</v>
      </c>
      <c r="E166" s="134" t="str">
        <f>IF($D166&lt;&gt;"",VLOOKUP($D166,'SINAPI JULHO 2021'!$A$1:E11821,2,FALSE),"")</f>
        <v>PINTOR COM ENCARGOS COMPLEMENTARES</v>
      </c>
      <c r="F166" s="135" t="str">
        <f>IF($D166&lt;&gt;"",VLOOKUP($D166,'SINAPI JULHO 2021'!$1:$1048576,3,FALSE),"")</f>
        <v>H</v>
      </c>
      <c r="G166" s="246">
        <v>0.4</v>
      </c>
      <c r="H166" s="256">
        <f>IF($D166&lt;&gt;"",VLOOKUP($D166,'SINAPI JULHO 2021'!$1:$1048576,4,FALSE),"")</f>
        <v>18.68</v>
      </c>
      <c r="I166" s="257">
        <f>TRUNC(G166*H166,2)</f>
        <v>7.47</v>
      </c>
    </row>
    <row r="167" spans="2:9" s="132" customFormat="1" ht="13.5" thickBot="1">
      <c r="B167" s="514"/>
      <c r="C167" s="515"/>
      <c r="D167" s="516"/>
      <c r="E167" s="517"/>
      <c r="F167" s="518"/>
      <c r="G167" s="519"/>
      <c r="H167" s="520"/>
      <c r="I167" s="520"/>
    </row>
    <row r="168" spans="2:9" s="132" customFormat="1" ht="13.5" thickBot="1">
      <c r="B168" s="618" t="s">
        <v>6279</v>
      </c>
      <c r="C168" s="619"/>
      <c r="D168" s="619"/>
      <c r="E168" s="620" t="s">
        <v>6869</v>
      </c>
      <c r="F168" s="611" t="s">
        <v>42</v>
      </c>
      <c r="G168" s="608"/>
      <c r="H168" s="609"/>
      <c r="I168" s="610">
        <f>TRUNC(SUM(I169:I172),2)</f>
        <v>7.79</v>
      </c>
    </row>
    <row r="169" spans="2:9" s="132" customFormat="1">
      <c r="B169" s="240" t="s">
        <v>570</v>
      </c>
      <c r="C169" s="240" t="s">
        <v>7</v>
      </c>
      <c r="D169" s="241">
        <v>88316</v>
      </c>
      <c r="E169" s="566" t="str">
        <f>IF($D169&lt;&gt;"",VLOOKUP($D169,'SINAPI JULHO 2021'!$A$1:E11843,2,FALSE),"")</f>
        <v>SERVENTE COM ENCARGOS COMPLEMENTARES</v>
      </c>
      <c r="F169" s="567" t="str">
        <f>IF($D169&lt;&gt;"",VLOOKUP($D169,'SINAPI JULHO 2021'!$1:$1048576,3,FALSE),"")</f>
        <v>H</v>
      </c>
      <c r="G169" s="574">
        <v>0.3</v>
      </c>
      <c r="H169" s="569">
        <f>IF($D169&lt;&gt;"",VLOOKUP($D169,'SINAPI JULHO 2021'!$1:$1048576,4,FALSE),"")</f>
        <v>14.02</v>
      </c>
      <c r="I169" s="570">
        <f>TRUNC(G169*H169,2)</f>
        <v>4.2</v>
      </c>
    </row>
    <row r="170" spans="2:9" s="132" customFormat="1">
      <c r="B170" s="133" t="s">
        <v>570</v>
      </c>
      <c r="C170" s="133" t="s">
        <v>7</v>
      </c>
      <c r="D170" s="67">
        <v>88317</v>
      </c>
      <c r="E170" s="134" t="str">
        <f>IF($D170&lt;&gt;"",VLOOKUP($D170,'SINAPI JULHO 2021'!$A$1:E11844,2,FALSE),"")</f>
        <v>SOLDADOR COM ENCARGOS COMPLEMENTARES</v>
      </c>
      <c r="F170" s="135" t="str">
        <f>IF($D170&lt;&gt;"",VLOOKUP($D170,'SINAPI JULHO 2021'!$1:$1048576,3,FALSE),"")</f>
        <v>H</v>
      </c>
      <c r="G170" s="246">
        <v>0.11</v>
      </c>
      <c r="H170" s="256">
        <f>IF($D170&lt;&gt;"",VLOOKUP($D170,'SINAPI JULHO 2021'!$1:$1048576,4,FALSE),"")</f>
        <v>18.239999999999998</v>
      </c>
      <c r="I170" s="257">
        <f>TRUNC(G170*H170,2)</f>
        <v>2</v>
      </c>
    </row>
    <row r="171" spans="2:9" s="132" customFormat="1" ht="38.25">
      <c r="B171" s="133" t="s">
        <v>568</v>
      </c>
      <c r="C171" s="133" t="s">
        <v>7</v>
      </c>
      <c r="D171" s="67">
        <v>95620</v>
      </c>
      <c r="E171" s="134" t="str">
        <f>IF($D171&lt;&gt;"",VLOOKUP($D171,'SINAPI JULHO 2021'!$A$1:E11845,2,FALSE),"")</f>
        <v>PERFURATRIZ PNEUMATICA MANUAL DE PESO MEDIO, MARTELETE, 18KG, COMPRIMENTO MÁXIMO DE CURSO DE 6 M, DIAMETRO DO PISTAO DE 5,5 CM - CHP DIURNO. AF_11/2016</v>
      </c>
      <c r="F171" s="135" t="str">
        <f>IF($D171&lt;&gt;"",VLOOKUP($D171,'SINAPI JULHO 2021'!$1:$1048576,3,FALSE),"")</f>
        <v>CHP</v>
      </c>
      <c r="G171" s="246">
        <v>7.0000000000000007E-2</v>
      </c>
      <c r="H171" s="256">
        <f>IF($D171&lt;&gt;"",VLOOKUP($D171,'SINAPI JULHO 2021'!$1:$1048576,4,FALSE),"")</f>
        <v>13.86</v>
      </c>
      <c r="I171" s="257">
        <f>TRUNC(G171*H171,2)</f>
        <v>0.97</v>
      </c>
    </row>
    <row r="172" spans="2:9" s="132" customFormat="1" ht="38.25">
      <c r="B172" s="133" t="s">
        <v>568</v>
      </c>
      <c r="C172" s="133" t="s">
        <v>7</v>
      </c>
      <c r="D172" s="67">
        <v>95621</v>
      </c>
      <c r="E172" s="134" t="str">
        <f>IF($D172&lt;&gt;"",VLOOKUP($D172,'SINAPI JULHO 2021'!$A$1:E11846,2,FALSE),"")</f>
        <v>PERFURATRIZ PNEUMATICA MANUAL DE PESO MEDIO, MARTELETE, 18KG, COMPRIMENTO MÁXIMO DE CURSO DE 6 M, DIAMETRO DO PISTAO DE 5,5 CM - CHI DIURNO. AF_11/2016</v>
      </c>
      <c r="F172" s="135" t="str">
        <f>IF($D172&lt;&gt;"",VLOOKUP($D172,'SINAPI JULHO 2021'!$1:$1048576,3,FALSE),"")</f>
        <v>CHI</v>
      </c>
      <c r="G172" s="246">
        <v>0.05</v>
      </c>
      <c r="H172" s="256">
        <f>IF($D172&lt;&gt;"",VLOOKUP($D172,'SINAPI JULHO 2021'!$1:$1048576,4,FALSE),"")</f>
        <v>12.43</v>
      </c>
      <c r="I172" s="257">
        <f>TRUNC(G172*H172,2)</f>
        <v>0.62</v>
      </c>
    </row>
    <row r="173" spans="2:9" s="132" customFormat="1" ht="13.5" thickBot="1">
      <c r="B173" s="514"/>
      <c r="C173" s="515"/>
      <c r="D173" s="516"/>
      <c r="E173" s="517"/>
      <c r="F173" s="518"/>
      <c r="G173" s="519"/>
      <c r="H173" s="520"/>
      <c r="I173" s="520"/>
    </row>
    <row r="174" spans="2:9" s="132" customFormat="1" ht="31.5" customHeight="1" thickBot="1">
      <c r="B174" s="618" t="s">
        <v>7164</v>
      </c>
      <c r="C174" s="619"/>
      <c r="D174" s="619"/>
      <c r="E174" s="631" t="s">
        <v>7165</v>
      </c>
      <c r="F174" s="632" t="s">
        <v>14</v>
      </c>
      <c r="G174" s="633"/>
      <c r="H174" s="634"/>
      <c r="I174" s="610">
        <f>TRUNC(SUM(I175:I177),2)</f>
        <v>199.04</v>
      </c>
    </row>
    <row r="175" spans="2:9" s="132" customFormat="1" ht="46.5" customHeight="1">
      <c r="B175" s="240" t="s">
        <v>570</v>
      </c>
      <c r="C175" s="240" t="s">
        <v>7</v>
      </c>
      <c r="D175" s="241">
        <v>92813</v>
      </c>
      <c r="E175" s="566" t="str">
        <f>IF($D175&lt;&gt;"",VLOOKUP($D175,'SINAPI JULHO 2021'!$A$1:E11849,2,FALSE),"")</f>
        <v>ASSENTAMENTO DE TUBO DE CONCRETO PARA REDES COLETORAS DE ÁGUAS PLUVIAIS, DIÂMETRO DE 800 MM, JUNTA RÍGIDA, INSTALADO EM LOCAL COM BAIXO NÍVEL DE INTERFERÊNCIAS (NÃO INCLUI FORNECIMENTO). AF_12/2015</v>
      </c>
      <c r="F175" s="567" t="str">
        <f>IF($D175&lt;&gt;"",VLOOKUP($D175,'SINAPI JULHO 2021'!$1:$1048576,3,FALSE),"")</f>
        <v>M</v>
      </c>
      <c r="G175" s="574">
        <v>1</v>
      </c>
      <c r="H175" s="569">
        <f>IF($D175&lt;&gt;"",VLOOKUP($D175,'SINAPI JULHO 2021'!$1:$1048576,4,FALSE),"")</f>
        <v>68.78</v>
      </c>
      <c r="I175" s="570">
        <f>TRUNC(G175*H175,2)</f>
        <v>68.78</v>
      </c>
    </row>
    <row r="176" spans="2:9" s="132" customFormat="1" ht="31.5" customHeight="1">
      <c r="B176" s="133" t="s">
        <v>570</v>
      </c>
      <c r="C176" s="133" t="s">
        <v>7</v>
      </c>
      <c r="D176" s="67">
        <v>10545</v>
      </c>
      <c r="E176" s="134" t="str">
        <f>IF($D176&lt;&gt;"",VLOOKUP($D176,'SINAPI JULHO 2021'!$A$1:E11856,2,FALSE),"")</f>
        <v xml:space="preserve">CALHA/CANALETA DE CONCRETO SIMPLES, TIPO MEIA CANA, DIAMETRO DE 80 CM, PARA AGUA PLUVIAL                                                                                                                                                                                                                                                                                                                                                                                                                  </v>
      </c>
      <c r="F176" s="135" t="str">
        <f>IF($D176&lt;&gt;"",VLOOKUP($D176,'SINAPI JULHO 2021'!$1:$1048576,3,FALSE),"")</f>
        <v xml:space="preserve">M     </v>
      </c>
      <c r="G176" s="246">
        <v>1</v>
      </c>
      <c r="H176" s="256">
        <f>IF($D176&lt;&gt;"",VLOOKUP($D176,'SINAPI JULHO 2021'!$1:$1048576,4,FALSE),"")</f>
        <v>96.54</v>
      </c>
      <c r="I176" s="257">
        <f>TRUNC(G176*H176,2)</f>
        <v>96.54</v>
      </c>
    </row>
    <row r="177" spans="2:10" s="132" customFormat="1" ht="25.5" customHeight="1">
      <c r="B177" s="133" t="s">
        <v>568</v>
      </c>
      <c r="C177" s="133" t="s">
        <v>7</v>
      </c>
      <c r="D177" s="67">
        <v>97736</v>
      </c>
      <c r="E177" s="134" t="str">
        <f>IF($D177&lt;&gt;"",VLOOKUP($D177,'SINAPI JULHO 2021'!$A$1:E11862,2,FALSE),"")</f>
        <v>PEÇA RETANGULAR PRÉ-MOLDADA, VOLUME DE CONCRETO ACIMA DE 100 LITROS, TAXA DE AÇO APROXIMADA DE 30KG/M³. AF_01/2018</v>
      </c>
      <c r="F177" s="135" t="str">
        <f>IF($D177&lt;&gt;"",VLOOKUP($D177,'SINAPI JULHO 2021'!$1:$1048576,3,FALSE),"")</f>
        <v>M3</v>
      </c>
      <c r="G177" s="246">
        <f>1*0.3*0.08</f>
        <v>2.4E-2</v>
      </c>
      <c r="H177" s="256">
        <f>IF($D177&lt;&gt;"",VLOOKUP($D177,'SINAPI JULHO 2021'!$1:$1048576,4,FALSE),"")</f>
        <v>1405.33</v>
      </c>
      <c r="I177" s="257">
        <f>TRUNC(G177*H177,2)</f>
        <v>33.72</v>
      </c>
    </row>
    <row r="178" spans="2:10" s="132" customFormat="1">
      <c r="B178" s="485"/>
      <c r="C178" s="133"/>
      <c r="D178" s="67"/>
      <c r="E178" s="211"/>
      <c r="F178" s="454"/>
      <c r="G178" s="249"/>
      <c r="H178" s="255"/>
      <c r="I178" s="255"/>
    </row>
    <row r="179" spans="2:10">
      <c r="B179" s="510" t="str">
        <f>'2-ORÇAMENTO'!E221</f>
        <v xml:space="preserve">INSTALAÇÕES HIDROSSANITÁRIAS  </v>
      </c>
      <c r="C179" s="133"/>
      <c r="D179" s="67"/>
      <c r="E179" s="211"/>
      <c r="F179" s="454"/>
      <c r="G179" s="249"/>
      <c r="H179" s="255"/>
      <c r="I179" s="255"/>
    </row>
    <row r="180" spans="2:10" ht="13.5" thickBot="1">
      <c r="B180" s="514"/>
      <c r="C180" s="515"/>
      <c r="D180" s="516"/>
      <c r="E180" s="517"/>
      <c r="F180" s="518"/>
      <c r="G180" s="519"/>
      <c r="H180" s="520"/>
      <c r="I180" s="520"/>
    </row>
    <row r="181" spans="2:10" s="105" customFormat="1" ht="125.25" customHeight="1" thickBot="1">
      <c r="B181" s="612" t="s">
        <v>7144</v>
      </c>
      <c r="C181" s="635"/>
      <c r="D181" s="635"/>
      <c r="E181" s="620" t="s">
        <v>7141</v>
      </c>
      <c r="F181" s="615" t="s">
        <v>679</v>
      </c>
      <c r="G181" s="636"/>
      <c r="H181" s="617"/>
      <c r="I181" s="610">
        <f>TRUNC(SUM(I182:I215),2)</f>
        <v>94307.17</v>
      </c>
      <c r="J181" s="399"/>
    </row>
    <row r="182" spans="2:10" s="132" customFormat="1">
      <c r="B182" s="240" t="s">
        <v>570</v>
      </c>
      <c r="C182" s="240" t="s">
        <v>7</v>
      </c>
      <c r="D182" s="241">
        <v>88316</v>
      </c>
      <c r="E182" s="566" t="str">
        <f>IF($D182&lt;&gt;"",VLOOKUP($D182,'SINAPI JULHO 2021'!$A$1:E11859,2,FALSE),"")</f>
        <v>SERVENTE COM ENCARGOS COMPLEMENTARES</v>
      </c>
      <c r="F182" s="567" t="str">
        <f>IF($D182&lt;&gt;"",VLOOKUP($D182,'SINAPI JULHO 2021'!$1:$1048576,3,FALSE),"")</f>
        <v>H</v>
      </c>
      <c r="G182" s="248">
        <v>5</v>
      </c>
      <c r="H182" s="569">
        <f>IF($D182&lt;&gt;"",VLOOKUP($D182,'SINAPI JULHO 2021'!$1:$1048576,4,FALSE),"")</f>
        <v>14.02</v>
      </c>
      <c r="I182" s="570">
        <f t="shared" ref="I182:I192" si="10">TRUNC(G182*H182,2)</f>
        <v>70.099999999999994</v>
      </c>
    </row>
    <row r="183" spans="2:10" s="132" customFormat="1">
      <c r="B183" s="133" t="s">
        <v>570</v>
      </c>
      <c r="C183" s="133" t="s">
        <v>7</v>
      </c>
      <c r="D183" s="67">
        <v>88315</v>
      </c>
      <c r="E183" s="134" t="str">
        <f>IF($D183&lt;&gt;"",VLOOKUP($D183,'SINAPI JULHO 2021'!$A$1:E11860,2,FALSE),"")</f>
        <v>SERRALHEIRO COM ENCARGOS COMPLEMENTARES</v>
      </c>
      <c r="F183" s="135" t="str">
        <f>IF($D183&lt;&gt;"",VLOOKUP($D183,'SINAPI JULHO 2021'!$1:$1048576,3,FALSE),"")</f>
        <v>H</v>
      </c>
      <c r="G183" s="249">
        <v>5</v>
      </c>
      <c r="H183" s="256">
        <f>IF($D183&lt;&gt;"",VLOOKUP($D183,'SINAPI JULHO 2021'!$1:$1048576,4,FALSE),"")</f>
        <v>17.579999999999998</v>
      </c>
      <c r="I183" s="257">
        <f t="shared" si="10"/>
        <v>87.9</v>
      </c>
    </row>
    <row r="184" spans="2:10" s="132" customFormat="1">
      <c r="B184" s="133" t="s">
        <v>570</v>
      </c>
      <c r="C184" s="133" t="s">
        <v>7</v>
      </c>
      <c r="D184" s="67">
        <v>88251</v>
      </c>
      <c r="E184" s="134" t="str">
        <f>IF($D184&lt;&gt;"",VLOOKUP($D184,'SINAPI JULHO 2021'!$A$1:E11861,2,FALSE),"")</f>
        <v>AUXILIAR DE SERRALHEIRO COM ENCARGOS COMPLEMENTARES</v>
      </c>
      <c r="F184" s="135" t="str">
        <f>IF($D184&lt;&gt;"",VLOOKUP($D184,'SINAPI JULHO 2021'!$1:$1048576,3,FALSE),"")</f>
        <v>H</v>
      </c>
      <c r="G184" s="249">
        <v>5</v>
      </c>
      <c r="H184" s="256">
        <f>IF($D184&lt;&gt;"",VLOOKUP($D184,'SINAPI JULHO 2021'!$1:$1048576,4,FALSE),"")</f>
        <v>14.09</v>
      </c>
      <c r="I184" s="257">
        <f t="shared" si="10"/>
        <v>70.45</v>
      </c>
    </row>
    <row r="185" spans="2:10" s="132" customFormat="1" ht="31.5" customHeight="1">
      <c r="B185" s="133" t="s">
        <v>571</v>
      </c>
      <c r="C185" s="133" t="s">
        <v>7</v>
      </c>
      <c r="D185" s="67">
        <v>40424</v>
      </c>
      <c r="E185" s="134" t="str">
        <f>IF($D185&lt;&gt;"",VLOOKUP($D185,'SINAPI JULHO 2021'!$A$1:E11862,2,FALSE),"")</f>
        <v xml:space="preserve">CHAPA DE ACO CARBONO LAMINADO A QUENTE, QUALIDADE ESTRUTURAL, BITOLA 3/16", E =4,75 MM (37,29 KG/M2)                                                                                                                                                                                                                                                                                                                                                                                                      </v>
      </c>
      <c r="F185" s="135" t="str">
        <f>IF($D185&lt;&gt;"",VLOOKUP($D185,'SINAPI JULHO 2021'!$1:$1048576,3,FALSE),"")</f>
        <v xml:space="preserve">KG    </v>
      </c>
      <c r="G185" s="249">
        <v>3900</v>
      </c>
      <c r="H185" s="256">
        <f>IF($D185&lt;&gt;"",VLOOKUP($D185,'SINAPI JULHO 2021'!$1:$1048576,4,FALSE),"")</f>
        <v>10.18</v>
      </c>
      <c r="I185" s="257">
        <f t="shared" si="10"/>
        <v>39702</v>
      </c>
    </row>
    <row r="186" spans="2:10" s="132" customFormat="1" ht="25.5">
      <c r="B186" s="133" t="s">
        <v>571</v>
      </c>
      <c r="C186" s="133" t="s">
        <v>7</v>
      </c>
      <c r="D186" s="67">
        <v>98746</v>
      </c>
      <c r="E186" s="134" t="str">
        <f>IF($D186&lt;&gt;"",VLOOKUP($D186,'SINAPI JULHO 2021'!$A$1:E11863,2,FALSE),"")</f>
        <v>SOLDA DE TOPO EM CHAPA/PERFIL/TUBO DE AÇO CHANFRADO, ESPESSURA=1/4''. AF_06/2018</v>
      </c>
      <c r="F186" s="135" t="str">
        <f>IF($D186&lt;&gt;"",VLOOKUP($D186,'SINAPI JULHO 2021'!$1:$1048576,3,FALSE),"")</f>
        <v>M</v>
      </c>
      <c r="G186" s="249">
        <v>145.5</v>
      </c>
      <c r="H186" s="256">
        <f>IF($D186&lt;&gt;"",VLOOKUP($D186,'SINAPI JULHO 2021'!$1:$1048576,4,FALSE),"")</f>
        <v>42.05</v>
      </c>
      <c r="I186" s="257">
        <f t="shared" si="10"/>
        <v>6118.27</v>
      </c>
    </row>
    <row r="187" spans="2:10" s="132" customFormat="1" ht="25.5">
      <c r="B187" s="133" t="s">
        <v>571</v>
      </c>
      <c r="C187" s="133" t="s">
        <v>7</v>
      </c>
      <c r="D187" s="67">
        <v>100716</v>
      </c>
      <c r="E187" s="134" t="str">
        <f>IF($D187&lt;&gt;"",VLOOKUP($D187,'SINAPI JULHO 2021'!$A$1:E11864,2,FALSE),"")</f>
        <v>JATEAMENTO ABRASIVO COM GRANALHA DE AÇO EM PERFIL METÁLICO EM FÁBRICA. AF_01/2020</v>
      </c>
      <c r="F187" s="135" t="str">
        <f>IF($D187&lt;&gt;"",VLOOKUP($D187,'SINAPI JULHO 2021'!$1:$1048576,3,FALSE),"")</f>
        <v>M2</v>
      </c>
      <c r="G187" s="249">
        <v>88.41</v>
      </c>
      <c r="H187" s="256">
        <f>IF($D187&lt;&gt;"",VLOOKUP($D187,'SINAPI JULHO 2021'!$1:$1048576,4,FALSE),"")</f>
        <v>24.19</v>
      </c>
      <c r="I187" s="257">
        <f>TRUNC(G187*H187,2)</f>
        <v>2138.63</v>
      </c>
    </row>
    <row r="188" spans="2:10" s="132" customFormat="1" ht="25.5">
      <c r="B188" s="133" t="s">
        <v>570</v>
      </c>
      <c r="C188" s="133" t="s">
        <v>7</v>
      </c>
      <c r="D188" s="67">
        <v>98553</v>
      </c>
      <c r="E188" s="134" t="str">
        <f>IF($D188&lt;&gt;"",VLOOKUP($D188,'SINAPI JULHO 2021'!$A$1:E11864,2,FALSE),"")</f>
        <v>IMPERMEABILIZAÇÃO DE SUPERFÍCIE COM MEMBRANA À BASE DE POLIURETANO, 2 DEMÃOS. AF_06/2018</v>
      </c>
      <c r="F188" s="135" t="str">
        <f>IF($D188&lt;&gt;"",VLOOKUP($D188,'SINAPI JULHO 2021'!$1:$1048576,3,FALSE),"")</f>
        <v>M2</v>
      </c>
      <c r="G188" s="249">
        <f>G187</f>
        <v>88.41</v>
      </c>
      <c r="H188" s="256">
        <f>IF($D188&lt;&gt;"",VLOOKUP($D188,'SINAPI JULHO 2021'!$1:$1048576,4,FALSE),"")</f>
        <v>100.75</v>
      </c>
      <c r="I188" s="257">
        <f t="shared" si="10"/>
        <v>8907.2999999999993</v>
      </c>
    </row>
    <row r="189" spans="2:10" s="132" customFormat="1" ht="38.25" customHeight="1">
      <c r="B189" s="133" t="s">
        <v>570</v>
      </c>
      <c r="C189" s="133" t="s">
        <v>7</v>
      </c>
      <c r="D189" s="67">
        <v>100751</v>
      </c>
      <c r="E189" s="134" t="str">
        <f>IF($D189&lt;&gt;"",VLOOKUP($D189,'SINAPI JULHO 2021'!$A$1:E11865,2,FALSE),"")</f>
        <v>PINTURA COM TINTA EPOXÍDICA DE ACABAMENTO PULVERIZADA SOBRE PERFIL METÁLICO EXECUTADO EM FÁBRICA (02 DEMÃOS). AF_01/2020_P</v>
      </c>
      <c r="F189" s="135" t="str">
        <f>IF($D189&lt;&gt;"",VLOOKUP($D189,'SINAPI JULHO 2021'!$1:$1048576,3,FALSE),"")</f>
        <v>M2</v>
      </c>
      <c r="G189" s="249">
        <f>G188*2</f>
        <v>176.82</v>
      </c>
      <c r="H189" s="256">
        <f>IF($D189&lt;&gt;"",VLOOKUP($D189,'SINAPI JULHO 2021'!$1:$1048576,4,FALSE),"")</f>
        <v>27.04</v>
      </c>
      <c r="I189" s="257">
        <f t="shared" si="10"/>
        <v>4781.21</v>
      </c>
    </row>
    <row r="190" spans="2:10" s="132" customFormat="1" ht="25.5">
      <c r="B190" s="133" t="s">
        <v>570</v>
      </c>
      <c r="C190" s="133" t="s">
        <v>7</v>
      </c>
      <c r="D190" s="67">
        <v>88278</v>
      </c>
      <c r="E190" s="134" t="str">
        <f>IF($D190&lt;&gt;"",VLOOKUP($D190,'SINAPI JULHO 2021'!$A$1:E11866,2,FALSE),"")</f>
        <v>MONTADOR DE ESTRUTURA METÁLICA COM ENCARGOS COMPLEMENTARES</v>
      </c>
      <c r="F190" s="135" t="str">
        <f>IF($D190&lt;&gt;"",VLOOKUP($D190,'SINAPI JULHO 2021'!$1:$1048576,3,FALSE),"")</f>
        <v>H</v>
      </c>
      <c r="G190" s="249">
        <v>5</v>
      </c>
      <c r="H190" s="256">
        <f>IF($D190&lt;&gt;"",VLOOKUP($D190,'SINAPI JULHO 2021'!$1:$1048576,4,FALSE),"")</f>
        <v>12.66</v>
      </c>
      <c r="I190" s="257">
        <f t="shared" si="10"/>
        <v>63.3</v>
      </c>
    </row>
    <row r="191" spans="2:10" s="132" customFormat="1" ht="38.25">
      <c r="B191" s="133" t="s">
        <v>571</v>
      </c>
      <c r="C191" s="133" t="s">
        <v>7</v>
      </c>
      <c r="D191" s="67">
        <v>89272</v>
      </c>
      <c r="E191" s="134" t="str">
        <f>IF($D191&lt;&gt;"",VLOOKUP($D191,'SINAPI JULHO 2021'!$A$1:E11867,2,FALSE),"")</f>
        <v>GUINDASTE HIDRÁULICO AUTOPROPELIDO, COM LANÇA TELESCÓPICA 28,80 M, CAPACIDADE MÁXIMA 30 T, POTÊNCIA 97 KW, TRAÇÃO 4 X 4 - CHP DIURNO. AF_11/2014</v>
      </c>
      <c r="F191" s="135" t="str">
        <f>IF($D191&lt;&gt;"",VLOOKUP($D191,'SINAPI JULHO 2021'!$1:$1048576,3,FALSE),"")</f>
        <v>CHP</v>
      </c>
      <c r="G191" s="249">
        <v>5</v>
      </c>
      <c r="H191" s="256">
        <f>IF($D191&lt;&gt;"",VLOOKUP($D191,'SINAPI JULHO 2021'!$1:$1048576,4,FALSE),"")</f>
        <v>158.12</v>
      </c>
      <c r="I191" s="257">
        <f t="shared" si="10"/>
        <v>790.6</v>
      </c>
    </row>
    <row r="192" spans="2:10" s="132" customFormat="1" ht="31.5" customHeight="1">
      <c r="B192" s="133" t="s">
        <v>571</v>
      </c>
      <c r="C192" s="133" t="s">
        <v>7</v>
      </c>
      <c r="D192" s="67">
        <v>39746</v>
      </c>
      <c r="E192" s="134" t="str">
        <f>IF($D192&lt;&gt;"",VLOOKUP($D192,'SINAPI JULHO 2021'!$A$1:E11868,2,FALSE),"")</f>
        <v xml:space="preserve">CHUMBADOR DE ACO, 1" X 600 MM, PARA POSTES DE ACO COM BASE, INCLUSO PORCA E ARRUELA                                                                                                                                                                                                                                                                                                                                                                                                                       </v>
      </c>
      <c r="F192" s="135" t="str">
        <f>IF($D192&lt;&gt;"",VLOOKUP($D192,'SINAPI JULHO 2021'!$1:$1048576,3,FALSE),"")</f>
        <v xml:space="preserve">UN    </v>
      </c>
      <c r="G192" s="249">
        <v>6</v>
      </c>
      <c r="H192" s="256">
        <f>IF($D192&lt;&gt;"",VLOOKUP($D192,'SINAPI JULHO 2021'!$1:$1048576,4,FALSE),"")</f>
        <v>172.81</v>
      </c>
      <c r="I192" s="257">
        <f t="shared" si="10"/>
        <v>1036.8599999999999</v>
      </c>
    </row>
    <row r="193" spans="2:9" s="132" customFormat="1" ht="57.75" customHeight="1">
      <c r="B193" s="133" t="s">
        <v>571</v>
      </c>
      <c r="C193" s="133" t="s">
        <v>7</v>
      </c>
      <c r="D193" s="67">
        <v>99839</v>
      </c>
      <c r="E193" s="134" t="str">
        <f>IF($D193&lt;&gt;"",VLOOKUP($D193,'SINAPI JULHO 2021'!$A$1:E11869,2,FALSE),"")</f>
        <v>GUARDA-CORPO DE AÇO GALVANIZADO DE 1,10M DE ALTURA, MONTANTES TUBULARES DE 1.1/2 ESPAÇADOS DE 1,20M, TRAVESSA SUPERIOR DE 2, GRADIL FORMADO POR BARRAS CHATAS EM FERRO DE 32X4,8MM, FIXADO COM CHUMBADOR MECÂNICO. AF_04/2019_P</v>
      </c>
      <c r="F193" s="135" t="str">
        <f>IF($D193&lt;&gt;"",VLOOKUP($D193,'SINAPI JULHO 2021'!$1:$1048576,3,FALSE),"")</f>
        <v>M</v>
      </c>
      <c r="G193" s="249">
        <v>9.1999999999999993</v>
      </c>
      <c r="H193" s="256">
        <f>IF($D193&lt;&gt;"",VLOOKUP($D193,'SINAPI JULHO 2021'!$1:$1048576,4,FALSE),"")</f>
        <v>468.89</v>
      </c>
      <c r="I193" s="257">
        <f>TRUNC(G193*H193,2)</f>
        <v>4313.78</v>
      </c>
    </row>
    <row r="194" spans="2:9" s="132" customFormat="1" ht="39" customHeight="1">
      <c r="B194" s="455" t="s">
        <v>568</v>
      </c>
      <c r="C194" s="133" t="s">
        <v>569</v>
      </c>
      <c r="D194" s="67"/>
      <c r="E194" s="134" t="s">
        <v>7140</v>
      </c>
      <c r="F194" s="135" t="s">
        <v>679</v>
      </c>
      <c r="G194" s="249">
        <v>1</v>
      </c>
      <c r="H194" s="256">
        <f>(500*13)+(300*5)</f>
        <v>8000</v>
      </c>
      <c r="I194" s="257">
        <f>TRUNC(G194*H194,2)</f>
        <v>8000</v>
      </c>
    </row>
    <row r="195" spans="2:9" s="132" customFormat="1" ht="12.75" customHeight="1">
      <c r="B195" s="212" t="s">
        <v>5765</v>
      </c>
      <c r="C195" s="133"/>
      <c r="D195" s="67"/>
      <c r="E195" s="134"/>
      <c r="F195" s="135"/>
      <c r="G195" s="261"/>
      <c r="H195" s="256"/>
      <c r="I195" s="257"/>
    </row>
    <row r="196" spans="2:9" s="132" customFormat="1" ht="12.75" customHeight="1">
      <c r="B196" s="133" t="s">
        <v>570</v>
      </c>
      <c r="C196" s="133" t="s">
        <v>7</v>
      </c>
      <c r="D196" s="67">
        <v>96973</v>
      </c>
      <c r="E196" s="134" t="str">
        <f>IF($D196&lt;&gt;"",VLOOKUP($D196,'SINAPI JULHO 2021'!$A$1:E11870,2,FALSE),"")</f>
        <v>CORDOALHA DE COBRE NU 35 MM², NÃO ENTERRADA, COM ISOLADOR - FORNECIMENTO E INSTALAÇÃO. AF_12/2017</v>
      </c>
      <c r="F196" s="135" t="str">
        <f>IF($D196&lt;&gt;"",VLOOKUP($D196,'SINAPI JULHO 2021'!$1:$1048576,3,FALSE),"")</f>
        <v>M</v>
      </c>
      <c r="G196" s="249">
        <v>18</v>
      </c>
      <c r="H196" s="256">
        <f>IF($D196&lt;&gt;"",VLOOKUP($D196,'SINAPI JULHO 2021'!$1:$1048576,4,FALSE),"")</f>
        <v>47.51</v>
      </c>
      <c r="I196" s="257">
        <f t="shared" ref="I196:I203" si="11">TRUNC(G196*H196,2)</f>
        <v>855.18</v>
      </c>
    </row>
    <row r="197" spans="2:9" s="132" customFormat="1" ht="25.5">
      <c r="B197" s="133" t="s">
        <v>570</v>
      </c>
      <c r="C197" s="65" t="s">
        <v>7</v>
      </c>
      <c r="D197" s="67">
        <v>96987</v>
      </c>
      <c r="E197" s="134" t="str">
        <f>IF($D197&lt;&gt;"",VLOOKUP($D197,'SINAPI JULHO 2021'!$A$1:E11871,2,FALSE),"")</f>
        <v>BASE METÁLICA PARA MASTRO 1 ½  PARA SPDA - FORNECIMENTO E INSTALAÇÃO. AF_12/2017</v>
      </c>
      <c r="F197" s="135" t="str">
        <f>IF($D197&lt;&gt;"",VLOOKUP($D197,'SINAPI JULHO 2021'!$1:$1048576,3,FALSE),"")</f>
        <v>UN</v>
      </c>
      <c r="G197" s="249">
        <v>1</v>
      </c>
      <c r="H197" s="256">
        <f>IF($D197&lt;&gt;"",VLOOKUP($D197,'SINAPI JULHO 2021'!$1:$1048576,4,FALSE),"")</f>
        <v>116.79</v>
      </c>
      <c r="I197" s="257">
        <f t="shared" si="11"/>
        <v>116.79</v>
      </c>
    </row>
    <row r="198" spans="2:9" s="132" customFormat="1" ht="25.5">
      <c r="B198" s="133" t="s">
        <v>570</v>
      </c>
      <c r="C198" s="133" t="s">
        <v>7</v>
      </c>
      <c r="D198" s="67">
        <v>96989</v>
      </c>
      <c r="E198" s="134" t="str">
        <f>IF($D198&lt;&gt;"",VLOOKUP($D198,'SINAPI JULHO 2021'!$A$1:E11872,2,FALSE),"")</f>
        <v>CAPTOR TIPO FRANKLIN PARA SPDA - FORNECIMENTO E INSTALAÇÃO. AF_12/2017</v>
      </c>
      <c r="F198" s="135" t="str">
        <f>IF($D198&lt;&gt;"",VLOOKUP($D198,'SINAPI JULHO 2021'!$1:$1048576,3,FALSE),"")</f>
        <v>UN</v>
      </c>
      <c r="G198" s="249">
        <v>1</v>
      </c>
      <c r="H198" s="256">
        <f>IF($D198&lt;&gt;"",VLOOKUP($D198,'SINAPI JULHO 2021'!$1:$1048576,4,FALSE),"")</f>
        <v>124.06</v>
      </c>
      <c r="I198" s="257">
        <f t="shared" si="11"/>
        <v>124.06</v>
      </c>
    </row>
    <row r="199" spans="2:9" s="132" customFormat="1" ht="38.25">
      <c r="B199" s="133" t="s">
        <v>571</v>
      </c>
      <c r="C199" s="133" t="s">
        <v>7</v>
      </c>
      <c r="D199" s="67">
        <v>3380</v>
      </c>
      <c r="E199" s="134" t="str">
        <f>IF($D199&lt;&gt;"",VLOOKUP($D199,'SINAPI JULHO 2021'!$A$1:E11873,2,FALSE),"")</f>
        <v xml:space="preserve">!EM PROCESSO DE DESATIVACAO! HASTE DE ATERRAMENTO EM ACO COM 3,00 M DE COMPRIMENTO E DN = 5/8", REVESTIDA COM BAIXA CAMADA DE COBRE, COM CONECTOR TIPO GRAMPO                                                                                                                                                                                                                                                                                                                                             </v>
      </c>
      <c r="F199" s="135" t="str">
        <f>IF($D199&lt;&gt;"",VLOOKUP($D199,'SINAPI JULHO 2021'!$1:$1048576,3,FALSE),"")</f>
        <v xml:space="preserve">UN    </v>
      </c>
      <c r="G199" s="249">
        <v>1</v>
      </c>
      <c r="H199" s="256">
        <f>IF($D199&lt;&gt;"",VLOOKUP($D199,'SINAPI JULHO 2021'!$1:$1048576,4,FALSE),"")</f>
        <v>44.75</v>
      </c>
      <c r="I199" s="257">
        <f t="shared" si="11"/>
        <v>44.75</v>
      </c>
    </row>
    <row r="200" spans="2:9" s="132" customFormat="1" ht="25.5">
      <c r="B200" s="133" t="s">
        <v>570</v>
      </c>
      <c r="C200" s="133" t="s">
        <v>7</v>
      </c>
      <c r="D200" s="67">
        <v>96988</v>
      </c>
      <c r="E200" s="134" t="str">
        <f>IF($D200&lt;&gt;"",VLOOKUP($D200,'SINAPI JULHO 2021'!$A$1:E11874,2,FALSE),"")</f>
        <v>MASTRO 1 ½  PARA SPDA - FORNECIMENTO E INSTALAÇÃO. AF_12/2017</v>
      </c>
      <c r="F200" s="135" t="str">
        <f>IF($D200&lt;&gt;"",VLOOKUP($D200,'SINAPI JULHO 2021'!$1:$1048576,3,FALSE),"")</f>
        <v>UN</v>
      </c>
      <c r="G200" s="249">
        <v>1</v>
      </c>
      <c r="H200" s="256">
        <f>IF($D200&lt;&gt;"",VLOOKUP($D200,'SINAPI JULHO 2021'!$1:$1048576,4,FALSE),"")</f>
        <v>188.92</v>
      </c>
      <c r="I200" s="257">
        <f t="shared" si="11"/>
        <v>188.92</v>
      </c>
    </row>
    <row r="201" spans="2:9" s="132" customFormat="1" ht="38.25" customHeight="1">
      <c r="B201" s="133" t="s">
        <v>570</v>
      </c>
      <c r="C201" s="133" t="s">
        <v>7</v>
      </c>
      <c r="D201" s="67">
        <v>96984</v>
      </c>
      <c r="E201" s="134" t="str">
        <f>IF($D201&lt;&gt;"",VLOOKUP($D201,'SINAPI JULHO 2021'!$A$1:E11875,2,FALSE),"")</f>
        <v>ELETRODUTO PVC 40MM (1 ¼ ) PARA SPDA - FORNECIMENTO E INSTALAÇÃO. AF_12/2017</v>
      </c>
      <c r="F201" s="135" t="str">
        <f>IF($D201&lt;&gt;"",VLOOKUP($D201,'SINAPI JULHO 2021'!$1:$1048576,3,FALSE),"")</f>
        <v>UN</v>
      </c>
      <c r="G201" s="249">
        <v>1</v>
      </c>
      <c r="H201" s="256">
        <f>IF($D201&lt;&gt;"",VLOOKUP($D201,'SINAPI JULHO 2021'!$1:$1048576,4,FALSE),"")</f>
        <v>41.38</v>
      </c>
      <c r="I201" s="257">
        <f t="shared" si="11"/>
        <v>41.38</v>
      </c>
    </row>
    <row r="202" spans="2:9" s="132" customFormat="1" ht="25.5">
      <c r="B202" s="133" t="s">
        <v>570</v>
      </c>
      <c r="C202" s="133" t="s">
        <v>7</v>
      </c>
      <c r="D202" s="67">
        <v>98463</v>
      </c>
      <c r="E202" s="134" t="str">
        <f>IF($D202&lt;&gt;"",VLOOKUP($D202,'SINAPI JULHO 2021'!$A$1:E11876,2,FALSE),"")</f>
        <v>SUPORTE ISOLADOR PARA CORDOALHA DE COBRE - FORNECIMENTO E INSTALAÇÃO. AF_12/2017</v>
      </c>
      <c r="F202" s="135" t="str">
        <f>IF($D202&lt;&gt;"",VLOOKUP($D202,'SINAPI JULHO 2021'!$1:$1048576,3,FALSE),"")</f>
        <v>UN</v>
      </c>
      <c r="G202" s="249">
        <v>10</v>
      </c>
      <c r="H202" s="256">
        <f>IF($D202&lt;&gt;"",VLOOKUP($D202,'SINAPI JULHO 2021'!$1:$1048576,4,FALSE),"")</f>
        <v>20.91</v>
      </c>
      <c r="I202" s="257">
        <f t="shared" si="11"/>
        <v>209.1</v>
      </c>
    </row>
    <row r="203" spans="2:9" s="132" customFormat="1" ht="25.5">
      <c r="B203" s="133" t="s">
        <v>570</v>
      </c>
      <c r="C203" s="133" t="s">
        <v>7</v>
      </c>
      <c r="D203" s="67">
        <v>98111</v>
      </c>
      <c r="E203" s="134" t="str">
        <f>IF($D203&lt;&gt;"",VLOOKUP($D203,'SINAPI JULHO 2021'!$A$1:E11877,2,FALSE),"")</f>
        <v>CAIXA DE INSPEÇÃO PARA ATERRAMENTO, CIRCULAR, EM POLIETILENO, DIÂMETRO INTERNO = 0,3 M. AF_12/2020</v>
      </c>
      <c r="F203" s="135" t="str">
        <f>IF($D203&lt;&gt;"",VLOOKUP($D203,'SINAPI JULHO 2021'!$1:$1048576,3,FALSE),"")</f>
        <v>UN</v>
      </c>
      <c r="G203" s="249">
        <v>1</v>
      </c>
      <c r="H203" s="256">
        <f>IF($D203&lt;&gt;"",VLOOKUP($D203,'SINAPI JULHO 2021'!$1:$1048576,4,FALSE),"")</f>
        <v>23.64</v>
      </c>
      <c r="I203" s="257">
        <f t="shared" si="11"/>
        <v>23.64</v>
      </c>
    </row>
    <row r="204" spans="2:9" s="132" customFormat="1">
      <c r="B204" s="212" t="s">
        <v>7139</v>
      </c>
      <c r="C204" s="133"/>
      <c r="D204" s="133"/>
      <c r="E204" s="211"/>
      <c r="F204" s="454"/>
      <c r="G204" s="262"/>
      <c r="H204" s="256"/>
      <c r="I204" s="257"/>
    </row>
    <row r="205" spans="2:9" s="132" customFormat="1" ht="38.25">
      <c r="B205" s="133" t="s">
        <v>570</v>
      </c>
      <c r="C205" s="133" t="s">
        <v>7</v>
      </c>
      <c r="D205" s="133">
        <v>101176</v>
      </c>
      <c r="E205" s="134" t="str">
        <f>IF($D205&lt;&gt;"",VLOOKUP($D205,'SINAPI JULHO 2021'!$A$1:E11879,2,FALSE),"")</f>
        <v>ESTACA BROCA DE CONCRETO, DIÂMETRO DE 30CM, ESCAVAÇÃO MANUAL COM TRADO CONCHA, INTEIRAMENTE ARMADA. AF_05/2020</v>
      </c>
      <c r="F205" s="135" t="str">
        <f>IF($D205&lt;&gt;"",VLOOKUP($D205,'SINAPI JULHO 2021'!$1:$1048576,3,FALSE),"")</f>
        <v>M</v>
      </c>
      <c r="G205" s="261">
        <f>9*5</f>
        <v>45</v>
      </c>
      <c r="H205" s="256">
        <f>IF($D205&lt;&gt;"",VLOOKUP($D205,'SINAPI JULHO 2021'!$1:$1048576,4,FALSE),"")</f>
        <v>138.13</v>
      </c>
      <c r="I205" s="257">
        <f t="shared" ref="I205:I215" si="12">TRUNC(G205*H205,2)</f>
        <v>6215.85</v>
      </c>
    </row>
    <row r="206" spans="2:9" s="132" customFormat="1" ht="38.25">
      <c r="B206" s="133" t="s">
        <v>570</v>
      </c>
      <c r="C206" s="133" t="s">
        <v>7</v>
      </c>
      <c r="D206" s="133">
        <v>96521</v>
      </c>
      <c r="E206" s="134" t="str">
        <f>IF($D206&lt;&gt;"",VLOOKUP($D206,'SINAPI JULHO 2021'!$A$1:E11880,2,FALSE),"")</f>
        <v>ESCAVAÇÃO MECANIZADA PARA BLOCO DE COROAMENTO OU SAPATA, COM PREVISÃO DE FÔRMA, COM RETROESCAVADEIRA. AF_06/2017</v>
      </c>
      <c r="F206" s="135" t="str">
        <f>IF($D206&lt;&gt;"",VLOOKUP($D206,'SINAPI JULHO 2021'!$1:$1048576,3,FALSE),"")</f>
        <v>M3</v>
      </c>
      <c r="G206" s="261">
        <f>3.5*3.5*0.6</f>
        <v>7.35</v>
      </c>
      <c r="H206" s="256">
        <f>IF($D206&lt;&gt;"",VLOOKUP($D206,'SINAPI JULHO 2021'!$1:$1048576,4,FALSE),"")</f>
        <v>30.5</v>
      </c>
      <c r="I206" s="257">
        <f t="shared" si="12"/>
        <v>224.17</v>
      </c>
    </row>
    <row r="207" spans="2:9" s="132" customFormat="1" ht="28.5" customHeight="1">
      <c r="B207" s="133" t="s">
        <v>570</v>
      </c>
      <c r="C207" s="133" t="s">
        <v>7</v>
      </c>
      <c r="D207" s="133">
        <v>96619</v>
      </c>
      <c r="E207" s="134" t="str">
        <f>IF($D207&lt;&gt;"",VLOOKUP($D207,'SINAPI JULHO 2021'!$A$1:E11881,2,FALSE),"")</f>
        <v>LASTRO DE CONCRETO MAGRO, APLICADO EM BLOCOS DE COROAMENTO OU SAPATAS, ESPESSURA DE 5 CM. AF_08/2017</v>
      </c>
      <c r="F207" s="135" t="str">
        <f>IF($D207&lt;&gt;"",VLOOKUP($D207,'SINAPI JULHO 2021'!$1:$1048576,3,FALSE),"")</f>
        <v>M2</v>
      </c>
      <c r="G207" s="261">
        <f>3*3</f>
        <v>9</v>
      </c>
      <c r="H207" s="256">
        <f>IF($D207&lt;&gt;"",VLOOKUP($D207,'SINAPI JULHO 2021'!$1:$1048576,4,FALSE),"")</f>
        <v>23.35</v>
      </c>
      <c r="I207" s="257">
        <f t="shared" si="12"/>
        <v>210.15</v>
      </c>
    </row>
    <row r="208" spans="2:9" s="132" customFormat="1" ht="37.5" customHeight="1">
      <c r="B208" s="133" t="s">
        <v>570</v>
      </c>
      <c r="C208" s="133" t="s">
        <v>7</v>
      </c>
      <c r="D208" s="133">
        <v>97086</v>
      </c>
      <c r="E208" s="134" t="str">
        <f>IF($D208&lt;&gt;"",VLOOKUP($D208,'SINAPI JULHO 2021'!$A$1:E11882,2,FALSE),"")</f>
        <v>FABRICAÇÃO, MONTAGEM E DESMONTAGEM DE FORMA PARA RADIER, EM MADEIRA SERRADA, 4 UTILIZAÇÕES. AF_09/2017</v>
      </c>
      <c r="F208" s="135" t="str">
        <f>IF($D208&lt;&gt;"",VLOOKUP($D208,'SINAPI JULHO 2021'!$1:$1048576,3,FALSE),"")</f>
        <v>M2</v>
      </c>
      <c r="G208" s="261">
        <f>3*4*1</f>
        <v>12</v>
      </c>
      <c r="H208" s="256">
        <f>IF($D208&lt;&gt;"",VLOOKUP($D208,'SINAPI JULHO 2021'!$1:$1048576,4,FALSE),"")</f>
        <v>82</v>
      </c>
      <c r="I208" s="257">
        <f t="shared" si="12"/>
        <v>984</v>
      </c>
    </row>
    <row r="209" spans="2:9" s="132" customFormat="1" ht="51">
      <c r="B209" s="133" t="s">
        <v>570</v>
      </c>
      <c r="C209" s="133" t="s">
        <v>7</v>
      </c>
      <c r="D209" s="133">
        <v>100981</v>
      </c>
      <c r="E209" s="134" t="str">
        <f>IF($D209&lt;&gt;"",VLOOKUP($D209,'SINAPI JULHO 2021'!$A$1:E11883,2,FALSE),"")</f>
        <v>CARGA, MANOBRA E DESCARGA DE ENTULHO EM CAMINHÃO BASCULANTE 6 M³ - CARGA COM ESCAVADEIRA HIDRÁULICA  (CAÇAMBA DE 0,80 M³ / 111 HP) E DESCARGA LIVRE (UNIDADE: M3). AF_07/2020</v>
      </c>
      <c r="F209" s="135" t="str">
        <f>IF($D209&lt;&gt;"",VLOOKUP($D209,'SINAPI JULHO 2021'!$1:$1048576,3,FALSE),"")</f>
        <v>M3</v>
      </c>
      <c r="G209" s="261">
        <f>G206+(0.1*G205)</f>
        <v>11.85</v>
      </c>
      <c r="H209" s="256">
        <f>IF($D209&lt;&gt;"",VLOOKUP($D209,'SINAPI JULHO 2021'!$1:$1048576,4,FALSE),"")</f>
        <v>6.22</v>
      </c>
      <c r="I209" s="257">
        <f t="shared" si="12"/>
        <v>73.7</v>
      </c>
    </row>
    <row r="210" spans="2:9" s="132" customFormat="1" ht="25.5">
      <c r="B210" s="133" t="s">
        <v>570</v>
      </c>
      <c r="C210" s="133" t="s">
        <v>7</v>
      </c>
      <c r="D210" s="133">
        <v>93588</v>
      </c>
      <c r="E210" s="134" t="str">
        <f>IF($D210&lt;&gt;"",VLOOKUP($D210,'SINAPI JULHO 2021'!$A$1:E11884,2,FALSE),"")</f>
        <v>TRANSPORTE COM CAMINHÃO BASCULANTE DE 10 M³, EM VIA URBANA EM LEITO NATURAL (UNIDADE: M3XKM). AF_07/2020</v>
      </c>
      <c r="F210" s="135" t="str">
        <f>IF($D210&lt;&gt;"",VLOOKUP($D210,'SINAPI JULHO 2021'!$1:$1048576,3,FALSE),"")</f>
        <v>M3XKM</v>
      </c>
      <c r="G210" s="261">
        <f>G209*7.5</f>
        <v>88.875</v>
      </c>
      <c r="H210" s="256">
        <f>IF($D210&lt;&gt;"",VLOOKUP($D210,'SINAPI JULHO 2021'!$1:$1048576,4,FALSE),"")</f>
        <v>2.17</v>
      </c>
      <c r="I210" s="257">
        <f t="shared" si="12"/>
        <v>192.85</v>
      </c>
    </row>
    <row r="211" spans="2:9" s="132" customFormat="1" ht="38.25" customHeight="1">
      <c r="B211" s="133" t="s">
        <v>570</v>
      </c>
      <c r="C211" s="133" t="s">
        <v>7</v>
      </c>
      <c r="D211" s="133">
        <v>92792</v>
      </c>
      <c r="E211" s="134" t="str">
        <f>IF($D211&lt;&gt;"",VLOOKUP($D211,'SINAPI JULHO 2021'!$A$1:E11885,2,FALSE),"")</f>
        <v>CORTE E DOBRA DE AÇO CA-50, DIÂMETRO DE 6,3 MM, UTILIZADO EM ESTRUTURAS DIVERSAS, EXCETO LAJES. AF_12/2015</v>
      </c>
      <c r="F211" s="135" t="str">
        <f>IF($D211&lt;&gt;"",VLOOKUP($D211,'SINAPI JULHO 2021'!$1:$1048576,3,FALSE),"")</f>
        <v>KG</v>
      </c>
      <c r="G211" s="261">
        <v>8.6999999999999993</v>
      </c>
      <c r="H211" s="256">
        <f>IF($D211&lt;&gt;"",VLOOKUP($D211,'SINAPI JULHO 2021'!$1:$1048576,4,FALSE),"")</f>
        <v>16.27</v>
      </c>
      <c r="I211" s="257">
        <f t="shared" si="12"/>
        <v>141.54</v>
      </c>
    </row>
    <row r="212" spans="2:9" s="132" customFormat="1" ht="38.25">
      <c r="B212" s="133" t="s">
        <v>570</v>
      </c>
      <c r="C212" s="133" t="s">
        <v>7</v>
      </c>
      <c r="D212" s="133">
        <v>92795</v>
      </c>
      <c r="E212" s="134" t="str">
        <f>IF($D212&lt;&gt;"",VLOOKUP($D212,'SINAPI JULHO 2021'!$A$1:E11886,2,FALSE),"")</f>
        <v>CORTE E DOBRA DE AÇO CA-50, DIÂMETRO DE 12,5 MM, UTILIZADO EM ESTRUTURAS DIVERSAS, EXCETO LAJES. AF_12/2015</v>
      </c>
      <c r="F212" s="135" t="str">
        <f>IF($D212&lt;&gt;"",VLOOKUP($D212,'SINAPI JULHO 2021'!$1:$1048576,3,FALSE),"")</f>
        <v>KG</v>
      </c>
      <c r="G212" s="261">
        <v>158</v>
      </c>
      <c r="H212" s="256">
        <f>IF($D212&lt;&gt;"",VLOOKUP($D212,'SINAPI JULHO 2021'!$1:$1048576,4,FALSE),"")</f>
        <v>13.3</v>
      </c>
      <c r="I212" s="257">
        <f t="shared" si="12"/>
        <v>2101.4</v>
      </c>
    </row>
    <row r="213" spans="2:9" s="132" customFormat="1" ht="27.75" customHeight="1">
      <c r="B213" s="133" t="s">
        <v>570</v>
      </c>
      <c r="C213" s="133" t="s">
        <v>7</v>
      </c>
      <c r="D213" s="133">
        <v>92798</v>
      </c>
      <c r="E213" s="134" t="str">
        <f>IF($D213&lt;&gt;"",VLOOKUP($D213,'SINAPI JULHO 2021'!$A$1:E11887,2,FALSE),"")</f>
        <v>CORTE E DOBRA DE AÇO CA-50, DIÂMETRO DE 25,0 MM, UTILIZADO EM ESTRUTURAS DIVERSAS, EXCETO LAJES. AF_12/2015</v>
      </c>
      <c r="F213" s="135" t="str">
        <f>IF($D213&lt;&gt;"",VLOOKUP($D213,'SINAPI JULHO 2021'!$1:$1048576,3,FALSE),"")</f>
        <v>KG</v>
      </c>
      <c r="G213" s="261">
        <v>13.9</v>
      </c>
      <c r="H213" s="256">
        <f>IF($D213&lt;&gt;"",VLOOKUP($D213,'SINAPI JULHO 2021'!$1:$1048576,4,FALSE),"")</f>
        <v>15.61</v>
      </c>
      <c r="I213" s="257">
        <f t="shared" si="12"/>
        <v>216.97</v>
      </c>
    </row>
    <row r="214" spans="2:9" s="132" customFormat="1" ht="38.25">
      <c r="B214" s="133" t="s">
        <v>570</v>
      </c>
      <c r="C214" s="133" t="s">
        <v>7</v>
      </c>
      <c r="D214" s="133">
        <v>96557</v>
      </c>
      <c r="E214" s="134" t="str">
        <f>IF($D214&lt;&gt;"",VLOOKUP($D214,'SINAPI JULHO 2021'!$A$1:E11888,2,FALSE),"")</f>
        <v>CONCRETAGEM DE BLOCOS DE COROAMENTO E VIGAS BALDRAMES, FCK 30 MPA, COM USO DE BOMBA  LANÇAMENTO, ADENSAMENTO E ACABAMENTO. AF_06/2017</v>
      </c>
      <c r="F214" s="135" t="str">
        <f>IF($D214&lt;&gt;"",VLOOKUP($D214,'SINAPI JULHO 2021'!$1:$1048576,3,FALSE),"")</f>
        <v>M3</v>
      </c>
      <c r="G214" s="261">
        <f>3*3*1</f>
        <v>9</v>
      </c>
      <c r="H214" s="256">
        <f>IF($D214&lt;&gt;"",VLOOKUP($D214,'SINAPI JULHO 2021'!$1:$1048576,4,FALSE),"")</f>
        <v>565.45000000000005</v>
      </c>
      <c r="I214" s="257">
        <f>TRUNC(G214*H214,2)</f>
        <v>5089.05</v>
      </c>
    </row>
    <row r="215" spans="2:9" s="132" customFormat="1" ht="25.5">
      <c r="B215" s="133" t="s">
        <v>570</v>
      </c>
      <c r="C215" s="133" t="s">
        <v>7</v>
      </c>
      <c r="D215" s="133">
        <v>98557</v>
      </c>
      <c r="E215" s="134" t="str">
        <f>IF($D215&lt;&gt;"",VLOOKUP($D215,'SINAPI JULHO 2021'!$A$1:E11888,2,FALSE),"")</f>
        <v>IMPERMEABILIZAÇÃO DE SUPERFÍCIE COM EMULSÃO ASFÁLTICA, 2 DEMÃOS AF_06/2018</v>
      </c>
      <c r="F215" s="135" t="str">
        <f>IF($D215&lt;&gt;"",VLOOKUP($D215,'SINAPI JULHO 2021'!$1:$1048576,3,FALSE),"")</f>
        <v>M2</v>
      </c>
      <c r="G215" s="261">
        <f>G207+G208</f>
        <v>21</v>
      </c>
      <c r="H215" s="256">
        <f>IF($D215&lt;&gt;"",VLOOKUP($D215,'SINAPI JULHO 2021'!$1:$1048576,4,FALSE),"")</f>
        <v>55.87</v>
      </c>
      <c r="I215" s="257">
        <f t="shared" si="12"/>
        <v>1173.27</v>
      </c>
    </row>
    <row r="216" spans="2:9" s="132" customFormat="1" ht="13.5" thickBot="1">
      <c r="B216" s="514"/>
      <c r="C216" s="515"/>
      <c r="D216" s="516"/>
      <c r="E216" s="517"/>
      <c r="F216" s="518"/>
      <c r="G216" s="519"/>
      <c r="H216" s="520"/>
      <c r="I216" s="520"/>
    </row>
    <row r="217" spans="2:9" s="132" customFormat="1" ht="102.75" thickBot="1">
      <c r="B217" s="612" t="s">
        <v>7143</v>
      </c>
      <c r="C217" s="635"/>
      <c r="D217" s="635"/>
      <c r="E217" s="620" t="s">
        <v>7142</v>
      </c>
      <c r="F217" s="615" t="s">
        <v>679</v>
      </c>
      <c r="G217" s="636"/>
      <c r="H217" s="617"/>
      <c r="I217" s="610">
        <f>TRUNC(SUM(I218:I238),2)</f>
        <v>45235.93</v>
      </c>
    </row>
    <row r="218" spans="2:9" s="132" customFormat="1">
      <c r="B218" s="240" t="s">
        <v>570</v>
      </c>
      <c r="C218" s="240" t="s">
        <v>7</v>
      </c>
      <c r="D218" s="241">
        <v>88316</v>
      </c>
      <c r="E218" s="566" t="str">
        <f>IF($D218&lt;&gt;"",VLOOKUP($D218,'SINAPI JULHO 2021'!$A$1:E11895,2,FALSE),"")</f>
        <v>SERVENTE COM ENCARGOS COMPLEMENTARES</v>
      </c>
      <c r="F218" s="567" t="str">
        <f>IF($D218&lt;&gt;"",VLOOKUP($D218,'SINAPI JULHO 2021'!$1:$1048576,3,FALSE),"")</f>
        <v>H</v>
      </c>
      <c r="G218" s="248">
        <v>2.5</v>
      </c>
      <c r="H218" s="569">
        <f>IF($D218&lt;&gt;"",VLOOKUP($D218,'SINAPI JULHO 2021'!$1:$1048576,4,FALSE),"")</f>
        <v>14.02</v>
      </c>
      <c r="I218" s="570">
        <f t="shared" ref="I218:I227" si="13">TRUNC(G218*H218,2)</f>
        <v>35.049999999999997</v>
      </c>
    </row>
    <row r="219" spans="2:9" s="132" customFormat="1">
      <c r="B219" s="133" t="s">
        <v>570</v>
      </c>
      <c r="C219" s="133" t="s">
        <v>7</v>
      </c>
      <c r="D219" s="67">
        <v>88315</v>
      </c>
      <c r="E219" s="134" t="str">
        <f>IF($D219&lt;&gt;"",VLOOKUP($D219,'SINAPI JULHO 2021'!$A$1:E11896,2,FALSE),"")</f>
        <v>SERRALHEIRO COM ENCARGOS COMPLEMENTARES</v>
      </c>
      <c r="F219" s="135" t="str">
        <f>IF($D219&lt;&gt;"",VLOOKUP($D219,'SINAPI JULHO 2021'!$1:$1048576,3,FALSE),"")</f>
        <v>H</v>
      </c>
      <c r="G219" s="249">
        <v>2.5</v>
      </c>
      <c r="H219" s="256">
        <f>IF($D219&lt;&gt;"",VLOOKUP($D219,'SINAPI JULHO 2021'!$1:$1048576,4,FALSE),"")</f>
        <v>17.579999999999998</v>
      </c>
      <c r="I219" s="257">
        <f t="shared" si="13"/>
        <v>43.95</v>
      </c>
    </row>
    <row r="220" spans="2:9" s="132" customFormat="1">
      <c r="B220" s="133" t="s">
        <v>570</v>
      </c>
      <c r="C220" s="133" t="s">
        <v>7</v>
      </c>
      <c r="D220" s="67">
        <v>88251</v>
      </c>
      <c r="E220" s="134" t="str">
        <f>IF($D220&lt;&gt;"",VLOOKUP($D220,'SINAPI JULHO 2021'!$A$1:E11897,2,FALSE),"")</f>
        <v>AUXILIAR DE SERRALHEIRO COM ENCARGOS COMPLEMENTARES</v>
      </c>
      <c r="F220" s="135" t="str">
        <f>IF($D220&lt;&gt;"",VLOOKUP($D220,'SINAPI JULHO 2021'!$1:$1048576,3,FALSE),"")</f>
        <v>H</v>
      </c>
      <c r="G220" s="249">
        <v>2.5</v>
      </c>
      <c r="H220" s="256">
        <f>IF($D220&lt;&gt;"",VLOOKUP($D220,'SINAPI JULHO 2021'!$1:$1048576,4,FALSE),"")</f>
        <v>14.09</v>
      </c>
      <c r="I220" s="257">
        <f t="shared" si="13"/>
        <v>35.22</v>
      </c>
    </row>
    <row r="221" spans="2:9" s="132" customFormat="1" ht="25.5">
      <c r="B221" s="133" t="s">
        <v>571</v>
      </c>
      <c r="C221" s="133" t="s">
        <v>7</v>
      </c>
      <c r="D221" s="67">
        <v>40424</v>
      </c>
      <c r="E221" s="134" t="str">
        <f>IF($D221&lt;&gt;"",VLOOKUP($D221,'SINAPI JULHO 2021'!$A$1:E11898,2,FALSE),"")</f>
        <v xml:space="preserve">CHAPA DE ACO CARBONO LAMINADO A QUENTE, QUALIDADE ESTRUTURAL, BITOLA 3/16", E =4,75 MM (37,29 KG/M2)                                                                                                                                                                                                                                                                                                                                                                                                      </v>
      </c>
      <c r="F221" s="135" t="str">
        <f>IF($D221&lt;&gt;"",VLOOKUP($D221,'SINAPI JULHO 2021'!$1:$1048576,3,FALSE),"")</f>
        <v xml:space="preserve">KG    </v>
      </c>
      <c r="G221" s="249">
        <v>1900</v>
      </c>
      <c r="H221" s="256">
        <f>IF($D221&lt;&gt;"",VLOOKUP($D221,'SINAPI JULHO 2021'!$1:$1048576,4,FALSE),"")</f>
        <v>10.18</v>
      </c>
      <c r="I221" s="257">
        <f t="shared" si="13"/>
        <v>19342</v>
      </c>
    </row>
    <row r="222" spans="2:9" s="132" customFormat="1" ht="25.5">
      <c r="B222" s="133" t="s">
        <v>571</v>
      </c>
      <c r="C222" s="133" t="s">
        <v>7</v>
      </c>
      <c r="D222" s="67">
        <v>98746</v>
      </c>
      <c r="E222" s="134" t="str">
        <f>IF($D222&lt;&gt;"",VLOOKUP($D222,'SINAPI JULHO 2021'!$A$1:E11899,2,FALSE),"")</f>
        <v>SOLDA DE TOPO EM CHAPA/PERFIL/TUBO DE AÇO CHANFRADO, ESPESSURA=1/4''. AF_06/2018</v>
      </c>
      <c r="F222" s="135" t="str">
        <f>IF($D222&lt;&gt;"",VLOOKUP($D222,'SINAPI JULHO 2021'!$1:$1048576,3,FALSE),"")</f>
        <v>M</v>
      </c>
      <c r="G222" s="249">
        <v>45</v>
      </c>
      <c r="H222" s="256">
        <f>IF($D222&lt;&gt;"",VLOOKUP($D222,'SINAPI JULHO 2021'!$1:$1048576,4,FALSE),"")</f>
        <v>42.05</v>
      </c>
      <c r="I222" s="257">
        <f t="shared" si="13"/>
        <v>1892.25</v>
      </c>
    </row>
    <row r="223" spans="2:9" s="132" customFormat="1" ht="25.5">
      <c r="B223" s="133" t="s">
        <v>571</v>
      </c>
      <c r="C223" s="133" t="s">
        <v>7</v>
      </c>
      <c r="D223" s="67">
        <v>100716</v>
      </c>
      <c r="E223" s="134" t="str">
        <f>IF($D223&lt;&gt;"",VLOOKUP($D223,'SINAPI JULHO 2021'!$A$1:E11900,2,FALSE),"")</f>
        <v>JATEAMENTO ABRASIVO COM GRANALHA DE AÇO EM PERFIL METÁLICO EM FÁBRICA. AF_01/2020</v>
      </c>
      <c r="F223" s="135" t="str">
        <f>IF($D223&lt;&gt;"",VLOOKUP($D223,'SINAPI JULHO 2021'!$1:$1048576,3,FALSE),"")</f>
        <v>M2</v>
      </c>
      <c r="G223" s="249">
        <v>45</v>
      </c>
      <c r="H223" s="256">
        <f>IF($D223&lt;&gt;"",VLOOKUP($D223,'SINAPI JULHO 2021'!$1:$1048576,4,FALSE),"")</f>
        <v>24.19</v>
      </c>
      <c r="I223" s="257">
        <f t="shared" si="13"/>
        <v>1088.55</v>
      </c>
    </row>
    <row r="224" spans="2:9" s="132" customFormat="1" ht="25.5">
      <c r="B224" s="133" t="s">
        <v>570</v>
      </c>
      <c r="C224" s="133" t="s">
        <v>7</v>
      </c>
      <c r="D224" s="67">
        <v>98553</v>
      </c>
      <c r="E224" s="134" t="str">
        <f>IF($D224&lt;&gt;"",VLOOKUP($D224,'SINAPI JULHO 2021'!$A$1:E11900,2,FALSE),"")</f>
        <v>IMPERMEABILIZAÇÃO DE SUPERFÍCIE COM MEMBRANA À BASE DE POLIURETANO, 2 DEMÃOS. AF_06/2018</v>
      </c>
      <c r="F224" s="135" t="str">
        <f>IF($D224&lt;&gt;"",VLOOKUP($D224,'SINAPI JULHO 2021'!$1:$1048576,3,FALSE),"")</f>
        <v>M2</v>
      </c>
      <c r="G224" s="249">
        <f>G223</f>
        <v>45</v>
      </c>
      <c r="H224" s="256">
        <f>IF($D224&lt;&gt;"",VLOOKUP($D224,'SINAPI JULHO 2021'!$1:$1048576,4,FALSE),"")</f>
        <v>100.75</v>
      </c>
      <c r="I224" s="257">
        <f t="shared" si="13"/>
        <v>4533.75</v>
      </c>
    </row>
    <row r="225" spans="2:9" s="132" customFormat="1" ht="38.25">
      <c r="B225" s="133" t="s">
        <v>570</v>
      </c>
      <c r="C225" s="133" t="s">
        <v>7</v>
      </c>
      <c r="D225" s="67">
        <v>100751</v>
      </c>
      <c r="E225" s="134" t="str">
        <f>IF($D225&lt;&gt;"",VLOOKUP($D225,'SINAPI JULHO 2021'!$A$1:E11901,2,FALSE),"")</f>
        <v>PINTURA COM TINTA EPOXÍDICA DE ACABAMENTO PULVERIZADA SOBRE PERFIL METÁLICO EXECUTADO EM FÁBRICA (02 DEMÃOS). AF_01/2020_P</v>
      </c>
      <c r="F225" s="135" t="str">
        <f>IF($D225&lt;&gt;"",VLOOKUP($D225,'SINAPI JULHO 2021'!$1:$1048576,3,FALSE),"")</f>
        <v>M2</v>
      </c>
      <c r="G225" s="249">
        <f>G224*2</f>
        <v>90</v>
      </c>
      <c r="H225" s="256">
        <f>IF($D225&lt;&gt;"",VLOOKUP($D225,'SINAPI JULHO 2021'!$1:$1048576,4,FALSE),"")</f>
        <v>27.04</v>
      </c>
      <c r="I225" s="257">
        <f t="shared" si="13"/>
        <v>2433.6</v>
      </c>
    </row>
    <row r="226" spans="2:9" s="132" customFormat="1" ht="25.5">
      <c r="B226" s="133" t="s">
        <v>570</v>
      </c>
      <c r="C226" s="133" t="s">
        <v>7</v>
      </c>
      <c r="D226" s="67">
        <v>88278</v>
      </c>
      <c r="E226" s="134" t="str">
        <f>IF($D226&lt;&gt;"",VLOOKUP($D226,'SINAPI JULHO 2021'!$A$1:E11902,2,FALSE),"")</f>
        <v>MONTADOR DE ESTRUTURA METÁLICA COM ENCARGOS COMPLEMENTARES</v>
      </c>
      <c r="F226" s="135" t="str">
        <f>IF($D226&lt;&gt;"",VLOOKUP($D226,'SINAPI JULHO 2021'!$1:$1048576,3,FALSE),"")</f>
        <v>H</v>
      </c>
      <c r="G226" s="249">
        <v>2.5</v>
      </c>
      <c r="H226" s="256">
        <f>IF($D226&lt;&gt;"",VLOOKUP($D226,'SINAPI JULHO 2021'!$1:$1048576,4,FALSE),"")</f>
        <v>12.66</v>
      </c>
      <c r="I226" s="257">
        <f t="shared" si="13"/>
        <v>31.65</v>
      </c>
    </row>
    <row r="227" spans="2:9" s="132" customFormat="1" ht="38.25">
      <c r="B227" s="133" t="s">
        <v>571</v>
      </c>
      <c r="C227" s="133" t="s">
        <v>7</v>
      </c>
      <c r="D227" s="67">
        <v>89272</v>
      </c>
      <c r="E227" s="134" t="str">
        <f>IF($D227&lt;&gt;"",VLOOKUP($D227,'SINAPI JULHO 2021'!$A$1:E11903,2,FALSE),"")</f>
        <v>GUINDASTE HIDRÁULICO AUTOPROPELIDO, COM LANÇA TELESCÓPICA 28,80 M, CAPACIDADE MÁXIMA 30 T, POTÊNCIA 97 KW, TRAÇÃO 4 X 4 - CHP DIURNO. AF_11/2014</v>
      </c>
      <c r="F227" s="135" t="str">
        <f>IF($D227&lt;&gt;"",VLOOKUP($D227,'SINAPI JULHO 2021'!$1:$1048576,3,FALSE),"")</f>
        <v>CHP</v>
      </c>
      <c r="G227" s="249">
        <v>3</v>
      </c>
      <c r="H227" s="256">
        <f>IF($D227&lt;&gt;"",VLOOKUP($D227,'SINAPI JULHO 2021'!$1:$1048576,4,FALSE),"")</f>
        <v>158.12</v>
      </c>
      <c r="I227" s="257">
        <f t="shared" si="13"/>
        <v>474.36</v>
      </c>
    </row>
    <row r="228" spans="2:9" s="132" customFormat="1" ht="63.75">
      <c r="B228" s="133" t="s">
        <v>571</v>
      </c>
      <c r="C228" s="133" t="s">
        <v>7</v>
      </c>
      <c r="D228" s="67">
        <v>99839</v>
      </c>
      <c r="E228" s="134" t="str">
        <f>IF($D228&lt;&gt;"",VLOOKUP($D228,'SINAPI JULHO 2021'!$A$1:E11905,2,FALSE),"")</f>
        <v>GUARDA-CORPO DE AÇO GALVANIZADO DE 1,10M DE ALTURA, MONTANTES TUBULARES DE 1.1/2 ESPAÇADOS DE 1,20M, TRAVESSA SUPERIOR DE 2, GRADIL FORMADO POR BARRAS CHATAS EM FERRO DE 32X4,8MM, FIXADO COM CHUMBADOR MECÂNICO. AF_04/2019_P</v>
      </c>
      <c r="F228" s="135" t="str">
        <f>IF($D228&lt;&gt;"",VLOOKUP($D228,'SINAPI JULHO 2021'!$1:$1048576,3,FALSE),"")</f>
        <v>M</v>
      </c>
      <c r="G228" s="249">
        <v>9.4</v>
      </c>
      <c r="H228" s="256">
        <f>IF($D228&lt;&gt;"",VLOOKUP($D228,'SINAPI JULHO 2021'!$1:$1048576,4,FALSE),"")</f>
        <v>468.89</v>
      </c>
      <c r="I228" s="257">
        <f>TRUNC(G228*H228,2)</f>
        <v>4407.5600000000004</v>
      </c>
    </row>
    <row r="229" spans="2:9" s="132" customFormat="1" ht="25.5">
      <c r="B229" s="455" t="s">
        <v>568</v>
      </c>
      <c r="C229" s="133" t="s">
        <v>569</v>
      </c>
      <c r="D229" s="67"/>
      <c r="E229" s="134" t="s">
        <v>7140</v>
      </c>
      <c r="F229" s="135" t="s">
        <v>7138</v>
      </c>
      <c r="G229" s="249">
        <v>1</v>
      </c>
      <c r="H229" s="256">
        <f>(500*2.5)+(300*2.5)</f>
        <v>2000</v>
      </c>
      <c r="I229" s="257">
        <f>TRUNC(G229*H229,2)</f>
        <v>2000</v>
      </c>
    </row>
    <row r="230" spans="2:9" s="132" customFormat="1">
      <c r="B230" s="212" t="s">
        <v>7367</v>
      </c>
      <c r="C230" s="133"/>
      <c r="D230" s="67"/>
      <c r="E230" s="211"/>
      <c r="F230" s="454"/>
      <c r="G230" s="249"/>
      <c r="H230" s="255"/>
      <c r="I230" s="255"/>
    </row>
    <row r="231" spans="2:9" s="132" customFormat="1" ht="38.25">
      <c r="B231" s="133" t="s">
        <v>570</v>
      </c>
      <c r="C231" s="133" t="s">
        <v>7</v>
      </c>
      <c r="D231" s="67">
        <v>96624</v>
      </c>
      <c r="E231" s="134" t="str">
        <f>IF($D231&lt;&gt;"",VLOOKUP($D231,'SINAPI JULHO 2021'!$A$1:E11893,2,FALSE),"")</f>
        <v>LASTRO COM MATERIAL GRANULAR (PEDRA BRITADA N.2), APLICADO EM PISOS OU LAJES SOBRE SOLO, ESPESSURA DE *10 CM*. AF_08/2017</v>
      </c>
      <c r="F231" s="135" t="str">
        <f>IF($D231&lt;&gt;"",VLOOKUP($D231,'SINAPI JULHO 2021'!$1:$1048576,3,FALSE),"")</f>
        <v>M3</v>
      </c>
      <c r="G231" s="337">
        <f>3.5*3.5*0.1</f>
        <v>1.2250000000000001</v>
      </c>
      <c r="H231" s="256">
        <f>IF($D231&lt;&gt;"",VLOOKUP($D231,'SINAPI JULHO 2021'!$1:$1048576,4,FALSE),"")</f>
        <v>113.54</v>
      </c>
      <c r="I231" s="257">
        <f t="shared" ref="I231:I237" si="14">TRUNC(G231*H231,2)</f>
        <v>139.08000000000001</v>
      </c>
    </row>
    <row r="232" spans="2:9" s="132" customFormat="1" ht="25.5">
      <c r="B232" s="133" t="s">
        <v>570</v>
      </c>
      <c r="C232" s="133" t="s">
        <v>7</v>
      </c>
      <c r="D232" s="67">
        <v>97082</v>
      </c>
      <c r="E232" s="134" t="str">
        <f>IF($D232&lt;&gt;"",VLOOKUP($D232,'SINAPI JULHO 2021'!$A$1:E11894,2,FALSE),"")</f>
        <v>ESCAVAÇÃO MANUAL DE VIGA DE BORDA PARA RADIER. AF_09/2017</v>
      </c>
      <c r="F232" s="135" t="str">
        <f>IF($D232&lt;&gt;"",VLOOKUP($D232,'SINAPI JULHO 2021'!$1:$1048576,3,FALSE),"")</f>
        <v>M3</v>
      </c>
      <c r="G232" s="337">
        <f>G231+2</f>
        <v>3.2250000000000001</v>
      </c>
      <c r="H232" s="256">
        <f>IF($D232&lt;&gt;"",VLOOKUP($D232,'SINAPI JULHO 2021'!$1:$1048576,4,FALSE),"")</f>
        <v>40.71</v>
      </c>
      <c r="I232" s="257">
        <f t="shared" si="14"/>
        <v>131.28</v>
      </c>
    </row>
    <row r="233" spans="2:9" s="132" customFormat="1" ht="38.25">
      <c r="B233" s="133" t="s">
        <v>570</v>
      </c>
      <c r="C233" s="133" t="s">
        <v>7</v>
      </c>
      <c r="D233" s="67">
        <v>97083</v>
      </c>
      <c r="E233" s="134" t="str">
        <f>IF($D233&lt;&gt;"",VLOOKUP($D233,'SINAPI JULHO 2021'!$A$1:E11895,2,FALSE),"")</f>
        <v>COMPACTAÇÃO MECÂNICA DE SOLO PARA EXECUÇÃO DE RADIER, COM COMPACTADOR DE SOLOS A PERCUSSÃO. AF_09/2017</v>
      </c>
      <c r="F233" s="135" t="str">
        <f>IF($D233&lt;&gt;"",VLOOKUP($D233,'SINAPI JULHO 2021'!$1:$1048576,3,FALSE),"")</f>
        <v>M2</v>
      </c>
      <c r="G233" s="337">
        <f>3.5*3.5</f>
        <v>12.25</v>
      </c>
      <c r="H233" s="256">
        <f>IF($D233&lt;&gt;"",VLOOKUP($D233,'SINAPI JULHO 2021'!$1:$1048576,4,FALSE),"")</f>
        <v>2.21</v>
      </c>
      <c r="I233" s="257">
        <f t="shared" si="14"/>
        <v>27.07</v>
      </c>
    </row>
    <row r="234" spans="2:9" s="132" customFormat="1" ht="31.5" customHeight="1">
      <c r="B234" s="133" t="s">
        <v>570</v>
      </c>
      <c r="C234" s="133" t="s">
        <v>7</v>
      </c>
      <c r="D234" s="67">
        <v>97086</v>
      </c>
      <c r="E234" s="134" t="str">
        <f>IF($D234&lt;&gt;"",VLOOKUP($D234,'SINAPI JULHO 2021'!$A$1:E11896,2,FALSE),"")</f>
        <v>FABRICAÇÃO, MONTAGEM E DESMONTAGEM DE FORMA PARA RADIER, EM MADEIRA SERRADA, 4 UTILIZAÇÕES. AF_09/2017</v>
      </c>
      <c r="F234" s="135" t="str">
        <f>IF($D234&lt;&gt;"",VLOOKUP($D234,'SINAPI JULHO 2021'!$1:$1048576,3,FALSE),"")</f>
        <v>M2</v>
      </c>
      <c r="G234" s="337">
        <f>3.5*4*0.4</f>
        <v>5.6000000000000005</v>
      </c>
      <c r="H234" s="256">
        <f>IF($D234&lt;&gt;"",VLOOKUP($D234,'SINAPI JULHO 2021'!$1:$1048576,4,FALSE),"")</f>
        <v>82</v>
      </c>
      <c r="I234" s="257">
        <f t="shared" si="14"/>
        <v>459.2</v>
      </c>
    </row>
    <row r="235" spans="2:9" s="132" customFormat="1" ht="25.5">
      <c r="B235" s="133" t="s">
        <v>570</v>
      </c>
      <c r="C235" s="133" t="s">
        <v>7</v>
      </c>
      <c r="D235" s="67">
        <v>97087</v>
      </c>
      <c r="E235" s="134" t="str">
        <f>IF($D235&lt;&gt;"",VLOOKUP($D235,'SINAPI JULHO 2021'!$A$1:E11897,2,FALSE),"")</f>
        <v>CAMADA SEPARADORA PARA EXECUÇÃO DE RADIER, EM LONA PLÁSTICA. AF_09/2017</v>
      </c>
      <c r="F235" s="135" t="str">
        <f>IF($D235&lt;&gt;"",VLOOKUP($D235,'SINAPI JULHO 2021'!$1:$1048576,3,FALSE),"")</f>
        <v>M2</v>
      </c>
      <c r="G235" s="337">
        <f>G233+1.5</f>
        <v>13.75</v>
      </c>
      <c r="H235" s="256">
        <f>IF($D235&lt;&gt;"",VLOOKUP($D235,'SINAPI JULHO 2021'!$1:$1048576,4,FALSE),"")</f>
        <v>2.4700000000000002</v>
      </c>
      <c r="I235" s="257">
        <f t="shared" si="14"/>
        <v>33.96</v>
      </c>
    </row>
    <row r="236" spans="2:9" s="132" customFormat="1" ht="25.5">
      <c r="B236" s="133" t="s">
        <v>570</v>
      </c>
      <c r="C236" s="133" t="s">
        <v>7</v>
      </c>
      <c r="D236" s="67">
        <v>97093</v>
      </c>
      <c r="E236" s="134" t="str">
        <f>IF($D236&lt;&gt;"",VLOOKUP($D236,'SINAPI JULHO 2021'!$A$1:E11898,2,FALSE),"")</f>
        <v>ARMAÇÃO PARA EXECUÇÃO DE RADIER, COM USO DE TELA Q-283. AF_09/2017</v>
      </c>
      <c r="F236" s="135" t="str">
        <f>IF($D236&lt;&gt;"",VLOOKUP($D236,'SINAPI JULHO 2021'!$1:$1048576,3,FALSE),"")</f>
        <v>KG</v>
      </c>
      <c r="G236" s="337">
        <f>16.5*G233</f>
        <v>202.125</v>
      </c>
      <c r="H236" s="256">
        <f>IF($D236&lt;&gt;"",VLOOKUP($D236,'SINAPI JULHO 2021'!$1:$1048576,4,FALSE),"")</f>
        <v>22.64</v>
      </c>
      <c r="I236" s="257">
        <f t="shared" si="14"/>
        <v>4576.1099999999997</v>
      </c>
    </row>
    <row r="237" spans="2:9" s="132" customFormat="1" ht="42.75" customHeight="1">
      <c r="B237" s="133" t="s">
        <v>570</v>
      </c>
      <c r="C237" s="133" t="s">
        <v>7</v>
      </c>
      <c r="D237" s="67">
        <v>97096</v>
      </c>
      <c r="E237" s="134" t="str">
        <f>IF($D237&lt;&gt;"",VLOOKUP($D237,'SINAPI JULHO 2021'!$A$1:E11899,2,FALSE),"")</f>
        <v>CONCRETAGEM DE RADIER, PISO OU LAJE SOBRE SOLO, FCK 30 MPA, PARA ESPESSURA DE 20 CM - LANÇAMENTO, ADENSAMENTO E ACABAMENTO. AF_09/2017</v>
      </c>
      <c r="F237" s="135" t="str">
        <f>IF($D237&lt;&gt;"",VLOOKUP($D237,'SINAPI JULHO 2021'!$1:$1048576,3,FALSE),"")</f>
        <v>M3</v>
      </c>
      <c r="G237" s="337">
        <f>G233*0.4</f>
        <v>4.9000000000000004</v>
      </c>
      <c r="H237" s="256">
        <f>IF($D237&lt;&gt;"",VLOOKUP($D237,'SINAPI JULHO 2021'!$1:$1048576,4,FALSE),"")</f>
        <v>521.23</v>
      </c>
      <c r="I237" s="257">
        <f t="shared" si="14"/>
        <v>2554.02</v>
      </c>
    </row>
    <row r="238" spans="2:9" s="132" customFormat="1" ht="38.25" customHeight="1">
      <c r="B238" s="133" t="s">
        <v>570</v>
      </c>
      <c r="C238" s="133" t="s">
        <v>7</v>
      </c>
      <c r="D238" s="67">
        <v>98557</v>
      </c>
      <c r="E238" s="134" t="str">
        <f>IF($D238&lt;&gt;"",VLOOKUP($D238,'SINAPI JULHO 2021'!$A$1:E11900,2,FALSE),"")</f>
        <v>IMPERMEABILIZAÇÃO DE SUPERFÍCIE COM EMULSÃO ASFÁLTICA, 2 DEMÃOS AF_06/2018</v>
      </c>
      <c r="F238" s="135" t="str">
        <f>IF($D238&lt;&gt;"",VLOOKUP($D238,'SINAPI JULHO 2021'!$1:$1048576,3,FALSE),"")</f>
        <v>M2</v>
      </c>
      <c r="G238" s="337">
        <f>G234+(3.5*3.5)</f>
        <v>17.850000000000001</v>
      </c>
      <c r="H238" s="256">
        <f>IF($D238&lt;&gt;"",VLOOKUP($D238,'SINAPI JULHO 2021'!$1:$1048576,4,FALSE),"")</f>
        <v>55.87</v>
      </c>
      <c r="I238" s="257">
        <f>TRUNC(G238*H238,2)</f>
        <v>997.27</v>
      </c>
    </row>
    <row r="239" spans="2:9" s="132" customFormat="1" ht="13.5" thickBot="1">
      <c r="B239" s="514"/>
      <c r="C239" s="515"/>
      <c r="D239" s="516"/>
      <c r="E239" s="517"/>
      <c r="F239" s="518"/>
      <c r="G239" s="519"/>
      <c r="H239" s="520"/>
      <c r="I239" s="520"/>
    </row>
    <row r="240" spans="2:9" s="132" customFormat="1" ht="57.75" customHeight="1" thickBot="1">
      <c r="B240" s="604" t="s">
        <v>7145</v>
      </c>
      <c r="C240" s="605"/>
      <c r="D240" s="605"/>
      <c r="E240" s="606" t="s">
        <v>7383</v>
      </c>
      <c r="F240" s="607" t="s">
        <v>34</v>
      </c>
      <c r="G240" s="608"/>
      <c r="H240" s="609"/>
      <c r="I240" s="610">
        <f>TRUNC(SUM(I241:I259),2)</f>
        <v>15331.51</v>
      </c>
    </row>
    <row r="241" spans="2:9" s="132" customFormat="1">
      <c r="B241" s="575"/>
      <c r="C241" s="575"/>
      <c r="D241" s="575"/>
      <c r="E241" s="583" t="s">
        <v>7380</v>
      </c>
      <c r="F241" s="584"/>
      <c r="G241" s="574"/>
      <c r="H241" s="569"/>
      <c r="I241" s="254"/>
    </row>
    <row r="242" spans="2:9" s="132" customFormat="1" ht="51">
      <c r="B242" s="140" t="s">
        <v>570</v>
      </c>
      <c r="C242" s="140" t="s">
        <v>7</v>
      </c>
      <c r="D242" s="142">
        <v>94483</v>
      </c>
      <c r="E242" s="134" t="str">
        <f>IF($D242&lt;&gt;"",VLOOKUP($D242,'SINAPI JULHO 2021'!$A$1:E11818,2,FALSE),"")</f>
        <v>CONJUNTO HIDRÁULICO PARA INSTALAÇÃO DE BOMBA EM AÇO ROSCÁVEL, DN SUCÇÃO 32 (1 1/4) E DN RECALQUE 25 (1), PARA EDIFICAÇÃO ATÉ 4 PAVIMENTOS  FORNECIMENTO E INSTALAÇÃO. AF_06/2016</v>
      </c>
      <c r="F242" s="135" t="str">
        <f>IF($D242&lt;&gt;"",VLOOKUP($D242,'SINAPI JULHO 2021'!$1:$1048576,3,FALSE),"")</f>
        <v>UN</v>
      </c>
      <c r="G242" s="250">
        <v>1</v>
      </c>
      <c r="H242" s="256">
        <f>IF($D242&lt;&gt;"",VLOOKUP($D242,'SINAPI JULHO 2021'!$1:$1048576,4,FALSE),"")</f>
        <v>900.63</v>
      </c>
      <c r="I242" s="257">
        <f>TRUNC(G242*H242,2)</f>
        <v>900.63</v>
      </c>
    </row>
    <row r="243" spans="2:9" s="132" customFormat="1" ht="25.5">
      <c r="B243" s="140" t="s">
        <v>570</v>
      </c>
      <c r="C243" s="140" t="s">
        <v>7</v>
      </c>
      <c r="D243" s="142">
        <v>102116</v>
      </c>
      <c r="E243" s="134" t="str">
        <f>IF($D243&lt;&gt;"",VLOOKUP($D243,'SINAPI JULHO 2021'!$A$1:E11819,2,FALSE),"")</f>
        <v>BOMBA CENTRÍFUGA, TRIFÁSICA, 1,5 CV OU 1,48 HP, HM 10 A 24 M, Q 6,1 A 21,9 M3/H - FORNECIMENTO E INSTALAÇÃO. AF_12/2020</v>
      </c>
      <c r="F243" s="135" t="str">
        <f>IF($D243&lt;&gt;"",VLOOKUP($D243,'SINAPI JULHO 2021'!$1:$1048576,3,FALSE),"")</f>
        <v>UN</v>
      </c>
      <c r="G243" s="250">
        <v>1</v>
      </c>
      <c r="H243" s="256">
        <f>IF($D243&lt;&gt;"",VLOOKUP($D243,'SINAPI JULHO 2021'!$1:$1048576,4,FALSE),"")</f>
        <v>1460.4</v>
      </c>
      <c r="I243" s="257">
        <f>TRUNC(G243*H243,2)</f>
        <v>1460.4</v>
      </c>
    </row>
    <row r="244" spans="2:9" s="132" customFormat="1" ht="34.5" customHeight="1">
      <c r="B244" s="140" t="s">
        <v>570</v>
      </c>
      <c r="C244" s="140" t="s">
        <v>7</v>
      </c>
      <c r="D244" s="142">
        <v>102117</v>
      </c>
      <c r="E244" s="134" t="str">
        <f>IF($D244&lt;&gt;"",VLOOKUP($D244,'SINAPI JULHO 2021'!$A$1:E11820,2,FALSE),"")</f>
        <v>BOMBA CENTRÍFUGA, TRIFÁSICA, 1,5 CV OU 1,48 HP (NÃO INCLUI O FORNECIMENTO DA BOMBA). AF_12/2020</v>
      </c>
      <c r="F244" s="135" t="str">
        <f>IF($D244&lt;&gt;"",VLOOKUP($D244,'SINAPI JULHO 2021'!$1:$1048576,3,FALSE),"")</f>
        <v>UN</v>
      </c>
      <c r="G244" s="250">
        <f>G243</f>
        <v>1</v>
      </c>
      <c r="H244" s="256">
        <f>IF($D244&lt;&gt;"",VLOOKUP($D244,'SINAPI JULHO 2021'!$1:$1048576,4,FALSE),"")</f>
        <v>94.13</v>
      </c>
      <c r="I244" s="257">
        <f>TRUNC(G244*H244,2)</f>
        <v>94.13</v>
      </c>
    </row>
    <row r="245" spans="2:9" s="132" customFormat="1">
      <c r="B245" s="140"/>
      <c r="C245" s="140"/>
      <c r="D245" s="140"/>
      <c r="E245" s="194" t="s">
        <v>7381</v>
      </c>
      <c r="F245" s="141"/>
      <c r="G245" s="246"/>
      <c r="H245" s="256"/>
      <c r="I245" s="255"/>
    </row>
    <row r="246" spans="2:9" s="132" customFormat="1" ht="60.75" customHeight="1">
      <c r="B246" s="455" t="s">
        <v>568</v>
      </c>
      <c r="C246" s="133" t="s">
        <v>569</v>
      </c>
      <c r="D246" s="133"/>
      <c r="E246" s="134" t="s">
        <v>7382</v>
      </c>
      <c r="F246" s="135" t="s">
        <v>679</v>
      </c>
      <c r="G246" s="260">
        <v>1</v>
      </c>
      <c r="H246" s="256">
        <v>1500</v>
      </c>
      <c r="I246" s="257">
        <f>TRUNC(G246*H246,2)</f>
        <v>1500</v>
      </c>
    </row>
    <row r="247" spans="2:9" s="132" customFormat="1" ht="51">
      <c r="B247" s="140" t="s">
        <v>570</v>
      </c>
      <c r="C247" s="140" t="s">
        <v>7</v>
      </c>
      <c r="D247" s="142">
        <v>94483</v>
      </c>
      <c r="E247" s="134" t="str">
        <f>IF($D247&lt;&gt;"",VLOOKUP($D247,'SINAPI JULHO 2021'!$A$1:E11822,2,FALSE),"")</f>
        <v>CONJUNTO HIDRÁULICO PARA INSTALAÇÃO DE BOMBA EM AÇO ROSCÁVEL, DN SUCÇÃO 32 (1 1/4) E DN RECALQUE 25 (1), PARA EDIFICAÇÃO ATÉ 4 PAVIMENTOS  FORNECIMENTO E INSTALAÇÃO. AF_06/2016</v>
      </c>
      <c r="F247" s="135" t="str">
        <f>IF($D247&lt;&gt;"",VLOOKUP($D247,'SINAPI JULHO 2021'!$1:$1048576,3,FALSE),"")</f>
        <v>UN</v>
      </c>
      <c r="G247" s="250">
        <v>1</v>
      </c>
      <c r="H247" s="256">
        <f>IF($D247&lt;&gt;"",VLOOKUP($D247,'SINAPI JULHO 2021'!$1:$1048576,4,FALSE),"")</f>
        <v>900.63</v>
      </c>
      <c r="I247" s="257">
        <f>TRUNC(G247*H247,2)</f>
        <v>900.63</v>
      </c>
    </row>
    <row r="248" spans="2:9" s="132" customFormat="1" ht="25.5">
      <c r="B248" s="140" t="s">
        <v>570</v>
      </c>
      <c r="C248" s="140" t="s">
        <v>7</v>
      </c>
      <c r="D248" s="142">
        <v>102122</v>
      </c>
      <c r="E248" s="134" t="str">
        <f>IF($D248&lt;&gt;"",VLOOKUP($D248,'SINAPI JULHO 2021'!$A$1:E11823,2,FALSE),"")</f>
        <v>BOMBA CENTRÍFUGA, TRIFÁSICA, 10 CV OU 9,86 HP, HM 85 A 140 M, Q 4,2 A 14,9 M3/H - FORNECIMENTO E INSTALAÇÃO. AF_12/2020</v>
      </c>
      <c r="F248" s="135" t="str">
        <f>IF($D248&lt;&gt;"",VLOOKUP($D248,'SINAPI JULHO 2021'!$1:$1048576,3,FALSE),"")</f>
        <v>UN</v>
      </c>
      <c r="G248" s="250">
        <v>1</v>
      </c>
      <c r="H248" s="256">
        <f>IF($D248&lt;&gt;"",VLOOKUP($D248,'SINAPI JULHO 2021'!$1:$1048576,4,FALSE),"")</f>
        <v>6851.5</v>
      </c>
      <c r="I248" s="257">
        <f>TRUNC(G248*H248,2)</f>
        <v>6851.5</v>
      </c>
    </row>
    <row r="249" spans="2:9" s="132" customFormat="1" ht="38.25">
      <c r="B249" s="140" t="s">
        <v>570</v>
      </c>
      <c r="C249" s="140" t="s">
        <v>7</v>
      </c>
      <c r="D249" s="142">
        <v>102123</v>
      </c>
      <c r="E249" s="134" t="str">
        <f>IF($D249&lt;&gt;"",VLOOKUP($D249,'SINAPI JULHO 2021'!$A$1:E11824,2,FALSE),"")</f>
        <v>BOMBA CENTRÍFUGA, TRIFÁSICA, 10 CV OU 9,86 HP, HM 85 A 140 M, Q 4,2 A 14,9 M3/H (NÃO INCLUI O FORNECIMENTO DA BOMBA). AF_12/2020</v>
      </c>
      <c r="F249" s="135" t="str">
        <f>IF($D249&lt;&gt;"",VLOOKUP($D249,'SINAPI JULHO 2021'!$1:$1048576,3,FALSE),"")</f>
        <v>UN</v>
      </c>
      <c r="G249" s="250">
        <f>G248</f>
        <v>1</v>
      </c>
      <c r="H249" s="256">
        <f>IF($D249&lt;&gt;"",VLOOKUP($D249,'SINAPI JULHO 2021'!$1:$1048576,4,FALSE),"")</f>
        <v>127.98</v>
      </c>
      <c r="I249" s="257">
        <f>TRUNC(G249*H249,2)</f>
        <v>127.98</v>
      </c>
    </row>
    <row r="250" spans="2:9" s="132" customFormat="1">
      <c r="B250" s="140"/>
      <c r="C250" s="140"/>
      <c r="D250" s="140"/>
      <c r="E250" s="194" t="s">
        <v>4290</v>
      </c>
      <c r="F250" s="141"/>
      <c r="G250" s="246"/>
      <c r="H250" s="256"/>
      <c r="I250" s="255"/>
    </row>
    <row r="251" spans="2:9" s="132" customFormat="1" ht="35.25" customHeight="1">
      <c r="B251" s="140" t="s">
        <v>570</v>
      </c>
      <c r="C251" s="140" t="s">
        <v>7</v>
      </c>
      <c r="D251" s="142">
        <v>97101</v>
      </c>
      <c r="E251" s="134" t="str">
        <f>IF($D251&lt;&gt;"",VLOOKUP($D251,'SINAPI JULHO 2021'!$A$1:E11826,2,FALSE),"")</f>
        <v>EXECUÇÃO DE RADIER, ESPESSURA DE 10 CM, FCK = 30 MPA, COM USO DE FORMAS EM MADEIRA SERRADA. AF_09/2017</v>
      </c>
      <c r="F251" s="135" t="str">
        <f>IF($D251&lt;&gt;"",VLOOKUP($D251,'SINAPI JULHO 2021'!$1:$1048576,3,FALSE),"")</f>
        <v>M2</v>
      </c>
      <c r="G251" s="250">
        <f>2*1.5</f>
        <v>3</v>
      </c>
      <c r="H251" s="256">
        <f>IF($D251&lt;&gt;"",VLOOKUP($D251,'SINAPI JULHO 2021'!$1:$1048576,4,FALSE),"")</f>
        <v>227.54</v>
      </c>
      <c r="I251" s="257">
        <f>TRUNC(G251*H251,2)</f>
        <v>682.62</v>
      </c>
    </row>
    <row r="252" spans="2:9" s="132" customFormat="1">
      <c r="B252" s="140"/>
      <c r="C252" s="140"/>
      <c r="D252" s="140"/>
      <c r="E252" s="194" t="s">
        <v>4291</v>
      </c>
      <c r="F252" s="141"/>
      <c r="G252" s="250"/>
      <c r="H252" s="256"/>
      <c r="I252" s="257"/>
    </row>
    <row r="253" spans="2:9" s="132" customFormat="1" ht="51">
      <c r="B253" s="140" t="s">
        <v>570</v>
      </c>
      <c r="C253" s="140" t="s">
        <v>7</v>
      </c>
      <c r="D253" s="142">
        <v>87453</v>
      </c>
      <c r="E253" s="134" t="str">
        <f>IF($D253&lt;&gt;"",VLOOKUP($D253,'SINAPI JULHO 2021'!$A$1:E11832,2,FALSE),"")</f>
        <v>ALVENARIA DE VEDAÇÃO DE BLOCOS VAZADOS DE CONCRETO DE 9X19X39CM (ESPESSURA 9CM) DE PAREDES COM ÁREA LÍQUIDA MAIOR OU IGUAL A 6M² SEM VÃOS E ARGAMASSA DE ASSENTAMENTO COM PREPARO EM BETONEIRA. AF_06/2014</v>
      </c>
      <c r="F253" s="135" t="str">
        <f>IF($D253&lt;&gt;"",VLOOKUP($D253,'SINAPI JULHO 2021'!$1:$1048576,3,FALSE),"")</f>
        <v>M2</v>
      </c>
      <c r="G253" s="250">
        <f>(1.5+1.5+2+1)*2.1</f>
        <v>12.600000000000001</v>
      </c>
      <c r="H253" s="256">
        <f>IF($D253&lt;&gt;"",VLOOKUP($D253,'SINAPI JULHO 2021'!$1:$1048576,4,FALSE),"")</f>
        <v>50.65</v>
      </c>
      <c r="I253" s="257">
        <f>TRUNC(G253*H253,2)</f>
        <v>638.19000000000005</v>
      </c>
    </row>
    <row r="254" spans="2:9" s="132" customFormat="1" ht="51">
      <c r="B254" s="140" t="s">
        <v>570</v>
      </c>
      <c r="C254" s="140" t="s">
        <v>7</v>
      </c>
      <c r="D254" s="142">
        <v>87905</v>
      </c>
      <c r="E254" s="134" t="str">
        <f>IF($D254&lt;&gt;"",VLOOKUP($D254,'SINAPI JULHO 2021'!$A$1:E11833,2,FALSE),"")</f>
        <v>CHAPISCO APLICADO EM ALVENARIA (COM PRESENÇA DE VÃOS) E ESTRUTURAS DE CONCRETO DE FACHADA, COM COLHER DE PEDREIRO.  ARGAMASSA TRAÇO 1:3 COM PREPARO EM BETONEIRA 400L. AF_06/2014</v>
      </c>
      <c r="F254" s="135" t="str">
        <f>IF($D254&lt;&gt;"",VLOOKUP($D254,'SINAPI JULHO 2021'!$1:$1048576,3,FALSE),"")</f>
        <v>M2</v>
      </c>
      <c r="G254" s="250">
        <f>G253*2.1</f>
        <v>26.460000000000004</v>
      </c>
      <c r="H254" s="256">
        <f>IF($D254&lt;&gt;"",VLOOKUP($D254,'SINAPI JULHO 2021'!$1:$1048576,4,FALSE),"")</f>
        <v>6.19</v>
      </c>
      <c r="I254" s="257">
        <f>TRUNC(G254*H254,2)</f>
        <v>163.78</v>
      </c>
    </row>
    <row r="255" spans="2:9" s="132" customFormat="1" ht="63.75">
      <c r="B255" s="140" t="s">
        <v>570</v>
      </c>
      <c r="C255" s="140" t="s">
        <v>7</v>
      </c>
      <c r="D255" s="142">
        <v>87529</v>
      </c>
      <c r="E255" s="134" t="str">
        <f>IF($D255&lt;&gt;"",VLOOKUP($D255,'SINAPI JULHO 2021'!$A$1:E11834,2,FALSE),"")</f>
        <v>MASSA ÚNICA, PARA RECEBIMENTO DE PINTURA, EM ARGAMASSA TRAÇO 1:2:8, PREPARO MECÂNICO COM BETONEIRA 400L, APLICADA MANUALMENTE EM FACES INTERNAS DE PAREDES, ESPESSURA DE 20MM, COM EXECUÇÃO DE TALISCAS. AF_06/2014</v>
      </c>
      <c r="F255" s="135" t="str">
        <f>IF($D255&lt;&gt;"",VLOOKUP($D255,'SINAPI JULHO 2021'!$1:$1048576,3,FALSE),"")</f>
        <v>M2</v>
      </c>
      <c r="G255" s="250">
        <f>G254</f>
        <v>26.460000000000004</v>
      </c>
      <c r="H255" s="256">
        <f>IF($D255&lt;&gt;"",VLOOKUP($D255,'SINAPI JULHO 2021'!$1:$1048576,4,FALSE),"")</f>
        <v>26.15</v>
      </c>
      <c r="I255" s="257">
        <f>TRUNC(G255*H255,2)</f>
        <v>691.92</v>
      </c>
    </row>
    <row r="256" spans="2:9" s="132" customFormat="1" ht="25.5">
      <c r="B256" s="140" t="s">
        <v>570</v>
      </c>
      <c r="C256" s="140" t="s">
        <v>7</v>
      </c>
      <c r="D256" s="142">
        <v>88489</v>
      </c>
      <c r="E256" s="134" t="str">
        <f>IF($D256&lt;&gt;"",VLOOKUP($D256,'SINAPI JULHO 2021'!$A$1:E11836,2,FALSE),"")</f>
        <v>APLICAÇÃO MANUAL DE PINTURA COM TINTA LÁTEX ACRÍLICA EM PAREDES, DUAS DEMÃOS. AF_06/2014</v>
      </c>
      <c r="F256" s="135" t="str">
        <f>IF($D256&lt;&gt;"",VLOOKUP($D256,'SINAPI JULHO 2021'!$1:$1048576,3,FALSE),"")</f>
        <v>M2</v>
      </c>
      <c r="G256" s="250">
        <f>G254</f>
        <v>26.460000000000004</v>
      </c>
      <c r="H256" s="256">
        <f>IF($D256&lt;&gt;"",VLOOKUP($D256,'SINAPI JULHO 2021'!$1:$1048576,4,FALSE),"")</f>
        <v>11.44</v>
      </c>
      <c r="I256" s="257">
        <f>TRUNC(G256*H256,2)</f>
        <v>302.7</v>
      </c>
    </row>
    <row r="257" spans="2:9" s="132" customFormat="1" ht="25.5">
      <c r="B257" s="140" t="s">
        <v>568</v>
      </c>
      <c r="C257" s="140" t="s">
        <v>7</v>
      </c>
      <c r="D257" s="142">
        <v>4917</v>
      </c>
      <c r="E257" s="134" t="str">
        <f>IF($D257&lt;&gt;"",VLOOKUP($D257,'SINAPI JULHO 2021'!$A$1:E11837,2,FALSE),"")</f>
        <v xml:space="preserve">PORTA DE ABRIR EM ALUMINIO TIPO VENEZIANA, ACABAMENTO ANODIZADO NATURAL, SEM GUARNICAO/ALIZAR/VISTA                                                                                                                                                                                                                                                                                                                                                                                                       </v>
      </c>
      <c r="F257" s="135" t="str">
        <f>IF($D257&lt;&gt;"",VLOOKUP($D257,'SINAPI JULHO 2021'!$1:$1048576,3,FALSE),"")</f>
        <v xml:space="preserve">M2    </v>
      </c>
      <c r="G257" s="250">
        <f>1*1.9</f>
        <v>1.9</v>
      </c>
      <c r="H257" s="256">
        <f>IF($D257&lt;&gt;"",VLOOKUP($D257,'SINAPI JULHO 2021'!$1:$1048576,4,FALSE),"")</f>
        <v>379.96</v>
      </c>
      <c r="I257" s="257">
        <f>TRUNC(G257*H257,2)</f>
        <v>721.92</v>
      </c>
    </row>
    <row r="258" spans="2:9" s="132" customFormat="1">
      <c r="B258" s="140"/>
      <c r="C258" s="140"/>
      <c r="D258" s="140"/>
      <c r="E258" s="194" t="s">
        <v>4292</v>
      </c>
      <c r="F258" s="141"/>
      <c r="G258" s="250"/>
      <c r="H258" s="256"/>
      <c r="I258" s="257"/>
    </row>
    <row r="259" spans="2:9" s="132" customFormat="1" ht="38.25">
      <c r="B259" s="140" t="s">
        <v>570</v>
      </c>
      <c r="C259" s="140" t="s">
        <v>7</v>
      </c>
      <c r="D259" s="142">
        <v>97736</v>
      </c>
      <c r="E259" s="134" t="str">
        <f>IF($D259&lt;&gt;"",VLOOKUP($D259,'SINAPI JULHO 2021'!$A$1:E11839,2,FALSE),"")</f>
        <v>PEÇA RETANGULAR PRÉ-MOLDADA, VOLUME DE CONCRETO ACIMA DE 100 LITROS, TAXA DE AÇO APROXIMADA DE 30KG/M³. AF_01/2018</v>
      </c>
      <c r="F259" s="135" t="str">
        <f>IF($D259&lt;&gt;"",VLOOKUP($D259,'SINAPI JULHO 2021'!$1:$1048576,3,FALSE),"")</f>
        <v>M3</v>
      </c>
      <c r="G259" s="250">
        <f>2*1.5*0.07</f>
        <v>0.21000000000000002</v>
      </c>
      <c r="H259" s="256">
        <f>IF($D259&lt;&gt;"",VLOOKUP($D259,'SINAPI JULHO 2021'!$1:$1048576,4,FALSE),"")</f>
        <v>1405.33</v>
      </c>
      <c r="I259" s="257">
        <f>TRUNC(G259*H259,2)</f>
        <v>295.11</v>
      </c>
    </row>
    <row r="260" spans="2:9" s="132" customFormat="1" ht="13.5" thickBot="1">
      <c r="B260" s="514"/>
      <c r="C260" s="515"/>
      <c r="D260" s="516"/>
      <c r="E260" s="517"/>
      <c r="F260" s="518"/>
      <c r="G260" s="519"/>
      <c r="H260" s="520"/>
      <c r="I260" s="520"/>
    </row>
    <row r="261" spans="2:9" s="132" customFormat="1" ht="44.25" customHeight="1" thickBot="1">
      <c r="B261" s="618" t="s">
        <v>7368</v>
      </c>
      <c r="C261" s="619"/>
      <c r="D261" s="619"/>
      <c r="E261" s="620" t="s">
        <v>7369</v>
      </c>
      <c r="F261" s="630" t="s">
        <v>679</v>
      </c>
      <c r="G261" s="608"/>
      <c r="H261" s="609"/>
      <c r="I261" s="610">
        <f>TRUNC(SUM(I262:I269),2)</f>
        <v>991.67</v>
      </c>
    </row>
    <row r="262" spans="2:9" s="132" customFormat="1" ht="25.5">
      <c r="B262" s="240" t="s">
        <v>570</v>
      </c>
      <c r="C262" s="240" t="s">
        <v>7</v>
      </c>
      <c r="D262" s="240">
        <v>88248</v>
      </c>
      <c r="E262" s="566" t="str">
        <f>IF($D262&lt;&gt;"",VLOOKUP($D262,'SINAPI JULHO 2021'!$A$1:E11891,2,FALSE),"")</f>
        <v>AUXILIAR DE ENCANADOR OU BOMBEIRO HIDRÁULICO COM ENCARGOS COMPLEMENTARES</v>
      </c>
      <c r="F262" s="567" t="str">
        <f>IF($D262&lt;&gt;"",VLOOKUP($D262,'SINAPI JULHO 2021'!$1:$1048576,3,FALSE),"")</f>
        <v>H</v>
      </c>
      <c r="G262" s="572">
        <v>0.1</v>
      </c>
      <c r="H262" s="569">
        <f>IF($D262&lt;&gt;"",VLOOKUP($D262,'SINAPI JULHO 2021'!$1:$1048576,4,FALSE),"")</f>
        <v>13.48</v>
      </c>
      <c r="I262" s="570">
        <f t="shared" ref="I262:I269" si="15">TRUNC(G262*H262,2)</f>
        <v>1.34</v>
      </c>
    </row>
    <row r="263" spans="2:9" s="132" customFormat="1" ht="25.5">
      <c r="B263" s="133" t="s">
        <v>570</v>
      </c>
      <c r="C263" s="133" t="s">
        <v>7</v>
      </c>
      <c r="D263" s="133">
        <v>88267</v>
      </c>
      <c r="E263" s="134" t="str">
        <f>IF($D263&lt;&gt;"",VLOOKUP($D263,'SINAPI JULHO 2021'!$A$1:E11892,2,FALSE),"")</f>
        <v>ENCANADOR OU BOMBEIRO HIDRÁULICO COM ENCARGOS COMPLEMENTARES</v>
      </c>
      <c r="F263" s="135" t="str">
        <f>IF($D263&lt;&gt;"",VLOOKUP($D263,'SINAPI JULHO 2021'!$1:$1048576,3,FALSE),"")</f>
        <v>H</v>
      </c>
      <c r="G263" s="260">
        <v>0.1</v>
      </c>
      <c r="H263" s="256">
        <f>IF($D263&lt;&gt;"",VLOOKUP($D263,'SINAPI JULHO 2021'!$1:$1048576,4,FALSE),"")</f>
        <v>17.66</v>
      </c>
      <c r="I263" s="257">
        <f t="shared" si="15"/>
        <v>1.76</v>
      </c>
    </row>
    <row r="264" spans="2:9" s="132" customFormat="1" ht="25.5">
      <c r="B264" s="133" t="s">
        <v>570</v>
      </c>
      <c r="C264" s="133" t="s">
        <v>7</v>
      </c>
      <c r="D264" s="133">
        <v>86887</v>
      </c>
      <c r="E264" s="134" t="str">
        <f>IF($D264&lt;&gt;"",VLOOKUP($D264,'SINAPI JULHO 2021'!$A$1:E11893,2,FALSE),"")</f>
        <v>ENGATE FLEXÍVEL EM INOX, 1/2  X 40CM - FORNECIMENTO E INSTALAÇÃO. AF_01/2020</v>
      </c>
      <c r="F264" s="135" t="str">
        <f>IF($D264&lt;&gt;"",VLOOKUP($D264,'SINAPI JULHO 2021'!$1:$1048576,3,FALSE),"")</f>
        <v>UN</v>
      </c>
      <c r="G264" s="260">
        <v>1</v>
      </c>
      <c r="H264" s="256">
        <f>IF($D264&lt;&gt;"",VLOOKUP($D264,'SINAPI JULHO 2021'!$1:$1048576,4,FALSE),"")</f>
        <v>41.11</v>
      </c>
      <c r="I264" s="257">
        <f t="shared" si="15"/>
        <v>41.11</v>
      </c>
    </row>
    <row r="265" spans="2:9" s="132" customFormat="1" ht="25.5">
      <c r="B265" s="133" t="s">
        <v>570</v>
      </c>
      <c r="C265" s="133" t="s">
        <v>7</v>
      </c>
      <c r="D265" s="133">
        <v>86881</v>
      </c>
      <c r="E265" s="134" t="str">
        <f>IF($D265&lt;&gt;"",VLOOKUP($D265,'SINAPI JULHO 2021'!$A$1:E11894,2,FALSE),"")</f>
        <v>SIFÃO DO TIPO GARRAFA EM METAL CROMADO 1 X 1.1/2 - FORNECIMENTO E INSTALAÇÃO. AF_01/2020</v>
      </c>
      <c r="F265" s="135" t="str">
        <f>IF($D265&lt;&gt;"",VLOOKUP($D265,'SINAPI JULHO 2021'!$1:$1048576,3,FALSE),"")</f>
        <v>UN</v>
      </c>
      <c r="G265" s="260">
        <v>1</v>
      </c>
      <c r="H265" s="256">
        <f>IF($D265&lt;&gt;"",VLOOKUP($D265,'SINAPI JULHO 2021'!$1:$1048576,4,FALSE),"")</f>
        <v>156.16999999999999</v>
      </c>
      <c r="I265" s="257">
        <f t="shared" si="15"/>
        <v>156.16999999999999</v>
      </c>
    </row>
    <row r="266" spans="2:9" s="132" customFormat="1" ht="25.5">
      <c r="B266" s="133" t="s">
        <v>568</v>
      </c>
      <c r="C266" s="133" t="s">
        <v>7</v>
      </c>
      <c r="D266" s="133">
        <v>11698</v>
      </c>
      <c r="E266" s="134" t="str">
        <f>IF($D266&lt;&gt;"",VLOOKUP($D266,'SINAPI JULHO 2021'!$A$1:E11895,2,FALSE),"")</f>
        <v xml:space="preserve">MICTORIO COLETIVO ACO INOX (AISI 304), E = 0,8 MM, DE *100 X 50 X 35* CM (C X A X P)                                                                                                                                                                                                                                                                                                                                                                                                                      </v>
      </c>
      <c r="F266" s="135" t="str">
        <f>IF($D266&lt;&gt;"",VLOOKUP($D266,'SINAPI JULHO 2021'!$1:$1048576,3,FALSE),"")</f>
        <v xml:space="preserve">UN    </v>
      </c>
      <c r="G266" s="260">
        <v>1</v>
      </c>
      <c r="H266" s="256">
        <f>IF($D266&lt;&gt;"",VLOOKUP($D266,'SINAPI JULHO 2021'!$1:$1048576,4,FALSE),"")</f>
        <v>788.93</v>
      </c>
      <c r="I266" s="257">
        <f t="shared" si="15"/>
        <v>788.93</v>
      </c>
    </row>
    <row r="267" spans="2:9" s="132" customFormat="1" ht="38.25">
      <c r="B267" s="133" t="s">
        <v>568</v>
      </c>
      <c r="C267" s="133" t="s">
        <v>7</v>
      </c>
      <c r="D267" s="67">
        <v>20078</v>
      </c>
      <c r="E267" s="134" t="str">
        <f>IF($D267&lt;&gt;"",VLOOKUP($D267,'SINAPI JULHO 2021'!$A$1:E11896,2,FALSE),"")</f>
        <v xml:space="preserve">PASTA LUBRIFICANTE PARA TUBOS E CONEXOES COM JUNTA ELASTICA (USO EM PVC, ACO, POLIETILENO E OUTROS) ( DE *400* G)                                                                                                                                                                                                                                                                                                                                                                                         </v>
      </c>
      <c r="F267" s="135" t="str">
        <f>IF($D267&lt;&gt;"",VLOOKUP($D267,'SINAPI JULHO 2021'!$1:$1048576,3,FALSE),"")</f>
        <v xml:space="preserve">UN    </v>
      </c>
      <c r="G267" s="260">
        <v>0.02</v>
      </c>
      <c r="H267" s="256">
        <f>IF($D267&lt;&gt;"",VLOOKUP($D267,'SINAPI JULHO 2021'!$1:$1048576,4,FALSE),"")</f>
        <v>30.43</v>
      </c>
      <c r="I267" s="257">
        <f t="shared" si="15"/>
        <v>0.6</v>
      </c>
    </row>
    <row r="268" spans="2:9" s="132" customFormat="1">
      <c r="B268" s="133" t="s">
        <v>568</v>
      </c>
      <c r="C268" s="133" t="s">
        <v>7</v>
      </c>
      <c r="D268" s="67">
        <v>20083</v>
      </c>
      <c r="E268" s="134" t="str">
        <f>IF($D268&lt;&gt;"",VLOOKUP($D268,'SINAPI JULHO 2021'!$A$1:E11897,2,FALSE),"")</f>
        <v xml:space="preserve">SOLUCAO LIMPADORA PARA PVC, FRASCO COM 1000 CM3                                                                                                                                                                                                                                                                                                                                                                                                                                                           </v>
      </c>
      <c r="F268" s="135" t="str">
        <f>IF($D268&lt;&gt;"",VLOOKUP($D268,'SINAPI JULHO 2021'!$1:$1048576,3,FALSE),"")</f>
        <v xml:space="preserve">UN    </v>
      </c>
      <c r="G268" s="260">
        <v>2.2499999999999999E-2</v>
      </c>
      <c r="H268" s="256">
        <f>IF($D268&lt;&gt;"",VLOOKUP($D268,'SINAPI JULHO 2021'!$1:$1048576,4,FALSE),"")</f>
        <v>72.17</v>
      </c>
      <c r="I268" s="257">
        <f t="shared" si="15"/>
        <v>1.62</v>
      </c>
    </row>
    <row r="269" spans="2:9" s="132" customFormat="1">
      <c r="B269" s="133" t="s">
        <v>568</v>
      </c>
      <c r="C269" s="133" t="s">
        <v>7</v>
      </c>
      <c r="D269" s="67">
        <v>38383</v>
      </c>
      <c r="E269" s="134" t="str">
        <f>IF($D269&lt;&gt;"",VLOOKUP($D269,'SINAPI JULHO 2021'!$A$1:E11898,2,FALSE),"")</f>
        <v xml:space="preserve">LIXA D'AGUA EM FOLHA, GRAO 100                                                                                                                                                                                                                                                                                                                                                                                                                                                                            </v>
      </c>
      <c r="F269" s="135" t="str">
        <f>IF($D269&lt;&gt;"",VLOOKUP($D269,'SINAPI JULHO 2021'!$1:$1048576,3,FALSE),"")</f>
        <v xml:space="preserve">UN    </v>
      </c>
      <c r="G269" s="260">
        <v>6.4000000000000001E-2</v>
      </c>
      <c r="H269" s="256">
        <f>IF($D269&lt;&gt;"",VLOOKUP($D269,'SINAPI JULHO 2021'!$1:$1048576,4,FALSE),"")</f>
        <v>2.2000000000000002</v>
      </c>
      <c r="I269" s="257">
        <f t="shared" si="15"/>
        <v>0.14000000000000001</v>
      </c>
    </row>
    <row r="270" spans="2:9" s="132" customFormat="1">
      <c r="B270" s="485"/>
      <c r="C270" s="133"/>
      <c r="D270" s="67"/>
      <c r="E270" s="211"/>
      <c r="F270" s="454"/>
      <c r="G270" s="249"/>
      <c r="H270" s="255"/>
      <c r="I270" s="255"/>
    </row>
    <row r="271" spans="2:9" s="132" customFormat="1" ht="13.5" thickBot="1">
      <c r="B271" s="514"/>
      <c r="C271" s="515"/>
      <c r="D271" s="516"/>
      <c r="E271" s="517"/>
      <c r="F271" s="518"/>
      <c r="G271" s="519"/>
      <c r="H271" s="520"/>
      <c r="I271" s="520"/>
    </row>
    <row r="272" spans="2:9" s="132" customFormat="1" ht="26.25" thickBot="1">
      <c r="B272" s="618" t="s">
        <v>7370</v>
      </c>
      <c r="C272" s="619"/>
      <c r="D272" s="619"/>
      <c r="E272" s="620" t="s">
        <v>7371</v>
      </c>
      <c r="F272" s="630" t="s">
        <v>679</v>
      </c>
      <c r="G272" s="608"/>
      <c r="H272" s="609"/>
      <c r="I272" s="610">
        <f>TRUNC(SUM(I273:I275),2)</f>
        <v>153.1</v>
      </c>
    </row>
    <row r="273" spans="2:9" s="132" customFormat="1" ht="25.5">
      <c r="B273" s="240" t="s">
        <v>570</v>
      </c>
      <c r="C273" s="240" t="s">
        <v>7</v>
      </c>
      <c r="D273" s="240">
        <v>88248</v>
      </c>
      <c r="E273" s="566" t="str">
        <f>IF($D273&lt;&gt;"",VLOOKUP($D273,'SINAPI JULHO 2021'!$A$1:E11902,2,FALSE),"")</f>
        <v>AUXILIAR DE ENCANADOR OU BOMBEIRO HIDRÁULICO COM ENCARGOS COMPLEMENTARES</v>
      </c>
      <c r="F273" s="567" t="str">
        <f>IF($D273&lt;&gt;"",VLOOKUP($D273,'SINAPI JULHO 2021'!$1:$1048576,3,FALSE),"")</f>
        <v>H</v>
      </c>
      <c r="G273" s="572">
        <v>0.1</v>
      </c>
      <c r="H273" s="569">
        <f>IF($D273&lt;&gt;"",VLOOKUP($D273,'SINAPI JULHO 2021'!$1:$1048576,4,FALSE),"")</f>
        <v>13.48</v>
      </c>
      <c r="I273" s="570">
        <f>TRUNC(G273*H273,2)</f>
        <v>1.34</v>
      </c>
    </row>
    <row r="274" spans="2:9" s="132" customFormat="1" ht="25.5">
      <c r="B274" s="133" t="s">
        <v>570</v>
      </c>
      <c r="C274" s="133" t="s">
        <v>7</v>
      </c>
      <c r="D274" s="133">
        <v>88267</v>
      </c>
      <c r="E274" s="134" t="str">
        <f>IF($D274&lt;&gt;"",VLOOKUP($D274,'SINAPI JULHO 2021'!$A$1:E11903,2,FALSE),"")</f>
        <v>ENCANADOR OU BOMBEIRO HIDRÁULICO COM ENCARGOS COMPLEMENTARES</v>
      </c>
      <c r="F274" s="135" t="str">
        <f>IF($D274&lt;&gt;"",VLOOKUP($D274,'SINAPI JULHO 2021'!$1:$1048576,3,FALSE),"")</f>
        <v>H</v>
      </c>
      <c r="G274" s="260">
        <v>0.1</v>
      </c>
      <c r="H274" s="256">
        <f>IF($D274&lt;&gt;"",VLOOKUP($D274,'SINAPI JULHO 2021'!$1:$1048576,4,FALSE),"")</f>
        <v>17.66</v>
      </c>
      <c r="I274" s="257">
        <f>TRUNC(G274*H274,2)</f>
        <v>1.76</v>
      </c>
    </row>
    <row r="275" spans="2:9" s="132" customFormat="1">
      <c r="B275" s="455" t="s">
        <v>568</v>
      </c>
      <c r="C275" s="133" t="s">
        <v>569</v>
      </c>
      <c r="D275" s="133"/>
      <c r="E275" s="134" t="s">
        <v>7372</v>
      </c>
      <c r="F275" s="135" t="s">
        <v>679</v>
      </c>
      <c r="G275" s="260">
        <v>1</v>
      </c>
      <c r="H275" s="256">
        <v>150</v>
      </c>
      <c r="I275" s="257">
        <f>TRUNC(G275*H275,2)</f>
        <v>150</v>
      </c>
    </row>
    <row r="276" spans="2:9" s="132" customFormat="1" ht="13.5" thickBot="1">
      <c r="B276" s="514"/>
      <c r="C276" s="515"/>
      <c r="D276" s="516"/>
      <c r="E276" s="517"/>
      <c r="F276" s="518"/>
      <c r="G276" s="519"/>
      <c r="H276" s="520"/>
      <c r="I276" s="520"/>
    </row>
    <row r="277" spans="2:9" s="132" customFormat="1" ht="26.25" thickBot="1">
      <c r="B277" s="618" t="s">
        <v>4451</v>
      </c>
      <c r="C277" s="619"/>
      <c r="D277" s="619"/>
      <c r="E277" s="620" t="s">
        <v>7375</v>
      </c>
      <c r="F277" s="630" t="s">
        <v>679</v>
      </c>
      <c r="G277" s="608"/>
      <c r="H277" s="609"/>
      <c r="I277" s="610">
        <f>TRUNC(SUM(I278:I281),2)</f>
        <v>4750.16</v>
      </c>
    </row>
    <row r="278" spans="2:9" s="132" customFormat="1" ht="25.5">
      <c r="B278" s="240" t="s">
        <v>570</v>
      </c>
      <c r="C278" s="240" t="s">
        <v>7</v>
      </c>
      <c r="D278" s="240">
        <v>88248</v>
      </c>
      <c r="E278" s="566" t="str">
        <f>IF($D278&lt;&gt;"",VLOOKUP($D278,'SINAPI JULHO 2021'!$A$1:E11907,2,FALSE),"")</f>
        <v>AUXILIAR DE ENCANADOR OU BOMBEIRO HIDRÁULICO COM ENCARGOS COMPLEMENTARES</v>
      </c>
      <c r="F278" s="567" t="str">
        <f>IF($D278&lt;&gt;"",VLOOKUP($D278,'SINAPI JULHO 2021'!$1:$1048576,3,FALSE),"")</f>
        <v>H</v>
      </c>
      <c r="G278" s="572">
        <v>0.1</v>
      </c>
      <c r="H278" s="569">
        <f>IF($D278&lt;&gt;"",VLOOKUP($D278,'SINAPI JULHO 2021'!$1:$1048576,4,FALSE),"")</f>
        <v>13.48</v>
      </c>
      <c r="I278" s="570">
        <f>TRUNC(G278*H278,2)</f>
        <v>1.34</v>
      </c>
    </row>
    <row r="279" spans="2:9" s="132" customFormat="1" ht="25.5">
      <c r="B279" s="133" t="s">
        <v>570</v>
      </c>
      <c r="C279" s="133" t="s">
        <v>7</v>
      </c>
      <c r="D279" s="133">
        <v>88267</v>
      </c>
      <c r="E279" s="134" t="str">
        <f>IF($D279&lt;&gt;"",VLOOKUP($D279,'SINAPI JULHO 2021'!$A$1:E11908,2,FALSE),"")</f>
        <v>ENCANADOR OU BOMBEIRO HIDRÁULICO COM ENCARGOS COMPLEMENTARES</v>
      </c>
      <c r="F279" s="135" t="str">
        <f>IF($D279&lt;&gt;"",VLOOKUP($D279,'SINAPI JULHO 2021'!$1:$1048576,3,FALSE),"")</f>
        <v>H</v>
      </c>
      <c r="G279" s="260">
        <v>0.1</v>
      </c>
      <c r="H279" s="256">
        <f>IF($D279&lt;&gt;"",VLOOKUP($D279,'SINAPI JULHO 2021'!$1:$1048576,4,FALSE),"")</f>
        <v>17.66</v>
      </c>
      <c r="I279" s="257">
        <f>TRUNC(G279*H279,2)</f>
        <v>1.76</v>
      </c>
    </row>
    <row r="280" spans="2:9" s="132" customFormat="1">
      <c r="B280" s="455" t="s">
        <v>568</v>
      </c>
      <c r="C280" s="133" t="s">
        <v>569</v>
      </c>
      <c r="D280" s="133"/>
      <c r="E280" s="134" t="s">
        <v>7374</v>
      </c>
      <c r="F280" s="135" t="s">
        <v>679</v>
      </c>
      <c r="G280" s="260">
        <v>1</v>
      </c>
      <c r="H280" s="256">
        <v>1850.25</v>
      </c>
      <c r="I280" s="257">
        <f>TRUNC(G280*H280,2)</f>
        <v>1850.25</v>
      </c>
    </row>
    <row r="281" spans="2:9" s="132" customFormat="1">
      <c r="B281" s="455" t="s">
        <v>568</v>
      </c>
      <c r="C281" s="133" t="s">
        <v>569</v>
      </c>
      <c r="D281" s="133"/>
      <c r="E281" s="134" t="s">
        <v>7373</v>
      </c>
      <c r="F281" s="135" t="s">
        <v>679</v>
      </c>
      <c r="G281" s="260">
        <v>1</v>
      </c>
      <c r="H281" s="256">
        <v>2896.81</v>
      </c>
      <c r="I281" s="257">
        <f>TRUNC(G281*H281,2)</f>
        <v>2896.81</v>
      </c>
    </row>
    <row r="282" spans="2:9" s="132" customFormat="1" ht="13.5" thickBot="1">
      <c r="B282" s="514"/>
      <c r="C282" s="515"/>
      <c r="D282" s="516"/>
      <c r="E282" s="517"/>
      <c r="F282" s="518"/>
      <c r="G282" s="519"/>
      <c r="H282" s="520"/>
      <c r="I282" s="520"/>
    </row>
    <row r="283" spans="2:9" s="132" customFormat="1" ht="39" thickBot="1">
      <c r="B283" s="618"/>
      <c r="C283" s="619"/>
      <c r="D283" s="619"/>
      <c r="E283" s="620" t="s">
        <v>6739</v>
      </c>
      <c r="F283" s="630" t="s">
        <v>679</v>
      </c>
      <c r="G283" s="608"/>
      <c r="H283" s="609"/>
      <c r="I283" s="610">
        <f>TRUNC(SUM(I284:I292),2)</f>
        <v>8353.23</v>
      </c>
    </row>
    <row r="284" spans="2:9" s="132" customFormat="1" ht="63.75">
      <c r="B284" s="240" t="s">
        <v>570</v>
      </c>
      <c r="C284" s="240" t="s">
        <v>7</v>
      </c>
      <c r="D284" s="240">
        <v>5678</v>
      </c>
      <c r="E284" s="566" t="str">
        <f>IF($D284&lt;&gt;"",VLOOKUP($D284,'SINAPI JULHO 2021'!$A$1:E11981,2,FALSE),"")</f>
        <v>RETROESCAVADEIRA SOBRE RODAS COM CARREGADEIRA, TRAÇÃO 4X4, POTÊNCIA LÍQ. 88 HP, CAÇAMBA CARREG. CAP. MÍN. 1 M3, CAÇAMBA RETRO CAP. 0,26 M3, PESO OPERACIONAL MÍN. 6.674 KG, PROFUNDIDADE ESCAVAÇÃO MÁX. 4,37 M - CHP DIURNO. AF_06/2014</v>
      </c>
      <c r="F284" s="567" t="str">
        <f>IF($D284&lt;&gt;"",VLOOKUP($D284,'SINAPI JULHO 2021'!$1:$1048576,3,FALSE),"")</f>
        <v>CHP</v>
      </c>
      <c r="G284" s="572">
        <v>0.70040000000000002</v>
      </c>
      <c r="H284" s="569">
        <f>IF($D284&lt;&gt;"",VLOOKUP($D284,'SINAPI JULHO 2021'!$1:$1048576,4,FALSE),"")</f>
        <v>101.95</v>
      </c>
      <c r="I284" s="570">
        <f t="shared" ref="I284:I291" si="16">TRUNC(G284*H284,2)</f>
        <v>71.400000000000006</v>
      </c>
    </row>
    <row r="285" spans="2:9" s="132" customFormat="1" ht="63.75">
      <c r="B285" s="133" t="s">
        <v>570</v>
      </c>
      <c r="C285" s="133" t="s">
        <v>7</v>
      </c>
      <c r="D285" s="133">
        <v>5679</v>
      </c>
      <c r="E285" s="134" t="str">
        <f>IF($D285&lt;&gt;"",VLOOKUP($D285,'SINAPI JULHO 2021'!$A$1:E11982,2,FALSE),"")</f>
        <v>RETROESCAVADEIRA SOBRE RODAS COM CARREGADEIRA, TRAÇÃO 4X4, POTÊNCIA LÍQ. 88 HP, CAÇAMBA CARREG. CAP. MÍN. 1 M3, CAÇAMBA RETRO CAP. 0,26 M3, PESO OPERACIONAL MÍN. 6.674 KG, PROFUNDIDADE ESCAVAÇÃO MÁX. 4,37 M - CHI DIURNO. AF_06/2014</v>
      </c>
      <c r="F285" s="135" t="str">
        <f>IF($D285&lt;&gt;"",VLOOKUP($D285,'SINAPI JULHO 2021'!$1:$1048576,3,FALSE),"")</f>
        <v>CHI</v>
      </c>
      <c r="G285" s="260">
        <v>2.3557000000000001</v>
      </c>
      <c r="H285" s="256">
        <f>IF($D285&lt;&gt;"",VLOOKUP($D285,'SINAPI JULHO 2021'!$1:$1048576,4,FALSE),"")</f>
        <v>36.340000000000003</v>
      </c>
      <c r="I285" s="257">
        <f t="shared" si="16"/>
        <v>85.6</v>
      </c>
    </row>
    <row r="286" spans="2:9" s="132" customFormat="1">
      <c r="B286" s="133" t="s">
        <v>570</v>
      </c>
      <c r="C286" s="133" t="s">
        <v>7</v>
      </c>
      <c r="D286" s="133">
        <v>88309</v>
      </c>
      <c r="E286" s="134" t="str">
        <f>IF($D286&lt;&gt;"",VLOOKUP($D286,'SINAPI JULHO 2021'!$A$1:E11983,2,FALSE),"")</f>
        <v>PEDREIRO COM ENCARGOS COMPLEMENTARES</v>
      </c>
      <c r="F286" s="135" t="str">
        <f>IF($D286&lt;&gt;"",VLOOKUP($D286,'SINAPI JULHO 2021'!$1:$1048576,3,FALSE),"")</f>
        <v>H</v>
      </c>
      <c r="G286" s="260">
        <v>7.1330999999999998</v>
      </c>
      <c r="H286" s="256">
        <f>IF($D286&lt;&gt;"",VLOOKUP($D286,'SINAPI JULHO 2021'!$1:$1048576,4,FALSE),"")</f>
        <v>17.670000000000002</v>
      </c>
      <c r="I286" s="257">
        <f t="shared" si="16"/>
        <v>126.04</v>
      </c>
    </row>
    <row r="287" spans="2:9" s="132" customFormat="1">
      <c r="B287" s="133" t="s">
        <v>570</v>
      </c>
      <c r="C287" s="133" t="s">
        <v>7</v>
      </c>
      <c r="D287" s="133">
        <v>88316</v>
      </c>
      <c r="E287" s="134" t="str">
        <f>IF($D287&lt;&gt;"",VLOOKUP($D287,'SINAPI JULHO 2021'!$A$1:E11984,2,FALSE),"")</f>
        <v>SERVENTE COM ENCARGOS COMPLEMENTARES</v>
      </c>
      <c r="F287" s="135" t="str">
        <f>IF($D287&lt;&gt;"",VLOOKUP($D287,'SINAPI JULHO 2021'!$1:$1048576,3,FALSE),"")</f>
        <v>H</v>
      </c>
      <c r="G287" s="260">
        <v>7.1330999999999998</v>
      </c>
      <c r="H287" s="256">
        <f>IF($D287&lt;&gt;"",VLOOKUP($D287,'SINAPI JULHO 2021'!$1:$1048576,4,FALSE),"")</f>
        <v>14.02</v>
      </c>
      <c r="I287" s="257">
        <f t="shared" si="16"/>
        <v>100</v>
      </c>
    </row>
    <row r="288" spans="2:9" s="132" customFormat="1" ht="38.25">
      <c r="B288" s="133" t="s">
        <v>570</v>
      </c>
      <c r="C288" s="133" t="s">
        <v>7</v>
      </c>
      <c r="D288" s="133">
        <v>97738</v>
      </c>
      <c r="E288" s="134" t="str">
        <f>IF($D288&lt;&gt;"",VLOOKUP($D288,'SINAPI JULHO 2021'!$A$1:E11985,2,FALSE),"")</f>
        <v>PEÇA CIRCULAR PRÉ-MOLDADA, VOLUME DE CONCRETO DE 10 A 30 LITROS, TAXA DE FIBRA DE POLIPROPILENO APROXIMADA DE 6 KG/M³. AF_01/2018_P</v>
      </c>
      <c r="F288" s="135" t="str">
        <f>IF($D288&lt;&gt;"",VLOOKUP($D288,'SINAPI JULHO 2021'!$1:$1048576,3,FALSE),"")</f>
        <v>M3</v>
      </c>
      <c r="G288" s="260">
        <v>1.54E-2</v>
      </c>
      <c r="H288" s="256">
        <f>IF($D288&lt;&gt;"",VLOOKUP($D288,'SINAPI JULHO 2021'!$1:$1048576,4,FALSE),"")</f>
        <v>3665.35</v>
      </c>
      <c r="I288" s="257">
        <f t="shared" si="16"/>
        <v>56.44</v>
      </c>
    </row>
    <row r="289" spans="2:9" s="132" customFormat="1" ht="38.25">
      <c r="B289" s="133" t="s">
        <v>570</v>
      </c>
      <c r="C289" s="133" t="s">
        <v>7</v>
      </c>
      <c r="D289" s="67">
        <v>97740</v>
      </c>
      <c r="E289" s="134" t="str">
        <f>IF($D289&lt;&gt;"",VLOOKUP($D289,'SINAPI JULHO 2021'!$A$1:E11986,2,FALSE),"")</f>
        <v>PEÇA CIRCULAR PRÉ-MOLDADA, VOLUME DE CONCRETO ACIMA DE 100 LITROS, TAXA DE AÇO APROXIMADA DE 30KG/M³. AF_01/2018</v>
      </c>
      <c r="F289" s="135" t="str">
        <f>IF($D289&lt;&gt;"",VLOOKUP($D289,'SINAPI JULHO 2021'!$1:$1048576,3,FALSE),"")</f>
        <v>M3</v>
      </c>
      <c r="G289" s="249">
        <v>0.55420000000000003</v>
      </c>
      <c r="H289" s="256">
        <f>IF($D289&lt;&gt;"",VLOOKUP($D289,'SINAPI JULHO 2021'!$1:$1048576,4,FALSE),"")</f>
        <v>1853.25</v>
      </c>
      <c r="I289" s="257">
        <f t="shared" si="16"/>
        <v>1027.07</v>
      </c>
    </row>
    <row r="290" spans="2:9" s="132" customFormat="1" ht="38.25">
      <c r="B290" s="133" t="s">
        <v>570</v>
      </c>
      <c r="C290" s="133" t="s">
        <v>7</v>
      </c>
      <c r="D290" s="67">
        <v>100475</v>
      </c>
      <c r="E290" s="134" t="str">
        <f>IF($D290&lt;&gt;"",VLOOKUP($D290,'SINAPI JULHO 2021'!$A$1:E11987,2,FALSE),"")</f>
        <v>ARGAMASSA TRAÇO 1:3 (EM VOLUME DE CIMENTO E AREIA MÉDIA ÚMIDA) COM ADIÇÃO DE IMPERMEABILIZANTE, PREPARO MECÂNICO COM BETONEIRA 400 L. AF_08/2019</v>
      </c>
      <c r="F290" s="135" t="str">
        <f>IF($D290&lt;&gt;"",VLOOKUP($D290,'SINAPI JULHO 2021'!$1:$1048576,3,FALSE),"")</f>
        <v>M3</v>
      </c>
      <c r="G290" s="249">
        <v>0.53569999999999995</v>
      </c>
      <c r="H290" s="256">
        <f>IF($D290&lt;&gt;"",VLOOKUP($D290,'SINAPI JULHO 2021'!$1:$1048576,4,FALSE),"")</f>
        <v>547.29999999999995</v>
      </c>
      <c r="I290" s="257">
        <f t="shared" si="16"/>
        <v>293.18</v>
      </c>
    </row>
    <row r="291" spans="2:9" s="132" customFormat="1" ht="38.25">
      <c r="B291" s="133" t="s">
        <v>570</v>
      </c>
      <c r="C291" s="133" t="s">
        <v>7</v>
      </c>
      <c r="D291" s="67">
        <v>101625</v>
      </c>
      <c r="E291" s="134" t="str">
        <f>IF($D291&lt;&gt;"",VLOOKUP($D291,'SINAPI JULHO 2021'!$A$1:E11988,2,FALSE),"")</f>
        <v>PREPARO DE FUNDO DE VALA COM LARGURA MAIOR OU IGUAL A 1,5 M E MENOR QUE 2,5 M, COM CAMADA DE AREIA, LANÇAMENTO MECANIZADO. AF_08/2020</v>
      </c>
      <c r="F291" s="135" t="str">
        <f>IF($D291&lt;&gt;"",VLOOKUP($D291,'SINAPI JULHO 2021'!$1:$1048576,3,FALSE),"")</f>
        <v>M3</v>
      </c>
      <c r="G291" s="249">
        <v>0.79420000000000002</v>
      </c>
      <c r="H291" s="256">
        <f>IF($D291&lt;&gt;"",VLOOKUP($D291,'SINAPI JULHO 2021'!$1:$1048576,4,FALSE),"")</f>
        <v>117.8</v>
      </c>
      <c r="I291" s="257">
        <f t="shared" si="16"/>
        <v>93.55</v>
      </c>
    </row>
    <row r="292" spans="2:9" s="132" customFormat="1" ht="38.25">
      <c r="B292" s="455" t="s">
        <v>568</v>
      </c>
      <c r="C292" s="133" t="s">
        <v>569</v>
      </c>
      <c r="D292" s="67"/>
      <c r="E292" s="134" t="s">
        <v>6737</v>
      </c>
      <c r="F292" s="135" t="s">
        <v>679</v>
      </c>
      <c r="G292" s="249">
        <v>5</v>
      </c>
      <c r="H292" s="256">
        <v>1299.99</v>
      </c>
      <c r="I292" s="257">
        <f>TRUNC(G292*H292,2)</f>
        <v>6499.95</v>
      </c>
    </row>
    <row r="293" spans="2:9" s="132" customFormat="1" ht="13.5" thickBot="1">
      <c r="B293" s="514"/>
      <c r="C293" s="515"/>
      <c r="D293" s="516"/>
      <c r="E293" s="517"/>
      <c r="F293" s="518"/>
      <c r="G293" s="519"/>
      <c r="H293" s="520"/>
      <c r="I293" s="520"/>
    </row>
    <row r="294" spans="2:9" s="132" customFormat="1" ht="39" thickBot="1">
      <c r="B294" s="618"/>
      <c r="C294" s="619"/>
      <c r="D294" s="619"/>
      <c r="E294" s="620" t="s">
        <v>6740</v>
      </c>
      <c r="F294" s="630" t="s">
        <v>679</v>
      </c>
      <c r="G294" s="608"/>
      <c r="H294" s="609"/>
      <c r="I294" s="610">
        <f>TRUNC(SUM(I295:I305),2)</f>
        <v>9850.9699999999993</v>
      </c>
    </row>
    <row r="295" spans="2:9" s="132" customFormat="1" ht="63.75">
      <c r="B295" s="240" t="s">
        <v>570</v>
      </c>
      <c r="C295" s="240" t="s">
        <v>7</v>
      </c>
      <c r="D295" s="240">
        <v>5678</v>
      </c>
      <c r="E295" s="566" t="str">
        <f>IF($D295&lt;&gt;"",VLOOKUP($D295,'SINAPI JULHO 2021'!$A$1:E11992,2,FALSE),"")</f>
        <v>RETROESCAVADEIRA SOBRE RODAS COM CARREGADEIRA, TRAÇÃO 4X4, POTÊNCIA LÍQ. 88 HP, CAÇAMBA CARREG. CAP. MÍN. 1 M3, CAÇAMBA RETRO CAP. 0,26 M3, PESO OPERACIONAL MÍN. 6.674 KG, PROFUNDIDADE ESCAVAÇÃO MÁX. 4,37 M - CHP DIURNO. AF_06/2014</v>
      </c>
      <c r="F295" s="567" t="str">
        <f>IF($D295&lt;&gt;"",VLOOKUP($D295,'SINAPI JULHO 2021'!$1:$1048576,3,FALSE),"")</f>
        <v>CHP</v>
      </c>
      <c r="G295" s="572">
        <v>1.5450999999999999</v>
      </c>
      <c r="H295" s="569">
        <f>IF($D295&lt;&gt;"",VLOOKUP($D295,'SINAPI JULHO 2021'!$1:$1048576,4,FALSE),"")</f>
        <v>101.95</v>
      </c>
      <c r="I295" s="570">
        <f t="shared" ref="I295:I302" si="17">TRUNC(G295*H295,2)</f>
        <v>157.52000000000001</v>
      </c>
    </row>
    <row r="296" spans="2:9" s="132" customFormat="1" ht="63.75">
      <c r="B296" s="133" t="s">
        <v>570</v>
      </c>
      <c r="C296" s="133" t="s">
        <v>7</v>
      </c>
      <c r="D296" s="133">
        <v>5679</v>
      </c>
      <c r="E296" s="134" t="str">
        <f>IF($D296&lt;&gt;"",VLOOKUP($D296,'SINAPI JULHO 2021'!$A$1:E11993,2,FALSE),"")</f>
        <v>RETROESCAVADEIRA SOBRE RODAS COM CARREGADEIRA, TRAÇÃO 4X4, POTÊNCIA LÍQ. 88 HP, CAÇAMBA CARREG. CAP. MÍN. 1 M3, CAÇAMBA RETRO CAP. 0,26 M3, PESO OPERACIONAL MÍN. 6.674 KG, PROFUNDIDADE ESCAVAÇÃO MÁX. 4,37 M - CHI DIURNO. AF_06/2014</v>
      </c>
      <c r="F296" s="135" t="str">
        <f>IF($D296&lt;&gt;"",VLOOKUP($D296,'SINAPI JULHO 2021'!$1:$1048576,3,FALSE),"")</f>
        <v>CHI</v>
      </c>
      <c r="G296" s="260">
        <v>5.1970999999999998</v>
      </c>
      <c r="H296" s="256">
        <f>IF($D296&lt;&gt;"",VLOOKUP($D296,'SINAPI JULHO 2021'!$1:$1048576,4,FALSE),"")</f>
        <v>36.340000000000003</v>
      </c>
      <c r="I296" s="257">
        <f t="shared" si="17"/>
        <v>188.86</v>
      </c>
    </row>
    <row r="297" spans="2:9" s="132" customFormat="1">
      <c r="B297" s="133" t="s">
        <v>570</v>
      </c>
      <c r="C297" s="133" t="s">
        <v>7</v>
      </c>
      <c r="D297" s="133">
        <v>88309</v>
      </c>
      <c r="E297" s="134" t="str">
        <f>IF($D297&lt;&gt;"",VLOOKUP($D297,'SINAPI JULHO 2021'!$A$1:E11994,2,FALSE),"")</f>
        <v>PEDREIRO COM ENCARGOS COMPLEMENTARES</v>
      </c>
      <c r="F297" s="135" t="str">
        <f>IF($D297&lt;&gt;"",VLOOKUP($D297,'SINAPI JULHO 2021'!$1:$1048576,3,FALSE),"")</f>
        <v>H</v>
      </c>
      <c r="G297" s="260">
        <v>5.7202000000000002</v>
      </c>
      <c r="H297" s="256">
        <f>IF($D297&lt;&gt;"",VLOOKUP($D297,'SINAPI JULHO 2021'!$1:$1048576,4,FALSE),"")</f>
        <v>17.670000000000002</v>
      </c>
      <c r="I297" s="257">
        <f t="shared" si="17"/>
        <v>101.07</v>
      </c>
    </row>
    <row r="298" spans="2:9" s="132" customFormat="1">
      <c r="B298" s="133" t="s">
        <v>570</v>
      </c>
      <c r="C298" s="133" t="s">
        <v>7</v>
      </c>
      <c r="D298" s="133">
        <v>88316</v>
      </c>
      <c r="E298" s="134" t="str">
        <f>IF($D298&lt;&gt;"",VLOOKUP($D298,'SINAPI JULHO 2021'!$A$1:E11995,2,FALSE),"")</f>
        <v>SERVENTE COM ENCARGOS COMPLEMENTARES</v>
      </c>
      <c r="F298" s="135" t="str">
        <f>IF($D298&lt;&gt;"",VLOOKUP($D298,'SINAPI JULHO 2021'!$1:$1048576,3,FALSE),"")</f>
        <v>H</v>
      </c>
      <c r="G298" s="260">
        <v>5.7202000000000002</v>
      </c>
      <c r="H298" s="256">
        <f>IF($D298&lt;&gt;"",VLOOKUP($D298,'SINAPI JULHO 2021'!$1:$1048576,4,FALSE),"")</f>
        <v>14.02</v>
      </c>
      <c r="I298" s="257">
        <f t="shared" si="17"/>
        <v>80.19</v>
      </c>
    </row>
    <row r="299" spans="2:9" s="132" customFormat="1" ht="38.25">
      <c r="B299" s="133" t="s">
        <v>570</v>
      </c>
      <c r="C299" s="133" t="s">
        <v>7</v>
      </c>
      <c r="D299" s="133">
        <v>97738</v>
      </c>
      <c r="E299" s="134" t="str">
        <f>IF($D299&lt;&gt;"",VLOOKUP($D299,'SINAPI JULHO 2021'!$A$1:E11996,2,FALSE),"")</f>
        <v>PEÇA CIRCULAR PRÉ-MOLDADA, VOLUME DE CONCRETO DE 10 A 30 LITROS, TAXA DE FIBRA DE POLIPROPILENO APROXIMADA DE 6 KG/M³. AF_01/2018_P</v>
      </c>
      <c r="F299" s="135" t="str">
        <f>IF($D299&lt;&gt;"",VLOOKUP($D299,'SINAPI JULHO 2021'!$1:$1048576,3,FALSE),"")</f>
        <v>M3</v>
      </c>
      <c r="G299" s="260">
        <v>1.54E-2</v>
      </c>
      <c r="H299" s="256">
        <f>IF($D299&lt;&gt;"",VLOOKUP($D299,'SINAPI JULHO 2021'!$1:$1048576,4,FALSE),"")</f>
        <v>3665.35</v>
      </c>
      <c r="I299" s="257">
        <f t="shared" si="17"/>
        <v>56.44</v>
      </c>
    </row>
    <row r="300" spans="2:9" s="132" customFormat="1" ht="38.25">
      <c r="B300" s="133" t="s">
        <v>570</v>
      </c>
      <c r="C300" s="133" t="s">
        <v>7</v>
      </c>
      <c r="D300" s="67">
        <v>97740</v>
      </c>
      <c r="E300" s="134" t="str">
        <f>IF($D300&lt;&gt;"",VLOOKUP($D300,'SINAPI JULHO 2021'!$A$1:E11997,2,FALSE),"")</f>
        <v>PEÇA CIRCULAR PRÉ-MOLDADA, VOLUME DE CONCRETO ACIMA DE 100 LITROS, TAXA DE AÇO APROXIMADA DE 30KG/M³. AF_01/2018</v>
      </c>
      <c r="F300" s="135" t="str">
        <f>IF($D300&lt;&gt;"",VLOOKUP($D300,'SINAPI JULHO 2021'!$1:$1048576,3,FALSE),"")</f>
        <v>M3</v>
      </c>
      <c r="G300" s="249">
        <v>0.80910000000000004</v>
      </c>
      <c r="H300" s="256">
        <f>IF($D300&lt;&gt;"",VLOOKUP($D300,'SINAPI JULHO 2021'!$1:$1048576,4,FALSE),"")</f>
        <v>1853.25</v>
      </c>
      <c r="I300" s="257">
        <f t="shared" si="17"/>
        <v>1499.46</v>
      </c>
    </row>
    <row r="301" spans="2:9" s="132" customFormat="1" ht="38.25">
      <c r="B301" s="133" t="s">
        <v>570</v>
      </c>
      <c r="C301" s="133" t="s">
        <v>7</v>
      </c>
      <c r="D301" s="67">
        <v>100475</v>
      </c>
      <c r="E301" s="134" t="str">
        <f>IF($D301&lt;&gt;"",VLOOKUP($D301,'SINAPI JULHO 2021'!$A$1:E11998,2,FALSE),"")</f>
        <v>ARGAMASSA TRAÇO 1:3 (EM VOLUME DE CIMENTO E AREIA MÉDIA ÚMIDA) COM ADIÇÃO DE IMPERMEABILIZANTE, PREPARO MECÂNICO COM BETONEIRA 400 L. AF_08/2019</v>
      </c>
      <c r="F301" s="135" t="str">
        <f>IF($D301&lt;&gt;"",VLOOKUP($D301,'SINAPI JULHO 2021'!$1:$1048576,3,FALSE),"")</f>
        <v>M3</v>
      </c>
      <c r="G301" s="249">
        <v>0.37569999999999998</v>
      </c>
      <c r="H301" s="256">
        <f>IF($D301&lt;&gt;"",VLOOKUP($D301,'SINAPI JULHO 2021'!$1:$1048576,4,FALSE),"")</f>
        <v>547.29999999999995</v>
      </c>
      <c r="I301" s="257">
        <f t="shared" si="17"/>
        <v>205.62</v>
      </c>
    </row>
    <row r="302" spans="2:9" s="132" customFormat="1" ht="38.25">
      <c r="B302" s="133" t="s">
        <v>570</v>
      </c>
      <c r="C302" s="133" t="s">
        <v>7</v>
      </c>
      <c r="D302" s="67">
        <v>101625</v>
      </c>
      <c r="E302" s="134" t="str">
        <f>IF($D302&lt;&gt;"",VLOOKUP($D302,'SINAPI JULHO 2021'!$A$1:E11999,2,FALSE),"")</f>
        <v>PREPARO DE FUNDO DE VALA COM LARGURA MAIOR OU IGUAL A 1,5 M E MENOR QUE 2,5 M, COM CAMADA DE AREIA, LANÇAMENTO MECANIZADO. AF_08/2020</v>
      </c>
      <c r="F302" s="135" t="str">
        <f>IF($D302&lt;&gt;"",VLOOKUP($D302,'SINAPI JULHO 2021'!$1:$1048576,3,FALSE),"")</f>
        <v>M3</v>
      </c>
      <c r="G302" s="249">
        <v>0.79420000000000002</v>
      </c>
      <c r="H302" s="256">
        <f>IF($D302&lt;&gt;"",VLOOKUP($D302,'SINAPI JULHO 2021'!$1:$1048576,4,FALSE),"")</f>
        <v>117.8</v>
      </c>
      <c r="I302" s="257">
        <f t="shared" si="17"/>
        <v>93.55</v>
      </c>
    </row>
    <row r="303" spans="2:9" s="132" customFormat="1" ht="38.25">
      <c r="B303" s="455" t="s">
        <v>568</v>
      </c>
      <c r="C303" s="133" t="s">
        <v>569</v>
      </c>
      <c r="D303" s="67"/>
      <c r="E303" s="134" t="s">
        <v>6738</v>
      </c>
      <c r="F303" s="135" t="s">
        <v>679</v>
      </c>
      <c r="G303" s="249">
        <v>3</v>
      </c>
      <c r="H303" s="256">
        <v>2299.9899999999998</v>
      </c>
      <c r="I303" s="257">
        <f>TRUNC(G303*H303,2)</f>
        <v>6899.97</v>
      </c>
    </row>
    <row r="304" spans="2:9" s="132" customFormat="1" ht="25.5">
      <c r="B304" s="133" t="s">
        <v>568</v>
      </c>
      <c r="C304" s="133" t="s">
        <v>7</v>
      </c>
      <c r="D304" s="67">
        <v>4720</v>
      </c>
      <c r="E304" s="134" t="str">
        <f>IF($D304&lt;&gt;"",VLOOKUP($D304,'SINAPI JULHO 2021'!$A$1:E12001,2,FALSE),"")</f>
        <v xml:space="preserve">PEDRA BRITADA N. 0, OU PEDRISCO (4,8 A 9,5 MM) POSTO PEDREIRA/FORNECEDOR, SEM FRETE                                                                                                                                                                                                                                                                                                                                                                                                                       </v>
      </c>
      <c r="F304" s="135" t="str">
        <f>IF($D304&lt;&gt;"",VLOOKUP($D304,'SINAPI JULHO 2021'!$1:$1048576,3,FALSE),"")</f>
        <v xml:space="preserve">M3    </v>
      </c>
      <c r="G304" s="249">
        <v>5.0160999999999998</v>
      </c>
      <c r="H304" s="256">
        <f>IF($D304&lt;&gt;"",VLOOKUP($D304,'SINAPI JULHO 2021'!$1:$1048576,4,FALSE),"")</f>
        <v>91.7</v>
      </c>
      <c r="I304" s="257">
        <f>TRUNC(G304*H304,2)</f>
        <v>459.97</v>
      </c>
    </row>
    <row r="305" spans="2:9" s="132" customFormat="1" ht="38.25">
      <c r="B305" s="133" t="s">
        <v>568</v>
      </c>
      <c r="C305" s="133" t="s">
        <v>7</v>
      </c>
      <c r="D305" s="67">
        <v>12532</v>
      </c>
      <c r="E305" s="134" t="str">
        <f>IF($D305&lt;&gt;"",VLOOKUP($D305,'SINAPI JULHO 2021'!$A$1:E12002,2,FALSE),"")</f>
        <v xml:space="preserve">ANEL EM CONCRETO ARMADO, LISO, PARA POCOS DE INSPECAO, SEM FUNDO, DIAMETRO INTERNO DE 0,60 M E ALTURA DE 0,50 M                                                                                                                                                                                                                                                                                                                                                                                           </v>
      </c>
      <c r="F305" s="135" t="str">
        <f>IF($D305&lt;&gt;"",VLOOKUP($D305,'SINAPI JULHO 2021'!$1:$1048576,3,FALSE),"")</f>
        <v xml:space="preserve">UN    </v>
      </c>
      <c r="G305" s="249">
        <v>1</v>
      </c>
      <c r="H305" s="256">
        <f>IF($D305&lt;&gt;"",VLOOKUP($D305,'SINAPI JULHO 2021'!$1:$1048576,4,FALSE),"")</f>
        <v>108.32</v>
      </c>
      <c r="I305" s="257">
        <f>TRUNC(G305*H305,2)</f>
        <v>108.32</v>
      </c>
    </row>
    <row r="306" spans="2:9" s="132" customFormat="1">
      <c r="B306" s="485"/>
      <c r="C306" s="133"/>
      <c r="D306" s="67"/>
      <c r="E306" s="211"/>
      <c r="F306" s="454"/>
      <c r="G306" s="249"/>
      <c r="H306" s="255"/>
      <c r="I306" s="255"/>
    </row>
    <row r="307" spans="2:9" s="132" customFormat="1" ht="13.5" thickBot="1">
      <c r="B307" s="514"/>
      <c r="C307" s="515"/>
      <c r="D307" s="516"/>
      <c r="E307" s="517"/>
      <c r="F307" s="518"/>
      <c r="G307" s="519"/>
      <c r="H307" s="520"/>
      <c r="I307" s="520"/>
    </row>
    <row r="308" spans="2:9" s="132" customFormat="1" ht="39" thickBot="1">
      <c r="B308" s="618"/>
      <c r="C308" s="619"/>
      <c r="D308" s="619"/>
      <c r="E308" s="620" t="s">
        <v>6742</v>
      </c>
      <c r="F308" s="630" t="s">
        <v>679</v>
      </c>
      <c r="G308" s="608"/>
      <c r="H308" s="609"/>
      <c r="I308" s="610">
        <f>TRUNC(SUM(I309:I317),2)</f>
        <v>8478.7000000000007</v>
      </c>
    </row>
    <row r="309" spans="2:9" s="132" customFormat="1" ht="63.75">
      <c r="B309" s="240" t="s">
        <v>570</v>
      </c>
      <c r="C309" s="240" t="s">
        <v>7</v>
      </c>
      <c r="D309" s="240">
        <v>5678</v>
      </c>
      <c r="E309" s="566" t="str">
        <f>IF($D309&lt;&gt;"",VLOOKUP($D309,'SINAPI JULHO 2021'!$A$1:E12006,2,FALSE),"")</f>
        <v>RETROESCAVADEIRA SOBRE RODAS COM CARREGADEIRA, TRAÇÃO 4X4, POTÊNCIA LÍQ. 88 HP, CAÇAMBA CARREG. CAP. MÍN. 1 M3, CAÇAMBA RETRO CAP. 0,26 M3, PESO OPERACIONAL MÍN. 6.674 KG, PROFUNDIDADE ESCAVAÇÃO MÁX. 4,37 M - CHP DIURNO. AF_06/2014</v>
      </c>
      <c r="F309" s="567" t="str">
        <f>IF($D309&lt;&gt;"",VLOOKUP($D309,'SINAPI JULHO 2021'!$1:$1048576,3,FALSE),"")</f>
        <v>CHP</v>
      </c>
      <c r="G309" s="572">
        <v>0.83760000000000001</v>
      </c>
      <c r="H309" s="569">
        <f>IF($D309&lt;&gt;"",VLOOKUP($D309,'SINAPI JULHO 2021'!$1:$1048576,4,FALSE),"")</f>
        <v>101.95</v>
      </c>
      <c r="I309" s="570">
        <f t="shared" ref="I309:I316" si="18">TRUNC(G309*H309,2)</f>
        <v>85.39</v>
      </c>
    </row>
    <row r="310" spans="2:9" s="132" customFormat="1" ht="63.75">
      <c r="B310" s="133" t="s">
        <v>570</v>
      </c>
      <c r="C310" s="133" t="s">
        <v>7</v>
      </c>
      <c r="D310" s="133">
        <v>5679</v>
      </c>
      <c r="E310" s="134" t="str">
        <f>IF($D310&lt;&gt;"",VLOOKUP($D310,'SINAPI JULHO 2021'!$A$1:E12007,2,FALSE),"")</f>
        <v>RETROESCAVADEIRA SOBRE RODAS COM CARREGADEIRA, TRAÇÃO 4X4, POTÊNCIA LÍQ. 88 HP, CAÇAMBA CARREG. CAP. MÍN. 1 M3, CAÇAMBA RETRO CAP. 0,26 M3, PESO OPERACIONAL MÍN. 6.674 KG, PROFUNDIDADE ESCAVAÇÃO MÁX. 4,37 M - CHI DIURNO. AF_06/2014</v>
      </c>
      <c r="F310" s="135" t="str">
        <f>IF($D310&lt;&gt;"",VLOOKUP($D310,'SINAPI JULHO 2021'!$1:$1048576,3,FALSE),"")</f>
        <v>CHI</v>
      </c>
      <c r="G310" s="260">
        <v>2.8172999999999999</v>
      </c>
      <c r="H310" s="256">
        <f>IF($D310&lt;&gt;"",VLOOKUP($D310,'SINAPI JULHO 2021'!$1:$1048576,4,FALSE),"")</f>
        <v>36.340000000000003</v>
      </c>
      <c r="I310" s="257">
        <f t="shared" si="18"/>
        <v>102.38</v>
      </c>
    </row>
    <row r="311" spans="2:9" s="132" customFormat="1">
      <c r="B311" s="133" t="s">
        <v>570</v>
      </c>
      <c r="C311" s="133" t="s">
        <v>7</v>
      </c>
      <c r="D311" s="133">
        <v>88309</v>
      </c>
      <c r="E311" s="134" t="str">
        <f>IF($D311&lt;&gt;"",VLOOKUP($D311,'SINAPI JULHO 2021'!$A$1:E12008,2,FALSE),"")</f>
        <v>PEDREIRO COM ENCARGOS COMPLEMENTARES</v>
      </c>
      <c r="F311" s="135" t="str">
        <f>IF($D311&lt;&gt;"",VLOOKUP($D311,'SINAPI JULHO 2021'!$1:$1048576,3,FALSE),"")</f>
        <v>H</v>
      </c>
      <c r="G311" s="260">
        <v>2.9510999999999998</v>
      </c>
      <c r="H311" s="256">
        <f>IF($D311&lt;&gt;"",VLOOKUP($D311,'SINAPI JULHO 2021'!$1:$1048576,4,FALSE),"")</f>
        <v>17.670000000000002</v>
      </c>
      <c r="I311" s="257">
        <f t="shared" si="18"/>
        <v>52.14</v>
      </c>
    </row>
    <row r="312" spans="2:9" s="132" customFormat="1">
      <c r="B312" s="133" t="s">
        <v>570</v>
      </c>
      <c r="C312" s="133" t="s">
        <v>7</v>
      </c>
      <c r="D312" s="133">
        <v>88316</v>
      </c>
      <c r="E312" s="134" t="str">
        <f>IF($D312&lt;&gt;"",VLOOKUP($D312,'SINAPI JULHO 2021'!$A$1:E12009,2,FALSE),"")</f>
        <v>SERVENTE COM ENCARGOS COMPLEMENTARES</v>
      </c>
      <c r="F312" s="135" t="str">
        <f>IF($D312&lt;&gt;"",VLOOKUP($D312,'SINAPI JULHO 2021'!$1:$1048576,3,FALSE),"")</f>
        <v>H</v>
      </c>
      <c r="G312" s="260">
        <v>2.9510999999999998</v>
      </c>
      <c r="H312" s="256">
        <f>IF($D312&lt;&gt;"",VLOOKUP($D312,'SINAPI JULHO 2021'!$1:$1048576,4,FALSE),"")</f>
        <v>14.02</v>
      </c>
      <c r="I312" s="257">
        <f t="shared" si="18"/>
        <v>41.37</v>
      </c>
    </row>
    <row r="313" spans="2:9" s="132" customFormat="1" ht="38.25">
      <c r="B313" s="133" t="s">
        <v>570</v>
      </c>
      <c r="C313" s="133" t="s">
        <v>7</v>
      </c>
      <c r="D313" s="133">
        <v>88628</v>
      </c>
      <c r="E313" s="134" t="str">
        <f>IF($D313&lt;&gt;"",VLOOKUP($D313,'SINAPI JULHO 2021'!$A$1:E12010,2,FALSE),"")</f>
        <v>ARGAMASSA TRAÇO 1:3 (EM VOLUME DE CIMENTO E AREIA MÉDIA ÚMIDA), PREPARO MECÂNICO COM BETONEIRA 400 L. AF_08/2019</v>
      </c>
      <c r="F313" s="135" t="str">
        <f>IF($D313&lt;&gt;"",VLOOKUP($D313,'SINAPI JULHO 2021'!$1:$1048576,3,FALSE),"")</f>
        <v>M3</v>
      </c>
      <c r="G313" s="260">
        <v>8.9300000000000004E-2</v>
      </c>
      <c r="H313" s="256">
        <f>IF($D313&lt;&gt;"",VLOOKUP($D313,'SINAPI JULHO 2021'!$1:$1048576,4,FALSE),"")</f>
        <v>435.13</v>
      </c>
      <c r="I313" s="257">
        <f t="shared" si="18"/>
        <v>38.85</v>
      </c>
    </row>
    <row r="314" spans="2:9" s="132" customFormat="1" ht="38.25">
      <c r="B314" s="133" t="s">
        <v>570</v>
      </c>
      <c r="C314" s="133" t="s">
        <v>7</v>
      </c>
      <c r="D314" s="67">
        <v>97738</v>
      </c>
      <c r="E314" s="134" t="str">
        <f>IF($D314&lt;&gt;"",VLOOKUP($D314,'SINAPI JULHO 2021'!$A$1:E12011,2,FALSE),"")</f>
        <v>PEÇA CIRCULAR PRÉ-MOLDADA, VOLUME DE CONCRETO DE 10 A 30 LITROS, TAXA DE FIBRA DE POLIPROPILENO APROXIMADA DE 6 KG/M³. AF_01/2018_P</v>
      </c>
      <c r="F314" s="135" t="str">
        <f>IF($D314&lt;&gt;"",VLOOKUP($D314,'SINAPI JULHO 2021'!$1:$1048576,3,FALSE),"")</f>
        <v>M3</v>
      </c>
      <c r="G314" s="249">
        <v>1.54E-2</v>
      </c>
      <c r="H314" s="256">
        <f>IF($D314&lt;&gt;"",VLOOKUP($D314,'SINAPI JULHO 2021'!$1:$1048576,4,FALSE),"")</f>
        <v>3665.35</v>
      </c>
      <c r="I314" s="257">
        <f t="shared" si="18"/>
        <v>56.44</v>
      </c>
    </row>
    <row r="315" spans="2:9" s="132" customFormat="1" ht="38.25">
      <c r="B315" s="133" t="s">
        <v>570</v>
      </c>
      <c r="C315" s="133" t="s">
        <v>7</v>
      </c>
      <c r="D315" s="67">
        <v>97740</v>
      </c>
      <c r="E315" s="134" t="str">
        <f>IF($D315&lt;&gt;"",VLOOKUP($D315,'SINAPI JULHO 2021'!$A$1:E12012,2,FALSE),"")</f>
        <v>PEÇA CIRCULAR PRÉ-MOLDADA, VOLUME DE CONCRETO ACIMA DE 100 LITROS, TAXA DE AÇO APROXIMADA DE 30KG/M³. AF_01/2018</v>
      </c>
      <c r="F315" s="135" t="str">
        <f>IF($D315&lt;&gt;"",VLOOKUP($D315,'SINAPI JULHO 2021'!$1:$1048576,3,FALSE),"")</f>
        <v>M3</v>
      </c>
      <c r="G315" s="249">
        <v>0.54800000000000004</v>
      </c>
      <c r="H315" s="256">
        <f>IF($D315&lt;&gt;"",VLOOKUP($D315,'SINAPI JULHO 2021'!$1:$1048576,4,FALSE),"")</f>
        <v>1853.25</v>
      </c>
      <c r="I315" s="257">
        <f t="shared" si="18"/>
        <v>1015.58</v>
      </c>
    </row>
    <row r="316" spans="2:9" s="132" customFormat="1" ht="38.25">
      <c r="B316" s="133" t="s">
        <v>570</v>
      </c>
      <c r="C316" s="133" t="s">
        <v>7</v>
      </c>
      <c r="D316" s="67">
        <v>101625</v>
      </c>
      <c r="E316" s="134" t="str">
        <f>IF($D316&lt;&gt;"",VLOOKUP($D316,'SINAPI JULHO 2021'!$A$1:E12013,2,FALSE),"")</f>
        <v>PREPARO DE FUNDO DE VALA COM LARGURA MAIOR OU IGUAL A 1,5 M E MENOR QUE 2,5 M, COM CAMADA DE AREIA, LANÇAMENTO MECANIZADO. AF_08/2020</v>
      </c>
      <c r="F316" s="135" t="str">
        <f>IF($D316&lt;&gt;"",VLOOKUP($D316,'SINAPI JULHO 2021'!$1:$1048576,3,FALSE),"")</f>
        <v>M3</v>
      </c>
      <c r="G316" s="249">
        <v>0.79420000000000002</v>
      </c>
      <c r="H316" s="256">
        <f>IF($D316&lt;&gt;"",VLOOKUP($D316,'SINAPI JULHO 2021'!$1:$1048576,4,FALSE),"")</f>
        <v>117.8</v>
      </c>
      <c r="I316" s="257">
        <f t="shared" si="18"/>
        <v>93.55</v>
      </c>
    </row>
    <row r="317" spans="2:9" s="132" customFormat="1" ht="38.25">
      <c r="B317" s="455" t="s">
        <v>568</v>
      </c>
      <c r="C317" s="133" t="s">
        <v>569</v>
      </c>
      <c r="D317" s="67"/>
      <c r="E317" s="134" t="s">
        <v>6741</v>
      </c>
      <c r="F317" s="135" t="s">
        <v>679</v>
      </c>
      <c r="G317" s="249">
        <v>7</v>
      </c>
      <c r="H317" s="256">
        <v>999</v>
      </c>
      <c r="I317" s="257">
        <f>TRUNC(G317*H317,2)</f>
        <v>6993</v>
      </c>
    </row>
    <row r="318" spans="2:9" s="132" customFormat="1">
      <c r="B318" s="485"/>
      <c r="C318" s="133"/>
      <c r="D318" s="67"/>
      <c r="E318" s="211"/>
      <c r="F318" s="454"/>
      <c r="G318" s="249"/>
      <c r="H318" s="255"/>
      <c r="I318" s="255"/>
    </row>
    <row r="319" spans="2:9" s="132" customFormat="1">
      <c r="B319" s="212" t="s">
        <v>7391</v>
      </c>
      <c r="C319" s="133"/>
      <c r="D319" s="67"/>
      <c r="E319" s="211"/>
      <c r="F319" s="454"/>
      <c r="G319" s="249"/>
      <c r="H319" s="255"/>
      <c r="I319" s="255"/>
    </row>
    <row r="320" spans="2:9" s="132" customFormat="1" ht="13.5" thickBot="1">
      <c r="B320" s="514"/>
      <c r="C320" s="515"/>
      <c r="D320" s="516"/>
      <c r="E320" s="517"/>
      <c r="F320" s="518"/>
      <c r="G320" s="519"/>
      <c r="H320" s="520"/>
      <c r="I320" s="520"/>
    </row>
    <row r="321" spans="2:9" s="132" customFormat="1" ht="27" customHeight="1" thickBot="1">
      <c r="B321" s="637" t="s">
        <v>7426</v>
      </c>
      <c r="C321" s="619"/>
      <c r="D321" s="619"/>
      <c r="E321" s="620" t="s">
        <v>7427</v>
      </c>
      <c r="F321" s="611" t="s">
        <v>553</v>
      </c>
      <c r="G321" s="633"/>
      <c r="H321" s="625"/>
      <c r="I321" s="626">
        <f>TRUNC(SUM(I322:I323),2)</f>
        <v>3596.58</v>
      </c>
    </row>
    <row r="322" spans="2:9" s="132" customFormat="1" ht="51">
      <c r="B322" s="571" t="s">
        <v>570</v>
      </c>
      <c r="C322" s="585" t="s">
        <v>7</v>
      </c>
      <c r="D322" s="586">
        <v>100612</v>
      </c>
      <c r="E322" s="566" t="str">
        <f>IF($D322&lt;&gt;"",VLOOKUP($D322,'SINAPI JULHO 2021'!$A$1:E12020,2,FALSE),"")</f>
        <v>ASSENTAMENTO DE POSTE DE CONCRETO COM COMPRIMENTO NOMINAL DE 11 M, CARGA NOMINAL DE 600 DAN, ENGASTAMENTO BASE CONCRETADA COM 1 M DE CONCRETO E 0,7 M DE SOLO (NÃO INCLUI FORNECIMENTO). AF_11/2019</v>
      </c>
      <c r="F322" s="567" t="str">
        <f>IF($D322&lt;&gt;"",VLOOKUP($D322,'SINAPI JULHO 2021'!$1:$1048576,3,FALSE),"")</f>
        <v>UN</v>
      </c>
      <c r="G322" s="587">
        <v>1</v>
      </c>
      <c r="H322" s="588">
        <f>IF($D322&lt;&gt;"",VLOOKUP($D322,'SINAPI JULHO 2021'!$1:$1048576,4,FALSE),"")</f>
        <v>762.58</v>
      </c>
      <c r="I322" s="589">
        <f t="shared" ref="I322" si="19">TRUNC(G322*H322,2)</f>
        <v>762.58</v>
      </c>
    </row>
    <row r="323" spans="2:9" s="132" customFormat="1">
      <c r="B323" s="455" t="s">
        <v>568</v>
      </c>
      <c r="C323" s="133" t="s">
        <v>569</v>
      </c>
      <c r="D323" s="414"/>
      <c r="E323" s="397" t="s">
        <v>7428</v>
      </c>
      <c r="F323" s="407" t="s">
        <v>34</v>
      </c>
      <c r="G323" s="291">
        <v>1</v>
      </c>
      <c r="H323" s="287">
        <v>2834</v>
      </c>
      <c r="I323" s="288">
        <f t="shared" ref="I323" si="20">TRUNC(H323*G323,2)</f>
        <v>2834</v>
      </c>
    </row>
    <row r="324" spans="2:9" s="132" customFormat="1" ht="13.5" thickBot="1">
      <c r="B324" s="408"/>
      <c r="C324" s="408"/>
      <c r="D324" s="410"/>
      <c r="E324" s="411"/>
      <c r="F324" s="412"/>
      <c r="G324" s="35"/>
      <c r="H324" s="289"/>
      <c r="I324" s="290"/>
    </row>
    <row r="325" spans="2:9" s="132" customFormat="1" ht="13.5" thickBot="1">
      <c r="B325" s="637" t="s">
        <v>7429</v>
      </c>
      <c r="C325" s="638"/>
      <c r="D325" s="638"/>
      <c r="E325" s="639" t="s">
        <v>7430</v>
      </c>
      <c r="F325" s="640" t="s">
        <v>553</v>
      </c>
      <c r="G325" s="641"/>
      <c r="H325" s="642"/>
      <c r="I325" s="626">
        <f>TRUNC(SUM(I326:I331),2)</f>
        <v>151.54</v>
      </c>
    </row>
    <row r="326" spans="2:9" s="132" customFormat="1">
      <c r="B326" s="590" t="s">
        <v>570</v>
      </c>
      <c r="C326" s="585" t="s">
        <v>7</v>
      </c>
      <c r="D326" s="591">
        <v>88247</v>
      </c>
      <c r="E326" s="566" t="str">
        <f>IF($D326&lt;&gt;"",VLOOKUP($D326,'SINAPI JULHO 2021'!$A$1:E12024,2,FALSE),"")</f>
        <v>AUXILIAR DE ELETRICISTA COM ENCARGOS COMPLEMENTARES</v>
      </c>
      <c r="F326" s="567" t="str">
        <f>IF($D326&lt;&gt;"",VLOOKUP($D326,'SINAPI JULHO 2021'!$1:$1048576,3,FALSE),"")</f>
        <v>H</v>
      </c>
      <c r="G326" s="587">
        <v>0.15</v>
      </c>
      <c r="H326" s="588">
        <f>IF($D326&lt;&gt;"",VLOOKUP($D326,'SINAPI JULHO 2021'!$1:$1048576,4,FALSE),"")</f>
        <v>14</v>
      </c>
      <c r="I326" s="589">
        <f t="shared" ref="I326:I328" si="21">TRUNC(G326*H326,2)</f>
        <v>2.1</v>
      </c>
    </row>
    <row r="327" spans="2:9" s="132" customFormat="1">
      <c r="B327" s="416" t="s">
        <v>570</v>
      </c>
      <c r="C327" s="413" t="s">
        <v>7</v>
      </c>
      <c r="D327" s="417">
        <v>88264</v>
      </c>
      <c r="E327" s="134" t="str">
        <f>IF($D327&lt;&gt;"",VLOOKUP($D327,'SINAPI JULHO 2021'!$A$1:E12025,2,FALSE),"")</f>
        <v>ELETRICISTA COM ENCARGOS COMPLEMENTARES</v>
      </c>
      <c r="F327" s="135" t="str">
        <f>IF($D327&lt;&gt;"",VLOOKUP($D327,'SINAPI JULHO 2021'!$1:$1048576,3,FALSE),"")</f>
        <v>H</v>
      </c>
      <c r="G327" s="291">
        <v>0.15</v>
      </c>
      <c r="H327" s="415">
        <f>IF($D327&lt;&gt;"",VLOOKUP($D327,'SINAPI JULHO 2021'!$1:$1048576,4,FALSE),"")</f>
        <v>18.3</v>
      </c>
      <c r="I327" s="287">
        <f t="shared" si="21"/>
        <v>2.74</v>
      </c>
    </row>
    <row r="328" spans="2:9" s="132" customFormat="1" ht="38.25">
      <c r="B328" s="416" t="s">
        <v>570</v>
      </c>
      <c r="C328" s="413" t="s">
        <v>7</v>
      </c>
      <c r="D328" s="417">
        <v>91935</v>
      </c>
      <c r="E328" s="134" t="str">
        <f>IF($D328&lt;&gt;"",VLOOKUP($D328,'SINAPI JULHO 2021'!$A$1:E12026,2,FALSE),"")</f>
        <v>CABO DE COBRE FLEXÍVEL ISOLADO, 16 MM², ANTI-CHAMA 0,6/1,0 KV, PARA CIRCUITOS TERMINAIS - FORNECIMENTO E INSTALAÇÃO. AF_12/2015</v>
      </c>
      <c r="F328" s="135" t="str">
        <f>IF($D328&lt;&gt;"",VLOOKUP($D328,'SINAPI JULHO 2021'!$1:$1048576,3,FALSE),"")</f>
        <v>M</v>
      </c>
      <c r="G328" s="291">
        <v>1</v>
      </c>
      <c r="H328" s="415">
        <f>IF($D328&lt;&gt;"",VLOOKUP($D328,'SINAPI JULHO 2021'!$1:$1048576,4,FALSE),"")</f>
        <v>24.52</v>
      </c>
      <c r="I328" s="287">
        <f t="shared" si="21"/>
        <v>24.52</v>
      </c>
    </row>
    <row r="329" spans="2:9" s="132" customFormat="1">
      <c r="B329" s="455" t="s">
        <v>568</v>
      </c>
      <c r="C329" s="133" t="s">
        <v>569</v>
      </c>
      <c r="D329" s="414"/>
      <c r="E329" s="397" t="s">
        <v>7431</v>
      </c>
      <c r="F329" s="407" t="s">
        <v>34</v>
      </c>
      <c r="G329" s="291">
        <v>1</v>
      </c>
      <c r="H329" s="287">
        <v>105.8</v>
      </c>
      <c r="I329" s="288">
        <f t="shared" ref="I329:I331" si="22">TRUNC(H329*G329,2)</f>
        <v>105.8</v>
      </c>
    </row>
    <row r="330" spans="2:9" s="132" customFormat="1">
      <c r="B330" s="455" t="s">
        <v>568</v>
      </c>
      <c r="C330" s="133" t="s">
        <v>569</v>
      </c>
      <c r="D330" s="414"/>
      <c r="E330" s="397" t="s">
        <v>7432</v>
      </c>
      <c r="F330" s="407" t="s">
        <v>34</v>
      </c>
      <c r="G330" s="291">
        <v>1</v>
      </c>
      <c r="H330" s="287">
        <v>5.48</v>
      </c>
      <c r="I330" s="288">
        <f t="shared" si="22"/>
        <v>5.48</v>
      </c>
    </row>
    <row r="331" spans="2:9" s="132" customFormat="1">
      <c r="B331" s="455" t="s">
        <v>568</v>
      </c>
      <c r="C331" s="133" t="s">
        <v>569</v>
      </c>
      <c r="D331" s="414"/>
      <c r="E331" s="397" t="s">
        <v>7433</v>
      </c>
      <c r="F331" s="407" t="s">
        <v>34</v>
      </c>
      <c r="G331" s="291">
        <v>1</v>
      </c>
      <c r="H331" s="287">
        <v>10.9</v>
      </c>
      <c r="I331" s="288">
        <f t="shared" si="22"/>
        <v>10.9</v>
      </c>
    </row>
    <row r="332" spans="2:9" s="132" customFormat="1" ht="13.5" thickBot="1">
      <c r="B332" s="418"/>
      <c r="C332" s="408"/>
      <c r="D332" s="410"/>
      <c r="E332" s="411"/>
      <c r="F332" s="412"/>
      <c r="G332" s="35"/>
      <c r="H332" s="289"/>
      <c r="I332" s="292"/>
    </row>
    <row r="333" spans="2:9" s="132" customFormat="1" ht="26.25" thickBot="1">
      <c r="B333" s="637" t="s">
        <v>7434</v>
      </c>
      <c r="C333" s="643"/>
      <c r="D333" s="643"/>
      <c r="E333" s="644" t="s">
        <v>7435</v>
      </c>
      <c r="F333" s="645" t="s">
        <v>553</v>
      </c>
      <c r="G333" s="646"/>
      <c r="H333" s="625"/>
      <c r="I333" s="626">
        <f>TRUNC(SUM(I334:I336),2)</f>
        <v>8.81</v>
      </c>
    </row>
    <row r="334" spans="2:9" s="132" customFormat="1">
      <c r="B334" s="590" t="s">
        <v>570</v>
      </c>
      <c r="C334" s="585" t="s">
        <v>7</v>
      </c>
      <c r="D334" s="591">
        <v>88247</v>
      </c>
      <c r="E334" s="566" t="str">
        <f>IF($D334&lt;&gt;"",VLOOKUP($D334,'SINAPI JULHO 2021'!$A$1:E12032,2,FALSE),"")</f>
        <v>AUXILIAR DE ELETRICISTA COM ENCARGOS COMPLEMENTARES</v>
      </c>
      <c r="F334" s="567" t="str">
        <f>IF($D334&lt;&gt;"",VLOOKUP($D334,'SINAPI JULHO 2021'!$1:$1048576,3,FALSE),"")</f>
        <v>H</v>
      </c>
      <c r="G334" s="587">
        <v>0.15</v>
      </c>
      <c r="H334" s="588">
        <f>IF($D334&lt;&gt;"",VLOOKUP($D334,'SINAPI JULHO 2021'!$1:$1048576,4,FALSE),"")</f>
        <v>14</v>
      </c>
      <c r="I334" s="589">
        <f t="shared" ref="I334:I336" si="23">TRUNC(G334*H334,2)</f>
        <v>2.1</v>
      </c>
    </row>
    <row r="335" spans="2:9" s="132" customFormat="1">
      <c r="B335" s="416" t="s">
        <v>570</v>
      </c>
      <c r="C335" s="413" t="s">
        <v>7</v>
      </c>
      <c r="D335" s="417">
        <v>88264</v>
      </c>
      <c r="E335" s="134" t="str">
        <f>IF($D335&lt;&gt;"",VLOOKUP($D335,'SINAPI JULHO 2021'!$A$1:E12033,2,FALSE),"")</f>
        <v>ELETRICISTA COM ENCARGOS COMPLEMENTARES</v>
      </c>
      <c r="F335" s="135" t="str">
        <f>IF($D335&lt;&gt;"",VLOOKUP($D335,'SINAPI JULHO 2021'!$1:$1048576,3,FALSE),"")</f>
        <v>H</v>
      </c>
      <c r="G335" s="291">
        <v>0.15</v>
      </c>
      <c r="H335" s="415">
        <f>IF($D335&lt;&gt;"",VLOOKUP($D335,'SINAPI JULHO 2021'!$1:$1048576,4,FALSE),"")</f>
        <v>18.3</v>
      </c>
      <c r="I335" s="287">
        <f t="shared" si="23"/>
        <v>2.74</v>
      </c>
    </row>
    <row r="336" spans="2:9" s="132" customFormat="1" ht="25.5">
      <c r="B336" s="419" t="s">
        <v>568</v>
      </c>
      <c r="C336" s="413" t="s">
        <v>7</v>
      </c>
      <c r="D336" s="417">
        <v>7581</v>
      </c>
      <c r="E336" s="134" t="str">
        <f>IF($D336&lt;&gt;"",VLOOKUP($D336,'SINAPI JULHO 2021'!$A$1:E12034,2,FALSE),"")</f>
        <v xml:space="preserve">SAPATILHA EM ACO GALVANIZADO PARA CABOS COM DIAMETRO NOMINAL ATE 5/8"                                                                                                                                                                                                                                                                                                                                                                                                                                     </v>
      </c>
      <c r="F336" s="135" t="str">
        <f>IF($D336&lt;&gt;"",VLOOKUP($D336,'SINAPI JULHO 2021'!$1:$1048576,3,FALSE),"")</f>
        <v xml:space="preserve">UN    </v>
      </c>
      <c r="G336" s="291">
        <v>1</v>
      </c>
      <c r="H336" s="415">
        <f>IF($D336&lt;&gt;"",VLOOKUP($D336,'SINAPI JULHO 2021'!$1:$1048576,4,FALSE),"")</f>
        <v>3.97</v>
      </c>
      <c r="I336" s="287">
        <f t="shared" si="23"/>
        <v>3.97</v>
      </c>
    </row>
    <row r="337" spans="2:9" s="132" customFormat="1" ht="13.5" thickBot="1">
      <c r="B337" s="536"/>
      <c r="C337" s="537"/>
      <c r="D337" s="538"/>
      <c r="E337" s="539"/>
      <c r="F337" s="540"/>
      <c r="G337" s="540"/>
      <c r="H337" s="541"/>
      <c r="I337" s="542"/>
    </row>
    <row r="338" spans="2:9" s="132" customFormat="1" ht="13.5" thickBot="1">
      <c r="B338" s="637" t="s">
        <v>7436</v>
      </c>
      <c r="C338" s="647"/>
      <c r="D338" s="647"/>
      <c r="E338" s="644" t="s">
        <v>7437</v>
      </c>
      <c r="F338" s="648" t="s">
        <v>553</v>
      </c>
      <c r="G338" s="641"/>
      <c r="H338" s="642"/>
      <c r="I338" s="626">
        <f>TRUNC(SUM(I339:I341),2)</f>
        <v>18.170000000000002</v>
      </c>
    </row>
    <row r="339" spans="2:9" s="132" customFormat="1">
      <c r="B339" s="592" t="s">
        <v>7403</v>
      </c>
      <c r="C339" s="592" t="s">
        <v>7</v>
      </c>
      <c r="D339" s="593">
        <v>88247</v>
      </c>
      <c r="E339" s="566" t="str">
        <f>IF($D339&lt;&gt;"",VLOOKUP($D339,'SINAPI JULHO 2021'!$A$1:E12037,2,FALSE),"")</f>
        <v>AUXILIAR DE ELETRICISTA COM ENCARGOS COMPLEMENTARES</v>
      </c>
      <c r="F339" s="567" t="str">
        <f>IF($D339&lt;&gt;"",VLOOKUP($D339,'SINAPI JULHO 2021'!$1:$1048576,3,FALSE),"")</f>
        <v>H</v>
      </c>
      <c r="G339" s="587">
        <v>0.15</v>
      </c>
      <c r="H339" s="588">
        <f>IF($D339&lt;&gt;"",VLOOKUP($D339,'SINAPI JULHO 2021'!$1:$1048576,4,FALSE),"")</f>
        <v>14</v>
      </c>
      <c r="I339" s="589">
        <f t="shared" ref="I339:I341" si="24">TRUNC(G339*H339,2)</f>
        <v>2.1</v>
      </c>
    </row>
    <row r="340" spans="2:9" s="132" customFormat="1">
      <c r="B340" s="419" t="s">
        <v>7403</v>
      </c>
      <c r="C340" s="419" t="s">
        <v>7</v>
      </c>
      <c r="D340" s="420">
        <v>88264</v>
      </c>
      <c r="E340" s="134" t="str">
        <f>IF($D340&lt;&gt;"",VLOOKUP($D340,'SINAPI JULHO 2021'!$A$1:E12038,2,FALSE),"")</f>
        <v>ELETRICISTA COM ENCARGOS COMPLEMENTARES</v>
      </c>
      <c r="F340" s="135" t="str">
        <f>IF($D340&lt;&gt;"",VLOOKUP($D340,'SINAPI JULHO 2021'!$1:$1048576,3,FALSE),"")</f>
        <v>H</v>
      </c>
      <c r="G340" s="291">
        <v>0.15</v>
      </c>
      <c r="H340" s="415">
        <f>IF($D340&lt;&gt;"",VLOOKUP($D340,'SINAPI JULHO 2021'!$1:$1048576,4,FALSE),"")</f>
        <v>18.3</v>
      </c>
      <c r="I340" s="287">
        <f t="shared" si="24"/>
        <v>2.74</v>
      </c>
    </row>
    <row r="341" spans="2:9" s="132" customFormat="1">
      <c r="B341" s="419" t="s">
        <v>568</v>
      </c>
      <c r="C341" s="413" t="s">
        <v>7</v>
      </c>
      <c r="D341" s="417">
        <v>421</v>
      </c>
      <c r="E341" s="134" t="str">
        <f>IF($D341&lt;&gt;"",VLOOKUP($D341,'SINAPI JULHO 2021'!$A$1:E12039,2,FALSE),"")</f>
        <v xml:space="preserve">PORCA OLHAL M 16,  EM ACO GALVANIZADO, DIAMETRO = 16 MM                                                                                                                                                                                                                                                                                                                                                                                                                                                   </v>
      </c>
      <c r="F341" s="135" t="str">
        <f>IF($D341&lt;&gt;"",VLOOKUP($D341,'SINAPI JULHO 2021'!$1:$1048576,3,FALSE),"")</f>
        <v xml:space="preserve">UN    </v>
      </c>
      <c r="G341" s="291">
        <v>1</v>
      </c>
      <c r="H341" s="415">
        <f>IF($D341&lt;&gt;"",VLOOKUP($D341,'SINAPI JULHO 2021'!$1:$1048576,4,FALSE),"")</f>
        <v>13.33</v>
      </c>
      <c r="I341" s="287">
        <f t="shared" si="24"/>
        <v>13.33</v>
      </c>
    </row>
    <row r="342" spans="2:9" s="132" customFormat="1" ht="13.5" thickBot="1">
      <c r="B342" s="408"/>
      <c r="C342" s="408"/>
      <c r="D342" s="410"/>
      <c r="E342" s="411"/>
      <c r="F342" s="412"/>
      <c r="G342" s="35"/>
      <c r="H342" s="289"/>
      <c r="I342" s="290"/>
    </row>
    <row r="343" spans="2:9" s="132" customFormat="1" ht="26.25" thickBot="1">
      <c r="B343" s="637" t="s">
        <v>7438</v>
      </c>
      <c r="C343" s="627"/>
      <c r="D343" s="627"/>
      <c r="E343" s="614" t="s">
        <v>7439</v>
      </c>
      <c r="F343" s="615" t="s">
        <v>553</v>
      </c>
      <c r="G343" s="649"/>
      <c r="H343" s="642"/>
      <c r="I343" s="626">
        <f>TRUNC(SUM(I344:I346),2)</f>
        <v>59.34</v>
      </c>
    </row>
    <row r="344" spans="2:9" s="132" customFormat="1">
      <c r="B344" s="240" t="s">
        <v>7403</v>
      </c>
      <c r="C344" s="240" t="s">
        <v>7</v>
      </c>
      <c r="D344" s="594">
        <v>88247</v>
      </c>
      <c r="E344" s="566" t="str">
        <f>IF($D344&lt;&gt;"",VLOOKUP($D344,'SINAPI JULHO 2021'!$A$1:E12042,2,FALSE),"")</f>
        <v>AUXILIAR DE ELETRICISTA COM ENCARGOS COMPLEMENTARES</v>
      </c>
      <c r="F344" s="567" t="str">
        <f>IF($D344&lt;&gt;"",VLOOKUP($D344,'SINAPI JULHO 2021'!$1:$1048576,3,FALSE),"")</f>
        <v>H</v>
      </c>
      <c r="G344" s="587">
        <v>0.15</v>
      </c>
      <c r="H344" s="588">
        <f>IF($D344&lt;&gt;"",VLOOKUP($D344,'SINAPI JULHO 2021'!$1:$1048576,4,FALSE),"")</f>
        <v>14</v>
      </c>
      <c r="I344" s="589">
        <f t="shared" ref="I344:I345" si="25">TRUNC(G344*H344,2)</f>
        <v>2.1</v>
      </c>
    </row>
    <row r="345" spans="2:9" s="132" customFormat="1">
      <c r="B345" s="133" t="s">
        <v>7403</v>
      </c>
      <c r="C345" s="133" t="s">
        <v>7</v>
      </c>
      <c r="D345" s="405">
        <v>88264</v>
      </c>
      <c r="E345" s="134" t="str">
        <f>IF($D345&lt;&gt;"",VLOOKUP($D345,'SINAPI JULHO 2021'!$A$1:E12043,2,FALSE),"")</f>
        <v>ELETRICISTA COM ENCARGOS COMPLEMENTARES</v>
      </c>
      <c r="F345" s="135" t="str">
        <f>IF($D345&lt;&gt;"",VLOOKUP($D345,'SINAPI JULHO 2021'!$1:$1048576,3,FALSE),"")</f>
        <v>H</v>
      </c>
      <c r="G345" s="291">
        <v>0.15</v>
      </c>
      <c r="H345" s="415">
        <f>IF($D345&lt;&gt;"",VLOOKUP($D345,'SINAPI JULHO 2021'!$1:$1048576,4,FALSE),"")</f>
        <v>18.3</v>
      </c>
      <c r="I345" s="287">
        <f t="shared" si="25"/>
        <v>2.74</v>
      </c>
    </row>
    <row r="346" spans="2:9" s="132" customFormat="1" ht="25.5">
      <c r="B346" s="455" t="s">
        <v>568</v>
      </c>
      <c r="C346" s="133" t="s">
        <v>569</v>
      </c>
      <c r="D346" s="405"/>
      <c r="E346" s="397" t="s">
        <v>7440</v>
      </c>
      <c r="F346" s="407" t="s">
        <v>553</v>
      </c>
      <c r="G346" s="291">
        <v>1</v>
      </c>
      <c r="H346" s="287">
        <v>54.5</v>
      </c>
      <c r="I346" s="288">
        <f t="shared" ref="I346" si="26">TRUNC(H346*G346,2)</f>
        <v>54.5</v>
      </c>
    </row>
    <row r="347" spans="2:9" s="132" customFormat="1" ht="13.5" thickBot="1">
      <c r="B347" s="408"/>
      <c r="C347" s="408"/>
      <c r="D347" s="410"/>
      <c r="E347" s="411"/>
      <c r="F347" s="412"/>
      <c r="G347" s="35"/>
      <c r="H347" s="289"/>
      <c r="I347" s="290"/>
    </row>
    <row r="348" spans="2:9" s="132" customFormat="1" ht="13.5" thickBot="1">
      <c r="B348" s="637" t="s">
        <v>7441</v>
      </c>
      <c r="C348" s="627"/>
      <c r="D348" s="627"/>
      <c r="E348" s="614" t="s">
        <v>7442</v>
      </c>
      <c r="F348" s="615" t="s">
        <v>553</v>
      </c>
      <c r="G348" s="649"/>
      <c r="H348" s="642"/>
      <c r="I348" s="626">
        <f>TRUNC(SUM(I349:I351),2)</f>
        <v>28.24</v>
      </c>
    </row>
    <row r="349" spans="2:9" s="132" customFormat="1">
      <c r="B349" s="240" t="s">
        <v>7403</v>
      </c>
      <c r="C349" s="240" t="s">
        <v>7</v>
      </c>
      <c r="D349" s="594">
        <v>88247</v>
      </c>
      <c r="E349" s="566" t="str">
        <f>IF($D349&lt;&gt;"",VLOOKUP($D349,'SINAPI JULHO 2021'!$A$1:E12047,2,FALSE),"")</f>
        <v>AUXILIAR DE ELETRICISTA COM ENCARGOS COMPLEMENTARES</v>
      </c>
      <c r="F349" s="567" t="str">
        <f>IF($D349&lt;&gt;"",VLOOKUP($D349,'SINAPI JULHO 2021'!$1:$1048576,3,FALSE),"")</f>
        <v>H</v>
      </c>
      <c r="G349" s="587">
        <v>0.15</v>
      </c>
      <c r="H349" s="588">
        <f>IF($D349&lt;&gt;"",VLOOKUP($D349,'SINAPI JULHO 2021'!$1:$1048576,4,FALSE),"")</f>
        <v>14</v>
      </c>
      <c r="I349" s="589">
        <f t="shared" ref="I349:I350" si="27">TRUNC(G349*H349,2)</f>
        <v>2.1</v>
      </c>
    </row>
    <row r="350" spans="2:9" s="132" customFormat="1">
      <c r="B350" s="133" t="s">
        <v>7403</v>
      </c>
      <c r="C350" s="133" t="s">
        <v>7</v>
      </c>
      <c r="D350" s="405">
        <v>88264</v>
      </c>
      <c r="E350" s="134" t="str">
        <f>IF($D350&lt;&gt;"",VLOOKUP($D350,'SINAPI JULHO 2021'!$A$1:E12048,2,FALSE),"")</f>
        <v>ELETRICISTA COM ENCARGOS COMPLEMENTARES</v>
      </c>
      <c r="F350" s="135" t="str">
        <f>IF($D350&lt;&gt;"",VLOOKUP($D350,'SINAPI JULHO 2021'!$1:$1048576,3,FALSE),"")</f>
        <v>H</v>
      </c>
      <c r="G350" s="291">
        <v>0.15</v>
      </c>
      <c r="H350" s="415">
        <f>IF($D350&lt;&gt;"",VLOOKUP($D350,'SINAPI JULHO 2021'!$1:$1048576,4,FALSE),"")</f>
        <v>18.3</v>
      </c>
      <c r="I350" s="287">
        <f t="shared" si="27"/>
        <v>2.74</v>
      </c>
    </row>
    <row r="351" spans="2:9" s="132" customFormat="1">
      <c r="B351" s="455" t="s">
        <v>568</v>
      </c>
      <c r="C351" s="133" t="s">
        <v>569</v>
      </c>
      <c r="D351" s="405"/>
      <c r="E351" s="397" t="s">
        <v>7443</v>
      </c>
      <c r="F351" s="407" t="s">
        <v>553</v>
      </c>
      <c r="G351" s="291">
        <v>1</v>
      </c>
      <c r="H351" s="287">
        <v>23.4</v>
      </c>
      <c r="I351" s="288">
        <f t="shared" ref="I351" si="28">TRUNC(H351*G351,2)</f>
        <v>23.4</v>
      </c>
    </row>
    <row r="352" spans="2:9" s="132" customFormat="1" ht="13.5" thickBot="1">
      <c r="B352" s="408"/>
      <c r="C352" s="408"/>
      <c r="D352" s="410"/>
      <c r="E352" s="411"/>
      <c r="F352" s="412"/>
      <c r="G352" s="35"/>
      <c r="H352" s="289"/>
      <c r="I352" s="290"/>
    </row>
    <row r="353" spans="2:9" s="132" customFormat="1" ht="13.5" thickBot="1">
      <c r="B353" s="637" t="s">
        <v>7444</v>
      </c>
      <c r="C353" s="627"/>
      <c r="D353" s="627"/>
      <c r="E353" s="614" t="s">
        <v>7445</v>
      </c>
      <c r="F353" s="615" t="s">
        <v>553</v>
      </c>
      <c r="G353" s="649"/>
      <c r="H353" s="642"/>
      <c r="I353" s="626">
        <f>TRUNC(SUM(I354:I356),2)</f>
        <v>18.829999999999998</v>
      </c>
    </row>
    <row r="354" spans="2:9" s="132" customFormat="1">
      <c r="B354" s="240" t="s">
        <v>7403</v>
      </c>
      <c r="C354" s="240" t="s">
        <v>7</v>
      </c>
      <c r="D354" s="594">
        <v>88247</v>
      </c>
      <c r="E354" s="566" t="str">
        <f>IF($D354&lt;&gt;"",VLOOKUP($D354,'SINAPI JULHO 2021'!$A$1:E12052,2,FALSE),"")</f>
        <v>AUXILIAR DE ELETRICISTA COM ENCARGOS COMPLEMENTARES</v>
      </c>
      <c r="F354" s="567" t="str">
        <f>IF($D354&lt;&gt;"",VLOOKUP($D354,'SINAPI JULHO 2021'!$1:$1048576,3,FALSE),"")</f>
        <v>H</v>
      </c>
      <c r="G354" s="587">
        <v>0.15</v>
      </c>
      <c r="H354" s="588">
        <f>IF($D354&lt;&gt;"",VLOOKUP($D354,'SINAPI JULHO 2021'!$1:$1048576,4,FALSE),"")</f>
        <v>14</v>
      </c>
      <c r="I354" s="589">
        <f t="shared" ref="I354:I356" si="29">TRUNC(G354*H354,2)</f>
        <v>2.1</v>
      </c>
    </row>
    <row r="355" spans="2:9" s="132" customFormat="1">
      <c r="B355" s="133" t="s">
        <v>7403</v>
      </c>
      <c r="C355" s="133" t="s">
        <v>7</v>
      </c>
      <c r="D355" s="405">
        <v>88264</v>
      </c>
      <c r="E355" s="134" t="str">
        <f>IF($D355&lt;&gt;"",VLOOKUP($D355,'SINAPI JULHO 2021'!$A$1:E12053,2,FALSE),"")</f>
        <v>ELETRICISTA COM ENCARGOS COMPLEMENTARES</v>
      </c>
      <c r="F355" s="135" t="str">
        <f>IF($D355&lt;&gt;"",VLOOKUP($D355,'SINAPI JULHO 2021'!$1:$1048576,3,FALSE),"")</f>
        <v>H</v>
      </c>
      <c r="G355" s="291">
        <v>0.15</v>
      </c>
      <c r="H355" s="415">
        <f>IF($D355&lt;&gt;"",VLOOKUP($D355,'SINAPI JULHO 2021'!$1:$1048576,4,FALSE),"")</f>
        <v>18.3</v>
      </c>
      <c r="I355" s="287">
        <f t="shared" si="29"/>
        <v>2.74</v>
      </c>
    </row>
    <row r="356" spans="2:9" s="132" customFormat="1" ht="25.5">
      <c r="B356" s="133" t="s">
        <v>568</v>
      </c>
      <c r="C356" s="133" t="s">
        <v>7</v>
      </c>
      <c r="D356" s="405">
        <v>402</v>
      </c>
      <c r="E356" s="134" t="str">
        <f>IF($D356&lt;&gt;"",VLOOKUP($D356,'SINAPI JULHO 2021'!$A$1:E12054,2,FALSE),"")</f>
        <v xml:space="preserve">GANCHO OLHAL EM ACO GALVANIZADO, ESPESSURA 16MM, ABERTURA 21MM                                                                                                                                                                                                                                                                                                                                                                                                                                            </v>
      </c>
      <c r="F356" s="135" t="str">
        <f>IF($D356&lt;&gt;"",VLOOKUP($D356,'SINAPI JULHO 2021'!$1:$1048576,3,FALSE),"")</f>
        <v xml:space="preserve">UN    </v>
      </c>
      <c r="G356" s="291">
        <v>1</v>
      </c>
      <c r="H356" s="415">
        <f>IF($D356&lt;&gt;"",VLOOKUP($D356,'SINAPI JULHO 2021'!$1:$1048576,4,FALSE),"")</f>
        <v>13.99</v>
      </c>
      <c r="I356" s="287">
        <f t="shared" si="29"/>
        <v>13.99</v>
      </c>
    </row>
    <row r="357" spans="2:9" s="132" customFormat="1" ht="13.5" thickBot="1">
      <c r="B357" s="408"/>
      <c r="C357" s="408"/>
      <c r="D357" s="410"/>
      <c r="E357" s="411"/>
      <c r="F357" s="412"/>
      <c r="G357" s="35"/>
      <c r="H357" s="289"/>
      <c r="I357" s="290"/>
    </row>
    <row r="358" spans="2:9" s="132" customFormat="1" ht="13.5" thickBot="1">
      <c r="B358" s="637" t="s">
        <v>7446</v>
      </c>
      <c r="C358" s="627"/>
      <c r="D358" s="627"/>
      <c r="E358" s="614" t="s">
        <v>7447</v>
      </c>
      <c r="F358" s="615" t="s">
        <v>553</v>
      </c>
      <c r="G358" s="649"/>
      <c r="H358" s="642"/>
      <c r="I358" s="626">
        <f>TRUNC(SUM(I359:I361),2)</f>
        <v>232.84</v>
      </c>
    </row>
    <row r="359" spans="2:9" s="132" customFormat="1">
      <c r="B359" s="240" t="s">
        <v>7403</v>
      </c>
      <c r="C359" s="240" t="s">
        <v>7</v>
      </c>
      <c r="D359" s="594">
        <v>88247</v>
      </c>
      <c r="E359" s="566" t="str">
        <f>IF($D359&lt;&gt;"",VLOOKUP($D359,'SINAPI JULHO 2021'!$A$1:E12057,2,FALSE),"")</f>
        <v>AUXILIAR DE ELETRICISTA COM ENCARGOS COMPLEMENTARES</v>
      </c>
      <c r="F359" s="567" t="str">
        <f>IF($D359&lt;&gt;"",VLOOKUP($D359,'SINAPI JULHO 2021'!$1:$1048576,3,FALSE),"")</f>
        <v>H</v>
      </c>
      <c r="G359" s="587">
        <v>0.15</v>
      </c>
      <c r="H359" s="588">
        <f>IF($D359&lt;&gt;"",VLOOKUP($D359,'SINAPI JULHO 2021'!$1:$1048576,4,FALSE),"")</f>
        <v>14</v>
      </c>
      <c r="I359" s="589">
        <f t="shared" ref="I359:I360" si="30">TRUNC(G359*H359,2)</f>
        <v>2.1</v>
      </c>
    </row>
    <row r="360" spans="2:9" s="132" customFormat="1">
      <c r="B360" s="133" t="s">
        <v>7403</v>
      </c>
      <c r="C360" s="133" t="s">
        <v>7</v>
      </c>
      <c r="D360" s="405">
        <v>88264</v>
      </c>
      <c r="E360" s="134" t="str">
        <f>IF($D360&lt;&gt;"",VLOOKUP($D360,'SINAPI JULHO 2021'!$A$1:E12058,2,FALSE),"")</f>
        <v>ELETRICISTA COM ENCARGOS COMPLEMENTARES</v>
      </c>
      <c r="F360" s="135" t="str">
        <f>IF($D360&lt;&gt;"",VLOOKUP($D360,'SINAPI JULHO 2021'!$1:$1048576,3,FALSE),"")</f>
        <v>H</v>
      </c>
      <c r="G360" s="291">
        <v>0.15</v>
      </c>
      <c r="H360" s="415">
        <f>IF($D360&lt;&gt;"",VLOOKUP($D360,'SINAPI JULHO 2021'!$1:$1048576,4,FALSE),"")</f>
        <v>18.3</v>
      </c>
      <c r="I360" s="287">
        <f t="shared" si="30"/>
        <v>2.74</v>
      </c>
    </row>
    <row r="361" spans="2:9" s="132" customFormat="1">
      <c r="B361" s="455" t="s">
        <v>568</v>
      </c>
      <c r="C361" s="133" t="s">
        <v>569</v>
      </c>
      <c r="D361" s="405"/>
      <c r="E361" s="397" t="s">
        <v>7448</v>
      </c>
      <c r="F361" s="407" t="s">
        <v>553</v>
      </c>
      <c r="G361" s="291">
        <v>1</v>
      </c>
      <c r="H361" s="287">
        <v>228</v>
      </c>
      <c r="I361" s="288">
        <f t="shared" ref="I361" si="31">TRUNC(H361*G361,2)</f>
        <v>228</v>
      </c>
    </row>
    <row r="362" spans="2:9" s="132" customFormat="1" ht="13.5" thickBot="1">
      <c r="B362" s="408"/>
      <c r="C362" s="408"/>
      <c r="D362" s="410"/>
      <c r="E362" s="411"/>
      <c r="F362" s="412"/>
      <c r="G362" s="35"/>
      <c r="H362" s="289"/>
      <c r="I362" s="290"/>
    </row>
    <row r="363" spans="2:9" s="132" customFormat="1" ht="13.5" thickBot="1">
      <c r="B363" s="637" t="s">
        <v>7449</v>
      </c>
      <c r="C363" s="627"/>
      <c r="D363" s="627"/>
      <c r="E363" s="614" t="s">
        <v>7450</v>
      </c>
      <c r="F363" s="615" t="s">
        <v>553</v>
      </c>
      <c r="G363" s="649"/>
      <c r="H363" s="642"/>
      <c r="I363" s="626">
        <f>TRUNC(SUM(I364:I366),2)</f>
        <v>50.84</v>
      </c>
    </row>
    <row r="364" spans="2:9" s="132" customFormat="1">
      <c r="B364" s="240" t="s">
        <v>7403</v>
      </c>
      <c r="C364" s="240" t="s">
        <v>7</v>
      </c>
      <c r="D364" s="594">
        <v>88247</v>
      </c>
      <c r="E364" s="566" t="str">
        <f>IF($D364&lt;&gt;"",VLOOKUP($D364,'SINAPI JULHO 2021'!$A$1:E12062,2,FALSE),"")</f>
        <v>AUXILIAR DE ELETRICISTA COM ENCARGOS COMPLEMENTARES</v>
      </c>
      <c r="F364" s="567" t="str">
        <f>IF($D364&lt;&gt;"",VLOOKUP($D364,'SINAPI JULHO 2021'!$1:$1048576,3,FALSE),"")</f>
        <v>H</v>
      </c>
      <c r="G364" s="587">
        <v>0.15</v>
      </c>
      <c r="H364" s="588">
        <f>IF($D364&lt;&gt;"",VLOOKUP($D364,'SINAPI JULHO 2021'!$1:$1048576,4,FALSE),"")</f>
        <v>14</v>
      </c>
      <c r="I364" s="589">
        <f t="shared" ref="I364:I365" si="32">TRUNC(G364*H364,2)</f>
        <v>2.1</v>
      </c>
    </row>
    <row r="365" spans="2:9" s="132" customFormat="1">
      <c r="B365" s="133" t="s">
        <v>7403</v>
      </c>
      <c r="C365" s="133" t="s">
        <v>7</v>
      </c>
      <c r="D365" s="405">
        <v>88264</v>
      </c>
      <c r="E365" s="134" t="str">
        <f>IF($D365&lt;&gt;"",VLOOKUP($D365,'SINAPI JULHO 2021'!$A$1:E12063,2,FALSE),"")</f>
        <v>ELETRICISTA COM ENCARGOS COMPLEMENTARES</v>
      </c>
      <c r="F365" s="135" t="str">
        <f>IF($D365&lt;&gt;"",VLOOKUP($D365,'SINAPI JULHO 2021'!$1:$1048576,3,FALSE),"")</f>
        <v>H</v>
      </c>
      <c r="G365" s="291">
        <v>0.15</v>
      </c>
      <c r="H365" s="415">
        <f>IF($D365&lt;&gt;"",VLOOKUP($D365,'SINAPI JULHO 2021'!$1:$1048576,4,FALSE),"")</f>
        <v>18.3</v>
      </c>
      <c r="I365" s="287">
        <f t="shared" si="32"/>
        <v>2.74</v>
      </c>
    </row>
    <row r="366" spans="2:9" s="132" customFormat="1">
      <c r="B366" s="455" t="s">
        <v>568</v>
      </c>
      <c r="C366" s="133" t="s">
        <v>569</v>
      </c>
      <c r="D366" s="405"/>
      <c r="E366" s="397" t="s">
        <v>7451</v>
      </c>
      <c r="F366" s="407" t="s">
        <v>553</v>
      </c>
      <c r="G366" s="291">
        <v>1</v>
      </c>
      <c r="H366" s="287">
        <v>46</v>
      </c>
      <c r="I366" s="288">
        <f t="shared" ref="I366" si="33">TRUNC(H366*G366,2)</f>
        <v>46</v>
      </c>
    </row>
    <row r="367" spans="2:9" s="132" customFormat="1" ht="13.5" thickBot="1">
      <c r="B367" s="408"/>
      <c r="C367" s="408"/>
      <c r="D367" s="410"/>
      <c r="E367" s="411"/>
      <c r="F367" s="412"/>
      <c r="G367" s="35"/>
      <c r="H367" s="289"/>
      <c r="I367" s="290"/>
    </row>
    <row r="368" spans="2:9" s="132" customFormat="1" ht="26.25" thickBot="1">
      <c r="B368" s="637" t="s">
        <v>7452</v>
      </c>
      <c r="C368" s="627"/>
      <c r="D368" s="627"/>
      <c r="E368" s="614" t="s">
        <v>7453</v>
      </c>
      <c r="F368" s="615" t="s">
        <v>553</v>
      </c>
      <c r="G368" s="649"/>
      <c r="H368" s="642"/>
      <c r="I368" s="626">
        <f>TRUNC(SUM(I369:I371),2)</f>
        <v>316.33999999999997</v>
      </c>
    </row>
    <row r="369" spans="2:9" s="132" customFormat="1">
      <c r="B369" s="240" t="s">
        <v>7403</v>
      </c>
      <c r="C369" s="240" t="s">
        <v>7</v>
      </c>
      <c r="D369" s="594">
        <v>88247</v>
      </c>
      <c r="E369" s="566" t="str">
        <f>IF($D369&lt;&gt;"",VLOOKUP($D369,'SINAPI JULHO 2021'!$A$1:E12067,2,FALSE),"")</f>
        <v>AUXILIAR DE ELETRICISTA COM ENCARGOS COMPLEMENTARES</v>
      </c>
      <c r="F369" s="567" t="str">
        <f>IF($D369&lt;&gt;"",VLOOKUP($D369,'SINAPI JULHO 2021'!$1:$1048576,3,FALSE),"")</f>
        <v>H</v>
      </c>
      <c r="G369" s="587">
        <v>0.15</v>
      </c>
      <c r="H369" s="588">
        <f>IF($D369&lt;&gt;"",VLOOKUP($D369,'SINAPI JULHO 2021'!$1:$1048576,4,FALSE),"")</f>
        <v>14</v>
      </c>
      <c r="I369" s="589">
        <f t="shared" ref="I369:I371" si="34">TRUNC(G369*H369,2)</f>
        <v>2.1</v>
      </c>
    </row>
    <row r="370" spans="2:9" s="132" customFormat="1">
      <c r="B370" s="133" t="s">
        <v>7403</v>
      </c>
      <c r="C370" s="133" t="s">
        <v>7</v>
      </c>
      <c r="D370" s="405">
        <v>88264</v>
      </c>
      <c r="E370" s="134" t="str">
        <f>IF($D370&lt;&gt;"",VLOOKUP($D370,'SINAPI JULHO 2021'!$A$1:E12068,2,FALSE),"")</f>
        <v>ELETRICISTA COM ENCARGOS COMPLEMENTARES</v>
      </c>
      <c r="F370" s="135" t="str">
        <f>IF($D370&lt;&gt;"",VLOOKUP($D370,'SINAPI JULHO 2021'!$1:$1048576,3,FALSE),"")</f>
        <v>H</v>
      </c>
      <c r="G370" s="291">
        <v>0.15</v>
      </c>
      <c r="H370" s="415">
        <f>IF($D370&lt;&gt;"",VLOOKUP($D370,'SINAPI JULHO 2021'!$1:$1048576,4,FALSE),"")</f>
        <v>18.3</v>
      </c>
      <c r="I370" s="287">
        <f t="shared" si="34"/>
        <v>2.74</v>
      </c>
    </row>
    <row r="371" spans="2:9" s="132" customFormat="1" ht="25.5">
      <c r="B371" s="133" t="s">
        <v>7403</v>
      </c>
      <c r="C371" s="133" t="s">
        <v>7</v>
      </c>
      <c r="D371" s="405">
        <v>4276</v>
      </c>
      <c r="E371" s="134" t="str">
        <f>IF($D371&lt;&gt;"",VLOOKUP($D371,'SINAPI JULHO 2021'!$A$1:E12069,2,FALSE),"")</f>
        <v xml:space="preserve">PARA-RAIOS DE DISTRIBUICAO, TENSAO NOMINAL 15 KV, CORRENTE NOMINAL DE DESCARGA 5 KA                                                                                                                                                                                                                                                                                                                                                                                                                       </v>
      </c>
      <c r="F371" s="135" t="str">
        <f>IF($D371&lt;&gt;"",VLOOKUP($D371,'SINAPI JULHO 2021'!$1:$1048576,3,FALSE),"")</f>
        <v xml:space="preserve">UN    </v>
      </c>
      <c r="G371" s="291">
        <v>1</v>
      </c>
      <c r="H371" s="415">
        <f>IF($D371&lt;&gt;"",VLOOKUP($D371,'SINAPI JULHO 2021'!$1:$1048576,4,FALSE),"")</f>
        <v>311.5</v>
      </c>
      <c r="I371" s="287">
        <f t="shared" si="34"/>
        <v>311.5</v>
      </c>
    </row>
    <row r="372" spans="2:9" s="132" customFormat="1" ht="13.5" thickBot="1">
      <c r="B372" s="408"/>
      <c r="C372" s="408"/>
      <c r="D372" s="410"/>
      <c r="E372" s="411"/>
      <c r="F372" s="412"/>
      <c r="G372" s="35"/>
      <c r="H372" s="289"/>
      <c r="I372" s="290"/>
    </row>
    <row r="373" spans="2:9" s="132" customFormat="1" ht="26.25" thickBot="1">
      <c r="B373" s="637" t="s">
        <v>7454</v>
      </c>
      <c r="C373" s="627"/>
      <c r="D373" s="627"/>
      <c r="E373" s="614" t="s">
        <v>7455</v>
      </c>
      <c r="F373" s="615" t="s">
        <v>553</v>
      </c>
      <c r="G373" s="649"/>
      <c r="H373" s="642"/>
      <c r="I373" s="626">
        <f>TRUNC(SUM(I374:I376),2)</f>
        <v>109.36</v>
      </c>
    </row>
    <row r="374" spans="2:9" s="132" customFormat="1">
      <c r="B374" s="240" t="s">
        <v>7403</v>
      </c>
      <c r="C374" s="240" t="s">
        <v>7</v>
      </c>
      <c r="D374" s="594">
        <v>88247</v>
      </c>
      <c r="E374" s="566" t="str">
        <f>IF($D374&lt;&gt;"",VLOOKUP($D374,'SINAPI JULHO 2021'!$A$1:E12072,2,FALSE),"")</f>
        <v>AUXILIAR DE ELETRICISTA COM ENCARGOS COMPLEMENTARES</v>
      </c>
      <c r="F374" s="567" t="str">
        <f>IF($D374&lt;&gt;"",VLOOKUP($D374,'SINAPI JULHO 2021'!$1:$1048576,3,FALSE),"")</f>
        <v>H</v>
      </c>
      <c r="G374" s="587">
        <v>0.15</v>
      </c>
      <c r="H374" s="588">
        <f>IF($D374&lt;&gt;"",VLOOKUP($D374,'SINAPI JULHO 2021'!$1:$1048576,4,FALSE),"")</f>
        <v>14</v>
      </c>
      <c r="I374" s="589">
        <f t="shared" ref="I374:I376" si="35">TRUNC(G374*H374,2)</f>
        <v>2.1</v>
      </c>
    </row>
    <row r="375" spans="2:9" s="132" customFormat="1">
      <c r="B375" s="133" t="s">
        <v>7403</v>
      </c>
      <c r="C375" s="133" t="s">
        <v>7</v>
      </c>
      <c r="D375" s="405">
        <v>88264</v>
      </c>
      <c r="E375" s="134" t="str">
        <f>IF($D375&lt;&gt;"",VLOOKUP($D375,'SINAPI JULHO 2021'!$A$1:E12073,2,FALSE),"")</f>
        <v>ELETRICISTA COM ENCARGOS COMPLEMENTARES</v>
      </c>
      <c r="F375" s="135" t="str">
        <f>IF($D375&lt;&gt;"",VLOOKUP($D375,'SINAPI JULHO 2021'!$1:$1048576,3,FALSE),"")</f>
        <v>H</v>
      </c>
      <c r="G375" s="291">
        <v>0.15</v>
      </c>
      <c r="H375" s="415">
        <f>IF($D375&lt;&gt;"",VLOOKUP($D375,'SINAPI JULHO 2021'!$1:$1048576,4,FALSE),"")</f>
        <v>18.3</v>
      </c>
      <c r="I375" s="287">
        <f t="shared" si="35"/>
        <v>2.74</v>
      </c>
    </row>
    <row r="376" spans="2:9" s="132" customFormat="1" ht="25.5">
      <c r="B376" s="133" t="s">
        <v>568</v>
      </c>
      <c r="C376" s="133" t="s">
        <v>7</v>
      </c>
      <c r="D376" s="405">
        <v>34519</v>
      </c>
      <c r="E376" s="134" t="str">
        <f>IF($D376&lt;&gt;"",VLOOKUP($D376,'SINAPI JULHO 2021'!$A$1:E12074,2,FALSE),"")</f>
        <v xml:space="preserve">CRUZETA DE CONCRETO LEVE, COMP. 2000 MM SECAO, 90 X 90 MM                                                                                                                                                                                                                                                                                                                                                                                                                                                 </v>
      </c>
      <c r="F376" s="135" t="str">
        <f>IF($D376&lt;&gt;"",VLOOKUP($D376,'SINAPI JULHO 2021'!$1:$1048576,3,FALSE),"")</f>
        <v xml:space="preserve">UN    </v>
      </c>
      <c r="G376" s="291">
        <v>1</v>
      </c>
      <c r="H376" s="415">
        <f>IF($D376&lt;&gt;"",VLOOKUP($D376,'SINAPI JULHO 2021'!$1:$1048576,4,FALSE),"")</f>
        <v>104.52</v>
      </c>
      <c r="I376" s="287">
        <f t="shared" si="35"/>
        <v>104.52</v>
      </c>
    </row>
    <row r="377" spans="2:9" s="132" customFormat="1" ht="13.5" thickBot="1">
      <c r="B377" s="408"/>
      <c r="C377" s="408"/>
      <c r="D377" s="410"/>
      <c r="E377" s="411"/>
      <c r="F377" s="412"/>
      <c r="G377" s="35"/>
      <c r="H377" s="289"/>
      <c r="I377" s="290"/>
    </row>
    <row r="378" spans="2:9" s="132" customFormat="1" ht="26.25" thickBot="1">
      <c r="B378" s="637" t="s">
        <v>7456</v>
      </c>
      <c r="C378" s="627"/>
      <c r="D378" s="627"/>
      <c r="E378" s="614" t="s">
        <v>7457</v>
      </c>
      <c r="F378" s="615" t="s">
        <v>553</v>
      </c>
      <c r="G378" s="649"/>
      <c r="H378" s="642"/>
      <c r="I378" s="626">
        <f>TRUNC(SUM(I379:I381),2)</f>
        <v>48.88</v>
      </c>
    </row>
    <row r="379" spans="2:9" s="132" customFormat="1">
      <c r="B379" s="240" t="s">
        <v>7403</v>
      </c>
      <c r="C379" s="240" t="s">
        <v>7</v>
      </c>
      <c r="D379" s="594">
        <v>88247</v>
      </c>
      <c r="E379" s="566" t="str">
        <f>IF($D379&lt;&gt;"",VLOOKUP($D379,'SINAPI JULHO 2021'!$A$1:E12077,2,FALSE),"")</f>
        <v>AUXILIAR DE ELETRICISTA COM ENCARGOS COMPLEMENTARES</v>
      </c>
      <c r="F379" s="567" t="str">
        <f>IF($D379&lt;&gt;"",VLOOKUP($D379,'SINAPI JULHO 2021'!$1:$1048576,3,FALSE),"")</f>
        <v>H</v>
      </c>
      <c r="G379" s="587">
        <v>0.15</v>
      </c>
      <c r="H379" s="588">
        <f>IF($D379&lt;&gt;"",VLOOKUP($D379,'SINAPI JULHO 2021'!$1:$1048576,4,FALSE),"")</f>
        <v>14</v>
      </c>
      <c r="I379" s="589">
        <f t="shared" ref="I379:I381" si="36">TRUNC(G379*H379,2)</f>
        <v>2.1</v>
      </c>
    </row>
    <row r="380" spans="2:9" s="132" customFormat="1">
      <c r="B380" s="133" t="s">
        <v>7403</v>
      </c>
      <c r="C380" s="133" t="s">
        <v>7</v>
      </c>
      <c r="D380" s="405">
        <v>88264</v>
      </c>
      <c r="E380" s="134" t="str">
        <f>IF($D380&lt;&gt;"",VLOOKUP($D380,'SINAPI JULHO 2021'!$A$1:E12078,2,FALSE),"")</f>
        <v>ELETRICISTA COM ENCARGOS COMPLEMENTARES</v>
      </c>
      <c r="F380" s="135" t="str">
        <f>IF($D380&lt;&gt;"",VLOOKUP($D380,'SINAPI JULHO 2021'!$1:$1048576,3,FALSE),"")</f>
        <v>H</v>
      </c>
      <c r="G380" s="291">
        <v>0.15</v>
      </c>
      <c r="H380" s="415">
        <f>IF($D380&lt;&gt;"",VLOOKUP($D380,'SINAPI JULHO 2021'!$1:$1048576,4,FALSE),"")</f>
        <v>18.3</v>
      </c>
      <c r="I380" s="287">
        <f t="shared" si="36"/>
        <v>2.74</v>
      </c>
    </row>
    <row r="381" spans="2:9" s="132" customFormat="1" ht="38.25">
      <c r="B381" s="133" t="s">
        <v>7403</v>
      </c>
      <c r="C381" s="133" t="s">
        <v>7</v>
      </c>
      <c r="D381" s="405">
        <v>11837</v>
      </c>
      <c r="E381" s="134" t="str">
        <f>IF($D381&lt;&gt;"",VLOOKUP($D381,'SINAPI JULHO 2021'!$A$1:E12079,2,FALSE),"")</f>
        <v xml:space="preserve">GRAMPO LINHA VIVA DE LATAO ESTANHADO, DIAMETRO DO CONDUTOR PRINCIPAL DE 10 A 120 MM2, DIAMETRO DA DERIVACAO DE 10 A 70 MM2                                                                                                                                                                                                                                                                                                                                                                                </v>
      </c>
      <c r="F381" s="135" t="str">
        <f>IF($D381&lt;&gt;"",VLOOKUP($D381,'SINAPI JULHO 2021'!$1:$1048576,3,FALSE),"")</f>
        <v xml:space="preserve">UN    </v>
      </c>
      <c r="G381" s="291">
        <v>1</v>
      </c>
      <c r="H381" s="415">
        <f>IF($D381&lt;&gt;"",VLOOKUP($D381,'SINAPI JULHO 2021'!$1:$1048576,4,FALSE),"")</f>
        <v>44.04</v>
      </c>
      <c r="I381" s="287">
        <f t="shared" si="36"/>
        <v>44.04</v>
      </c>
    </row>
    <row r="382" spans="2:9" s="132" customFormat="1" ht="13.5" thickBot="1">
      <c r="B382" s="408"/>
      <c r="C382" s="408"/>
      <c r="D382" s="410"/>
      <c r="E382" s="411"/>
      <c r="F382" s="412"/>
      <c r="G382" s="35"/>
      <c r="H382" s="289"/>
      <c r="I382" s="290"/>
    </row>
    <row r="383" spans="2:9" s="132" customFormat="1" ht="13.5" thickBot="1">
      <c r="B383" s="637" t="s">
        <v>7458</v>
      </c>
      <c r="C383" s="627"/>
      <c r="D383" s="627"/>
      <c r="E383" s="614" t="s">
        <v>7459</v>
      </c>
      <c r="F383" s="615" t="s">
        <v>553</v>
      </c>
      <c r="G383" s="649"/>
      <c r="H383" s="642"/>
      <c r="I383" s="626">
        <f>TRUNC(SUM(I384:I386),2)</f>
        <v>29.58</v>
      </c>
    </row>
    <row r="384" spans="2:9" s="132" customFormat="1">
      <c r="B384" s="240" t="s">
        <v>7403</v>
      </c>
      <c r="C384" s="240" t="s">
        <v>7</v>
      </c>
      <c r="D384" s="594">
        <v>88247</v>
      </c>
      <c r="E384" s="566" t="str">
        <f>IF($D384&lt;&gt;"",VLOOKUP($D384,'SINAPI JULHO 2021'!$A$1:E12082,2,FALSE),"")</f>
        <v>AUXILIAR DE ELETRICISTA COM ENCARGOS COMPLEMENTARES</v>
      </c>
      <c r="F384" s="567" t="str">
        <f>IF($D384&lt;&gt;"",VLOOKUP($D384,'SINAPI JULHO 2021'!$1:$1048576,3,FALSE),"")</f>
        <v>H</v>
      </c>
      <c r="G384" s="587">
        <v>0.15</v>
      </c>
      <c r="H384" s="588">
        <f>IF($D384&lt;&gt;"",VLOOKUP($D384,'SINAPI JULHO 2021'!$1:$1048576,4,FALSE),"")</f>
        <v>14</v>
      </c>
      <c r="I384" s="589">
        <f t="shared" ref="I384:I385" si="37">TRUNC(G384*H384,2)</f>
        <v>2.1</v>
      </c>
    </row>
    <row r="385" spans="2:9" s="132" customFormat="1">
      <c r="B385" s="133" t="s">
        <v>7403</v>
      </c>
      <c r="C385" s="133" t="s">
        <v>7</v>
      </c>
      <c r="D385" s="405">
        <v>88264</v>
      </c>
      <c r="E385" s="134" t="str">
        <f>IF($D385&lt;&gt;"",VLOOKUP($D385,'SINAPI JULHO 2021'!$A$1:E12083,2,FALSE),"")</f>
        <v>ELETRICISTA COM ENCARGOS COMPLEMENTARES</v>
      </c>
      <c r="F385" s="135" t="str">
        <f>IF($D385&lt;&gt;"",VLOOKUP($D385,'SINAPI JULHO 2021'!$1:$1048576,3,FALSE),"")</f>
        <v>H</v>
      </c>
      <c r="G385" s="291">
        <v>0.15</v>
      </c>
      <c r="H385" s="415">
        <f>IF($D385&lt;&gt;"",VLOOKUP($D385,'SINAPI JULHO 2021'!$1:$1048576,4,FALSE),"")</f>
        <v>18.3</v>
      </c>
      <c r="I385" s="287">
        <f t="shared" si="37"/>
        <v>2.74</v>
      </c>
    </row>
    <row r="386" spans="2:9">
      <c r="B386" s="455" t="s">
        <v>568</v>
      </c>
      <c r="C386" s="133" t="s">
        <v>569</v>
      </c>
      <c r="D386" s="405"/>
      <c r="E386" s="421" t="s">
        <v>7460</v>
      </c>
      <c r="F386" s="422" t="s">
        <v>553</v>
      </c>
      <c r="G386" s="291">
        <v>1</v>
      </c>
      <c r="H386" s="423">
        <v>24.74</v>
      </c>
      <c r="I386" s="288">
        <f t="shared" ref="I386" si="38">TRUNC(H386*G386,2)</f>
        <v>24.74</v>
      </c>
    </row>
    <row r="387" spans="2:9" ht="13.5" thickBot="1">
      <c r="B387" s="408"/>
      <c r="C387" s="408"/>
      <c r="D387" s="410"/>
      <c r="E387" s="411"/>
      <c r="F387" s="412"/>
      <c r="G387" s="35"/>
      <c r="H387" s="289"/>
      <c r="I387" s="290"/>
    </row>
    <row r="388" spans="2:9" s="132" customFormat="1" ht="26.25" thickBot="1">
      <c r="B388" s="637" t="s">
        <v>7461</v>
      </c>
      <c r="C388" s="627"/>
      <c r="D388" s="627"/>
      <c r="E388" s="650" t="s">
        <v>7462</v>
      </c>
      <c r="F388" s="615" t="s">
        <v>553</v>
      </c>
      <c r="G388" s="649"/>
      <c r="H388" s="642"/>
      <c r="I388" s="626">
        <f>TRUNC(SUM(I389:I390),2)</f>
        <v>2581.0500000000002</v>
      </c>
    </row>
    <row r="389" spans="2:9" s="132" customFormat="1" ht="51">
      <c r="B389" s="240" t="s">
        <v>7403</v>
      </c>
      <c r="C389" s="240" t="s">
        <v>7</v>
      </c>
      <c r="D389" s="594">
        <v>100610</v>
      </c>
      <c r="E389" s="566" t="str">
        <f>IF($D389&lt;&gt;"",VLOOKUP($D389,'SINAPI JULHO 2021'!$A$1:E12087,2,FALSE),"")</f>
        <v>ASSENTAMENTO DE POSTE DE CONCRETO COM COMPRIMENTO NOMINAL DE 11 M, CARGA NOMINAL DE 300 DAN, ENGASTAMENTO BASE CONCRETADA COM 1 M DE CONCRETO E 0,7 M DE SOLO (NÃO INCLUI FORNECIMENTO). AF_11/2019</v>
      </c>
      <c r="F389" s="567" t="str">
        <f>IF($D389&lt;&gt;"",VLOOKUP($D389,'SINAPI JULHO 2021'!$1:$1048576,3,FALSE),"")</f>
        <v>UN</v>
      </c>
      <c r="G389" s="587">
        <v>1</v>
      </c>
      <c r="H389" s="588">
        <f>IF($D389&lt;&gt;"",VLOOKUP($D389,'SINAPI JULHO 2021'!$1:$1048576,4,FALSE),"")</f>
        <v>493.05</v>
      </c>
      <c r="I389" s="589">
        <f t="shared" ref="I389" si="39">TRUNC(G389*H389,2)</f>
        <v>493.05</v>
      </c>
    </row>
    <row r="390" spans="2:9" s="132" customFormat="1">
      <c r="B390" s="455" t="s">
        <v>568</v>
      </c>
      <c r="C390" s="133" t="s">
        <v>569</v>
      </c>
      <c r="D390" s="405"/>
      <c r="E390" s="421" t="s">
        <v>7463</v>
      </c>
      <c r="F390" s="422" t="s">
        <v>553</v>
      </c>
      <c r="G390" s="291">
        <v>1</v>
      </c>
      <c r="H390" s="423">
        <v>2088</v>
      </c>
      <c r="I390" s="288">
        <f t="shared" ref="I390" si="40">TRUNC(H390*G390,2)</f>
        <v>2088</v>
      </c>
    </row>
    <row r="391" spans="2:9" s="132" customFormat="1" ht="13.5" thickBot="1">
      <c r="B391" s="408"/>
      <c r="C391" s="408"/>
      <c r="D391" s="410"/>
      <c r="E391" s="411"/>
      <c r="F391" s="412"/>
      <c r="G391" s="35"/>
      <c r="H391" s="289"/>
      <c r="I391" s="290"/>
    </row>
    <row r="392" spans="2:9" s="132" customFormat="1" ht="26.25" thickBot="1">
      <c r="B392" s="637" t="s">
        <v>7464</v>
      </c>
      <c r="C392" s="627"/>
      <c r="D392" s="627"/>
      <c r="E392" s="650" t="s">
        <v>7465</v>
      </c>
      <c r="F392" s="615" t="s">
        <v>553</v>
      </c>
      <c r="G392" s="649"/>
      <c r="H392" s="642"/>
      <c r="I392" s="626">
        <f>TRUNC(SUM(I393:I395),2)</f>
        <v>4.13</v>
      </c>
    </row>
    <row r="393" spans="2:9" s="132" customFormat="1" ht="27" customHeight="1">
      <c r="B393" s="240" t="s">
        <v>7403</v>
      </c>
      <c r="C393" s="240" t="s">
        <v>7</v>
      </c>
      <c r="D393" s="594">
        <v>88247</v>
      </c>
      <c r="E393" s="566" t="str">
        <f>IF($D393&lt;&gt;"",VLOOKUP($D393,'SINAPI JULHO 2021'!$A$1:E12091,2,FALSE),"")</f>
        <v>AUXILIAR DE ELETRICISTA COM ENCARGOS COMPLEMENTARES</v>
      </c>
      <c r="F393" s="567" t="str">
        <f>IF($D393&lt;&gt;"",VLOOKUP($D393,'SINAPI JULHO 2021'!$1:$1048576,3,FALSE),"")</f>
        <v>H</v>
      </c>
      <c r="G393" s="587">
        <v>0.1</v>
      </c>
      <c r="H393" s="588">
        <f>IF($D393&lt;&gt;"",VLOOKUP($D393,'SINAPI JULHO 2021'!$1:$1048576,4,FALSE),"")</f>
        <v>14</v>
      </c>
      <c r="I393" s="589">
        <f t="shared" ref="I393:I395" si="41">TRUNC(G393*H393,2)</f>
        <v>1.4</v>
      </c>
    </row>
    <row r="394" spans="2:9" s="132" customFormat="1" ht="12.75" customHeight="1">
      <c r="B394" s="133" t="s">
        <v>7403</v>
      </c>
      <c r="C394" s="133" t="s">
        <v>7</v>
      </c>
      <c r="D394" s="405">
        <v>88264</v>
      </c>
      <c r="E394" s="134" t="str">
        <f>IF($D394&lt;&gt;"",VLOOKUP($D394,'SINAPI JULHO 2021'!$A$1:E12092,2,FALSE),"")</f>
        <v>ELETRICISTA COM ENCARGOS COMPLEMENTARES</v>
      </c>
      <c r="F394" s="135" t="str">
        <f>IF($D394&lt;&gt;"",VLOOKUP($D394,'SINAPI JULHO 2021'!$1:$1048576,3,FALSE),"")</f>
        <v>H</v>
      </c>
      <c r="G394" s="291">
        <v>0.1</v>
      </c>
      <c r="H394" s="415">
        <f>IF($D394&lt;&gt;"",VLOOKUP($D394,'SINAPI JULHO 2021'!$1:$1048576,4,FALSE),"")</f>
        <v>18.3</v>
      </c>
      <c r="I394" s="287">
        <f t="shared" si="41"/>
        <v>1.83</v>
      </c>
    </row>
    <row r="395" spans="2:9" s="132" customFormat="1" ht="25.5">
      <c r="B395" s="133" t="s">
        <v>568</v>
      </c>
      <c r="C395" s="133" t="s">
        <v>7</v>
      </c>
      <c r="D395" s="405">
        <v>379</v>
      </c>
      <c r="E395" s="134" t="str">
        <f>IF($D395&lt;&gt;"",VLOOKUP($D395,'SINAPI JULHO 2021'!$A$1:E12093,2,FALSE),"")</f>
        <v xml:space="preserve">ARRUELA QUADRADA EM ACO GALVANIZADO, DIMENSAO = 38 MM, ESPESSURA = 3MM, DIAMETRO DO FURO= 18 MM                                                                                                                                                                                                                                                                                                                                                                                                           </v>
      </c>
      <c r="F395" s="135" t="str">
        <f>IF($D395&lt;&gt;"",VLOOKUP($D395,'SINAPI JULHO 2021'!$1:$1048576,3,FALSE),"")</f>
        <v xml:space="preserve">UN    </v>
      </c>
      <c r="G395" s="291">
        <v>1</v>
      </c>
      <c r="H395" s="415">
        <f>IF($D395&lt;&gt;"",VLOOKUP($D395,'SINAPI JULHO 2021'!$1:$1048576,4,FALSE),"")</f>
        <v>0.9</v>
      </c>
      <c r="I395" s="287">
        <f t="shared" si="41"/>
        <v>0.9</v>
      </c>
    </row>
    <row r="396" spans="2:9" s="132" customFormat="1" ht="13.5" thickBot="1">
      <c r="B396" s="408"/>
      <c r="C396" s="408"/>
      <c r="D396" s="410"/>
      <c r="E396" s="411"/>
      <c r="F396" s="412"/>
      <c r="G396" s="35"/>
      <c r="H396" s="289"/>
      <c r="I396" s="290"/>
    </row>
    <row r="397" spans="2:9" s="132" customFormat="1" ht="33" customHeight="1" thickBot="1">
      <c r="B397" s="637" t="s">
        <v>7466</v>
      </c>
      <c r="C397" s="627"/>
      <c r="D397" s="627"/>
      <c r="E397" s="614" t="s">
        <v>7467</v>
      </c>
      <c r="F397" s="615" t="s">
        <v>553</v>
      </c>
      <c r="G397" s="649"/>
      <c r="H397" s="642"/>
      <c r="I397" s="626">
        <f>TRUNC(SUM(I398:I401),2)</f>
        <v>11.07</v>
      </c>
    </row>
    <row r="398" spans="2:9" s="132" customFormat="1">
      <c r="B398" s="240" t="s">
        <v>7403</v>
      </c>
      <c r="C398" s="240" t="s">
        <v>7</v>
      </c>
      <c r="D398" s="594">
        <v>88247</v>
      </c>
      <c r="E398" s="566" t="str">
        <f>IF($D398&lt;&gt;"",VLOOKUP($D398,'SINAPI JULHO 2021'!$A$1:E12096,2,FALSE),"")</f>
        <v>AUXILIAR DE ELETRICISTA COM ENCARGOS COMPLEMENTARES</v>
      </c>
      <c r="F398" s="567" t="str">
        <f>IF($D398&lt;&gt;"",VLOOKUP($D398,'SINAPI JULHO 2021'!$1:$1048576,3,FALSE),"")</f>
        <v>H</v>
      </c>
      <c r="G398" s="587">
        <v>0.05</v>
      </c>
      <c r="H398" s="588">
        <f>IF($D398&lt;&gt;"",VLOOKUP($D398,'SINAPI JULHO 2021'!$1:$1048576,4,FALSE),"")</f>
        <v>14</v>
      </c>
      <c r="I398" s="589">
        <f t="shared" ref="I398:I401" si="42">TRUNC(G398*H398,2)</f>
        <v>0.7</v>
      </c>
    </row>
    <row r="399" spans="2:9" s="132" customFormat="1" ht="34.5" customHeight="1">
      <c r="B399" s="133" t="s">
        <v>7403</v>
      </c>
      <c r="C399" s="133" t="s">
        <v>7</v>
      </c>
      <c r="D399" s="405">
        <v>88264</v>
      </c>
      <c r="E399" s="134" t="str">
        <f>IF($D399&lt;&gt;"",VLOOKUP($D399,'SINAPI JULHO 2021'!$A$1:E12097,2,FALSE),"")</f>
        <v>ELETRICISTA COM ENCARGOS COMPLEMENTARES</v>
      </c>
      <c r="F399" s="135" t="str">
        <f>IF($D399&lt;&gt;"",VLOOKUP($D399,'SINAPI JULHO 2021'!$1:$1048576,3,FALSE),"")</f>
        <v>H</v>
      </c>
      <c r="G399" s="291">
        <v>0.1</v>
      </c>
      <c r="H399" s="415">
        <f>IF($D399&lt;&gt;"",VLOOKUP($D399,'SINAPI JULHO 2021'!$1:$1048576,4,FALSE),"")</f>
        <v>18.3</v>
      </c>
      <c r="I399" s="287">
        <f t="shared" si="42"/>
        <v>1.83</v>
      </c>
    </row>
    <row r="400" spans="2:9" s="132" customFormat="1" ht="27" customHeight="1">
      <c r="B400" s="133" t="s">
        <v>7403</v>
      </c>
      <c r="C400" s="133" t="s">
        <v>7</v>
      </c>
      <c r="D400" s="405">
        <v>430</v>
      </c>
      <c r="E400" s="134" t="str">
        <f>IF($D400&lt;&gt;"",VLOOKUP($D400,'SINAPI JULHO 2021'!$A$1:E12098,2,FALSE),"")</f>
        <v xml:space="preserve">PARAFUSO M16 EM ACO GALVANIZADO, COMPRIMENTO = 125 MM, DIAMETRO = 16 MM, ROSCA MAQUINA, CABECA QUADRADA                                                                                                                                                                                                                                                                                                                                                                                                   </v>
      </c>
      <c r="F400" s="135" t="str">
        <f>IF($D400&lt;&gt;"",VLOOKUP($D400,'SINAPI JULHO 2021'!$1:$1048576,3,FALSE),"")</f>
        <v xml:space="preserve">UN    </v>
      </c>
      <c r="G400" s="291">
        <v>1</v>
      </c>
      <c r="H400" s="415">
        <f>IF($D400&lt;&gt;"",VLOOKUP($D400,'SINAPI JULHO 2021'!$1:$1048576,4,FALSE),"")</f>
        <v>6.85</v>
      </c>
      <c r="I400" s="287">
        <f t="shared" si="42"/>
        <v>6.85</v>
      </c>
    </row>
    <row r="401" spans="2:10" s="132" customFormat="1">
      <c r="B401" s="133" t="s">
        <v>568</v>
      </c>
      <c r="C401" s="133" t="s">
        <v>7</v>
      </c>
      <c r="D401" s="405">
        <v>4337</v>
      </c>
      <c r="E401" s="134" t="str">
        <f>IF($D401&lt;&gt;"",VLOOKUP($D401,'SINAPI JULHO 2021'!$A$1:E12099,2,FALSE),"")</f>
        <v xml:space="preserve">PORCA ZINCADA, QUADRADA, DIAMETRO 5/8"                                                                                                                                                                                                                                                                                                                                                                                                                                                                    </v>
      </c>
      <c r="F401" s="135" t="str">
        <f>IF($D401&lt;&gt;"",VLOOKUP($D401,'SINAPI JULHO 2021'!$1:$1048576,3,FALSE),"")</f>
        <v xml:space="preserve">UN    </v>
      </c>
      <c r="G401" s="291">
        <v>1</v>
      </c>
      <c r="H401" s="415">
        <f>IF($D401&lt;&gt;"",VLOOKUP($D401,'SINAPI JULHO 2021'!$1:$1048576,4,FALSE),"")</f>
        <v>1.69</v>
      </c>
      <c r="I401" s="287">
        <f t="shared" si="42"/>
        <v>1.69</v>
      </c>
    </row>
    <row r="402" spans="2:10" s="132" customFormat="1" ht="53.25" customHeight="1" thickBot="1">
      <c r="B402" s="486"/>
      <c r="C402" s="408"/>
      <c r="D402" s="424"/>
      <c r="E402" s="411"/>
      <c r="F402" s="412"/>
      <c r="G402" s="425"/>
      <c r="H402" s="289"/>
      <c r="I402" s="289"/>
      <c r="J402" s="336"/>
    </row>
    <row r="403" spans="2:10" s="132" customFormat="1" ht="26.25" thickBot="1">
      <c r="B403" s="637" t="s">
        <v>7468</v>
      </c>
      <c r="C403" s="651"/>
      <c r="D403" s="651"/>
      <c r="E403" s="614" t="s">
        <v>7469</v>
      </c>
      <c r="F403" s="632" t="s">
        <v>553</v>
      </c>
      <c r="G403" s="652"/>
      <c r="H403" s="642"/>
      <c r="I403" s="626">
        <f>TRUNC(SUM(I404:I407),2)</f>
        <v>11.77</v>
      </c>
    </row>
    <row r="404" spans="2:10" s="132" customFormat="1">
      <c r="B404" s="240" t="s">
        <v>7403</v>
      </c>
      <c r="C404" s="240" t="s">
        <v>7</v>
      </c>
      <c r="D404" s="594">
        <v>88247</v>
      </c>
      <c r="E404" s="566" t="str">
        <f>IF($D404&lt;&gt;"",VLOOKUP($D404,'SINAPI JULHO 2021'!$A$1:E12102,2,FALSE),"")</f>
        <v>AUXILIAR DE ELETRICISTA COM ENCARGOS COMPLEMENTARES</v>
      </c>
      <c r="F404" s="567" t="str">
        <f>IF($D404&lt;&gt;"",VLOOKUP($D404,'SINAPI JULHO 2021'!$1:$1048576,3,FALSE),"")</f>
        <v>H</v>
      </c>
      <c r="G404" s="587">
        <v>0.1</v>
      </c>
      <c r="H404" s="588">
        <f>IF($D404&lt;&gt;"",VLOOKUP($D404,'SINAPI JULHO 2021'!$1:$1048576,4,FALSE),"")</f>
        <v>14</v>
      </c>
      <c r="I404" s="589">
        <f t="shared" ref="I404:I407" si="43">TRUNC(G404*H404,2)</f>
        <v>1.4</v>
      </c>
    </row>
    <row r="405" spans="2:10" s="132" customFormat="1">
      <c r="B405" s="133" t="s">
        <v>7403</v>
      </c>
      <c r="C405" s="133" t="s">
        <v>7</v>
      </c>
      <c r="D405" s="405">
        <v>88264</v>
      </c>
      <c r="E405" s="134" t="str">
        <f>IF($D405&lt;&gt;"",VLOOKUP($D405,'SINAPI JULHO 2021'!$A$1:E12103,2,FALSE),"")</f>
        <v>ELETRICISTA COM ENCARGOS COMPLEMENTARES</v>
      </c>
      <c r="F405" s="135" t="str">
        <f>IF($D405&lt;&gt;"",VLOOKUP($D405,'SINAPI JULHO 2021'!$1:$1048576,3,FALSE),"")</f>
        <v>H</v>
      </c>
      <c r="G405" s="291">
        <v>0.1</v>
      </c>
      <c r="H405" s="415">
        <f>IF($D405&lt;&gt;"",VLOOKUP($D405,'SINAPI JULHO 2021'!$1:$1048576,4,FALSE),"")</f>
        <v>18.3</v>
      </c>
      <c r="I405" s="287">
        <f t="shared" si="43"/>
        <v>1.83</v>
      </c>
    </row>
    <row r="406" spans="2:10" s="132" customFormat="1" ht="25.5">
      <c r="B406" s="133" t="s">
        <v>568</v>
      </c>
      <c r="C406" s="133" t="s">
        <v>7</v>
      </c>
      <c r="D406" s="405">
        <v>430</v>
      </c>
      <c r="E406" s="134" t="str">
        <f>IF($D406&lt;&gt;"",VLOOKUP($D406,'SINAPI JULHO 2021'!$A$1:E12104,2,FALSE),"")</f>
        <v xml:space="preserve">PARAFUSO M16 EM ACO GALVANIZADO, COMPRIMENTO = 125 MM, DIAMETRO = 16 MM, ROSCA MAQUINA, CABECA QUADRADA                                                                                                                                                                                                                                                                                                                                                                                                   </v>
      </c>
      <c r="F406" s="135" t="str">
        <f>IF($D406&lt;&gt;"",VLOOKUP($D406,'SINAPI JULHO 2021'!$1:$1048576,3,FALSE),"")</f>
        <v xml:space="preserve">UN    </v>
      </c>
      <c r="G406" s="291">
        <v>1</v>
      </c>
      <c r="H406" s="415">
        <f>IF($D406&lt;&gt;"",VLOOKUP($D406,'SINAPI JULHO 2021'!$1:$1048576,4,FALSE),"")</f>
        <v>6.85</v>
      </c>
      <c r="I406" s="287">
        <f t="shared" si="43"/>
        <v>6.85</v>
      </c>
    </row>
    <row r="407" spans="2:10" s="132" customFormat="1">
      <c r="B407" s="133" t="s">
        <v>568</v>
      </c>
      <c r="C407" s="133" t="s">
        <v>7</v>
      </c>
      <c r="D407" s="405">
        <v>4337</v>
      </c>
      <c r="E407" s="134" t="str">
        <f>IF($D407&lt;&gt;"",VLOOKUP($D407,'SINAPI JULHO 2021'!$A$1:E12105,2,FALSE),"")</f>
        <v xml:space="preserve">PORCA ZINCADA, QUADRADA, DIAMETRO 5/8"                                                                                                                                                                                                                                                                                                                                                                                                                                                                    </v>
      </c>
      <c r="F407" s="135" t="str">
        <f>IF($D407&lt;&gt;"",VLOOKUP($D407,'SINAPI JULHO 2021'!$1:$1048576,3,FALSE),"")</f>
        <v xml:space="preserve">UN    </v>
      </c>
      <c r="G407" s="291">
        <v>1</v>
      </c>
      <c r="H407" s="415">
        <f>IF($D407&lt;&gt;"",VLOOKUP($D407,'SINAPI JULHO 2021'!$1:$1048576,4,FALSE),"")</f>
        <v>1.69</v>
      </c>
      <c r="I407" s="287">
        <f t="shared" si="43"/>
        <v>1.69</v>
      </c>
    </row>
    <row r="408" spans="2:10" s="132" customFormat="1" ht="13.5" thickBot="1">
      <c r="B408" s="408"/>
      <c r="C408" s="408"/>
      <c r="D408" s="424"/>
      <c r="E408" s="411"/>
      <c r="F408" s="412"/>
      <c r="G408" s="425"/>
      <c r="H408" s="289"/>
      <c r="I408" s="289"/>
    </row>
    <row r="409" spans="2:10" s="132" customFormat="1" ht="26.25" thickBot="1">
      <c r="B409" s="637" t="s">
        <v>7470</v>
      </c>
      <c r="C409" s="651"/>
      <c r="D409" s="651"/>
      <c r="E409" s="614" t="s">
        <v>7471</v>
      </c>
      <c r="F409" s="632" t="s">
        <v>553</v>
      </c>
      <c r="G409" s="653"/>
      <c r="H409" s="642"/>
      <c r="I409" s="626">
        <f>TRUNC(SUM(I410:I413),2)</f>
        <v>14.02</v>
      </c>
    </row>
    <row r="410" spans="2:10" s="132" customFormat="1">
      <c r="B410" s="240" t="s">
        <v>7403</v>
      </c>
      <c r="C410" s="240" t="s">
        <v>7</v>
      </c>
      <c r="D410" s="594">
        <v>88247</v>
      </c>
      <c r="E410" s="566" t="str">
        <f>IF($D410&lt;&gt;"",VLOOKUP($D410,'SINAPI JULHO 2021'!$A$1:E12108,2,FALSE),"")</f>
        <v>AUXILIAR DE ELETRICISTA COM ENCARGOS COMPLEMENTARES</v>
      </c>
      <c r="F410" s="567" t="str">
        <f>IF($D410&lt;&gt;"",VLOOKUP($D410,'SINAPI JULHO 2021'!$1:$1048576,3,FALSE),"")</f>
        <v>H</v>
      </c>
      <c r="G410" s="587">
        <v>0.1</v>
      </c>
      <c r="H410" s="588">
        <f>IF($D410&lt;&gt;"",VLOOKUP($D410,'SINAPI JULHO 2021'!$1:$1048576,4,FALSE),"")</f>
        <v>14</v>
      </c>
      <c r="I410" s="589">
        <f t="shared" ref="I410:I413" si="44">TRUNC(G410*H410,2)</f>
        <v>1.4</v>
      </c>
    </row>
    <row r="411" spans="2:10" s="132" customFormat="1">
      <c r="B411" s="133" t="s">
        <v>7403</v>
      </c>
      <c r="C411" s="133" t="s">
        <v>7</v>
      </c>
      <c r="D411" s="405">
        <v>88264</v>
      </c>
      <c r="E411" s="134" t="str">
        <f>IF($D411&lt;&gt;"",VLOOKUP($D411,'SINAPI JULHO 2021'!$A$1:E12109,2,FALSE),"")</f>
        <v>ELETRICISTA COM ENCARGOS COMPLEMENTARES</v>
      </c>
      <c r="F411" s="135" t="str">
        <f>IF($D411&lt;&gt;"",VLOOKUP($D411,'SINAPI JULHO 2021'!$1:$1048576,3,FALSE),"")</f>
        <v>H</v>
      </c>
      <c r="G411" s="291">
        <v>0.1</v>
      </c>
      <c r="H411" s="415">
        <f>IF($D411&lt;&gt;"",VLOOKUP($D411,'SINAPI JULHO 2021'!$1:$1048576,4,FALSE),"")</f>
        <v>18.3</v>
      </c>
      <c r="I411" s="287">
        <f t="shared" si="44"/>
        <v>1.83</v>
      </c>
    </row>
    <row r="412" spans="2:10" s="132" customFormat="1" ht="25.5">
      <c r="B412" s="133" t="s">
        <v>7403</v>
      </c>
      <c r="C412" s="133" t="s">
        <v>7</v>
      </c>
      <c r="D412" s="405">
        <v>431</v>
      </c>
      <c r="E412" s="134" t="str">
        <f>IF($D412&lt;&gt;"",VLOOKUP($D412,'SINAPI JULHO 2021'!$A$1:E12110,2,FALSE),"")</f>
        <v xml:space="preserve">PARAFUSO M16 EM ACO GALVANIZADO, COMPRIMENTO = 200 MM, DIAMETRO = 16 MM, ROSCA MAQUINA, CABECA QUADRADA                                                                                                                                                                                                                                                                                                                                                                                                   </v>
      </c>
      <c r="F412" s="135" t="str">
        <f>IF($D412&lt;&gt;"",VLOOKUP($D412,'SINAPI JULHO 2021'!$1:$1048576,3,FALSE),"")</f>
        <v xml:space="preserve">UN    </v>
      </c>
      <c r="G412" s="291">
        <v>1</v>
      </c>
      <c r="H412" s="415">
        <f>IF($D412&lt;&gt;"",VLOOKUP($D412,'SINAPI JULHO 2021'!$1:$1048576,4,FALSE),"")</f>
        <v>9.1</v>
      </c>
      <c r="I412" s="287">
        <f t="shared" si="44"/>
        <v>9.1</v>
      </c>
    </row>
    <row r="413" spans="2:10" s="132" customFormat="1">
      <c r="B413" s="133" t="s">
        <v>568</v>
      </c>
      <c r="C413" s="133" t="s">
        <v>7</v>
      </c>
      <c r="D413" s="405">
        <v>4337</v>
      </c>
      <c r="E413" s="134" t="str">
        <f>IF($D413&lt;&gt;"",VLOOKUP($D413,'SINAPI JULHO 2021'!$A$1:E12111,2,FALSE),"")</f>
        <v xml:space="preserve">PORCA ZINCADA, QUADRADA, DIAMETRO 5/8"                                                                                                                                                                                                                                                                                                                                                                                                                                                                    </v>
      </c>
      <c r="F413" s="135" t="str">
        <f>IF($D413&lt;&gt;"",VLOOKUP($D413,'SINAPI JULHO 2021'!$1:$1048576,3,FALSE),"")</f>
        <v xml:space="preserve">UN    </v>
      </c>
      <c r="G413" s="291">
        <v>1</v>
      </c>
      <c r="H413" s="415">
        <f>IF($D413&lt;&gt;"",VLOOKUP($D413,'SINAPI JULHO 2021'!$1:$1048576,4,FALSE),"")</f>
        <v>1.69</v>
      </c>
      <c r="I413" s="287">
        <f t="shared" si="44"/>
        <v>1.69</v>
      </c>
    </row>
    <row r="414" spans="2:10" s="132" customFormat="1" ht="13.5" thickBot="1">
      <c r="B414" s="408"/>
      <c r="C414" s="408"/>
      <c r="D414" s="424"/>
      <c r="E414" s="411"/>
      <c r="F414" s="412"/>
      <c r="G414" s="425"/>
      <c r="H414" s="289"/>
      <c r="I414" s="289"/>
    </row>
    <row r="415" spans="2:10" s="132" customFormat="1" ht="26.25" thickBot="1">
      <c r="B415" s="637" t="s">
        <v>7472</v>
      </c>
      <c r="C415" s="651"/>
      <c r="D415" s="651"/>
      <c r="E415" s="614" t="s">
        <v>7473</v>
      </c>
      <c r="F415" s="632" t="s">
        <v>553</v>
      </c>
      <c r="G415" s="653"/>
      <c r="H415" s="642"/>
      <c r="I415" s="626">
        <f>TRUNC(SUM(I416:I419),2)</f>
        <v>14.96</v>
      </c>
    </row>
    <row r="416" spans="2:10" s="132" customFormat="1">
      <c r="B416" s="240" t="s">
        <v>7403</v>
      </c>
      <c r="C416" s="240" t="s">
        <v>7</v>
      </c>
      <c r="D416" s="594">
        <v>88247</v>
      </c>
      <c r="E416" s="566" t="str">
        <f>IF($D416&lt;&gt;"",VLOOKUP($D416,'SINAPI JULHO 2021'!$A$1:E12114,2,FALSE),"")</f>
        <v>AUXILIAR DE ELETRICISTA COM ENCARGOS COMPLEMENTARES</v>
      </c>
      <c r="F416" s="567" t="str">
        <f>IF($D416&lt;&gt;"",VLOOKUP($D416,'SINAPI JULHO 2021'!$1:$1048576,3,FALSE),"")</f>
        <v>H</v>
      </c>
      <c r="G416" s="587">
        <v>0.1</v>
      </c>
      <c r="H416" s="588">
        <f>IF($D416&lt;&gt;"",VLOOKUP($D416,'SINAPI JULHO 2021'!$1:$1048576,4,FALSE),"")</f>
        <v>14</v>
      </c>
      <c r="I416" s="589">
        <f t="shared" ref="I416:I419" si="45">TRUNC(G416*H416,2)</f>
        <v>1.4</v>
      </c>
    </row>
    <row r="417" spans="2:9" s="132" customFormat="1">
      <c r="B417" s="133" t="s">
        <v>7403</v>
      </c>
      <c r="C417" s="133" t="s">
        <v>7</v>
      </c>
      <c r="D417" s="405">
        <v>88264</v>
      </c>
      <c r="E417" s="134" t="str">
        <f>IF($D417&lt;&gt;"",VLOOKUP($D417,'SINAPI JULHO 2021'!$A$1:E12115,2,FALSE),"")</f>
        <v>ELETRICISTA COM ENCARGOS COMPLEMENTARES</v>
      </c>
      <c r="F417" s="135" t="str">
        <f>IF($D417&lt;&gt;"",VLOOKUP($D417,'SINAPI JULHO 2021'!$1:$1048576,3,FALSE),"")</f>
        <v>H</v>
      </c>
      <c r="G417" s="291">
        <v>0.1</v>
      </c>
      <c r="H417" s="415">
        <f>IF($D417&lt;&gt;"",VLOOKUP($D417,'SINAPI JULHO 2021'!$1:$1048576,4,FALSE),"")</f>
        <v>18.3</v>
      </c>
      <c r="I417" s="287">
        <f t="shared" si="45"/>
        <v>1.83</v>
      </c>
    </row>
    <row r="418" spans="2:9" s="132" customFormat="1" ht="25.5">
      <c r="B418" s="133" t="s">
        <v>568</v>
      </c>
      <c r="C418" s="133" t="s">
        <v>7</v>
      </c>
      <c r="D418" s="405">
        <v>432</v>
      </c>
      <c r="E418" s="134" t="str">
        <f>IF($D418&lt;&gt;"",VLOOKUP($D418,'SINAPI JULHO 2021'!$A$1:E12116,2,FALSE),"")</f>
        <v xml:space="preserve">PARAFUSO M16 EM ACO GALVANIZADO, COMPRIMENTO = 250 MM, DIAMETRO = 16 MM, ROSCA MAQUINA, CABECA QUADRADA                                                                                                                                                                                                                                                                                                                                                                                                   </v>
      </c>
      <c r="F418" s="135" t="str">
        <f>IF($D418&lt;&gt;"",VLOOKUP($D418,'SINAPI JULHO 2021'!$1:$1048576,3,FALSE),"")</f>
        <v xml:space="preserve">UN    </v>
      </c>
      <c r="G418" s="291">
        <v>1</v>
      </c>
      <c r="H418" s="415">
        <f>IF($D418&lt;&gt;"",VLOOKUP($D418,'SINAPI JULHO 2021'!$1:$1048576,4,FALSE),"")</f>
        <v>10.039999999999999</v>
      </c>
      <c r="I418" s="287">
        <f t="shared" si="45"/>
        <v>10.039999999999999</v>
      </c>
    </row>
    <row r="419" spans="2:9" s="132" customFormat="1">
      <c r="B419" s="133" t="s">
        <v>568</v>
      </c>
      <c r="C419" s="133" t="s">
        <v>7</v>
      </c>
      <c r="D419" s="405">
        <v>4337</v>
      </c>
      <c r="E419" s="134" t="str">
        <f>IF($D419&lt;&gt;"",VLOOKUP($D419,'SINAPI JULHO 2021'!$A$1:E12117,2,FALSE),"")</f>
        <v xml:space="preserve">PORCA ZINCADA, QUADRADA, DIAMETRO 5/8"                                                                                                                                                                                                                                                                                                                                                                                                                                                                    </v>
      </c>
      <c r="F419" s="135" t="str">
        <f>IF($D419&lt;&gt;"",VLOOKUP($D419,'SINAPI JULHO 2021'!$1:$1048576,3,FALSE),"")</f>
        <v xml:space="preserve">UN    </v>
      </c>
      <c r="G419" s="291">
        <v>1</v>
      </c>
      <c r="H419" s="415">
        <f>IF($D419&lt;&gt;"",VLOOKUP($D419,'SINAPI JULHO 2021'!$1:$1048576,4,FALSE),"")</f>
        <v>1.69</v>
      </c>
      <c r="I419" s="287">
        <f t="shared" si="45"/>
        <v>1.69</v>
      </c>
    </row>
    <row r="420" spans="2:9" s="132" customFormat="1" ht="13.5" thickBot="1">
      <c r="B420" s="408"/>
      <c r="C420" s="408"/>
      <c r="D420" s="424"/>
      <c r="E420" s="411"/>
      <c r="F420" s="543"/>
      <c r="G420" s="425"/>
      <c r="H420" s="289"/>
      <c r="I420" s="289"/>
    </row>
    <row r="421" spans="2:9" s="132" customFormat="1" ht="26.25" thickBot="1">
      <c r="B421" s="637" t="s">
        <v>7474</v>
      </c>
      <c r="C421" s="651"/>
      <c r="D421" s="651"/>
      <c r="E421" s="614" t="s">
        <v>7475</v>
      </c>
      <c r="F421" s="632" t="s">
        <v>553</v>
      </c>
      <c r="G421" s="653"/>
      <c r="H421" s="642"/>
      <c r="I421" s="626">
        <f>TRUNC(SUM(I422:I425),2)</f>
        <v>18.46</v>
      </c>
    </row>
    <row r="422" spans="2:9" s="132" customFormat="1">
      <c r="B422" s="240" t="s">
        <v>7403</v>
      </c>
      <c r="C422" s="240" t="s">
        <v>7</v>
      </c>
      <c r="D422" s="594">
        <v>88247</v>
      </c>
      <c r="E422" s="566" t="str">
        <f>IF($D422&lt;&gt;"",VLOOKUP($D422,'SINAPI JULHO 2021'!$A$1:E12120,2,FALSE),"")</f>
        <v>AUXILIAR DE ELETRICISTA COM ENCARGOS COMPLEMENTARES</v>
      </c>
      <c r="F422" s="567" t="str">
        <f>IF($D422&lt;&gt;"",VLOOKUP($D422,'SINAPI JULHO 2021'!$1:$1048576,3,FALSE),"")</f>
        <v>H</v>
      </c>
      <c r="G422" s="587">
        <v>0.1</v>
      </c>
      <c r="H422" s="588">
        <f>IF($D422&lt;&gt;"",VLOOKUP($D422,'SINAPI JULHO 2021'!$1:$1048576,4,FALSE),"")</f>
        <v>14</v>
      </c>
      <c r="I422" s="589">
        <f t="shared" ref="I422:I425" si="46">TRUNC(G422*H422,2)</f>
        <v>1.4</v>
      </c>
    </row>
    <row r="423" spans="2:9" s="132" customFormat="1">
      <c r="B423" s="133" t="s">
        <v>7403</v>
      </c>
      <c r="C423" s="133" t="s">
        <v>7</v>
      </c>
      <c r="D423" s="405">
        <v>88264</v>
      </c>
      <c r="E423" s="134" t="str">
        <f>IF($D423&lt;&gt;"",VLOOKUP($D423,'SINAPI JULHO 2021'!$A$1:E12121,2,FALSE),"")</f>
        <v>ELETRICISTA COM ENCARGOS COMPLEMENTARES</v>
      </c>
      <c r="F423" s="135" t="str">
        <f>IF($D423&lt;&gt;"",VLOOKUP($D423,'SINAPI JULHO 2021'!$1:$1048576,3,FALSE),"")</f>
        <v>H</v>
      </c>
      <c r="G423" s="291">
        <v>0.1</v>
      </c>
      <c r="H423" s="415">
        <f>IF($D423&lt;&gt;"",VLOOKUP($D423,'SINAPI JULHO 2021'!$1:$1048576,4,FALSE),"")</f>
        <v>18.3</v>
      </c>
      <c r="I423" s="287">
        <f t="shared" si="46"/>
        <v>1.83</v>
      </c>
    </row>
    <row r="424" spans="2:9" s="132" customFormat="1" ht="25.5">
      <c r="B424" s="133" t="s">
        <v>568</v>
      </c>
      <c r="C424" s="133" t="s">
        <v>7</v>
      </c>
      <c r="D424" s="405">
        <v>429</v>
      </c>
      <c r="E424" s="134" t="str">
        <f>IF($D424&lt;&gt;"",VLOOKUP($D424,'SINAPI JULHO 2021'!$A$1:E12122,2,FALSE),"")</f>
        <v xml:space="preserve">PARAFUSO M16 EM ACO GALVANIZADO, COMPRIMENTO = 300 MM, DIAMETRO = 16 MM, ROSCA DUPLA                                                                                                                                                                                                                                                                                                                                                                                                                      </v>
      </c>
      <c r="F424" s="135" t="str">
        <f>IF($D424&lt;&gt;"",VLOOKUP($D424,'SINAPI JULHO 2021'!$1:$1048576,3,FALSE),"")</f>
        <v xml:space="preserve">UN    </v>
      </c>
      <c r="G424" s="291">
        <v>1</v>
      </c>
      <c r="H424" s="415">
        <f>IF($D424&lt;&gt;"",VLOOKUP($D424,'SINAPI JULHO 2021'!$1:$1048576,4,FALSE),"")</f>
        <v>13.54</v>
      </c>
      <c r="I424" s="287">
        <f t="shared" si="46"/>
        <v>13.54</v>
      </c>
    </row>
    <row r="425" spans="2:9" s="132" customFormat="1">
      <c r="B425" s="133" t="s">
        <v>568</v>
      </c>
      <c r="C425" s="133" t="s">
        <v>7</v>
      </c>
      <c r="D425" s="405">
        <v>4337</v>
      </c>
      <c r="E425" s="134" t="str">
        <f>IF($D425&lt;&gt;"",VLOOKUP($D425,'SINAPI JULHO 2021'!$A$1:E12123,2,FALSE),"")</f>
        <v xml:space="preserve">PORCA ZINCADA, QUADRADA, DIAMETRO 5/8"                                                                                                                                                                                                                                                                                                                                                                                                                                                                    </v>
      </c>
      <c r="F425" s="135" t="str">
        <f>IF($D425&lt;&gt;"",VLOOKUP($D425,'SINAPI JULHO 2021'!$1:$1048576,3,FALSE),"")</f>
        <v xml:space="preserve">UN    </v>
      </c>
      <c r="G425" s="291">
        <v>1</v>
      </c>
      <c r="H425" s="415">
        <f>IF($D425&lt;&gt;"",VLOOKUP($D425,'SINAPI JULHO 2021'!$1:$1048576,4,FALSE),"")</f>
        <v>1.69</v>
      </c>
      <c r="I425" s="287">
        <f t="shared" si="46"/>
        <v>1.69</v>
      </c>
    </row>
    <row r="426" spans="2:9" s="132" customFormat="1" ht="13.5" thickBot="1">
      <c r="B426" s="408"/>
      <c r="C426" s="408"/>
      <c r="D426" s="424"/>
      <c r="E426" s="411"/>
      <c r="F426" s="543"/>
      <c r="G426" s="425"/>
      <c r="H426" s="289"/>
      <c r="I426" s="289"/>
    </row>
    <row r="427" spans="2:9" s="132" customFormat="1" ht="26.25" thickBot="1">
      <c r="B427" s="637" t="s">
        <v>7476</v>
      </c>
      <c r="C427" s="651"/>
      <c r="D427" s="651"/>
      <c r="E427" s="620" t="s">
        <v>7477</v>
      </c>
      <c r="F427" s="632" t="s">
        <v>553</v>
      </c>
      <c r="G427" s="653"/>
      <c r="H427" s="642"/>
      <c r="I427" s="626">
        <f>TRUNC(SUM(I428:I430),2)</f>
        <v>11.23</v>
      </c>
    </row>
    <row r="428" spans="2:9" s="132" customFormat="1">
      <c r="B428" s="240" t="s">
        <v>7403</v>
      </c>
      <c r="C428" s="240" t="s">
        <v>7</v>
      </c>
      <c r="D428" s="594">
        <v>88247</v>
      </c>
      <c r="E428" s="566" t="str">
        <f>IF($D428&lt;&gt;"",VLOOKUP($D428,'SINAPI JULHO 2021'!$A$1:E12126,2,FALSE),"")</f>
        <v>AUXILIAR DE ELETRICISTA COM ENCARGOS COMPLEMENTARES</v>
      </c>
      <c r="F428" s="567" t="str">
        <f>IF($D428&lt;&gt;"",VLOOKUP($D428,'SINAPI JULHO 2021'!$1:$1048576,3,FALSE),"")</f>
        <v>H</v>
      </c>
      <c r="G428" s="587">
        <v>0.1</v>
      </c>
      <c r="H428" s="588">
        <f>IF($D428&lt;&gt;"",VLOOKUP($D428,'SINAPI JULHO 2021'!$1:$1048576,4,FALSE),"")</f>
        <v>14</v>
      </c>
      <c r="I428" s="589">
        <f t="shared" ref="I428:I429" si="47">TRUNC(G428*H428,2)</f>
        <v>1.4</v>
      </c>
    </row>
    <row r="429" spans="2:9" s="132" customFormat="1">
      <c r="B429" s="133" t="s">
        <v>7403</v>
      </c>
      <c r="C429" s="133" t="s">
        <v>7</v>
      </c>
      <c r="D429" s="405">
        <v>88264</v>
      </c>
      <c r="E429" s="134" t="str">
        <f>IF($D429&lt;&gt;"",VLOOKUP($D429,'SINAPI JULHO 2021'!$A$1:E12127,2,FALSE),"")</f>
        <v>ELETRICISTA COM ENCARGOS COMPLEMENTARES</v>
      </c>
      <c r="F429" s="135" t="str">
        <f>IF($D429&lt;&gt;"",VLOOKUP($D429,'SINAPI JULHO 2021'!$1:$1048576,3,FALSE),"")</f>
        <v>H</v>
      </c>
      <c r="G429" s="291">
        <v>0.1</v>
      </c>
      <c r="H429" s="415">
        <f>IF($D429&lt;&gt;"",VLOOKUP($D429,'SINAPI JULHO 2021'!$1:$1048576,4,FALSE),"")</f>
        <v>18.3</v>
      </c>
      <c r="I429" s="287">
        <f t="shared" si="47"/>
        <v>1.83</v>
      </c>
    </row>
    <row r="430" spans="2:9" s="132" customFormat="1">
      <c r="B430" s="455" t="s">
        <v>568</v>
      </c>
      <c r="C430" s="133" t="s">
        <v>569</v>
      </c>
      <c r="D430" s="405"/>
      <c r="E430" s="421" t="s">
        <v>7478</v>
      </c>
      <c r="F430" s="422" t="s">
        <v>553</v>
      </c>
      <c r="G430" s="291">
        <v>1</v>
      </c>
      <c r="H430" s="423">
        <v>8</v>
      </c>
      <c r="I430" s="288">
        <f t="shared" ref="I430" si="48">TRUNC(H430*G430,2)</f>
        <v>8</v>
      </c>
    </row>
    <row r="431" spans="2:9" s="132" customFormat="1" ht="13.5" thickBot="1">
      <c r="B431" s="408"/>
      <c r="C431" s="408"/>
      <c r="D431" s="424"/>
      <c r="E431" s="411"/>
      <c r="F431" s="461"/>
      <c r="G431" s="425"/>
      <c r="H431" s="289"/>
      <c r="I431" s="289"/>
    </row>
    <row r="432" spans="2:9" s="132" customFormat="1" ht="26.25" thickBot="1">
      <c r="B432" s="637" t="s">
        <v>7479</v>
      </c>
      <c r="C432" s="651"/>
      <c r="D432" s="651"/>
      <c r="E432" s="620" t="s">
        <v>7480</v>
      </c>
      <c r="F432" s="632" t="s">
        <v>553</v>
      </c>
      <c r="G432" s="653"/>
      <c r="H432" s="642"/>
      <c r="I432" s="626">
        <f>TRUNC(SUM(I433:I436),2)</f>
        <v>64.31</v>
      </c>
    </row>
    <row r="433" spans="2:9" s="132" customFormat="1">
      <c r="B433" s="240" t="s">
        <v>7403</v>
      </c>
      <c r="C433" s="240" t="s">
        <v>7</v>
      </c>
      <c r="D433" s="594">
        <v>88247</v>
      </c>
      <c r="E433" s="566" t="str">
        <f>IF($D433&lt;&gt;"",VLOOKUP($D433,'SINAPI JULHO 2021'!$A$1:E12131,2,FALSE),"")</f>
        <v>AUXILIAR DE ELETRICISTA COM ENCARGOS COMPLEMENTARES</v>
      </c>
      <c r="F433" s="567" t="str">
        <f>IF($D433&lt;&gt;"",VLOOKUP($D433,'SINAPI JULHO 2021'!$1:$1048576,3,FALSE),"")</f>
        <v>H</v>
      </c>
      <c r="G433" s="587">
        <v>0.1</v>
      </c>
      <c r="H433" s="588">
        <f>IF($D433&lt;&gt;"",VLOOKUP($D433,'SINAPI JULHO 2021'!$1:$1048576,4,FALSE),"")</f>
        <v>14</v>
      </c>
      <c r="I433" s="589">
        <f t="shared" ref="I433:I434" si="49">TRUNC(G433*H433,2)</f>
        <v>1.4</v>
      </c>
    </row>
    <row r="434" spans="2:9" s="132" customFormat="1">
      <c r="B434" s="133" t="s">
        <v>7403</v>
      </c>
      <c r="C434" s="133" t="s">
        <v>7</v>
      </c>
      <c r="D434" s="405">
        <v>88264</v>
      </c>
      <c r="E434" s="134" t="str">
        <f>IF($D434&lt;&gt;"",VLOOKUP($D434,'SINAPI JULHO 2021'!$A$1:E12132,2,FALSE),"")</f>
        <v>ELETRICISTA COM ENCARGOS COMPLEMENTARES</v>
      </c>
      <c r="F434" s="135" t="str">
        <f>IF($D434&lt;&gt;"",VLOOKUP($D434,'SINAPI JULHO 2021'!$1:$1048576,3,FALSE),"")</f>
        <v>H</v>
      </c>
      <c r="G434" s="291">
        <v>0.1</v>
      </c>
      <c r="H434" s="415">
        <f>IF($D434&lt;&gt;"",VLOOKUP($D434,'SINAPI JULHO 2021'!$1:$1048576,4,FALSE),"")</f>
        <v>18.3</v>
      </c>
      <c r="I434" s="287">
        <f t="shared" si="49"/>
        <v>1.83</v>
      </c>
    </row>
    <row r="435" spans="2:9" s="132" customFormat="1">
      <c r="B435" s="455" t="s">
        <v>568</v>
      </c>
      <c r="C435" s="133" t="s">
        <v>569</v>
      </c>
      <c r="D435" s="405"/>
      <c r="E435" s="421" t="s">
        <v>7481</v>
      </c>
      <c r="F435" s="422" t="s">
        <v>553</v>
      </c>
      <c r="G435" s="291">
        <v>1</v>
      </c>
      <c r="H435" s="423">
        <v>56</v>
      </c>
      <c r="I435" s="288">
        <f t="shared" ref="I435:I436" si="50">TRUNC(H435*G435,2)</f>
        <v>56</v>
      </c>
    </row>
    <row r="436" spans="2:9" s="132" customFormat="1">
      <c r="B436" s="455" t="s">
        <v>568</v>
      </c>
      <c r="C436" s="133" t="s">
        <v>569</v>
      </c>
      <c r="D436" s="405"/>
      <c r="E436" s="421" t="s">
        <v>7482</v>
      </c>
      <c r="F436" s="422" t="s">
        <v>553</v>
      </c>
      <c r="G436" s="291">
        <v>1</v>
      </c>
      <c r="H436" s="423">
        <v>5.08</v>
      </c>
      <c r="I436" s="288">
        <f t="shared" si="50"/>
        <v>5.08</v>
      </c>
    </row>
    <row r="437" spans="2:9" s="132" customFormat="1" ht="13.5" thickBot="1">
      <c r="B437" s="408"/>
      <c r="C437" s="408"/>
      <c r="D437" s="424"/>
      <c r="E437" s="411"/>
      <c r="F437" s="461"/>
      <c r="G437" s="425"/>
      <c r="H437" s="289"/>
      <c r="I437" s="289"/>
    </row>
    <row r="438" spans="2:9" s="132" customFormat="1" ht="26.25" thickBot="1">
      <c r="B438" s="637" t="s">
        <v>7483</v>
      </c>
      <c r="C438" s="651"/>
      <c r="D438" s="651"/>
      <c r="E438" s="620" t="s">
        <v>7484</v>
      </c>
      <c r="F438" s="632" t="s">
        <v>553</v>
      </c>
      <c r="G438" s="653"/>
      <c r="H438" s="642"/>
      <c r="I438" s="626">
        <f>TRUNC(SUM(I439:I441),2)</f>
        <v>16.23</v>
      </c>
    </row>
    <row r="439" spans="2:9" s="132" customFormat="1">
      <c r="B439" s="240" t="s">
        <v>7403</v>
      </c>
      <c r="C439" s="240" t="s">
        <v>7</v>
      </c>
      <c r="D439" s="594">
        <v>88247</v>
      </c>
      <c r="E439" s="566" t="str">
        <f>IF($D439&lt;&gt;"",VLOOKUP($D439,'SINAPI JULHO 2021'!$A$1:E12137,2,FALSE),"")</f>
        <v>AUXILIAR DE ELETRICISTA COM ENCARGOS COMPLEMENTARES</v>
      </c>
      <c r="F439" s="567" t="str">
        <f>IF($D439&lt;&gt;"",VLOOKUP($D439,'SINAPI JULHO 2021'!$1:$1048576,3,FALSE),"")</f>
        <v>H</v>
      </c>
      <c r="G439" s="587">
        <v>0.1</v>
      </c>
      <c r="H439" s="588">
        <f>IF($D439&lt;&gt;"",VLOOKUP($D439,'SINAPI JULHO 2021'!$1:$1048576,4,FALSE),"")</f>
        <v>14</v>
      </c>
      <c r="I439" s="589">
        <f t="shared" ref="I439:I440" si="51">TRUNC(G439*H439,2)</f>
        <v>1.4</v>
      </c>
    </row>
    <row r="440" spans="2:9" s="132" customFormat="1">
      <c r="B440" s="133" t="s">
        <v>7403</v>
      </c>
      <c r="C440" s="133" t="s">
        <v>7</v>
      </c>
      <c r="D440" s="405">
        <v>88264</v>
      </c>
      <c r="E440" s="134" t="str">
        <f>IF($D440&lt;&gt;"",VLOOKUP($D440,'SINAPI JULHO 2021'!$A$1:E12138,2,FALSE),"")</f>
        <v>ELETRICISTA COM ENCARGOS COMPLEMENTARES</v>
      </c>
      <c r="F440" s="135" t="str">
        <f>IF($D440&lt;&gt;"",VLOOKUP($D440,'SINAPI JULHO 2021'!$1:$1048576,3,FALSE),"")</f>
        <v>H</v>
      </c>
      <c r="G440" s="291">
        <v>0.1</v>
      </c>
      <c r="H440" s="415">
        <f>IF($D440&lt;&gt;"",VLOOKUP($D440,'SINAPI JULHO 2021'!$1:$1048576,4,FALSE),"")</f>
        <v>18.3</v>
      </c>
      <c r="I440" s="287">
        <f t="shared" si="51"/>
        <v>1.83</v>
      </c>
    </row>
    <row r="441" spans="2:9" s="132" customFormat="1" ht="25.5">
      <c r="B441" s="455" t="s">
        <v>568</v>
      </c>
      <c r="C441" s="133" t="s">
        <v>569</v>
      </c>
      <c r="D441" s="405"/>
      <c r="E441" s="397" t="s">
        <v>7485</v>
      </c>
      <c r="F441" s="407" t="s">
        <v>553</v>
      </c>
      <c r="G441" s="291">
        <v>1</v>
      </c>
      <c r="H441" s="287">
        <v>13</v>
      </c>
      <c r="I441" s="288">
        <f t="shared" ref="I441" si="52">TRUNC(H441*G441,2)</f>
        <v>13</v>
      </c>
    </row>
    <row r="442" spans="2:9" s="132" customFormat="1" ht="13.5" thickBot="1">
      <c r="B442" s="408"/>
      <c r="C442" s="408"/>
      <c r="D442" s="424"/>
      <c r="E442" s="411"/>
      <c r="F442" s="461"/>
      <c r="G442" s="425"/>
      <c r="H442" s="289"/>
      <c r="I442" s="289"/>
    </row>
    <row r="443" spans="2:9" s="132" customFormat="1" ht="26.25" thickBot="1">
      <c r="B443" s="637" t="s">
        <v>7486</v>
      </c>
      <c r="C443" s="651"/>
      <c r="D443" s="651"/>
      <c r="E443" s="620" t="s">
        <v>7487</v>
      </c>
      <c r="F443" s="632" t="s">
        <v>14</v>
      </c>
      <c r="G443" s="653"/>
      <c r="H443" s="642"/>
      <c r="I443" s="626">
        <f>TRUNC(SUM(I444:I446),2)</f>
        <v>32.799999999999997</v>
      </c>
    </row>
    <row r="444" spans="2:9" s="132" customFormat="1">
      <c r="B444" s="240" t="s">
        <v>7403</v>
      </c>
      <c r="C444" s="240" t="s">
        <v>7</v>
      </c>
      <c r="D444" s="594">
        <v>88247</v>
      </c>
      <c r="E444" s="566" t="str">
        <f>IF($D444&lt;&gt;"",VLOOKUP($D444,'SINAPI JULHO 2021'!$A$1:E12142,2,FALSE),"")</f>
        <v>AUXILIAR DE ELETRICISTA COM ENCARGOS COMPLEMENTARES</v>
      </c>
      <c r="F444" s="567" t="str">
        <f>IF($D444&lt;&gt;"",VLOOKUP($D444,'SINAPI JULHO 2021'!$1:$1048576,3,FALSE),"")</f>
        <v>H</v>
      </c>
      <c r="G444" s="587">
        <v>8.6999999999999994E-2</v>
      </c>
      <c r="H444" s="588">
        <f>IF($D444&lt;&gt;"",VLOOKUP($D444,'SINAPI JULHO 2021'!$1:$1048576,4,FALSE),"")</f>
        <v>14</v>
      </c>
      <c r="I444" s="589">
        <f t="shared" ref="I444:I445" si="53">TRUNC(G444*H444,2)</f>
        <v>1.21</v>
      </c>
    </row>
    <row r="445" spans="2:9" s="132" customFormat="1">
      <c r="B445" s="133" t="s">
        <v>7403</v>
      </c>
      <c r="C445" s="133" t="s">
        <v>7</v>
      </c>
      <c r="D445" s="405">
        <v>88264</v>
      </c>
      <c r="E445" s="134" t="str">
        <f>IF($D445&lt;&gt;"",VLOOKUP($D445,'SINAPI JULHO 2021'!$A$1:E12143,2,FALSE),"")</f>
        <v>ELETRICISTA COM ENCARGOS COMPLEMENTARES</v>
      </c>
      <c r="F445" s="135" t="str">
        <f>IF($D445&lt;&gt;"",VLOOKUP($D445,'SINAPI JULHO 2021'!$1:$1048576,3,FALSE),"")</f>
        <v>H</v>
      </c>
      <c r="G445" s="291">
        <v>8.6999999999999994E-2</v>
      </c>
      <c r="H445" s="415">
        <f>IF($D445&lt;&gt;"",VLOOKUP($D445,'SINAPI JULHO 2021'!$1:$1048576,4,FALSE),"")</f>
        <v>18.3</v>
      </c>
      <c r="I445" s="287">
        <f t="shared" si="53"/>
        <v>1.59</v>
      </c>
    </row>
    <row r="446" spans="2:9" s="132" customFormat="1">
      <c r="B446" s="455" t="s">
        <v>568</v>
      </c>
      <c r="C446" s="133" t="s">
        <v>569</v>
      </c>
      <c r="D446" s="405"/>
      <c r="E446" s="421" t="s">
        <v>7488</v>
      </c>
      <c r="F446" s="422" t="s">
        <v>14</v>
      </c>
      <c r="G446" s="291">
        <v>1</v>
      </c>
      <c r="H446" s="423">
        <v>30</v>
      </c>
      <c r="I446" s="288">
        <f t="shared" ref="I446" si="54">TRUNC(H446*G446,2)</f>
        <v>30</v>
      </c>
    </row>
    <row r="447" spans="2:9" s="132" customFormat="1" ht="13.5" thickBot="1">
      <c r="B447" s="408"/>
      <c r="C447" s="408"/>
      <c r="D447" s="424"/>
      <c r="E447" s="411"/>
      <c r="F447" s="461"/>
      <c r="G447" s="425"/>
      <c r="H447" s="289"/>
      <c r="I447" s="289"/>
    </row>
    <row r="448" spans="2:9" s="132" customFormat="1" ht="39" thickBot="1">
      <c r="B448" s="637" t="s">
        <v>7489</v>
      </c>
      <c r="C448" s="651"/>
      <c r="D448" s="651"/>
      <c r="E448" s="620" t="s">
        <v>7490</v>
      </c>
      <c r="F448" s="632" t="s">
        <v>553</v>
      </c>
      <c r="G448" s="653"/>
      <c r="H448" s="642"/>
      <c r="I448" s="626">
        <f>TRUNC(SUM(I449:I451),2)</f>
        <v>59.83</v>
      </c>
    </row>
    <row r="449" spans="2:9" s="132" customFormat="1">
      <c r="B449" s="240" t="s">
        <v>7403</v>
      </c>
      <c r="C449" s="240" t="s">
        <v>7</v>
      </c>
      <c r="D449" s="594">
        <v>88247</v>
      </c>
      <c r="E449" s="566" t="str">
        <f>IF($D449&lt;&gt;"",VLOOKUP($D449,'SINAPI JULHO 2021'!$A$1:E12147,2,FALSE),"")</f>
        <v>AUXILIAR DE ELETRICISTA COM ENCARGOS COMPLEMENTARES</v>
      </c>
      <c r="F449" s="567" t="str">
        <f>IF($D449&lt;&gt;"",VLOOKUP($D449,'SINAPI JULHO 2021'!$1:$1048576,3,FALSE),"")</f>
        <v>H</v>
      </c>
      <c r="G449" s="587">
        <v>0.3</v>
      </c>
      <c r="H449" s="588">
        <f>IF($D449&lt;&gt;"",VLOOKUP($D449,'SINAPI JULHO 2021'!$1:$1048576,4,FALSE),"")</f>
        <v>14</v>
      </c>
      <c r="I449" s="589">
        <f t="shared" ref="I449:I451" si="55">TRUNC(G449*H449,2)</f>
        <v>4.2</v>
      </c>
    </row>
    <row r="450" spans="2:9" s="132" customFormat="1">
      <c r="B450" s="133" t="s">
        <v>7403</v>
      </c>
      <c r="C450" s="133" t="s">
        <v>7</v>
      </c>
      <c r="D450" s="405">
        <v>88316</v>
      </c>
      <c r="E450" s="134" t="str">
        <f>IF($D450&lt;&gt;"",VLOOKUP($D450,'SINAPI JULHO 2021'!$A$1:E12148,2,FALSE),"")</f>
        <v>SERVENTE COM ENCARGOS COMPLEMENTARES</v>
      </c>
      <c r="F450" s="135" t="str">
        <f>IF($D450&lt;&gt;"",VLOOKUP($D450,'SINAPI JULHO 2021'!$1:$1048576,3,FALSE),"")</f>
        <v>H</v>
      </c>
      <c r="G450" s="291">
        <v>0.75</v>
      </c>
      <c r="H450" s="415">
        <f>IF($D450&lt;&gt;"",VLOOKUP($D450,'SINAPI JULHO 2021'!$1:$1048576,4,FALSE),"")</f>
        <v>14.02</v>
      </c>
      <c r="I450" s="287">
        <f t="shared" si="55"/>
        <v>10.51</v>
      </c>
    </row>
    <row r="451" spans="2:9" s="132" customFormat="1" ht="51">
      <c r="B451" s="133" t="s">
        <v>568</v>
      </c>
      <c r="C451" s="133" t="s">
        <v>7</v>
      </c>
      <c r="D451" s="405">
        <v>1051</v>
      </c>
      <c r="E451" s="134" t="str">
        <f>IF($D451&lt;&gt;"",VLOOKUP($D451,'SINAPI JULHO 2021'!$A$1:E12149,2,FALSE),"")</f>
        <v xml:space="preserve">CABECOTE PARA ENTRADA DE LINHA DE ALIMENTACAO PARA ELETRODUTO, EM LIGA DE ALUMINIO COM ACABAMENTO ANTI CORROSIVO, COM FIXACAO POR ENCAIXE LISO DE 360 GRAUS, DE 4"                                                                                                                                                                                                                                                                                                                                        </v>
      </c>
      <c r="F451" s="135" t="str">
        <f>IF($D451&lt;&gt;"",VLOOKUP($D451,'SINAPI JULHO 2021'!$1:$1048576,3,FALSE),"")</f>
        <v xml:space="preserve">UN    </v>
      </c>
      <c r="G451" s="291">
        <v>1</v>
      </c>
      <c r="H451" s="415">
        <f>IF($D451&lt;&gt;"",VLOOKUP($D451,'SINAPI JULHO 2021'!$1:$1048576,4,FALSE),"")</f>
        <v>45.12</v>
      </c>
      <c r="I451" s="287">
        <f t="shared" si="55"/>
        <v>45.12</v>
      </c>
    </row>
    <row r="452" spans="2:9" s="132" customFormat="1" ht="13.5" thickBot="1">
      <c r="B452" s="408"/>
      <c r="C452" s="408"/>
      <c r="D452" s="424"/>
      <c r="E452" s="411"/>
      <c r="F452" s="461"/>
      <c r="G452" s="425"/>
      <c r="H452" s="289"/>
      <c r="I452" s="289"/>
    </row>
    <row r="453" spans="2:9" s="132" customFormat="1" ht="26.25" thickBot="1">
      <c r="B453" s="637" t="s">
        <v>7491</v>
      </c>
      <c r="C453" s="651"/>
      <c r="D453" s="651"/>
      <c r="E453" s="620" t="s">
        <v>7492</v>
      </c>
      <c r="F453" s="632" t="s">
        <v>553</v>
      </c>
      <c r="G453" s="653"/>
      <c r="H453" s="642"/>
      <c r="I453" s="626">
        <f>TRUNC(SUM(I454:I469),2)</f>
        <v>2051.6999999999998</v>
      </c>
    </row>
    <row r="454" spans="2:9" s="132" customFormat="1">
      <c r="B454" s="487" t="s">
        <v>4290</v>
      </c>
      <c r="C454" s="426"/>
      <c r="D454" s="426"/>
      <c r="E454" s="426"/>
      <c r="F454" s="462"/>
      <c r="G454" s="426"/>
      <c r="H454" s="426"/>
      <c r="I454" s="427"/>
    </row>
    <row r="455" spans="2:9" s="132" customFormat="1" ht="25.5">
      <c r="B455" s="133" t="s">
        <v>7403</v>
      </c>
      <c r="C455" s="133" t="s">
        <v>7</v>
      </c>
      <c r="D455" s="405">
        <v>93358</v>
      </c>
      <c r="E455" s="134" t="str">
        <f>IF($D455&lt;&gt;"",VLOOKUP($D455,'SINAPI JULHO 2021'!$A$1:E12153,2,FALSE),"")</f>
        <v>ESCAVAÇÃO MANUAL DE VALA COM PROFUNDIDADE MENOR OU IGUAL A 1,30 M. AF_02/2021</v>
      </c>
      <c r="F455" s="135" t="str">
        <f>IF($D455&lt;&gt;"",VLOOKUP($D455,'SINAPI JULHO 2021'!$1:$1048576,3,FALSE),"")</f>
        <v>M3</v>
      </c>
      <c r="G455" s="291">
        <v>0.31</v>
      </c>
      <c r="H455" s="415">
        <f>IF($D455&lt;&gt;"",VLOOKUP($D455,'SINAPI JULHO 2021'!$1:$1048576,4,FALSE),"")</f>
        <v>55.46</v>
      </c>
      <c r="I455" s="287">
        <f t="shared" ref="I455:I458" si="56">TRUNC(G455*H455,2)</f>
        <v>17.190000000000001</v>
      </c>
    </row>
    <row r="456" spans="2:9" s="132" customFormat="1" ht="38.25">
      <c r="B456" s="133" t="s">
        <v>7403</v>
      </c>
      <c r="C456" s="133" t="s">
        <v>7</v>
      </c>
      <c r="D456" s="405">
        <v>97084</v>
      </c>
      <c r="E456" s="134" t="str">
        <f>IF($D456&lt;&gt;"",VLOOKUP($D456,'SINAPI JULHO 2021'!$A$1:E12154,2,FALSE),"")</f>
        <v>COMPACTAÇÃO MECÂNICA DE SOLO PARA EXECUÇÃO DE RADIER, COM COMPACTADOR DE SOLOS TIPO PLACA VIBRATÓRIA. AF_09/2017</v>
      </c>
      <c r="F456" s="135" t="str">
        <f>IF($D456&lt;&gt;"",VLOOKUP($D456,'SINAPI JULHO 2021'!$1:$1048576,3,FALSE),"")</f>
        <v>M2</v>
      </c>
      <c r="G456" s="291">
        <v>1.02</v>
      </c>
      <c r="H456" s="415">
        <f>IF($D456&lt;&gt;"",VLOOKUP($D456,'SINAPI JULHO 2021'!$1:$1048576,4,FALSE),"")</f>
        <v>0.45</v>
      </c>
      <c r="I456" s="287">
        <f t="shared" si="56"/>
        <v>0.45</v>
      </c>
    </row>
    <row r="457" spans="2:9" s="132" customFormat="1" ht="25.5">
      <c r="B457" s="133" t="s">
        <v>7403</v>
      </c>
      <c r="C457" s="133" t="s">
        <v>7</v>
      </c>
      <c r="D457" s="405">
        <v>95240</v>
      </c>
      <c r="E457" s="134" t="str">
        <f>IF($D457&lt;&gt;"",VLOOKUP($D457,'SINAPI JULHO 2021'!$A$1:E12155,2,FALSE),"")</f>
        <v>LASTRO DE CONCRETO MAGRO, APLICADO EM PISOS, LAJES SOBRE SOLO OU RADIERS, ESPESSURA DE 3 CM. AF_07/2016</v>
      </c>
      <c r="F457" s="135" t="str">
        <f>IF($D457&lt;&gt;"",VLOOKUP($D457,'SINAPI JULHO 2021'!$1:$1048576,3,FALSE),"")</f>
        <v>M2</v>
      </c>
      <c r="G457" s="291">
        <v>2.08</v>
      </c>
      <c r="H457" s="415">
        <f>IF($D457&lt;&gt;"",VLOOKUP($D457,'SINAPI JULHO 2021'!$1:$1048576,4,FALSE),"")</f>
        <v>13.51</v>
      </c>
      <c r="I457" s="287">
        <f t="shared" si="56"/>
        <v>28.1</v>
      </c>
    </row>
    <row r="458" spans="2:9" s="132" customFormat="1">
      <c r="B458" s="133" t="s">
        <v>568</v>
      </c>
      <c r="C458" s="133" t="s">
        <v>7</v>
      </c>
      <c r="D458" s="405">
        <v>3777</v>
      </c>
      <c r="E458" s="134" t="str">
        <f>IF($D458&lt;&gt;"",VLOOKUP($D458,'SINAPI JULHO 2021'!$A$1:E12156,2,FALSE),"")</f>
        <v xml:space="preserve">LONA PLASTICA PESADA PRETA, E = 150 MICRA                                                                                                                                                                                                                                                                                                                                                                                                                                                                 </v>
      </c>
      <c r="F458" s="135" t="str">
        <f>IF($D458&lt;&gt;"",VLOOKUP($D458,'SINAPI JULHO 2021'!$1:$1048576,3,FALSE),"")</f>
        <v xml:space="preserve">M2    </v>
      </c>
      <c r="G458" s="291">
        <v>1.02</v>
      </c>
      <c r="H458" s="415">
        <f>IF($D458&lt;&gt;"",VLOOKUP($D458,'SINAPI JULHO 2021'!$1:$1048576,4,FALSE),"")</f>
        <v>1.5</v>
      </c>
      <c r="I458" s="287">
        <f t="shared" si="56"/>
        <v>1.53</v>
      </c>
    </row>
    <row r="459" spans="2:9" s="132" customFormat="1">
      <c r="B459" s="487" t="s">
        <v>7493</v>
      </c>
      <c r="C459" s="426"/>
      <c r="D459" s="426"/>
      <c r="E459" s="426"/>
      <c r="F459" s="462"/>
      <c r="G459" s="426"/>
      <c r="H459" s="426"/>
      <c r="I459" s="427"/>
    </row>
    <row r="460" spans="2:9" s="132" customFormat="1" ht="38.25">
      <c r="B460" s="133" t="s">
        <v>568</v>
      </c>
      <c r="C460" s="133" t="s">
        <v>7</v>
      </c>
      <c r="D460" s="405">
        <v>7156</v>
      </c>
      <c r="E460" s="134" t="str">
        <f>IF($D460&lt;&gt;"",VLOOKUP($D460,'SINAPI JULHO 2021'!$A$1:E12158,2,FALSE),"")</f>
        <v xml:space="preserve">TELA DE ACO SOLDADA NERVURADA, CA-60, Q-196, (3,11 KG/M2), DIAMETRO DO FIO = 5,0 MM, LARGURA = 2,45 M, ESPACAMENTO DA MALHA = 10 X 10 CM                                                                                                                                                                                                                                                                                                                                                                  </v>
      </c>
      <c r="F460" s="135" t="str">
        <f>IF($D460&lt;&gt;"",VLOOKUP($D460,'SINAPI JULHO 2021'!$1:$1048576,3,FALSE),"")</f>
        <v xml:space="preserve">M2    </v>
      </c>
      <c r="G460" s="291">
        <v>2.08</v>
      </c>
      <c r="H460" s="415">
        <f>IF($D460&lt;&gt;"",VLOOKUP($D460,'SINAPI JULHO 2021'!$1:$1048576,4,FALSE),"")</f>
        <v>50.07</v>
      </c>
      <c r="I460" s="287">
        <f t="shared" ref="I460:I463" si="57">TRUNC(G460*H460,2)</f>
        <v>104.14</v>
      </c>
    </row>
    <row r="461" spans="2:9" s="132" customFormat="1">
      <c r="B461" s="133" t="s">
        <v>7403</v>
      </c>
      <c r="C461" s="133" t="s">
        <v>7</v>
      </c>
      <c r="D461" s="405">
        <v>88315</v>
      </c>
      <c r="E461" s="134" t="str">
        <f>IF($D461&lt;&gt;"",VLOOKUP($D461,'SINAPI JULHO 2021'!$A$1:E12159,2,FALSE),"")</f>
        <v>SERRALHEIRO COM ENCARGOS COMPLEMENTARES</v>
      </c>
      <c r="F461" s="135" t="str">
        <f>IF($D461&lt;&gt;"",VLOOKUP($D461,'SINAPI JULHO 2021'!$1:$1048576,3,FALSE),"")</f>
        <v>H</v>
      </c>
      <c r="G461" s="291">
        <v>1.5</v>
      </c>
      <c r="H461" s="415">
        <f>IF($D461&lt;&gt;"",VLOOKUP($D461,'SINAPI JULHO 2021'!$1:$1048576,4,FALSE),"")</f>
        <v>17.579999999999998</v>
      </c>
      <c r="I461" s="287">
        <f t="shared" si="57"/>
        <v>26.37</v>
      </c>
    </row>
    <row r="462" spans="2:9" s="132" customFormat="1">
      <c r="B462" s="133" t="s">
        <v>7403</v>
      </c>
      <c r="C462" s="133" t="s">
        <v>7</v>
      </c>
      <c r="D462" s="405">
        <v>88251</v>
      </c>
      <c r="E462" s="134" t="str">
        <f>IF($D462&lt;&gt;"",VLOOKUP($D462,'SINAPI JULHO 2021'!$A$1:E12160,2,FALSE),"")</f>
        <v>AUXILIAR DE SERRALHEIRO COM ENCARGOS COMPLEMENTARES</v>
      </c>
      <c r="F462" s="135" t="str">
        <f>IF($D462&lt;&gt;"",VLOOKUP($D462,'SINAPI JULHO 2021'!$1:$1048576,3,FALSE),"")</f>
        <v>H</v>
      </c>
      <c r="G462" s="291">
        <v>0.75</v>
      </c>
      <c r="H462" s="415">
        <f>IF($D462&lt;&gt;"",VLOOKUP($D462,'SINAPI JULHO 2021'!$1:$1048576,4,FALSE),"")</f>
        <v>14.09</v>
      </c>
      <c r="I462" s="287">
        <f t="shared" si="57"/>
        <v>10.56</v>
      </c>
    </row>
    <row r="463" spans="2:9" s="132" customFormat="1" ht="38.25">
      <c r="B463" s="133" t="s">
        <v>7403</v>
      </c>
      <c r="C463" s="133" t="s">
        <v>7</v>
      </c>
      <c r="D463" s="405">
        <v>97094</v>
      </c>
      <c r="E463" s="134" t="str">
        <f>IF($D463&lt;&gt;"",VLOOKUP($D463,'SINAPI JULHO 2021'!$A$1:E12161,2,FALSE),"")</f>
        <v>CONCRETAGEM DE RADIER, PISO OU LAJE SOBRE SOLO, FCK 30 MPA, PARA ESPESSURA DE 10 CM - LANÇAMENTO, ADENSAMENTO E ACABAMENTO. AF_09/2017</v>
      </c>
      <c r="F463" s="135" t="str">
        <f>IF($D463&lt;&gt;"",VLOOKUP($D463,'SINAPI JULHO 2021'!$1:$1048576,3,FALSE),"")</f>
        <v>M3</v>
      </c>
      <c r="G463" s="291">
        <v>0.31</v>
      </c>
      <c r="H463" s="415">
        <f>IF($D463&lt;&gt;"",VLOOKUP($D463,'SINAPI JULHO 2021'!$1:$1048576,4,FALSE),"")</f>
        <v>573.55999999999995</v>
      </c>
      <c r="I463" s="287">
        <f t="shared" si="57"/>
        <v>177.8</v>
      </c>
    </row>
    <row r="464" spans="2:9" s="132" customFormat="1">
      <c r="B464" s="487" t="s">
        <v>7494</v>
      </c>
      <c r="C464" s="426"/>
      <c r="D464" s="426"/>
      <c r="E464" s="426"/>
      <c r="F464" s="462"/>
      <c r="G464" s="426"/>
      <c r="H464" s="426"/>
      <c r="I464" s="427"/>
    </row>
    <row r="465" spans="2:9" s="132" customFormat="1" ht="63.75">
      <c r="B465" s="133" t="s">
        <v>7403</v>
      </c>
      <c r="C465" s="133" t="s">
        <v>7</v>
      </c>
      <c r="D465" s="405">
        <v>87497</v>
      </c>
      <c r="E465" s="134" t="str">
        <f>IF($D465&lt;&gt;"",VLOOKUP($D465,'SINAPI JULHO 2021'!$A$1:E12163,2,FALSE),"")</f>
        <v>ALVENARIA DE VEDAÇÃO DE BLOCOS CERÂMICOS FURADOS NA HORIZONTAL DE 11,5X19X19CM (ESPESSURA 11,5CM) DE PAREDES COM ÁREA LÍQUIDA MENOR QUE 6M² SEM VÃOS E ARGAMASSA DE ASSENTAMENTO COM PREPARO EM BETONEIRA. AF_06/2014</v>
      </c>
      <c r="F465" s="135" t="str">
        <f>IF($D465&lt;&gt;"",VLOOKUP($D465,'SINAPI JULHO 2021'!$1:$1048576,3,FALSE),"")</f>
        <v>M2</v>
      </c>
      <c r="G465" s="291">
        <v>11.44</v>
      </c>
      <c r="H465" s="415">
        <f>IF($D465&lt;&gt;"",VLOOKUP($D465,'SINAPI JULHO 2021'!$1:$1048576,4,FALSE),"")</f>
        <v>79.72</v>
      </c>
      <c r="I465" s="287">
        <f t="shared" ref="I465:I467" si="58">TRUNC(G465*H465,2)</f>
        <v>911.99</v>
      </c>
    </row>
    <row r="466" spans="2:9" s="132" customFormat="1" ht="38.25">
      <c r="B466" s="133" t="s">
        <v>7403</v>
      </c>
      <c r="C466" s="133" t="s">
        <v>7</v>
      </c>
      <c r="D466" s="405">
        <v>87878</v>
      </c>
      <c r="E466" s="134" t="str">
        <f>IF($D466&lt;&gt;"",VLOOKUP($D466,'SINAPI JULHO 2021'!$A$1:E12164,2,FALSE),"")</f>
        <v>CHAPISCO APLICADO EM ALVENARIAS E ESTRUTURAS DE CONCRETO INTERNAS, COM COLHER DE PEDREIRO.  ARGAMASSA TRAÇO 1:3 COM PREPARO MANUAL. AF_06/2014</v>
      </c>
      <c r="F466" s="135" t="str">
        <f>IF($D466&lt;&gt;"",VLOOKUP($D466,'SINAPI JULHO 2021'!$1:$1048576,3,FALSE),"")</f>
        <v>M2</v>
      </c>
      <c r="G466" s="291">
        <v>11.44</v>
      </c>
      <c r="H466" s="415">
        <f>IF($D466&lt;&gt;"",VLOOKUP($D466,'SINAPI JULHO 2021'!$1:$1048576,4,FALSE),"")</f>
        <v>3.4</v>
      </c>
      <c r="I466" s="287">
        <f t="shared" si="58"/>
        <v>38.89</v>
      </c>
    </row>
    <row r="467" spans="2:9" s="132" customFormat="1" ht="63.75">
      <c r="B467" s="133" t="s">
        <v>7403</v>
      </c>
      <c r="C467" s="133" t="s">
        <v>7</v>
      </c>
      <c r="D467" s="405">
        <v>87556</v>
      </c>
      <c r="E467" s="134" t="str">
        <f>IF($D467&lt;&gt;"",VLOOKUP($D467,'SINAPI JULHO 2021'!$A$1:E12165,2,FALSE),"")</f>
        <v>MASSA ÚNICA, PARA RECEBIMENTO DE PINTURA, EM ARGAMASSA INDUSTRIALIZADA, PREPARO MECÂNICO, APLICADO COM EQUIPAMENTO DE MISTURA E PROJEÇÃO DE 1,5 M3/H DE ARGAMASSA EM FACES INTERNAS DE PAREDES, ESPESSURA DE 10MM, COM EXECUÇÃO DE TALISCAS. AF_06/2014</v>
      </c>
      <c r="F467" s="135" t="str">
        <f>IF($D467&lt;&gt;"",VLOOKUP($D467,'SINAPI JULHO 2021'!$1:$1048576,3,FALSE),"")</f>
        <v>M2</v>
      </c>
      <c r="G467" s="291">
        <v>11.44</v>
      </c>
      <c r="H467" s="415">
        <f>IF($D467&lt;&gt;"",VLOOKUP($D467,'SINAPI JULHO 2021'!$1:$1048576,4,FALSE),"")</f>
        <v>41.43</v>
      </c>
      <c r="I467" s="287">
        <f t="shared" si="58"/>
        <v>473.95</v>
      </c>
    </row>
    <row r="468" spans="2:9" s="132" customFormat="1">
      <c r="B468" s="487" t="s">
        <v>4292</v>
      </c>
      <c r="C468" s="426"/>
      <c r="D468" s="426"/>
      <c r="E468" s="426"/>
      <c r="F468" s="462"/>
      <c r="G468" s="426"/>
      <c r="H468" s="426"/>
      <c r="I468" s="427"/>
    </row>
    <row r="469" spans="2:9" s="132" customFormat="1" ht="38.25">
      <c r="B469" s="133" t="s">
        <v>7403</v>
      </c>
      <c r="C469" s="133" t="s">
        <v>7</v>
      </c>
      <c r="D469" s="405">
        <v>101963</v>
      </c>
      <c r="E469" s="134" t="str">
        <f>IF($D469&lt;&gt;"",VLOOKUP($D469,'SINAPI JULHO 2021'!$A$1:E12167,2,FALSE),"")</f>
        <v>LAJE PRÉ-MOLDADA UNIDIRECIONAL, BIAPOIADA, PARA PISO, ENCHIMENTO EM CERÂMICA, VIGOTA CONVENCIONAL, ALTURA TOTAL DA LAJE (ENCHIMENTO+CAPA) = (8+4). AF_11/2020</v>
      </c>
      <c r="F469" s="135" t="str">
        <f>IF($D469&lt;&gt;"",VLOOKUP($D469,'SINAPI JULHO 2021'!$1:$1048576,3,FALSE),"")</f>
        <v>M2</v>
      </c>
      <c r="G469" s="291">
        <v>1.54</v>
      </c>
      <c r="H469" s="415">
        <f>IF($D469&lt;&gt;"",VLOOKUP($D469,'SINAPI JULHO 2021'!$1:$1048576,4,FALSE),"")</f>
        <v>169.31</v>
      </c>
      <c r="I469" s="287">
        <f t="shared" ref="I469" si="59">TRUNC(G469*H469,2)</f>
        <v>260.73</v>
      </c>
    </row>
    <row r="470" spans="2:9" s="132" customFormat="1" ht="13.5" thickBot="1">
      <c r="B470" s="408"/>
      <c r="C470" s="408"/>
      <c r="D470" s="424"/>
      <c r="E470" s="411"/>
      <c r="F470" s="461"/>
      <c r="G470" s="425"/>
      <c r="H470" s="289"/>
      <c r="I470" s="289"/>
    </row>
    <row r="471" spans="2:9" s="132" customFormat="1" ht="26.25" thickBot="1">
      <c r="B471" s="637" t="s">
        <v>7495</v>
      </c>
      <c r="C471" s="651"/>
      <c r="D471" s="651"/>
      <c r="E471" s="620" t="s">
        <v>7496</v>
      </c>
      <c r="F471" s="632" t="s">
        <v>553</v>
      </c>
      <c r="G471" s="653"/>
      <c r="H471" s="642"/>
      <c r="I471" s="626">
        <f>TRUNC(SUM(I472:I474),2)</f>
        <v>2243.23</v>
      </c>
    </row>
    <row r="472" spans="2:9" s="132" customFormat="1">
      <c r="B472" s="240" t="s">
        <v>7403</v>
      </c>
      <c r="C472" s="240" t="s">
        <v>7</v>
      </c>
      <c r="D472" s="594">
        <v>88247</v>
      </c>
      <c r="E472" s="566" t="str">
        <f>IF($D472&lt;&gt;"",VLOOKUP($D472,'SINAPI JULHO 2021'!$A$1:E12170,2,FALSE),"")</f>
        <v>AUXILIAR DE ELETRICISTA COM ENCARGOS COMPLEMENTARES</v>
      </c>
      <c r="F472" s="567" t="str">
        <f>IF($D472&lt;&gt;"",VLOOKUP($D472,'SINAPI JULHO 2021'!$1:$1048576,3,FALSE),"")</f>
        <v>H</v>
      </c>
      <c r="G472" s="587">
        <v>0.1</v>
      </c>
      <c r="H472" s="588">
        <f>IF($D472&lt;&gt;"",VLOOKUP($D472,'SINAPI JULHO 2021'!$1:$1048576,4,FALSE),"")</f>
        <v>14</v>
      </c>
      <c r="I472" s="589">
        <f t="shared" ref="I472:I473" si="60">TRUNC(G472*H472,2)</f>
        <v>1.4</v>
      </c>
    </row>
    <row r="473" spans="2:9" s="132" customFormat="1">
      <c r="B473" s="133" t="s">
        <v>7403</v>
      </c>
      <c r="C473" s="133" t="s">
        <v>7</v>
      </c>
      <c r="D473" s="405">
        <v>88264</v>
      </c>
      <c r="E473" s="134" t="str">
        <f>IF($D473&lt;&gt;"",VLOOKUP($D473,'SINAPI JULHO 2021'!$A$1:E12171,2,FALSE),"")</f>
        <v>ELETRICISTA COM ENCARGOS COMPLEMENTARES</v>
      </c>
      <c r="F473" s="135" t="str">
        <f>IF($D473&lt;&gt;"",VLOOKUP($D473,'SINAPI JULHO 2021'!$1:$1048576,3,FALSE),"")</f>
        <v>H</v>
      </c>
      <c r="G473" s="291">
        <v>0.1</v>
      </c>
      <c r="H473" s="415">
        <f>IF($D473&lt;&gt;"",VLOOKUP($D473,'SINAPI JULHO 2021'!$1:$1048576,4,FALSE),"")</f>
        <v>18.3</v>
      </c>
      <c r="I473" s="287">
        <f t="shared" si="60"/>
        <v>1.83</v>
      </c>
    </row>
    <row r="474" spans="2:9" s="132" customFormat="1" ht="51">
      <c r="B474" s="455" t="s">
        <v>568</v>
      </c>
      <c r="C474" s="133" t="s">
        <v>569</v>
      </c>
      <c r="D474" s="405"/>
      <c r="E474" s="421" t="s">
        <v>7497</v>
      </c>
      <c r="F474" s="422" t="s">
        <v>553</v>
      </c>
      <c r="G474" s="291">
        <v>1</v>
      </c>
      <c r="H474" s="423">
        <v>2240</v>
      </c>
      <c r="I474" s="288">
        <f t="shared" ref="I474" si="61">TRUNC(H474*G474,2)</f>
        <v>2240</v>
      </c>
    </row>
    <row r="475" spans="2:9" s="132" customFormat="1" ht="13.5" thickBot="1">
      <c r="B475" s="408"/>
      <c r="C475" s="408"/>
      <c r="D475" s="424"/>
      <c r="E475" s="411"/>
      <c r="F475" s="461"/>
      <c r="G475" s="425"/>
      <c r="H475" s="289"/>
      <c r="I475" s="289"/>
    </row>
    <row r="476" spans="2:9" s="132" customFormat="1" ht="26.25" thickBot="1">
      <c r="B476" s="637" t="s">
        <v>7498</v>
      </c>
      <c r="C476" s="651"/>
      <c r="D476" s="651"/>
      <c r="E476" s="620" t="s">
        <v>7499</v>
      </c>
      <c r="F476" s="632" t="s">
        <v>553</v>
      </c>
      <c r="G476" s="653"/>
      <c r="H476" s="642"/>
      <c r="I476" s="626">
        <f>TRUNC(SUM(I477:I479),2)</f>
        <v>1334.48</v>
      </c>
    </row>
    <row r="477" spans="2:9" s="132" customFormat="1">
      <c r="B477" s="240" t="s">
        <v>7403</v>
      </c>
      <c r="C477" s="240" t="s">
        <v>7</v>
      </c>
      <c r="D477" s="594">
        <v>88247</v>
      </c>
      <c r="E477" s="566" t="str">
        <f>IF($D477&lt;&gt;"",VLOOKUP($D477,'SINAPI JULHO 2021'!$A$1:E12175,2,FALSE),"")</f>
        <v>AUXILIAR DE ELETRICISTA COM ENCARGOS COMPLEMENTARES</v>
      </c>
      <c r="F477" s="567" t="str">
        <f>IF($D477&lt;&gt;"",VLOOKUP($D477,'SINAPI JULHO 2021'!$1:$1048576,3,FALSE),"")</f>
        <v>H</v>
      </c>
      <c r="G477" s="587">
        <v>0.4</v>
      </c>
      <c r="H477" s="588">
        <f>IF($D477&lt;&gt;"",VLOOKUP($D477,'SINAPI JULHO 2021'!$1:$1048576,4,FALSE),"")</f>
        <v>14</v>
      </c>
      <c r="I477" s="589">
        <f t="shared" ref="I477:I479" si="62">TRUNC(G477*H477,2)</f>
        <v>5.6</v>
      </c>
    </row>
    <row r="478" spans="2:9" s="132" customFormat="1">
      <c r="B478" s="133" t="s">
        <v>7403</v>
      </c>
      <c r="C478" s="133" t="s">
        <v>7</v>
      </c>
      <c r="D478" s="405">
        <v>88264</v>
      </c>
      <c r="E478" s="134" t="str">
        <f>IF($D478&lt;&gt;"",VLOOKUP($D478,'SINAPI JULHO 2021'!$A$1:E12176,2,FALSE),"")</f>
        <v>ELETRICISTA COM ENCARGOS COMPLEMENTARES</v>
      </c>
      <c r="F478" s="135" t="str">
        <f>IF($D478&lt;&gt;"",VLOOKUP($D478,'SINAPI JULHO 2021'!$1:$1048576,3,FALSE),"")</f>
        <v>H</v>
      </c>
      <c r="G478" s="291">
        <v>0.4</v>
      </c>
      <c r="H478" s="415">
        <f>IF($D478&lt;&gt;"",VLOOKUP($D478,'SINAPI JULHO 2021'!$1:$1048576,4,FALSE),"")</f>
        <v>18.3</v>
      </c>
      <c r="I478" s="287">
        <f t="shared" si="62"/>
        <v>7.32</v>
      </c>
    </row>
    <row r="479" spans="2:9" s="132" customFormat="1" ht="25.5">
      <c r="B479" s="133" t="s">
        <v>568</v>
      </c>
      <c r="C479" s="133" t="s">
        <v>7</v>
      </c>
      <c r="D479" s="405">
        <v>2378</v>
      </c>
      <c r="E479" s="134" t="str">
        <f>IF($D479&lt;&gt;"",VLOOKUP($D479,'SINAPI JULHO 2021'!$A$1:E12177,2,FALSE),"")</f>
        <v xml:space="preserve">DISJUNTOR TERMOMAGNETICO TRIPOLAR 300 A / 600 V, TIPO JXD / ICC - 40 KA                                                                                                                                                                                                                                                                                                                                                                                                                                   </v>
      </c>
      <c r="F479" s="135" t="str">
        <f>IF($D479&lt;&gt;"",VLOOKUP($D479,'SINAPI JULHO 2021'!$1:$1048576,3,FALSE),"")</f>
        <v xml:space="preserve">UN    </v>
      </c>
      <c r="G479" s="291">
        <v>1</v>
      </c>
      <c r="H479" s="415">
        <f>IF($D479&lt;&gt;"",VLOOKUP($D479,'SINAPI JULHO 2021'!$1:$1048576,4,FALSE),"")</f>
        <v>1321.56</v>
      </c>
      <c r="I479" s="287">
        <f t="shared" si="62"/>
        <v>1321.56</v>
      </c>
    </row>
    <row r="480" spans="2:9" s="132" customFormat="1" ht="13.5" thickBot="1">
      <c r="B480" s="408"/>
      <c r="C480" s="408"/>
      <c r="D480" s="424"/>
      <c r="E480" s="411"/>
      <c r="F480" s="461"/>
      <c r="G480" s="425"/>
      <c r="H480" s="289"/>
      <c r="I480" s="289"/>
    </row>
    <row r="481" spans="2:9" s="132" customFormat="1" ht="26.25" thickBot="1">
      <c r="B481" s="637" t="s">
        <v>7500</v>
      </c>
      <c r="C481" s="651"/>
      <c r="D481" s="651"/>
      <c r="E481" s="620" t="s">
        <v>7501</v>
      </c>
      <c r="F481" s="632" t="s">
        <v>14</v>
      </c>
      <c r="G481" s="653"/>
      <c r="H481" s="642"/>
      <c r="I481" s="626">
        <f>TRUNC(SUM(I482:I484),2)</f>
        <v>138.22999999999999</v>
      </c>
    </row>
    <row r="482" spans="2:9" s="132" customFormat="1">
      <c r="B482" s="240" t="s">
        <v>7403</v>
      </c>
      <c r="C482" s="240" t="s">
        <v>7</v>
      </c>
      <c r="D482" s="594">
        <v>88247</v>
      </c>
      <c r="E482" s="566" t="str">
        <f>IF($D482&lt;&gt;"",VLOOKUP($D482,'SINAPI JULHO 2021'!$A$1:E12180,2,FALSE),"")</f>
        <v>AUXILIAR DE ELETRICISTA COM ENCARGOS COMPLEMENTARES</v>
      </c>
      <c r="F482" s="567" t="str">
        <f>IF($D482&lt;&gt;"",VLOOKUP($D482,'SINAPI JULHO 2021'!$1:$1048576,3,FALSE),"")</f>
        <v>H</v>
      </c>
      <c r="G482" s="587">
        <v>0.1</v>
      </c>
      <c r="H482" s="588">
        <f>IF($D482&lt;&gt;"",VLOOKUP($D482,'SINAPI JULHO 2021'!$1:$1048576,4,FALSE),"")</f>
        <v>14</v>
      </c>
      <c r="I482" s="589">
        <f t="shared" ref="I482:I483" si="63">TRUNC(G482*H482,2)</f>
        <v>1.4</v>
      </c>
    </row>
    <row r="483" spans="2:9" s="132" customFormat="1">
      <c r="B483" s="133" t="s">
        <v>7403</v>
      </c>
      <c r="C483" s="133" t="s">
        <v>7</v>
      </c>
      <c r="D483" s="405">
        <v>88264</v>
      </c>
      <c r="E483" s="134" t="str">
        <f>IF($D483&lt;&gt;"",VLOOKUP($D483,'SINAPI JULHO 2021'!$A$1:E12181,2,FALSE),"")</f>
        <v>ELETRICISTA COM ENCARGOS COMPLEMENTARES</v>
      </c>
      <c r="F483" s="135" t="str">
        <f>IF($D483&lt;&gt;"",VLOOKUP($D483,'SINAPI JULHO 2021'!$1:$1048576,3,FALSE),"")</f>
        <v>H</v>
      </c>
      <c r="G483" s="291">
        <v>0.1</v>
      </c>
      <c r="H483" s="415">
        <f>IF($D483&lt;&gt;"",VLOOKUP($D483,'SINAPI JULHO 2021'!$1:$1048576,4,FALSE),"")</f>
        <v>18.3</v>
      </c>
      <c r="I483" s="287">
        <f t="shared" si="63"/>
        <v>1.83</v>
      </c>
    </row>
    <row r="484" spans="2:9" s="132" customFormat="1" ht="25.5">
      <c r="B484" s="455" t="s">
        <v>568</v>
      </c>
      <c r="C484" s="133" t="s">
        <v>569</v>
      </c>
      <c r="D484" s="405"/>
      <c r="E484" s="397" t="s">
        <v>7502</v>
      </c>
      <c r="F484" s="407" t="s">
        <v>14</v>
      </c>
      <c r="G484" s="291">
        <v>1</v>
      </c>
      <c r="H484" s="287">
        <v>135</v>
      </c>
      <c r="I484" s="288">
        <f t="shared" ref="I484" si="64">TRUNC(H484*G484,2)</f>
        <v>135</v>
      </c>
    </row>
    <row r="485" spans="2:9" s="132" customFormat="1" ht="13.5" thickBot="1">
      <c r="B485" s="515"/>
      <c r="C485" s="515"/>
      <c r="D485" s="544"/>
      <c r="E485" s="545"/>
      <c r="F485" s="546"/>
      <c r="G485" s="547"/>
      <c r="H485" s="548"/>
      <c r="I485" s="548"/>
    </row>
    <row r="486" spans="2:9" s="132" customFormat="1" ht="26.25" thickBot="1">
      <c r="B486" s="637" t="s">
        <v>7503</v>
      </c>
      <c r="C486" s="651"/>
      <c r="D486" s="651"/>
      <c r="E486" s="620" t="s">
        <v>7504</v>
      </c>
      <c r="F486" s="632" t="s">
        <v>553</v>
      </c>
      <c r="G486" s="653"/>
      <c r="H486" s="642"/>
      <c r="I486" s="626">
        <f>TRUNC(SUM(I487:I489),2)</f>
        <v>22.53</v>
      </c>
    </row>
    <row r="487" spans="2:9" s="132" customFormat="1">
      <c r="B487" s="240" t="s">
        <v>7403</v>
      </c>
      <c r="C487" s="240" t="s">
        <v>7</v>
      </c>
      <c r="D487" s="594">
        <v>88247</v>
      </c>
      <c r="E487" s="566" t="str">
        <f>IF($D487&lt;&gt;"",VLOOKUP($D487,'SINAPI JULHO 2021'!$A$1:E12185,2,FALSE),"")</f>
        <v>AUXILIAR DE ELETRICISTA COM ENCARGOS COMPLEMENTARES</v>
      </c>
      <c r="F487" s="567" t="str">
        <f>IF($D487&lt;&gt;"",VLOOKUP($D487,'SINAPI JULHO 2021'!$1:$1048576,3,FALSE),"")</f>
        <v>H</v>
      </c>
      <c r="G487" s="587">
        <v>0.01</v>
      </c>
      <c r="H487" s="588">
        <f>IF($D487&lt;&gt;"",VLOOKUP($D487,'SINAPI JULHO 2021'!$1:$1048576,4,FALSE),"")</f>
        <v>14</v>
      </c>
      <c r="I487" s="589">
        <f t="shared" ref="I487:I489" si="65">TRUNC(G487*H487,2)</f>
        <v>0.14000000000000001</v>
      </c>
    </row>
    <row r="488" spans="2:9" s="132" customFormat="1">
      <c r="B488" s="133" t="s">
        <v>7403</v>
      </c>
      <c r="C488" s="133" t="s">
        <v>7</v>
      </c>
      <c r="D488" s="405">
        <v>88264</v>
      </c>
      <c r="E488" s="134" t="str">
        <f>IF($D488&lt;&gt;"",VLOOKUP($D488,'SINAPI JULHO 2021'!$A$1:E12186,2,FALSE),"")</f>
        <v>ELETRICISTA COM ENCARGOS COMPLEMENTARES</v>
      </c>
      <c r="F488" s="135" t="str">
        <f>IF($D488&lt;&gt;"",VLOOKUP($D488,'SINAPI JULHO 2021'!$1:$1048576,3,FALSE),"")</f>
        <v>H</v>
      </c>
      <c r="G488" s="291">
        <v>0.01</v>
      </c>
      <c r="H488" s="415">
        <f>IF($D488&lt;&gt;"",VLOOKUP($D488,'SINAPI JULHO 2021'!$1:$1048576,4,FALSE),"")</f>
        <v>18.3</v>
      </c>
      <c r="I488" s="287">
        <f t="shared" si="65"/>
        <v>0.18</v>
      </c>
    </row>
    <row r="489" spans="2:9" s="132" customFormat="1" ht="25.5">
      <c r="B489" s="133" t="s">
        <v>568</v>
      </c>
      <c r="C489" s="133" t="s">
        <v>7</v>
      </c>
      <c r="D489" s="405">
        <v>1593</v>
      </c>
      <c r="E489" s="134" t="str">
        <f>IF($D489&lt;&gt;"",VLOOKUP($D489,'SINAPI JULHO 2021'!$A$1:E12187,2,FALSE),"")</f>
        <v xml:space="preserve">TERMINAL METALICO A PRESSAO PARA 1 CABO DE 185 MM2, COM 1 FURO DE FIXACAO                                                                                                                                                                                                                                                                                                                                                                                                                                 </v>
      </c>
      <c r="F489" s="135" t="str">
        <f>IF($D489&lt;&gt;"",VLOOKUP($D489,'SINAPI JULHO 2021'!$1:$1048576,3,FALSE),"")</f>
        <v xml:space="preserve">UN    </v>
      </c>
      <c r="G489" s="291">
        <v>1</v>
      </c>
      <c r="H489" s="415">
        <f>IF($D489&lt;&gt;"",VLOOKUP($D489,'SINAPI JULHO 2021'!$1:$1048576,4,FALSE),"")</f>
        <v>22.21</v>
      </c>
      <c r="I489" s="287">
        <f t="shared" si="65"/>
        <v>22.21</v>
      </c>
    </row>
    <row r="490" spans="2:9" s="132" customFormat="1" ht="13.5" thickBot="1">
      <c r="B490" s="515"/>
      <c r="C490" s="515"/>
      <c r="D490" s="544"/>
      <c r="E490" s="545"/>
      <c r="F490" s="546"/>
      <c r="G490" s="547"/>
      <c r="H490" s="548"/>
      <c r="I490" s="548"/>
    </row>
    <row r="491" spans="2:9" s="132" customFormat="1" ht="26.25" thickBot="1">
      <c r="B491" s="637" t="s">
        <v>7505</v>
      </c>
      <c r="C491" s="651"/>
      <c r="D491" s="651"/>
      <c r="E491" s="620" t="s">
        <v>7506</v>
      </c>
      <c r="F491" s="632" t="s">
        <v>553</v>
      </c>
      <c r="G491" s="653"/>
      <c r="H491" s="642"/>
      <c r="I491" s="626">
        <f>TRUNC(SUM(I492:I494),2)</f>
        <v>13.75</v>
      </c>
    </row>
    <row r="492" spans="2:9" s="132" customFormat="1">
      <c r="B492" s="240" t="s">
        <v>7403</v>
      </c>
      <c r="C492" s="240" t="s">
        <v>7</v>
      </c>
      <c r="D492" s="594">
        <v>88247</v>
      </c>
      <c r="E492" s="566" t="str">
        <f>IF($D492&lt;&gt;"",VLOOKUP($D492,'SINAPI JULHO 2021'!$A$1:E12190,2,FALSE),"")</f>
        <v>AUXILIAR DE ELETRICISTA COM ENCARGOS COMPLEMENTARES</v>
      </c>
      <c r="F492" s="567" t="str">
        <f>IF($D492&lt;&gt;"",VLOOKUP($D492,'SINAPI JULHO 2021'!$1:$1048576,3,FALSE),"")</f>
        <v>H</v>
      </c>
      <c r="G492" s="587">
        <v>0.01</v>
      </c>
      <c r="H492" s="588">
        <f>IF($D492&lt;&gt;"",VLOOKUP($D492,'SINAPI JULHO 2021'!$1:$1048576,4,FALSE),"")</f>
        <v>14</v>
      </c>
      <c r="I492" s="589">
        <f t="shared" ref="I492:I494" si="66">TRUNC(G492*H492,2)</f>
        <v>0.14000000000000001</v>
      </c>
    </row>
    <row r="493" spans="2:9" s="132" customFormat="1">
      <c r="B493" s="133" t="s">
        <v>7403</v>
      </c>
      <c r="C493" s="133" t="s">
        <v>7</v>
      </c>
      <c r="D493" s="405">
        <v>88264</v>
      </c>
      <c r="E493" s="134" t="str">
        <f>IF($D493&lt;&gt;"",VLOOKUP($D493,'SINAPI JULHO 2021'!$A$1:E12191,2,FALSE),"")</f>
        <v>ELETRICISTA COM ENCARGOS COMPLEMENTARES</v>
      </c>
      <c r="F493" s="135" t="str">
        <f>IF($D493&lt;&gt;"",VLOOKUP($D493,'SINAPI JULHO 2021'!$1:$1048576,3,FALSE),"")</f>
        <v>H</v>
      </c>
      <c r="G493" s="291">
        <v>0.01</v>
      </c>
      <c r="H493" s="415">
        <f>IF($D493&lt;&gt;"",VLOOKUP($D493,'SINAPI JULHO 2021'!$1:$1048576,4,FALSE),"")</f>
        <v>18.3</v>
      </c>
      <c r="I493" s="287">
        <f t="shared" si="66"/>
        <v>0.18</v>
      </c>
    </row>
    <row r="494" spans="2:9" s="132" customFormat="1" ht="25.5">
      <c r="B494" s="133" t="s">
        <v>568</v>
      </c>
      <c r="C494" s="133" t="s">
        <v>7</v>
      </c>
      <c r="D494" s="405">
        <v>1590</v>
      </c>
      <c r="E494" s="134" t="str">
        <f>IF($D494&lt;&gt;"",VLOOKUP($D494,'SINAPI JULHO 2021'!$A$1:E12192,2,FALSE),"")</f>
        <v xml:space="preserve">TERMINAL METALICO A PRESSAO PARA 1 CABO DE 95 MM2, COM 1 FURO DE FIXACAO                                                                                                                                                                                                                                                                                                                                                                                                                                  </v>
      </c>
      <c r="F494" s="135" t="str">
        <f>IF($D494&lt;&gt;"",VLOOKUP($D494,'SINAPI JULHO 2021'!$1:$1048576,3,FALSE),"")</f>
        <v xml:space="preserve">UN    </v>
      </c>
      <c r="G494" s="291">
        <v>1</v>
      </c>
      <c r="H494" s="415">
        <f>IF($D494&lt;&gt;"",VLOOKUP($D494,'SINAPI JULHO 2021'!$1:$1048576,4,FALSE),"")</f>
        <v>13.43</v>
      </c>
      <c r="I494" s="287">
        <f t="shared" si="66"/>
        <v>13.43</v>
      </c>
    </row>
    <row r="495" spans="2:9" s="132" customFormat="1">
      <c r="B495" s="133"/>
      <c r="C495" s="133"/>
      <c r="D495" s="405"/>
      <c r="E495" s="421"/>
      <c r="F495" s="422"/>
      <c r="G495" s="406"/>
      <c r="H495" s="423"/>
      <c r="I495" s="423"/>
    </row>
    <row r="496" spans="2:9" s="132" customFormat="1">
      <c r="B496" s="511" t="s">
        <v>7507</v>
      </c>
      <c r="C496" s="408"/>
      <c r="D496" s="410"/>
      <c r="E496" s="411"/>
      <c r="F496" s="412"/>
      <c r="G496" s="35"/>
      <c r="H496" s="289"/>
      <c r="I496" s="292"/>
    </row>
    <row r="497" spans="2:9" s="132" customFormat="1" ht="13.5" thickBot="1">
      <c r="B497" s="488"/>
      <c r="C497" s="408"/>
      <c r="D497" s="410"/>
      <c r="E497" s="411"/>
      <c r="F497" s="412"/>
      <c r="G497" s="35"/>
      <c r="H497" s="289"/>
      <c r="I497" s="290"/>
    </row>
    <row r="498" spans="2:9" s="132" customFormat="1" ht="26.25" thickBot="1">
      <c r="B498" s="637" t="s">
        <v>7508</v>
      </c>
      <c r="C498" s="651"/>
      <c r="D498" s="651"/>
      <c r="E498" s="620" t="s">
        <v>7509</v>
      </c>
      <c r="F498" s="632" t="s">
        <v>14</v>
      </c>
      <c r="G498" s="653"/>
      <c r="H498" s="642"/>
      <c r="I498" s="626">
        <f>TRUNC(SUM(I499:I501),2)</f>
        <v>12.35</v>
      </c>
    </row>
    <row r="499" spans="2:9" s="132" customFormat="1">
      <c r="B499" s="240" t="s">
        <v>7403</v>
      </c>
      <c r="C499" s="240" t="s">
        <v>7</v>
      </c>
      <c r="D499" s="594">
        <v>88247</v>
      </c>
      <c r="E499" s="566" t="str">
        <f>IF($D499&lt;&gt;"",VLOOKUP($D499,'SINAPI JULHO 2021'!$A$1:E12197,2,FALSE),"")</f>
        <v>AUXILIAR DE ELETRICISTA COM ENCARGOS COMPLEMENTARES</v>
      </c>
      <c r="F499" s="567" t="str">
        <f>IF($D499&lt;&gt;"",VLOOKUP($D499,'SINAPI JULHO 2021'!$1:$1048576,3,FALSE),"")</f>
        <v>H</v>
      </c>
      <c r="G499" s="587">
        <v>8.6999999999999994E-2</v>
      </c>
      <c r="H499" s="588">
        <f>IF($D499&lt;&gt;"",VLOOKUP($D499,'SINAPI JULHO 2021'!$1:$1048576,4,FALSE),"")</f>
        <v>14</v>
      </c>
      <c r="I499" s="589">
        <f t="shared" ref="I499:I500" si="67">TRUNC(G499*H499,2)</f>
        <v>1.21</v>
      </c>
    </row>
    <row r="500" spans="2:9" s="132" customFormat="1">
      <c r="B500" s="133" t="s">
        <v>7403</v>
      </c>
      <c r="C500" s="133" t="s">
        <v>7</v>
      </c>
      <c r="D500" s="405">
        <v>88264</v>
      </c>
      <c r="E500" s="134" t="str">
        <f>IF($D500&lt;&gt;"",VLOOKUP($D500,'SINAPI JULHO 2021'!$A$1:E12198,2,FALSE),"")</f>
        <v>ELETRICISTA COM ENCARGOS COMPLEMENTARES</v>
      </c>
      <c r="F500" s="135" t="str">
        <f>IF($D500&lt;&gt;"",VLOOKUP($D500,'SINAPI JULHO 2021'!$1:$1048576,3,FALSE),"")</f>
        <v>H</v>
      </c>
      <c r="G500" s="291">
        <v>8.6999999999999994E-2</v>
      </c>
      <c r="H500" s="415">
        <f>IF($D500&lt;&gt;"",VLOOKUP($D500,'SINAPI JULHO 2021'!$1:$1048576,4,FALSE),"")</f>
        <v>18.3</v>
      </c>
      <c r="I500" s="287">
        <f t="shared" si="67"/>
        <v>1.59</v>
      </c>
    </row>
    <row r="501" spans="2:9" s="132" customFormat="1">
      <c r="B501" s="455" t="s">
        <v>568</v>
      </c>
      <c r="C501" s="133" t="s">
        <v>569</v>
      </c>
      <c r="D501" s="405"/>
      <c r="E501" s="397" t="s">
        <v>7510</v>
      </c>
      <c r="F501" s="407" t="s">
        <v>14</v>
      </c>
      <c r="G501" s="291">
        <v>1</v>
      </c>
      <c r="H501" s="287">
        <v>9.5500000000000007</v>
      </c>
      <c r="I501" s="288">
        <f>TRUNC(H501*G501,2)</f>
        <v>9.5500000000000007</v>
      </c>
    </row>
    <row r="502" spans="2:9" s="132" customFormat="1" ht="13.5" thickBot="1">
      <c r="B502" s="515"/>
      <c r="C502" s="515"/>
      <c r="D502" s="544"/>
      <c r="E502" s="545"/>
      <c r="F502" s="546"/>
      <c r="G502" s="547"/>
      <c r="H502" s="548"/>
      <c r="I502" s="548"/>
    </row>
    <row r="503" spans="2:9" s="132" customFormat="1" ht="26.25" thickBot="1">
      <c r="B503" s="637" t="s">
        <v>7511</v>
      </c>
      <c r="C503" s="651"/>
      <c r="D503" s="651"/>
      <c r="E503" s="620" t="s">
        <v>7512</v>
      </c>
      <c r="F503" s="632" t="s">
        <v>14</v>
      </c>
      <c r="G503" s="653"/>
      <c r="H503" s="642"/>
      <c r="I503" s="626">
        <f>TRUNC(SUM(I504:I506),2)</f>
        <v>24.93</v>
      </c>
    </row>
    <row r="504" spans="2:9" s="132" customFormat="1">
      <c r="B504" s="240" t="s">
        <v>7403</v>
      </c>
      <c r="C504" s="240" t="s">
        <v>7</v>
      </c>
      <c r="D504" s="594">
        <v>88247</v>
      </c>
      <c r="E504" s="566" t="str">
        <f>IF($D504&lt;&gt;"",VLOOKUP($D504,'SINAPI JULHO 2021'!$A$1:E12202,2,FALSE),"")</f>
        <v>AUXILIAR DE ELETRICISTA COM ENCARGOS COMPLEMENTARES</v>
      </c>
      <c r="F504" s="567" t="str">
        <f>IF($D504&lt;&gt;"",VLOOKUP($D504,'SINAPI JULHO 2021'!$1:$1048576,3,FALSE),"")</f>
        <v>H</v>
      </c>
      <c r="G504" s="587">
        <v>8.6999999999999994E-2</v>
      </c>
      <c r="H504" s="588">
        <f>IF($D504&lt;&gt;"",VLOOKUP($D504,'SINAPI JULHO 2021'!$1:$1048576,4,FALSE),"")</f>
        <v>14</v>
      </c>
      <c r="I504" s="589">
        <f t="shared" ref="I504:I506" si="68">TRUNC(G504*H504,2)</f>
        <v>1.21</v>
      </c>
    </row>
    <row r="505" spans="2:9" s="132" customFormat="1">
      <c r="B505" s="133" t="s">
        <v>7403</v>
      </c>
      <c r="C505" s="133" t="s">
        <v>7</v>
      </c>
      <c r="D505" s="405">
        <v>88264</v>
      </c>
      <c r="E505" s="134" t="str">
        <f>IF($D505&lt;&gt;"",VLOOKUP($D505,'SINAPI JULHO 2021'!$A$1:E12203,2,FALSE),"")</f>
        <v>ELETRICISTA COM ENCARGOS COMPLEMENTARES</v>
      </c>
      <c r="F505" s="135" t="str">
        <f>IF($D505&lt;&gt;"",VLOOKUP($D505,'SINAPI JULHO 2021'!$1:$1048576,3,FALSE),"")</f>
        <v>H</v>
      </c>
      <c r="G505" s="291">
        <v>8.6999999999999994E-2</v>
      </c>
      <c r="H505" s="415">
        <f>IF($D505&lt;&gt;"",VLOOKUP($D505,'SINAPI JULHO 2021'!$1:$1048576,4,FALSE),"")</f>
        <v>18.3</v>
      </c>
      <c r="I505" s="287">
        <f t="shared" si="68"/>
        <v>1.59</v>
      </c>
    </row>
    <row r="506" spans="2:9" s="132" customFormat="1" ht="25.5">
      <c r="B506" s="133" t="s">
        <v>568</v>
      </c>
      <c r="C506" s="133" t="s">
        <v>7513</v>
      </c>
      <c r="D506" s="405">
        <v>41954</v>
      </c>
      <c r="E506" s="134" t="str">
        <f>IF($D506&lt;&gt;"",VLOOKUP($D506,'SINAPI JULHO 2021'!$A$1:E12204,2,FALSE),"")</f>
        <v xml:space="preserve">CABO DE ACO GALVANIZADO, DIAMETRO 9,53 MM (3/8"), COM ALMA DE FIBRA 6 X 25 F                                                                                                                                                                                                                                                                                                                                                                                                                              </v>
      </c>
      <c r="F506" s="135" t="str">
        <f>IF($D506&lt;&gt;"",VLOOKUP($D506,'SINAPI JULHO 2021'!$1:$1048576,3,FALSE),"")</f>
        <v xml:space="preserve">KG    </v>
      </c>
      <c r="G506" s="291">
        <v>0.35</v>
      </c>
      <c r="H506" s="415">
        <f>IF($D506&lt;&gt;"",VLOOKUP($D506,'SINAPI JULHO 2021'!$1:$1048576,4,FALSE),"")</f>
        <v>63.24</v>
      </c>
      <c r="I506" s="287">
        <f t="shared" si="68"/>
        <v>22.13</v>
      </c>
    </row>
    <row r="507" spans="2:9" s="132" customFormat="1" ht="13.5" thickBot="1">
      <c r="B507" s="515"/>
      <c r="C507" s="515"/>
      <c r="D507" s="544"/>
      <c r="E507" s="545"/>
      <c r="F507" s="546"/>
      <c r="G507" s="547"/>
      <c r="H507" s="548"/>
      <c r="I507" s="548"/>
    </row>
    <row r="508" spans="2:9" s="132" customFormat="1" ht="26.25" thickBot="1">
      <c r="B508" s="637" t="s">
        <v>7514</v>
      </c>
      <c r="C508" s="651"/>
      <c r="D508" s="651"/>
      <c r="E508" s="620" t="s">
        <v>7515</v>
      </c>
      <c r="F508" s="632" t="s">
        <v>553</v>
      </c>
      <c r="G508" s="653"/>
      <c r="H508" s="642"/>
      <c r="I508" s="626">
        <f>TRUNC(SUM(I509:I511),2)</f>
        <v>37.229999999999997</v>
      </c>
    </row>
    <row r="509" spans="2:9" s="132" customFormat="1">
      <c r="B509" s="240" t="s">
        <v>7403</v>
      </c>
      <c r="C509" s="240" t="s">
        <v>7</v>
      </c>
      <c r="D509" s="594">
        <v>88247</v>
      </c>
      <c r="E509" s="566" t="str">
        <f>IF($D509&lt;&gt;"",VLOOKUP($D509,'SINAPI JULHO 2021'!$A$1:E12207,2,FALSE),"")</f>
        <v>AUXILIAR DE ELETRICISTA COM ENCARGOS COMPLEMENTARES</v>
      </c>
      <c r="F509" s="567" t="str">
        <f>IF($D509&lt;&gt;"",VLOOKUP($D509,'SINAPI JULHO 2021'!$1:$1048576,3,FALSE),"")</f>
        <v>H</v>
      </c>
      <c r="G509" s="587">
        <v>0.1</v>
      </c>
      <c r="H509" s="588">
        <f>IF($D509&lt;&gt;"",VLOOKUP($D509,'SINAPI JULHO 2021'!$1:$1048576,4,FALSE),"")</f>
        <v>14</v>
      </c>
      <c r="I509" s="589">
        <f t="shared" ref="I509:I510" si="69">TRUNC(G509*H509,2)</f>
        <v>1.4</v>
      </c>
    </row>
    <row r="510" spans="2:9" s="132" customFormat="1">
      <c r="B510" s="133" t="s">
        <v>7403</v>
      </c>
      <c r="C510" s="133" t="s">
        <v>7</v>
      </c>
      <c r="D510" s="405">
        <v>88264</v>
      </c>
      <c r="E510" s="134" t="str">
        <f>IF($D510&lt;&gt;"",VLOOKUP($D510,'SINAPI JULHO 2021'!$A$1:E12208,2,FALSE),"")</f>
        <v>ELETRICISTA COM ENCARGOS COMPLEMENTARES</v>
      </c>
      <c r="F510" s="135" t="str">
        <f>IF($D510&lt;&gt;"",VLOOKUP($D510,'SINAPI JULHO 2021'!$1:$1048576,3,FALSE),"")</f>
        <v>H</v>
      </c>
      <c r="G510" s="291">
        <v>0.1</v>
      </c>
      <c r="H510" s="415">
        <f>IF($D510&lt;&gt;"",VLOOKUP($D510,'SINAPI JULHO 2021'!$1:$1048576,4,FALSE),"")</f>
        <v>18.3</v>
      </c>
      <c r="I510" s="287">
        <f t="shared" si="69"/>
        <v>1.83</v>
      </c>
    </row>
    <row r="511" spans="2:9" s="132" customFormat="1" ht="25.5">
      <c r="B511" s="455" t="s">
        <v>568</v>
      </c>
      <c r="C511" s="133" t="s">
        <v>569</v>
      </c>
      <c r="D511" s="405"/>
      <c r="E511" s="397" t="s">
        <v>7516</v>
      </c>
      <c r="F511" s="407" t="s">
        <v>553</v>
      </c>
      <c r="G511" s="291">
        <v>1</v>
      </c>
      <c r="H511" s="287">
        <v>34</v>
      </c>
      <c r="I511" s="288">
        <f>TRUNC(H511*G511,2)</f>
        <v>34</v>
      </c>
    </row>
    <row r="512" spans="2:9" s="132" customFormat="1" ht="13.5" thickBot="1">
      <c r="B512" s="515"/>
      <c r="C512" s="515"/>
      <c r="D512" s="544"/>
      <c r="E512" s="545"/>
      <c r="F512" s="546"/>
      <c r="G512" s="547"/>
      <c r="H512" s="548"/>
      <c r="I512" s="548"/>
    </row>
    <row r="513" spans="2:9" s="132" customFormat="1" ht="26.25" thickBot="1">
      <c r="B513" s="637" t="s">
        <v>7517</v>
      </c>
      <c r="C513" s="651"/>
      <c r="D513" s="651"/>
      <c r="E513" s="620" t="s">
        <v>7518</v>
      </c>
      <c r="F513" s="632" t="s">
        <v>553</v>
      </c>
      <c r="G513" s="653"/>
      <c r="H513" s="642"/>
      <c r="I513" s="626">
        <f>TRUNC(SUM(I514:I516),2)</f>
        <v>2661.5</v>
      </c>
    </row>
    <row r="514" spans="2:9" s="132" customFormat="1">
      <c r="B514" s="240" t="s">
        <v>7403</v>
      </c>
      <c r="C514" s="240" t="s">
        <v>7</v>
      </c>
      <c r="D514" s="594">
        <v>88247</v>
      </c>
      <c r="E514" s="566" t="str">
        <f>IF($D514&lt;&gt;"",VLOOKUP($D514,'SINAPI JULHO 2021'!$A$1:E12212,2,FALSE),"")</f>
        <v>AUXILIAR DE ELETRICISTA COM ENCARGOS COMPLEMENTARES</v>
      </c>
      <c r="F514" s="567" t="str">
        <f>IF($D514&lt;&gt;"",VLOOKUP($D514,'SINAPI JULHO 2021'!$1:$1048576,3,FALSE),"")</f>
        <v>H</v>
      </c>
      <c r="G514" s="587">
        <v>5</v>
      </c>
      <c r="H514" s="588">
        <f>IF($D514&lt;&gt;"",VLOOKUP($D514,'SINAPI JULHO 2021'!$1:$1048576,4,FALSE),"")</f>
        <v>14</v>
      </c>
      <c r="I514" s="589">
        <f t="shared" ref="I514:I515" si="70">TRUNC(G514*H514,2)</f>
        <v>70</v>
      </c>
    </row>
    <row r="515" spans="2:9" s="132" customFormat="1">
      <c r="B515" s="133" t="s">
        <v>7403</v>
      </c>
      <c r="C515" s="133" t="s">
        <v>7</v>
      </c>
      <c r="D515" s="405">
        <v>88264</v>
      </c>
      <c r="E515" s="134" t="str">
        <f>IF($D515&lt;&gt;"",VLOOKUP($D515,'SINAPI JULHO 2021'!$A$1:E12213,2,FALSE),"")</f>
        <v>ELETRICISTA COM ENCARGOS COMPLEMENTARES</v>
      </c>
      <c r="F515" s="135" t="str">
        <f>IF($D515&lt;&gt;"",VLOOKUP($D515,'SINAPI JULHO 2021'!$1:$1048576,3,FALSE),"")</f>
        <v>H</v>
      </c>
      <c r="G515" s="291">
        <v>5</v>
      </c>
      <c r="H515" s="415">
        <f>IF($D515&lt;&gt;"",VLOOKUP($D515,'SINAPI JULHO 2021'!$1:$1048576,4,FALSE),"")</f>
        <v>18.3</v>
      </c>
      <c r="I515" s="287">
        <f t="shared" si="70"/>
        <v>91.5</v>
      </c>
    </row>
    <row r="516" spans="2:9" s="132" customFormat="1" ht="25.5">
      <c r="B516" s="455" t="s">
        <v>568</v>
      </c>
      <c r="C516" s="133" t="s">
        <v>569</v>
      </c>
      <c r="D516" s="405"/>
      <c r="E516" s="397" t="s">
        <v>7518</v>
      </c>
      <c r="F516" s="407" t="s">
        <v>553</v>
      </c>
      <c r="G516" s="291">
        <v>1</v>
      </c>
      <c r="H516" s="287">
        <v>2500</v>
      </c>
      <c r="I516" s="288">
        <f t="shared" ref="I516" si="71">TRUNC(H516*G516,2)</f>
        <v>2500</v>
      </c>
    </row>
    <row r="517" spans="2:9" s="132" customFormat="1">
      <c r="B517" s="133"/>
      <c r="C517" s="133"/>
      <c r="D517" s="405"/>
      <c r="E517" s="421"/>
      <c r="F517" s="422"/>
      <c r="G517" s="406"/>
      <c r="H517" s="423"/>
      <c r="I517" s="423"/>
    </row>
    <row r="518" spans="2:9" s="132" customFormat="1">
      <c r="B518" s="486" t="s">
        <v>7519</v>
      </c>
      <c r="C518" s="408"/>
      <c r="D518" s="410"/>
      <c r="E518" s="411"/>
      <c r="F518" s="412"/>
      <c r="G518" s="35"/>
      <c r="H518" s="289"/>
      <c r="I518" s="292"/>
    </row>
    <row r="519" spans="2:9" s="132" customFormat="1" ht="13.5" thickBot="1">
      <c r="B519" s="515"/>
      <c r="C519" s="515"/>
      <c r="D519" s="544"/>
      <c r="E519" s="545"/>
      <c r="F519" s="546"/>
      <c r="G519" s="547"/>
      <c r="H519" s="548"/>
      <c r="I519" s="548"/>
    </row>
    <row r="520" spans="2:9" s="132" customFormat="1" ht="26.25" thickBot="1">
      <c r="B520" s="637" t="s">
        <v>7520</v>
      </c>
      <c r="C520" s="651"/>
      <c r="D520" s="651"/>
      <c r="E520" s="620" t="s">
        <v>7521</v>
      </c>
      <c r="F520" s="632" t="s">
        <v>14</v>
      </c>
      <c r="G520" s="653"/>
      <c r="H520" s="642"/>
      <c r="I520" s="626">
        <f>TRUNC(SUM(I521:I523),2)</f>
        <v>5.52</v>
      </c>
    </row>
    <row r="521" spans="2:9" s="132" customFormat="1">
      <c r="B521" s="240" t="s">
        <v>7403</v>
      </c>
      <c r="C521" s="240" t="s">
        <v>7</v>
      </c>
      <c r="D521" s="594">
        <v>88247</v>
      </c>
      <c r="E521" s="566" t="str">
        <f>IF($D521&lt;&gt;"",VLOOKUP($D521,'SINAPI JULHO 2021'!$A$1:E12219,2,FALSE),"")</f>
        <v>AUXILIAR DE ELETRICISTA COM ENCARGOS COMPLEMENTARES</v>
      </c>
      <c r="F521" s="567" t="str">
        <f>IF($D521&lt;&gt;"",VLOOKUP($D521,'SINAPI JULHO 2021'!$1:$1048576,3,FALSE),"")</f>
        <v>H</v>
      </c>
      <c r="G521" s="587">
        <v>0.15</v>
      </c>
      <c r="H521" s="588">
        <f>IF($D521&lt;&gt;"",VLOOKUP($D521,'SINAPI JULHO 2021'!$1:$1048576,4,FALSE),"")</f>
        <v>14</v>
      </c>
      <c r="I521" s="589">
        <f t="shared" ref="I521:I523" si="72">TRUNC(G521*H521,2)</f>
        <v>2.1</v>
      </c>
    </row>
    <row r="522" spans="2:9" s="132" customFormat="1">
      <c r="B522" s="133" t="s">
        <v>7403</v>
      </c>
      <c r="C522" s="133" t="s">
        <v>7</v>
      </c>
      <c r="D522" s="405">
        <v>88264</v>
      </c>
      <c r="E522" s="134" t="str">
        <f>IF($D522&lt;&gt;"",VLOOKUP($D522,'SINAPI JULHO 2021'!$A$1:E12220,2,FALSE),"")</f>
        <v>ELETRICISTA COM ENCARGOS COMPLEMENTARES</v>
      </c>
      <c r="F522" s="135" t="str">
        <f>IF($D522&lt;&gt;"",VLOOKUP($D522,'SINAPI JULHO 2021'!$1:$1048576,3,FALSE),"")</f>
        <v>H</v>
      </c>
      <c r="G522" s="291">
        <v>0.15</v>
      </c>
      <c r="H522" s="415">
        <f>IF($D522&lt;&gt;"",VLOOKUP($D522,'SINAPI JULHO 2021'!$1:$1048576,4,FALSE),"")</f>
        <v>18.3</v>
      </c>
      <c r="I522" s="287">
        <f t="shared" si="72"/>
        <v>2.74</v>
      </c>
    </row>
    <row r="523" spans="2:9" s="132" customFormat="1">
      <c r="B523" s="133" t="s">
        <v>568</v>
      </c>
      <c r="C523" s="133" t="s">
        <v>7</v>
      </c>
      <c r="D523" s="405">
        <v>344</v>
      </c>
      <c r="E523" s="134" t="str">
        <f>IF($D523&lt;&gt;"",VLOOKUP($D523,'SINAPI JULHO 2021'!$A$1:E12221,2,FALSE),"")</f>
        <v xml:space="preserve">ARAME GALVANIZADO 16 BWG, D = 1,65MM (0,0166 KG/M)                                                                                                                                                                                                                                                                                                                                                                                                                                                        </v>
      </c>
      <c r="F523" s="135" t="str">
        <f>IF($D523&lt;&gt;"",VLOOKUP($D523,'SINAPI JULHO 2021'!$1:$1048576,3,FALSE),"")</f>
        <v xml:space="preserve">KG    </v>
      </c>
      <c r="G523" s="291">
        <v>2.5999999999999999E-2</v>
      </c>
      <c r="H523" s="415">
        <f>IF($D523&lt;&gt;"",VLOOKUP($D523,'SINAPI JULHO 2021'!$1:$1048576,4,FALSE),"")</f>
        <v>26.28</v>
      </c>
      <c r="I523" s="287">
        <f t="shared" si="72"/>
        <v>0.68</v>
      </c>
    </row>
    <row r="524" spans="2:9" s="132" customFormat="1" ht="13.5" thickBot="1">
      <c r="B524" s="515"/>
      <c r="C524" s="515"/>
      <c r="D524" s="544"/>
      <c r="E524" s="545"/>
      <c r="F524" s="546"/>
      <c r="G524" s="547"/>
      <c r="H524" s="548"/>
      <c r="I524" s="548"/>
    </row>
    <row r="525" spans="2:9" s="132" customFormat="1" ht="26.25" thickBot="1">
      <c r="B525" s="637" t="s">
        <v>7522</v>
      </c>
      <c r="C525" s="651"/>
      <c r="D525" s="651"/>
      <c r="E525" s="620" t="s">
        <v>7523</v>
      </c>
      <c r="F525" s="632" t="s">
        <v>553</v>
      </c>
      <c r="G525" s="653"/>
      <c r="H525" s="642"/>
      <c r="I525" s="626">
        <f>TRUNC(SUM(I526:I528),2)</f>
        <v>8.7100000000000009</v>
      </c>
    </row>
    <row r="526" spans="2:9" s="132" customFormat="1">
      <c r="B526" s="240" t="s">
        <v>7403</v>
      </c>
      <c r="C526" s="240" t="s">
        <v>7</v>
      </c>
      <c r="D526" s="594">
        <v>88316</v>
      </c>
      <c r="E526" s="566" t="str">
        <f>IF($D526&lt;&gt;"",VLOOKUP($D526,'SINAPI JULHO 2021'!$A$1:E12224,2,FALSE),"")</f>
        <v>SERVENTE COM ENCARGOS COMPLEMENTARES</v>
      </c>
      <c r="F526" s="567" t="str">
        <f>IF($D526&lt;&gt;"",VLOOKUP($D526,'SINAPI JULHO 2021'!$1:$1048576,3,FALSE),"")</f>
        <v>H</v>
      </c>
      <c r="G526" s="587">
        <v>0.1</v>
      </c>
      <c r="H526" s="588">
        <f>IF($D526&lt;&gt;"",VLOOKUP($D526,'SINAPI JULHO 2021'!$1:$1048576,4,FALSE),"")</f>
        <v>14.02</v>
      </c>
      <c r="I526" s="589">
        <f t="shared" ref="I526:I527" si="73">TRUNC(G526*H526,2)</f>
        <v>1.4</v>
      </c>
    </row>
    <row r="527" spans="2:9" s="132" customFormat="1">
      <c r="B527" s="133" t="s">
        <v>7403</v>
      </c>
      <c r="C527" s="133" t="s">
        <v>7</v>
      </c>
      <c r="D527" s="405">
        <v>88264</v>
      </c>
      <c r="E527" s="134" t="str">
        <f>IF($D527&lt;&gt;"",VLOOKUP($D527,'SINAPI JULHO 2021'!$A$1:E12225,2,FALSE),"")</f>
        <v>ELETRICISTA COM ENCARGOS COMPLEMENTARES</v>
      </c>
      <c r="F527" s="135" t="str">
        <f>IF($D527&lt;&gt;"",VLOOKUP($D527,'SINAPI JULHO 2021'!$1:$1048576,3,FALSE),"")</f>
        <v>H</v>
      </c>
      <c r="G527" s="291">
        <v>0.1</v>
      </c>
      <c r="H527" s="415">
        <f>IF($D527&lt;&gt;"",VLOOKUP($D527,'SINAPI JULHO 2021'!$1:$1048576,4,FALSE),"")</f>
        <v>18.3</v>
      </c>
      <c r="I527" s="287">
        <f t="shared" si="73"/>
        <v>1.83</v>
      </c>
    </row>
    <row r="528" spans="2:9" s="132" customFormat="1">
      <c r="B528" s="455" t="s">
        <v>568</v>
      </c>
      <c r="C528" s="133" t="s">
        <v>569</v>
      </c>
      <c r="D528" s="405"/>
      <c r="E528" s="397" t="s">
        <v>7524</v>
      </c>
      <c r="F528" s="407" t="s">
        <v>553</v>
      </c>
      <c r="G528" s="291">
        <v>1</v>
      </c>
      <c r="H528" s="287">
        <v>5.48</v>
      </c>
      <c r="I528" s="288">
        <f t="shared" ref="I528" si="74">TRUNC(H528*G528,2)</f>
        <v>5.48</v>
      </c>
    </row>
    <row r="529" spans="2:9" s="132" customFormat="1" ht="13.5" thickBot="1">
      <c r="B529" s="515"/>
      <c r="C529" s="515"/>
      <c r="D529" s="544"/>
      <c r="E529" s="545"/>
      <c r="F529" s="546"/>
      <c r="G529" s="547"/>
      <c r="H529" s="548"/>
      <c r="I529" s="548"/>
    </row>
    <row r="530" spans="2:9" s="132" customFormat="1" ht="39" thickBot="1">
      <c r="B530" s="637" t="s">
        <v>7525</v>
      </c>
      <c r="C530" s="651"/>
      <c r="D530" s="651"/>
      <c r="E530" s="620" t="s">
        <v>7526</v>
      </c>
      <c r="F530" s="632" t="s">
        <v>553</v>
      </c>
      <c r="G530" s="653"/>
      <c r="H530" s="642"/>
      <c r="I530" s="626">
        <f>TRUNC(SUM(I531:I533),2)</f>
        <v>52.92</v>
      </c>
    </row>
    <row r="531" spans="2:9" s="132" customFormat="1">
      <c r="B531" s="240" t="s">
        <v>7403</v>
      </c>
      <c r="C531" s="240" t="s">
        <v>7</v>
      </c>
      <c r="D531" s="594">
        <v>88247</v>
      </c>
      <c r="E531" s="566" t="str">
        <f>IF($D531&lt;&gt;"",VLOOKUP($D531,'SINAPI JULHO 2021'!$A$1:E12229,2,FALSE),"")</f>
        <v>AUXILIAR DE ELETRICISTA COM ENCARGOS COMPLEMENTARES</v>
      </c>
      <c r="F531" s="567" t="str">
        <f>IF($D531&lt;&gt;"",VLOOKUP($D531,'SINAPI JULHO 2021'!$1:$1048576,3,FALSE),"")</f>
        <v>H</v>
      </c>
      <c r="G531" s="587">
        <v>0.25309999999999999</v>
      </c>
      <c r="H531" s="588">
        <f>IF($D531&lt;&gt;"",VLOOKUP($D531,'SINAPI JULHO 2021'!$1:$1048576,4,FALSE),"")</f>
        <v>14</v>
      </c>
      <c r="I531" s="589">
        <f t="shared" ref="I531:I533" si="75">TRUNC(G531*H531,2)</f>
        <v>3.54</v>
      </c>
    </row>
    <row r="532" spans="2:9" s="132" customFormat="1">
      <c r="B532" s="133" t="s">
        <v>7403</v>
      </c>
      <c r="C532" s="133" t="s">
        <v>7</v>
      </c>
      <c r="D532" s="405">
        <v>88264</v>
      </c>
      <c r="E532" s="134" t="str">
        <f>IF($D532&lt;&gt;"",VLOOKUP($D532,'SINAPI JULHO 2021'!$A$1:E12230,2,FALSE),"")</f>
        <v>ELETRICISTA COM ENCARGOS COMPLEMENTARES</v>
      </c>
      <c r="F532" s="135" t="str">
        <f>IF($D532&lt;&gt;"",VLOOKUP($D532,'SINAPI JULHO 2021'!$1:$1048576,3,FALSE),"")</f>
        <v>H</v>
      </c>
      <c r="G532" s="291">
        <v>0.25309999999999999</v>
      </c>
      <c r="H532" s="415">
        <f>IF($D532&lt;&gt;"",VLOOKUP($D532,'SINAPI JULHO 2021'!$1:$1048576,4,FALSE),"")</f>
        <v>18.3</v>
      </c>
      <c r="I532" s="287">
        <f t="shared" si="75"/>
        <v>4.63</v>
      </c>
    </row>
    <row r="533" spans="2:9" s="132" customFormat="1" ht="38.25">
      <c r="B533" s="133" t="s">
        <v>568</v>
      </c>
      <c r="C533" s="133" t="s">
        <v>7</v>
      </c>
      <c r="D533" s="405">
        <v>3380</v>
      </c>
      <c r="E533" s="134" t="str">
        <f>IF($D533&lt;&gt;"",VLOOKUP($D533,'SINAPI JULHO 2021'!$A$1:E12231,2,FALSE),"")</f>
        <v xml:space="preserve">!EM PROCESSO DE DESATIVACAO! HASTE DE ATERRAMENTO EM ACO COM 3,00 M DE COMPRIMENTO E DN = 5/8", REVESTIDA COM BAIXA CAMADA DE COBRE, COM CONECTOR TIPO GRAMPO                                                                                                                                                                                                                                                                                                                                             </v>
      </c>
      <c r="F533" s="135" t="str">
        <f>IF($D533&lt;&gt;"",VLOOKUP($D533,'SINAPI JULHO 2021'!$1:$1048576,3,FALSE),"")</f>
        <v xml:space="preserve">UN    </v>
      </c>
      <c r="G533" s="291">
        <v>1</v>
      </c>
      <c r="H533" s="415">
        <f>IF($D533&lt;&gt;"",VLOOKUP($D533,'SINAPI JULHO 2021'!$1:$1048576,4,FALSE),"")</f>
        <v>44.75</v>
      </c>
      <c r="I533" s="287">
        <f t="shared" si="75"/>
        <v>44.75</v>
      </c>
    </row>
    <row r="534" spans="2:9" s="132" customFormat="1">
      <c r="B534" s="133"/>
      <c r="C534" s="133"/>
      <c r="D534" s="405"/>
      <c r="E534" s="421"/>
      <c r="F534" s="422"/>
      <c r="G534" s="406"/>
      <c r="H534" s="423"/>
      <c r="I534" s="423"/>
    </row>
    <row r="535" spans="2:9" s="132" customFormat="1">
      <c r="B535" s="511" t="s">
        <v>7527</v>
      </c>
      <c r="C535" s="408"/>
      <c r="D535" s="410"/>
      <c r="E535" s="411"/>
      <c r="F535" s="412"/>
      <c r="G535" s="35"/>
      <c r="H535" s="289"/>
      <c r="I535" s="292"/>
    </row>
    <row r="536" spans="2:9" s="132" customFormat="1">
      <c r="B536" s="133"/>
      <c r="C536" s="133"/>
      <c r="D536" s="405"/>
      <c r="E536" s="421"/>
      <c r="F536" s="422"/>
      <c r="G536" s="406"/>
      <c r="H536" s="423"/>
      <c r="I536" s="423"/>
    </row>
    <row r="537" spans="2:9" s="132" customFormat="1" ht="13.5" thickBot="1">
      <c r="B537" s="515"/>
      <c r="C537" s="515"/>
      <c r="D537" s="544"/>
      <c r="E537" s="545"/>
      <c r="F537" s="546"/>
      <c r="G537" s="549"/>
      <c r="H537" s="548"/>
      <c r="I537" s="548"/>
    </row>
    <row r="538" spans="2:9" s="132" customFormat="1" ht="26.25" thickBot="1">
      <c r="B538" s="637" t="s">
        <v>7528</v>
      </c>
      <c r="C538" s="651"/>
      <c r="D538" s="651"/>
      <c r="E538" s="620" t="s">
        <v>7529</v>
      </c>
      <c r="F538" s="632" t="s">
        <v>553</v>
      </c>
      <c r="G538" s="653"/>
      <c r="H538" s="642"/>
      <c r="I538" s="626">
        <f>TRUNC(SUM(I539:I542),2)</f>
        <v>303.33999999999997</v>
      </c>
    </row>
    <row r="539" spans="2:9" s="132" customFormat="1">
      <c r="B539" s="240" t="s">
        <v>7403</v>
      </c>
      <c r="C539" s="240" t="s">
        <v>7</v>
      </c>
      <c r="D539" s="594">
        <v>88247</v>
      </c>
      <c r="E539" s="566" t="str">
        <f>IF($D539&lt;&gt;"",VLOOKUP($D539,'SINAPI JULHO 2021'!$A$1:E12237,2,FALSE),"")</f>
        <v>AUXILIAR DE ELETRICISTA COM ENCARGOS COMPLEMENTARES</v>
      </c>
      <c r="F539" s="567" t="str">
        <f>IF($D539&lt;&gt;"",VLOOKUP($D539,'SINAPI JULHO 2021'!$1:$1048576,3,FALSE),"")</f>
        <v>H</v>
      </c>
      <c r="G539" s="587">
        <v>0.3</v>
      </c>
      <c r="H539" s="588">
        <f>IF($D539&lt;&gt;"",VLOOKUP($D539,'SINAPI JULHO 2021'!$1:$1048576,4,FALSE),"")</f>
        <v>14</v>
      </c>
      <c r="I539" s="589">
        <f t="shared" ref="I539:I540" si="76">TRUNC(G539*H539,2)</f>
        <v>4.2</v>
      </c>
    </row>
    <row r="540" spans="2:9" s="132" customFormat="1">
      <c r="B540" s="133" t="s">
        <v>7403</v>
      </c>
      <c r="C540" s="133" t="s">
        <v>7</v>
      </c>
      <c r="D540" s="405">
        <v>88264</v>
      </c>
      <c r="E540" s="134" t="str">
        <f>IF($D540&lt;&gt;"",VLOOKUP($D540,'SINAPI JULHO 2021'!$A$1:E12238,2,FALSE),"")</f>
        <v>ELETRICISTA COM ENCARGOS COMPLEMENTARES</v>
      </c>
      <c r="F540" s="135" t="str">
        <f>IF($D540&lt;&gt;"",VLOOKUP($D540,'SINAPI JULHO 2021'!$1:$1048576,3,FALSE),"")</f>
        <v>H</v>
      </c>
      <c r="G540" s="291">
        <v>0.3</v>
      </c>
      <c r="H540" s="415">
        <f>IF($D540&lt;&gt;"",VLOOKUP($D540,'SINAPI JULHO 2021'!$1:$1048576,4,FALSE),"")</f>
        <v>18.3</v>
      </c>
      <c r="I540" s="287">
        <f t="shared" si="76"/>
        <v>5.49</v>
      </c>
    </row>
    <row r="541" spans="2:9" s="132" customFormat="1">
      <c r="B541" s="455" t="s">
        <v>568</v>
      </c>
      <c r="C541" s="133" t="s">
        <v>569</v>
      </c>
      <c r="D541" s="405"/>
      <c r="E541" s="397" t="s">
        <v>7530</v>
      </c>
      <c r="F541" s="407" t="s">
        <v>553</v>
      </c>
      <c r="G541" s="291">
        <v>1</v>
      </c>
      <c r="H541" s="287">
        <v>19</v>
      </c>
      <c r="I541" s="288">
        <f t="shared" ref="I541" si="77">TRUNC(H541*G541,2)</f>
        <v>19</v>
      </c>
    </row>
    <row r="542" spans="2:9" s="132" customFormat="1" ht="51">
      <c r="B542" s="133" t="s">
        <v>568</v>
      </c>
      <c r="C542" s="133" t="s">
        <v>7</v>
      </c>
      <c r="D542" s="405">
        <v>5047</v>
      </c>
      <c r="E542" s="134" t="str">
        <f>IF($D542&lt;&gt;"",VLOOKUP($D542,'SINAPI JULHO 2021'!$A$1:E12240,2,FALSE),"")</f>
        <v xml:space="preserve">CHAVE FUSIVEL PARA REDES DE DISTRIBUICAO, TENSAO DE 15,0 KV, CORRENTE NOMINAL DO PORTA FUSIVEL DE 100 A, CAPACIDADE DE INTERRUPCAO SIMETRICA DE 7,10 KA, CAPACIDADE DE INTERRUPCAO ASSIMETRICA 10,00 KA                                                                                                                                                                                                                                                                                                   </v>
      </c>
      <c r="F542" s="135" t="str">
        <f>IF($D542&lt;&gt;"",VLOOKUP($D542,'SINAPI JULHO 2021'!$1:$1048576,3,FALSE),"")</f>
        <v xml:space="preserve">UN    </v>
      </c>
      <c r="G542" s="291">
        <v>1</v>
      </c>
      <c r="H542" s="415">
        <f>IF($D542&lt;&gt;"",VLOOKUP($D542,'SINAPI JULHO 2021'!$1:$1048576,4,FALSE),"")</f>
        <v>274.64999999999998</v>
      </c>
      <c r="I542" s="287">
        <f t="shared" ref="I542" si="78">TRUNC(G542*H542,2)</f>
        <v>274.64999999999998</v>
      </c>
    </row>
    <row r="543" spans="2:9" s="132" customFormat="1" ht="13.5" thickBot="1">
      <c r="B543" s="409"/>
      <c r="C543" s="428"/>
      <c r="D543" s="428"/>
      <c r="E543" s="429"/>
      <c r="F543" s="463"/>
      <c r="G543" s="428"/>
      <c r="H543" s="294"/>
      <c r="I543" s="294"/>
    </row>
    <row r="544" spans="2:9" s="132" customFormat="1" ht="26.25" thickBot="1">
      <c r="B544" s="637" t="s">
        <v>7531</v>
      </c>
      <c r="C544" s="651"/>
      <c r="D544" s="651"/>
      <c r="E544" s="620" t="s">
        <v>7532</v>
      </c>
      <c r="F544" s="632" t="s">
        <v>553</v>
      </c>
      <c r="G544" s="653"/>
      <c r="H544" s="642"/>
      <c r="I544" s="626">
        <f>TRUNC(SUM(I545:I548),2)</f>
        <v>59.63</v>
      </c>
    </row>
    <row r="545" spans="2:9" s="132" customFormat="1">
      <c r="B545" s="240" t="s">
        <v>7403</v>
      </c>
      <c r="C545" s="240" t="s">
        <v>7</v>
      </c>
      <c r="D545" s="594">
        <v>88247</v>
      </c>
      <c r="E545" s="566" t="str">
        <f>IF($D545&lt;&gt;"",VLOOKUP($D545,'SINAPI JULHO 2021'!$A$1:E12243,2,FALSE),"")</f>
        <v>AUXILIAR DE ELETRICISTA COM ENCARGOS COMPLEMENTARES</v>
      </c>
      <c r="F545" s="567" t="str">
        <f>IF($D545&lt;&gt;"",VLOOKUP($D545,'SINAPI JULHO 2021'!$1:$1048576,3,FALSE),"")</f>
        <v>H</v>
      </c>
      <c r="G545" s="587">
        <v>0.1</v>
      </c>
      <c r="H545" s="588">
        <f>IF($D545&lt;&gt;"",VLOOKUP($D545,'SINAPI JULHO 2021'!$1:$1048576,4,FALSE),"")</f>
        <v>14</v>
      </c>
      <c r="I545" s="589">
        <f t="shared" ref="I545:I546" si="79">TRUNC(G545*H545,2)</f>
        <v>1.4</v>
      </c>
    </row>
    <row r="546" spans="2:9" s="132" customFormat="1">
      <c r="B546" s="133" t="s">
        <v>7403</v>
      </c>
      <c r="C546" s="133" t="s">
        <v>7</v>
      </c>
      <c r="D546" s="405">
        <v>88264</v>
      </c>
      <c r="E546" s="134" t="str">
        <f>IF($D546&lt;&gt;"",VLOOKUP($D546,'SINAPI JULHO 2021'!$A$1:E12244,2,FALSE),"")</f>
        <v>ELETRICISTA COM ENCARGOS COMPLEMENTARES</v>
      </c>
      <c r="F546" s="135" t="str">
        <f>IF($D546&lt;&gt;"",VLOOKUP($D546,'SINAPI JULHO 2021'!$1:$1048576,3,FALSE),"")</f>
        <v>H</v>
      </c>
      <c r="G546" s="291">
        <v>0.1</v>
      </c>
      <c r="H546" s="415">
        <f>IF($D546&lt;&gt;"",VLOOKUP($D546,'SINAPI JULHO 2021'!$1:$1048576,4,FALSE),"")</f>
        <v>18.3</v>
      </c>
      <c r="I546" s="287">
        <f t="shared" si="79"/>
        <v>1.83</v>
      </c>
    </row>
    <row r="547" spans="2:9" s="132" customFormat="1">
      <c r="B547" s="455" t="s">
        <v>568</v>
      </c>
      <c r="C547" s="133" t="s">
        <v>569</v>
      </c>
      <c r="D547" s="405"/>
      <c r="E547" s="397" t="s">
        <v>7533</v>
      </c>
      <c r="F547" s="407" t="s">
        <v>553</v>
      </c>
      <c r="G547" s="291">
        <v>1</v>
      </c>
      <c r="H547" s="287">
        <v>31</v>
      </c>
      <c r="I547" s="288">
        <f t="shared" ref="I547:I548" si="80">TRUNC(H547*G547,2)</f>
        <v>31</v>
      </c>
    </row>
    <row r="548" spans="2:9" s="132" customFormat="1">
      <c r="B548" s="455" t="s">
        <v>568</v>
      </c>
      <c r="C548" s="133" t="s">
        <v>569</v>
      </c>
      <c r="D548" s="405"/>
      <c r="E548" s="397" t="s">
        <v>7534</v>
      </c>
      <c r="F548" s="407" t="s">
        <v>553</v>
      </c>
      <c r="G548" s="291">
        <v>1</v>
      </c>
      <c r="H548" s="287">
        <v>25.4</v>
      </c>
      <c r="I548" s="288">
        <f t="shared" si="80"/>
        <v>25.4</v>
      </c>
    </row>
    <row r="549" spans="2:9" s="132" customFormat="1" ht="13.5" thickBot="1">
      <c r="B549" s="515"/>
      <c r="C549" s="515"/>
      <c r="D549" s="544"/>
      <c r="E549" s="545"/>
      <c r="F549" s="546"/>
      <c r="G549" s="547"/>
      <c r="H549" s="548"/>
      <c r="I549" s="548"/>
    </row>
    <row r="550" spans="2:9" s="132" customFormat="1" ht="13.5" thickBot="1">
      <c r="B550" s="637" t="s">
        <v>7535</v>
      </c>
      <c r="C550" s="651"/>
      <c r="D550" s="651"/>
      <c r="E550" s="620" t="s">
        <v>7536</v>
      </c>
      <c r="F550" s="632" t="s">
        <v>553</v>
      </c>
      <c r="G550" s="653"/>
      <c r="H550" s="642"/>
      <c r="I550" s="626">
        <f>TRUNC(SUM(I551:I553),2)</f>
        <v>47.27</v>
      </c>
    </row>
    <row r="551" spans="2:9" s="132" customFormat="1">
      <c r="B551" s="240" t="s">
        <v>7403</v>
      </c>
      <c r="C551" s="240" t="s">
        <v>7</v>
      </c>
      <c r="D551" s="594">
        <v>88247</v>
      </c>
      <c r="E551" s="566" t="str">
        <f>IF($D551&lt;&gt;"",VLOOKUP($D551,'SINAPI JULHO 2021'!$A$1:E12249,2,FALSE),"")</f>
        <v>AUXILIAR DE ELETRICISTA COM ENCARGOS COMPLEMENTARES</v>
      </c>
      <c r="F551" s="567" t="str">
        <f>IF($D551&lt;&gt;"",VLOOKUP($D551,'SINAPI JULHO 2021'!$1:$1048576,3,FALSE),"")</f>
        <v>H</v>
      </c>
      <c r="G551" s="587">
        <v>0.1</v>
      </c>
      <c r="H551" s="588">
        <f>IF($D551&lt;&gt;"",VLOOKUP($D551,'SINAPI JULHO 2021'!$1:$1048576,4,FALSE),"")</f>
        <v>14</v>
      </c>
      <c r="I551" s="589">
        <f t="shared" ref="I551:I553" si="81">TRUNC(G551*H551,2)</f>
        <v>1.4</v>
      </c>
    </row>
    <row r="552" spans="2:9" s="132" customFormat="1">
      <c r="B552" s="133" t="s">
        <v>7403</v>
      </c>
      <c r="C552" s="133" t="s">
        <v>7</v>
      </c>
      <c r="D552" s="405">
        <v>88264</v>
      </c>
      <c r="E552" s="134" t="str">
        <f>IF($D552&lt;&gt;"",VLOOKUP($D552,'SINAPI JULHO 2021'!$A$1:E12250,2,FALSE),"")</f>
        <v>ELETRICISTA COM ENCARGOS COMPLEMENTARES</v>
      </c>
      <c r="F552" s="135" t="str">
        <f>IF($D552&lt;&gt;"",VLOOKUP($D552,'SINAPI JULHO 2021'!$1:$1048576,3,FALSE),"")</f>
        <v>H</v>
      </c>
      <c r="G552" s="291">
        <v>0.1</v>
      </c>
      <c r="H552" s="415">
        <f>IF($D552&lt;&gt;"",VLOOKUP($D552,'SINAPI JULHO 2021'!$1:$1048576,4,FALSE),"")</f>
        <v>18.3</v>
      </c>
      <c r="I552" s="287">
        <f t="shared" si="81"/>
        <v>1.83</v>
      </c>
    </row>
    <row r="553" spans="2:9" s="132" customFormat="1" ht="38.25">
      <c r="B553" s="133" t="s">
        <v>568</v>
      </c>
      <c r="C553" s="133" t="s">
        <v>7</v>
      </c>
      <c r="D553" s="405">
        <v>11837</v>
      </c>
      <c r="E553" s="134" t="str">
        <f>IF($D553&lt;&gt;"",VLOOKUP($D553,'SINAPI JULHO 2021'!$A$1:E12251,2,FALSE),"")</f>
        <v xml:space="preserve">GRAMPO LINHA VIVA DE LATAO ESTANHADO, DIAMETRO DO CONDUTOR PRINCIPAL DE 10 A 120 MM2, DIAMETRO DA DERIVACAO DE 10 A 70 MM2                                                                                                                                                                                                                                                                                                                                                                                </v>
      </c>
      <c r="F553" s="135" t="str">
        <f>IF($D553&lt;&gt;"",VLOOKUP($D553,'SINAPI JULHO 2021'!$1:$1048576,3,FALSE),"")</f>
        <v xml:space="preserve">UN    </v>
      </c>
      <c r="G553" s="291">
        <v>1</v>
      </c>
      <c r="H553" s="415">
        <f>IF($D553&lt;&gt;"",VLOOKUP($D553,'SINAPI JULHO 2021'!$1:$1048576,4,FALSE),"")</f>
        <v>44.04</v>
      </c>
      <c r="I553" s="287">
        <f t="shared" si="81"/>
        <v>44.04</v>
      </c>
    </row>
    <row r="554" spans="2:9" s="132" customFormat="1" ht="13.5" thickBot="1">
      <c r="B554" s="515"/>
      <c r="C554" s="515"/>
      <c r="D554" s="544"/>
      <c r="E554" s="545"/>
      <c r="F554" s="546"/>
      <c r="G554" s="547"/>
      <c r="H554" s="548"/>
      <c r="I554" s="548"/>
    </row>
    <row r="555" spans="2:9" s="132" customFormat="1" ht="13.5" thickBot="1">
      <c r="B555" s="637" t="s">
        <v>7537</v>
      </c>
      <c r="C555" s="651"/>
      <c r="D555" s="651"/>
      <c r="E555" s="620" t="s">
        <v>7538</v>
      </c>
      <c r="F555" s="632" t="s">
        <v>553</v>
      </c>
      <c r="G555" s="653"/>
      <c r="H555" s="642"/>
      <c r="I555" s="626">
        <f>TRUNC(SUM(I556:I558),2)</f>
        <v>60.62</v>
      </c>
    </row>
    <row r="556" spans="2:9" s="132" customFormat="1">
      <c r="B556" s="240" t="s">
        <v>570</v>
      </c>
      <c r="C556" s="240" t="s">
        <v>7</v>
      </c>
      <c r="D556" s="595">
        <v>88247</v>
      </c>
      <c r="E556" s="566" t="str">
        <f>IF($D556&lt;&gt;"",VLOOKUP($D556,'SINAPI JULHO 2021'!$A$1:E12254,2,FALSE),"")</f>
        <v>AUXILIAR DE ELETRICISTA COM ENCARGOS COMPLEMENTARES</v>
      </c>
      <c r="F556" s="567" t="str">
        <f>IF($D556&lt;&gt;"",VLOOKUP($D556,'SINAPI JULHO 2021'!$1:$1048576,3,FALSE),"")</f>
        <v>H</v>
      </c>
      <c r="G556" s="596">
        <v>0.3</v>
      </c>
      <c r="H556" s="588">
        <f>IF($D556&lt;&gt;"",VLOOKUP($D556,'SINAPI JULHO 2021'!$1:$1048576,4,FALSE),"")</f>
        <v>14</v>
      </c>
      <c r="I556" s="589">
        <f t="shared" ref="I556:I557" si="82">TRUNC(G556*H556,2)</f>
        <v>4.2</v>
      </c>
    </row>
    <row r="557" spans="2:9" s="132" customFormat="1">
      <c r="B557" s="133" t="s">
        <v>570</v>
      </c>
      <c r="C557" s="133" t="s">
        <v>7</v>
      </c>
      <c r="D557" s="430">
        <v>88264</v>
      </c>
      <c r="E557" s="134" t="str">
        <f>IF($D557&lt;&gt;"",VLOOKUP($D557,'SINAPI JULHO 2021'!$A$1:E12255,2,FALSE),"")</f>
        <v>ELETRICISTA COM ENCARGOS COMPLEMENTARES</v>
      </c>
      <c r="F557" s="135" t="str">
        <f>IF($D557&lt;&gt;"",VLOOKUP($D557,'SINAPI JULHO 2021'!$1:$1048576,3,FALSE),"")</f>
        <v>H</v>
      </c>
      <c r="G557" s="406">
        <v>0.3</v>
      </c>
      <c r="H557" s="415">
        <f>IF($D557&lt;&gt;"",VLOOKUP($D557,'SINAPI JULHO 2021'!$1:$1048576,4,FALSE),"")</f>
        <v>18.3</v>
      </c>
      <c r="I557" s="287">
        <f t="shared" si="82"/>
        <v>5.49</v>
      </c>
    </row>
    <row r="558" spans="2:9" s="132" customFormat="1">
      <c r="B558" s="455" t="s">
        <v>568</v>
      </c>
      <c r="C558" s="133" t="s">
        <v>569</v>
      </c>
      <c r="D558" s="430"/>
      <c r="E558" s="397" t="s">
        <v>7539</v>
      </c>
      <c r="F558" s="407" t="s">
        <v>553</v>
      </c>
      <c r="G558" s="406">
        <v>1</v>
      </c>
      <c r="H558" s="287">
        <v>50.93</v>
      </c>
      <c r="I558" s="288">
        <f t="shared" ref="I558" si="83">TRUNC(H558*G558,2)</f>
        <v>50.93</v>
      </c>
    </row>
    <row r="559" spans="2:9" s="132" customFormat="1" ht="13.5" thickBot="1">
      <c r="B559" s="515"/>
      <c r="C559" s="515"/>
      <c r="D559" s="516"/>
      <c r="E559" s="550"/>
      <c r="F559" s="543"/>
      <c r="G559" s="547"/>
      <c r="H559" s="541"/>
      <c r="I559" s="551"/>
    </row>
    <row r="560" spans="2:9" s="132" customFormat="1" ht="26.25" thickBot="1">
      <c r="B560" s="637" t="s">
        <v>7540</v>
      </c>
      <c r="C560" s="651"/>
      <c r="D560" s="651"/>
      <c r="E560" s="620" t="s">
        <v>7541</v>
      </c>
      <c r="F560" s="632" t="s">
        <v>553</v>
      </c>
      <c r="G560" s="653"/>
      <c r="H560" s="642"/>
      <c r="I560" s="626">
        <f>TRUNC(SUM(I561:I563),2)</f>
        <v>14.29</v>
      </c>
    </row>
    <row r="561" spans="2:9" s="132" customFormat="1">
      <c r="B561" s="240" t="s">
        <v>7403</v>
      </c>
      <c r="C561" s="240" t="s">
        <v>7</v>
      </c>
      <c r="D561" s="595">
        <v>88247</v>
      </c>
      <c r="E561" s="566" t="str">
        <f>IF($D561&lt;&gt;"",VLOOKUP($D561,'SINAPI JULHO 2021'!$A$1:E12259,2,FALSE),"")</f>
        <v>AUXILIAR DE ELETRICISTA COM ENCARGOS COMPLEMENTARES</v>
      </c>
      <c r="F561" s="567" t="str">
        <f>IF($D561&lt;&gt;"",VLOOKUP($D561,'SINAPI JULHO 2021'!$1:$1048576,3,FALSE),"")</f>
        <v>H</v>
      </c>
      <c r="G561" s="596">
        <v>0.15</v>
      </c>
      <c r="H561" s="588">
        <f>IF($D561&lt;&gt;"",VLOOKUP($D561,'SINAPI JULHO 2021'!$1:$1048576,4,FALSE),"")</f>
        <v>14</v>
      </c>
      <c r="I561" s="589">
        <f t="shared" ref="I561:I562" si="84">TRUNC(G561*H561,2)</f>
        <v>2.1</v>
      </c>
    </row>
    <row r="562" spans="2:9" s="132" customFormat="1">
      <c r="B562" s="133" t="s">
        <v>7403</v>
      </c>
      <c r="C562" s="133" t="s">
        <v>7</v>
      </c>
      <c r="D562" s="430">
        <v>88264</v>
      </c>
      <c r="E562" s="134" t="str">
        <f>IF($D562&lt;&gt;"",VLOOKUP($D562,'SINAPI JULHO 2021'!$A$1:E12260,2,FALSE),"")</f>
        <v>ELETRICISTA COM ENCARGOS COMPLEMENTARES</v>
      </c>
      <c r="F562" s="135" t="str">
        <f>IF($D562&lt;&gt;"",VLOOKUP($D562,'SINAPI JULHO 2021'!$1:$1048576,3,FALSE),"")</f>
        <v>H</v>
      </c>
      <c r="G562" s="406">
        <v>0.15</v>
      </c>
      <c r="H562" s="415">
        <f>IF($D562&lt;&gt;"",VLOOKUP($D562,'SINAPI JULHO 2021'!$1:$1048576,4,FALSE),"")</f>
        <v>18.3</v>
      </c>
      <c r="I562" s="287">
        <f t="shared" si="84"/>
        <v>2.74</v>
      </c>
    </row>
    <row r="563" spans="2:9" s="132" customFormat="1">
      <c r="B563" s="455" t="s">
        <v>568</v>
      </c>
      <c r="C563" s="133" t="s">
        <v>569</v>
      </c>
      <c r="D563" s="430"/>
      <c r="E563" s="397" t="s">
        <v>7542</v>
      </c>
      <c r="F563" s="407" t="s">
        <v>553</v>
      </c>
      <c r="G563" s="406">
        <v>1</v>
      </c>
      <c r="H563" s="287">
        <v>9.4499999999999993</v>
      </c>
      <c r="I563" s="288">
        <f t="shared" ref="I563" si="85">TRUNC(H563*G563,2)</f>
        <v>9.4499999999999993</v>
      </c>
    </row>
    <row r="564" spans="2:9" s="132" customFormat="1">
      <c r="B564" s="133"/>
      <c r="C564" s="133"/>
      <c r="D564" s="405"/>
      <c r="E564" s="421"/>
      <c r="F564" s="422"/>
      <c r="G564" s="406"/>
      <c r="H564" s="423"/>
      <c r="I564" s="423"/>
    </row>
    <row r="565" spans="2:9" s="132" customFormat="1">
      <c r="B565" s="511" t="s">
        <v>7543</v>
      </c>
      <c r="C565" s="408"/>
      <c r="D565" s="410"/>
      <c r="E565" s="411"/>
      <c r="F565" s="412"/>
      <c r="G565" s="35"/>
      <c r="H565" s="289"/>
      <c r="I565" s="292"/>
    </row>
    <row r="566" spans="2:9" s="132" customFormat="1" ht="13.5" thickBot="1">
      <c r="B566" s="515"/>
      <c r="C566" s="515"/>
      <c r="D566" s="544"/>
      <c r="E566" s="545"/>
      <c r="F566" s="546"/>
      <c r="G566" s="547"/>
      <c r="H566" s="548"/>
      <c r="I566" s="548"/>
    </row>
    <row r="567" spans="2:9" s="132" customFormat="1" ht="39" thickBot="1">
      <c r="B567" s="637" t="s">
        <v>7544</v>
      </c>
      <c r="C567" s="651"/>
      <c r="D567" s="651"/>
      <c r="E567" s="620" t="s">
        <v>7545</v>
      </c>
      <c r="F567" s="632" t="s">
        <v>553</v>
      </c>
      <c r="G567" s="653"/>
      <c r="H567" s="642"/>
      <c r="I567" s="626">
        <f>TRUNC(SUM(I568:I572),2)</f>
        <v>70.180000000000007</v>
      </c>
    </row>
    <row r="568" spans="2:9" s="132" customFormat="1">
      <c r="B568" s="240" t="s">
        <v>7403</v>
      </c>
      <c r="C568" s="240" t="s">
        <v>7</v>
      </c>
      <c r="D568" s="594">
        <v>88247</v>
      </c>
      <c r="E568" s="566" t="str">
        <f>IF($D568&lt;&gt;"",VLOOKUP($D568,'SINAPI JULHO 2021'!$A$1:E12266,2,FALSE),"")</f>
        <v>AUXILIAR DE ELETRICISTA COM ENCARGOS COMPLEMENTARES</v>
      </c>
      <c r="F568" s="567" t="str">
        <f>IF($D568&lt;&gt;"",VLOOKUP($D568,'SINAPI JULHO 2021'!$1:$1048576,3,FALSE),"")</f>
        <v>H</v>
      </c>
      <c r="G568" s="596">
        <v>0.3</v>
      </c>
      <c r="H568" s="588">
        <f>IF($D568&lt;&gt;"",VLOOKUP($D568,'SINAPI JULHO 2021'!$1:$1048576,4,FALSE),"")</f>
        <v>14</v>
      </c>
      <c r="I568" s="589">
        <f t="shared" ref="I568:I572" si="86">TRUNC(G568*H568,2)</f>
        <v>4.2</v>
      </c>
    </row>
    <row r="569" spans="2:9" s="132" customFormat="1">
      <c r="B569" s="133" t="s">
        <v>7403</v>
      </c>
      <c r="C569" s="133" t="s">
        <v>7</v>
      </c>
      <c r="D569" s="405">
        <v>88264</v>
      </c>
      <c r="E569" s="134" t="str">
        <f>IF($D569&lt;&gt;"",VLOOKUP($D569,'SINAPI JULHO 2021'!$A$1:E12267,2,FALSE),"")</f>
        <v>ELETRICISTA COM ENCARGOS COMPLEMENTARES</v>
      </c>
      <c r="F569" s="135" t="str">
        <f>IF($D569&lt;&gt;"",VLOOKUP($D569,'SINAPI JULHO 2021'!$1:$1048576,3,FALSE),"")</f>
        <v>H</v>
      </c>
      <c r="G569" s="406">
        <v>0.3</v>
      </c>
      <c r="H569" s="415">
        <f>IF($D569&lt;&gt;"",VLOOKUP($D569,'SINAPI JULHO 2021'!$1:$1048576,4,FALSE),"")</f>
        <v>18.3</v>
      </c>
      <c r="I569" s="287">
        <f t="shared" si="86"/>
        <v>5.49</v>
      </c>
    </row>
    <row r="570" spans="2:9" s="132" customFormat="1" ht="25.5">
      <c r="B570" s="133" t="s">
        <v>568</v>
      </c>
      <c r="C570" s="133" t="s">
        <v>7</v>
      </c>
      <c r="D570" s="405">
        <v>1092</v>
      </c>
      <c r="E570" s="134" t="str">
        <f>IF($D570&lt;&gt;"",VLOOKUP($D570,'SINAPI JULHO 2021'!$A$1:E12268,2,FALSE),"")</f>
        <v xml:space="preserve">ARMACAO VERTICAL COM HASTE E CONTRA-PINO, EM CHAPA DE ACO GALVANIZADO 3/16", COM 2 ESTRIBOS, SEM ISOLADOR                                                                                                                                                                                                                                                                                                                                                                                                 </v>
      </c>
      <c r="F570" s="135" t="str">
        <f>IF($D570&lt;&gt;"",VLOOKUP($D570,'SINAPI JULHO 2021'!$1:$1048576,3,FALSE),"")</f>
        <v xml:space="preserve">UN    </v>
      </c>
      <c r="G570" s="406">
        <v>1</v>
      </c>
      <c r="H570" s="415">
        <f>IF($D570&lt;&gt;"",VLOOKUP($D570,'SINAPI JULHO 2021'!$1:$1048576,4,FALSE),"")</f>
        <v>34.65</v>
      </c>
      <c r="I570" s="287">
        <f t="shared" si="86"/>
        <v>34.65</v>
      </c>
    </row>
    <row r="571" spans="2:9" s="132" customFormat="1" ht="25.5">
      <c r="B571" s="133" t="s">
        <v>568</v>
      </c>
      <c r="C571" s="133" t="s">
        <v>7</v>
      </c>
      <c r="D571" s="405">
        <v>39158</v>
      </c>
      <c r="E571" s="134" t="str">
        <f>IF($D571&lt;&gt;"",VLOOKUP($D571,'SINAPI JULHO 2021'!$A$1:E12269,2,FALSE),"")</f>
        <v xml:space="preserve">ABRACADEIRA EM ACO PARA AMARRACAO DE ELETRODUTOS, TIPO ECONOMICA (GOTA), COM 8"                                                                                                                                                                                                                                                                                                                                                                                                                           </v>
      </c>
      <c r="F571" s="135" t="str">
        <f>IF($D571&lt;&gt;"",VLOOKUP($D571,'SINAPI JULHO 2021'!$1:$1048576,3,FALSE),"")</f>
        <v xml:space="preserve">UN    </v>
      </c>
      <c r="G571" s="406">
        <v>1</v>
      </c>
      <c r="H571" s="415">
        <f>IF($D571&lt;&gt;"",VLOOKUP($D571,'SINAPI JULHO 2021'!$1:$1048576,4,FALSE),"")</f>
        <v>20.63</v>
      </c>
      <c r="I571" s="287">
        <f t="shared" si="86"/>
        <v>20.63</v>
      </c>
    </row>
    <row r="572" spans="2:9" s="132" customFormat="1" ht="25.5">
      <c r="B572" s="133" t="s">
        <v>568</v>
      </c>
      <c r="C572" s="133" t="s">
        <v>7</v>
      </c>
      <c r="D572" s="405">
        <v>3398</v>
      </c>
      <c r="E572" s="134" t="str">
        <f>IF($D572&lt;&gt;"",VLOOKUP($D572,'SINAPI JULHO 2021'!$A$1:E12270,2,FALSE),"")</f>
        <v xml:space="preserve">ISOLADOR DE PORCELANA, TIPO ROLDANA, DIMENSOES DE *72* X *72* MM, PARA USO EM BAIXA TENSAO                                                                                                                                                                                                                                                                                                                                                                                                                </v>
      </c>
      <c r="F572" s="135" t="str">
        <f>IF($D572&lt;&gt;"",VLOOKUP($D572,'SINAPI JULHO 2021'!$1:$1048576,3,FALSE),"")</f>
        <v xml:space="preserve">UN    </v>
      </c>
      <c r="G572" s="406">
        <v>1</v>
      </c>
      <c r="H572" s="415">
        <f>IF($D572&lt;&gt;"",VLOOKUP($D572,'SINAPI JULHO 2021'!$1:$1048576,4,FALSE),"")</f>
        <v>5.21</v>
      </c>
      <c r="I572" s="287">
        <f t="shared" si="86"/>
        <v>5.21</v>
      </c>
    </row>
    <row r="573" spans="2:9" s="132" customFormat="1" ht="13.5" thickBot="1">
      <c r="B573" s="515"/>
      <c r="C573" s="515"/>
      <c r="D573" s="544"/>
      <c r="E573" s="545"/>
      <c r="F573" s="546"/>
      <c r="G573" s="547"/>
      <c r="H573" s="548"/>
      <c r="I573" s="548"/>
    </row>
    <row r="574" spans="2:9" s="132" customFormat="1" ht="26.25" thickBot="1">
      <c r="B574" s="637" t="s">
        <v>7546</v>
      </c>
      <c r="C574" s="627"/>
      <c r="D574" s="627"/>
      <c r="E574" s="614" t="s">
        <v>7547</v>
      </c>
      <c r="F574" s="615" t="s">
        <v>553</v>
      </c>
      <c r="G574" s="653"/>
      <c r="H574" s="642"/>
      <c r="I574" s="626">
        <f>TRUNC(SUM(I575:I577),2)</f>
        <v>48.23</v>
      </c>
    </row>
    <row r="575" spans="2:9" s="132" customFormat="1">
      <c r="B575" s="240" t="s">
        <v>7403</v>
      </c>
      <c r="C575" s="240" t="s">
        <v>7</v>
      </c>
      <c r="D575" s="594">
        <v>88247</v>
      </c>
      <c r="E575" s="566" t="str">
        <f>IF($D575&lt;&gt;"",VLOOKUP($D575,'SINAPI JULHO 2021'!$A$1:E12273,2,FALSE),"")</f>
        <v>AUXILIAR DE ELETRICISTA COM ENCARGOS COMPLEMENTARES</v>
      </c>
      <c r="F575" s="567" t="str">
        <f>IF($D575&lt;&gt;"",VLOOKUP($D575,'SINAPI JULHO 2021'!$1:$1048576,3,FALSE),"")</f>
        <v>H</v>
      </c>
      <c r="G575" s="596">
        <v>0.1</v>
      </c>
      <c r="H575" s="588">
        <f>IF($D575&lt;&gt;"",VLOOKUP($D575,'SINAPI JULHO 2021'!$1:$1048576,4,FALSE),"")</f>
        <v>14</v>
      </c>
      <c r="I575" s="589">
        <f t="shared" ref="I575:I576" si="87">TRUNC(G575*H575,2)</f>
        <v>1.4</v>
      </c>
    </row>
    <row r="576" spans="2:9" s="132" customFormat="1">
      <c r="B576" s="133" t="s">
        <v>7403</v>
      </c>
      <c r="C576" s="133" t="s">
        <v>7</v>
      </c>
      <c r="D576" s="405">
        <v>88264</v>
      </c>
      <c r="E576" s="134" t="str">
        <f>IF($D576&lt;&gt;"",VLOOKUP($D576,'SINAPI JULHO 2021'!$A$1:E12274,2,FALSE),"")</f>
        <v>ELETRICISTA COM ENCARGOS COMPLEMENTARES</v>
      </c>
      <c r="F576" s="135" t="str">
        <f>IF($D576&lt;&gt;"",VLOOKUP($D576,'SINAPI JULHO 2021'!$1:$1048576,3,FALSE),"")</f>
        <v>H</v>
      </c>
      <c r="G576" s="406">
        <v>0.1</v>
      </c>
      <c r="H576" s="415">
        <f>IF($D576&lt;&gt;"",VLOOKUP($D576,'SINAPI JULHO 2021'!$1:$1048576,4,FALSE),"")</f>
        <v>18.3</v>
      </c>
      <c r="I576" s="287">
        <f t="shared" si="87"/>
        <v>1.83</v>
      </c>
    </row>
    <row r="577" spans="2:9" s="132" customFormat="1">
      <c r="B577" s="455" t="s">
        <v>568</v>
      </c>
      <c r="C577" s="133" t="s">
        <v>569</v>
      </c>
      <c r="D577" s="405"/>
      <c r="E577" s="421" t="s">
        <v>7548</v>
      </c>
      <c r="F577" s="422" t="s">
        <v>553</v>
      </c>
      <c r="G577" s="406">
        <v>1</v>
      </c>
      <c r="H577" s="423">
        <v>45</v>
      </c>
      <c r="I577" s="288">
        <f t="shared" ref="I577" si="88">TRUNC(H577*G577,2)</f>
        <v>45</v>
      </c>
    </row>
    <row r="578" spans="2:9" s="132" customFormat="1">
      <c r="B578" s="133"/>
      <c r="C578" s="133"/>
      <c r="D578" s="405"/>
      <c r="E578" s="421"/>
      <c r="F578" s="422"/>
      <c r="G578" s="406"/>
      <c r="H578" s="423"/>
      <c r="I578" s="423"/>
    </row>
    <row r="579" spans="2:9" s="132" customFormat="1">
      <c r="B579" s="511" t="s">
        <v>7549</v>
      </c>
      <c r="C579" s="408"/>
      <c r="D579" s="410"/>
      <c r="E579" s="411"/>
      <c r="F579" s="412"/>
      <c r="G579" s="35"/>
      <c r="H579" s="289"/>
      <c r="I579" s="292"/>
    </row>
    <row r="580" spans="2:9" s="132" customFormat="1">
      <c r="B580" s="133"/>
      <c r="C580" s="133"/>
      <c r="D580" s="405"/>
      <c r="E580" s="421"/>
      <c r="F580" s="422"/>
      <c r="G580" s="406"/>
      <c r="H580" s="423"/>
      <c r="I580" s="423"/>
    </row>
    <row r="581" spans="2:9" s="132" customFormat="1">
      <c r="B581" s="133"/>
      <c r="C581" s="133"/>
      <c r="D581" s="405"/>
      <c r="E581" s="421"/>
      <c r="F581" s="422"/>
      <c r="G581" s="406"/>
      <c r="H581" s="423"/>
      <c r="I581" s="423"/>
    </row>
    <row r="582" spans="2:9" s="132" customFormat="1" ht="13.5" thickBot="1">
      <c r="B582" s="515"/>
      <c r="C582" s="515"/>
      <c r="D582" s="544"/>
      <c r="E582" s="545"/>
      <c r="F582" s="546"/>
      <c r="G582" s="547"/>
      <c r="H582" s="548"/>
      <c r="I582" s="548"/>
    </row>
    <row r="583" spans="2:9" s="132" customFormat="1" ht="26.25" thickBot="1">
      <c r="B583" s="637" t="s">
        <v>7550</v>
      </c>
      <c r="C583" s="627"/>
      <c r="D583" s="627"/>
      <c r="E583" s="614" t="s">
        <v>7551</v>
      </c>
      <c r="F583" s="615" t="s">
        <v>553</v>
      </c>
      <c r="G583" s="653"/>
      <c r="H583" s="642"/>
      <c r="I583" s="626">
        <f>TRUNC(SUM(I584:I586),2)</f>
        <v>13.02</v>
      </c>
    </row>
    <row r="584" spans="2:9" s="132" customFormat="1">
      <c r="B584" s="240" t="s">
        <v>7403</v>
      </c>
      <c r="C584" s="240" t="s">
        <v>7</v>
      </c>
      <c r="D584" s="594">
        <v>88264</v>
      </c>
      <c r="E584" s="566" t="str">
        <f>IF($D584&lt;&gt;"",VLOOKUP($D584,'SINAPI JULHO 2021'!$A$1:E12282,2,FALSE),"")</f>
        <v>ELETRICISTA COM ENCARGOS COMPLEMENTARES</v>
      </c>
      <c r="F584" s="567" t="str">
        <f>IF($D584&lt;&gt;"",VLOOKUP($D584,'SINAPI JULHO 2021'!$1:$1048576,3,FALSE),"")</f>
        <v>H</v>
      </c>
      <c r="G584" s="596">
        <v>0.15</v>
      </c>
      <c r="H584" s="588">
        <f>IF($D584&lt;&gt;"",VLOOKUP($D584,'SINAPI JULHO 2021'!$1:$1048576,4,FALSE),"")</f>
        <v>18.3</v>
      </c>
      <c r="I584" s="589">
        <f t="shared" ref="I584:I586" si="89">TRUNC(G584*H584,2)</f>
        <v>2.74</v>
      </c>
    </row>
    <row r="585" spans="2:9" s="132" customFormat="1">
      <c r="B585" s="133" t="s">
        <v>7403</v>
      </c>
      <c r="C585" s="133" t="s">
        <v>7</v>
      </c>
      <c r="D585" s="405">
        <v>88264</v>
      </c>
      <c r="E585" s="134" t="str">
        <f>IF($D585&lt;&gt;"",VLOOKUP($D585,'SINAPI JULHO 2021'!$A$1:E12283,2,FALSE),"")</f>
        <v>ELETRICISTA COM ENCARGOS COMPLEMENTARES</v>
      </c>
      <c r="F585" s="135" t="str">
        <f>IF($D585&lt;&gt;"",VLOOKUP($D585,'SINAPI JULHO 2021'!$1:$1048576,3,FALSE),"")</f>
        <v>H</v>
      </c>
      <c r="G585" s="406">
        <v>0.15</v>
      </c>
      <c r="H585" s="415">
        <f>IF($D585&lt;&gt;"",VLOOKUP($D585,'SINAPI JULHO 2021'!$1:$1048576,4,FALSE),"")</f>
        <v>18.3</v>
      </c>
      <c r="I585" s="287">
        <f t="shared" si="89"/>
        <v>2.74</v>
      </c>
    </row>
    <row r="586" spans="2:9" s="132" customFormat="1">
      <c r="B586" s="133" t="s">
        <v>568</v>
      </c>
      <c r="C586" s="133" t="s">
        <v>7</v>
      </c>
      <c r="D586" s="405">
        <v>39182</v>
      </c>
      <c r="E586" s="134" t="str">
        <f>IF($D586&lt;&gt;"",VLOOKUP($D586,'SINAPI JULHO 2021'!$A$1:E12284,2,FALSE),"")</f>
        <v xml:space="preserve">BUCHA EM ALUMINIO, COM ROSCA, DE 4", PARA ELETRODUTO                                                                                                                                                                                                                                                                                                                                                                                                                                                      </v>
      </c>
      <c r="F586" s="135" t="str">
        <f>IF($D586&lt;&gt;"",VLOOKUP($D586,'SINAPI JULHO 2021'!$1:$1048576,3,FALSE),"")</f>
        <v xml:space="preserve">UN    </v>
      </c>
      <c r="G586" s="406">
        <v>1</v>
      </c>
      <c r="H586" s="415">
        <f>IF($D586&lt;&gt;"",VLOOKUP($D586,'SINAPI JULHO 2021'!$1:$1048576,4,FALSE),"")</f>
        <v>7.54</v>
      </c>
      <c r="I586" s="287">
        <f t="shared" si="89"/>
        <v>7.54</v>
      </c>
    </row>
    <row r="587" spans="2:9" s="132" customFormat="1" ht="13.5" thickBot="1">
      <c r="B587" s="515"/>
      <c r="C587" s="515"/>
      <c r="D587" s="544"/>
      <c r="E587" s="545"/>
      <c r="F587" s="546"/>
      <c r="G587" s="547"/>
      <c r="H587" s="548"/>
      <c r="I587" s="548"/>
    </row>
    <row r="588" spans="2:9" s="132" customFormat="1" ht="39" thickBot="1">
      <c r="B588" s="637" t="s">
        <v>7552</v>
      </c>
      <c r="C588" s="627"/>
      <c r="D588" s="627"/>
      <c r="E588" s="614" t="s">
        <v>7553</v>
      </c>
      <c r="F588" s="615" t="s">
        <v>553</v>
      </c>
      <c r="G588" s="653"/>
      <c r="H588" s="642"/>
      <c r="I588" s="626">
        <f>TRUNC(SUM(I589:I591),2)</f>
        <v>1468.07</v>
      </c>
    </row>
    <row r="589" spans="2:9" s="132" customFormat="1">
      <c r="B589" s="240" t="s">
        <v>7403</v>
      </c>
      <c r="C589" s="240" t="s">
        <v>7</v>
      </c>
      <c r="D589" s="594">
        <v>88247</v>
      </c>
      <c r="E589" s="566" t="str">
        <f>IF($D589&lt;&gt;"",VLOOKUP($D589,'SINAPI JULHO 2021'!$A$1:E12287,2,FALSE),"")</f>
        <v>AUXILIAR DE ELETRICISTA COM ENCARGOS COMPLEMENTARES</v>
      </c>
      <c r="F589" s="567" t="str">
        <f>IF($D589&lt;&gt;"",VLOOKUP($D589,'SINAPI JULHO 2021'!$1:$1048576,3,FALSE),"")</f>
        <v>H</v>
      </c>
      <c r="G589" s="596">
        <v>2.5099999999999998</v>
      </c>
      <c r="H589" s="588">
        <f>IF($D589&lt;&gt;"",VLOOKUP($D589,'SINAPI JULHO 2021'!$1:$1048576,4,FALSE),"")</f>
        <v>14</v>
      </c>
      <c r="I589" s="589">
        <f t="shared" ref="I589:I590" si="90">TRUNC(G589*H589,2)</f>
        <v>35.14</v>
      </c>
    </row>
    <row r="590" spans="2:9" s="132" customFormat="1">
      <c r="B590" s="133" t="s">
        <v>7403</v>
      </c>
      <c r="C590" s="133" t="s">
        <v>7</v>
      </c>
      <c r="D590" s="405">
        <v>88264</v>
      </c>
      <c r="E590" s="134" t="str">
        <f>IF($D590&lt;&gt;"",VLOOKUP($D590,'SINAPI JULHO 2021'!$A$1:E12288,2,FALSE),"")</f>
        <v>ELETRICISTA COM ENCARGOS COMPLEMENTARES</v>
      </c>
      <c r="F590" s="135" t="str">
        <f>IF($D590&lt;&gt;"",VLOOKUP($D590,'SINAPI JULHO 2021'!$1:$1048576,3,FALSE),"")</f>
        <v>H</v>
      </c>
      <c r="G590" s="406">
        <v>2.5099999999999998</v>
      </c>
      <c r="H590" s="415">
        <f>IF($D590&lt;&gt;"",VLOOKUP($D590,'SINAPI JULHO 2021'!$1:$1048576,4,FALSE),"")</f>
        <v>18.3</v>
      </c>
      <c r="I590" s="287">
        <f t="shared" si="90"/>
        <v>45.93</v>
      </c>
    </row>
    <row r="591" spans="2:9" s="132" customFormat="1" ht="25.5">
      <c r="B591" s="455" t="s">
        <v>568</v>
      </c>
      <c r="C591" s="133" t="s">
        <v>569</v>
      </c>
      <c r="D591" s="405"/>
      <c r="E591" s="431" t="s">
        <v>7554</v>
      </c>
      <c r="F591" s="407" t="s">
        <v>553</v>
      </c>
      <c r="G591" s="406">
        <v>1</v>
      </c>
      <c r="H591" s="287">
        <v>1387</v>
      </c>
      <c r="I591" s="288">
        <f t="shared" ref="I591" si="91">TRUNC(H591*G591,2)</f>
        <v>1387</v>
      </c>
    </row>
    <row r="592" spans="2:9" s="132" customFormat="1" ht="13.5" thickBot="1">
      <c r="B592" s="515"/>
      <c r="C592" s="515"/>
      <c r="D592" s="544"/>
      <c r="E592" s="545"/>
      <c r="F592" s="546"/>
      <c r="G592" s="547"/>
      <c r="H592" s="548"/>
      <c r="I592" s="548"/>
    </row>
    <row r="593" spans="2:9" s="132" customFormat="1" ht="26.25" thickBot="1">
      <c r="B593" s="637" t="s">
        <v>7555</v>
      </c>
      <c r="C593" s="627"/>
      <c r="D593" s="627"/>
      <c r="E593" s="614" t="s">
        <v>7556</v>
      </c>
      <c r="F593" s="615" t="s">
        <v>553</v>
      </c>
      <c r="G593" s="653"/>
      <c r="H593" s="642"/>
      <c r="I593" s="626">
        <f>TRUNC(SUM(I594:I609),2)</f>
        <v>1091.5999999999999</v>
      </c>
    </row>
    <row r="594" spans="2:9" s="132" customFormat="1">
      <c r="B594" s="487" t="s">
        <v>4290</v>
      </c>
      <c r="C594" s="426"/>
      <c r="D594" s="426"/>
      <c r="E594" s="426"/>
      <c r="F594" s="462"/>
      <c r="G594" s="426"/>
      <c r="H594" s="426"/>
      <c r="I594" s="427"/>
    </row>
    <row r="595" spans="2:9" s="132" customFormat="1" ht="25.5">
      <c r="B595" s="133" t="s">
        <v>7403</v>
      </c>
      <c r="C595" s="133" t="s">
        <v>7</v>
      </c>
      <c r="D595" s="405">
        <v>93358</v>
      </c>
      <c r="E595" s="134" t="str">
        <f>IF($D595&lt;&gt;"",VLOOKUP($D595,'SINAPI JULHO 2021'!$A$1:E12293,2,FALSE),"")</f>
        <v>ESCAVAÇÃO MANUAL DE VALA COM PROFUNDIDADE MENOR OU IGUAL A 1,30 M. AF_02/2021</v>
      </c>
      <c r="F595" s="135" t="str">
        <f>IF($D595&lt;&gt;"",VLOOKUP($D595,'SINAPI JULHO 2021'!$1:$1048576,3,FALSE),"")</f>
        <v>M3</v>
      </c>
      <c r="G595" s="291">
        <v>0.13</v>
      </c>
      <c r="H595" s="415">
        <f>IF($D595&lt;&gt;"",VLOOKUP($D595,'SINAPI JULHO 2021'!$1:$1048576,4,FALSE),"")</f>
        <v>55.46</v>
      </c>
      <c r="I595" s="287">
        <f t="shared" ref="I595:I598" si="92">TRUNC(G595*H595,2)</f>
        <v>7.2</v>
      </c>
    </row>
    <row r="596" spans="2:9" s="132" customFormat="1" ht="38.25">
      <c r="B596" s="133" t="s">
        <v>7403</v>
      </c>
      <c r="C596" s="133" t="s">
        <v>7</v>
      </c>
      <c r="D596" s="405">
        <v>97084</v>
      </c>
      <c r="E596" s="134" t="str">
        <f>IF($D596&lt;&gt;"",VLOOKUP($D596,'SINAPI JULHO 2021'!$A$1:E12294,2,FALSE),"")</f>
        <v>COMPACTAÇÃO MECÂNICA DE SOLO PARA EXECUÇÃO DE RADIER, COM COMPACTADOR DE SOLOS TIPO PLACA VIBRATÓRIA. AF_09/2017</v>
      </c>
      <c r="F596" s="135" t="str">
        <f>IF($D596&lt;&gt;"",VLOOKUP($D596,'SINAPI JULHO 2021'!$1:$1048576,3,FALSE),"")</f>
        <v>M2</v>
      </c>
      <c r="G596" s="291">
        <v>0.6</v>
      </c>
      <c r="H596" s="415">
        <f>IF($D596&lt;&gt;"",VLOOKUP($D596,'SINAPI JULHO 2021'!$1:$1048576,4,FALSE),"")</f>
        <v>0.45</v>
      </c>
      <c r="I596" s="287">
        <f t="shared" si="92"/>
        <v>0.27</v>
      </c>
    </row>
    <row r="597" spans="2:9" s="132" customFormat="1" ht="25.5">
      <c r="B597" s="133" t="s">
        <v>7403</v>
      </c>
      <c r="C597" s="133" t="s">
        <v>7</v>
      </c>
      <c r="D597" s="405">
        <v>95240</v>
      </c>
      <c r="E597" s="134" t="str">
        <f>IF($D597&lt;&gt;"",VLOOKUP($D597,'SINAPI JULHO 2021'!$A$1:E12295,2,FALSE),"")</f>
        <v>LASTRO DE CONCRETO MAGRO, APLICADO EM PISOS, LAJES SOBRE SOLO OU RADIERS, ESPESSURA DE 3 CM. AF_07/2016</v>
      </c>
      <c r="F597" s="135" t="str">
        <f>IF($D597&lt;&gt;"",VLOOKUP($D597,'SINAPI JULHO 2021'!$1:$1048576,3,FALSE),"")</f>
        <v>M2</v>
      </c>
      <c r="G597" s="291">
        <v>0.84</v>
      </c>
      <c r="H597" s="415">
        <f>IF($D597&lt;&gt;"",VLOOKUP($D597,'SINAPI JULHO 2021'!$1:$1048576,4,FALSE),"")</f>
        <v>13.51</v>
      </c>
      <c r="I597" s="287">
        <f t="shared" si="92"/>
        <v>11.34</v>
      </c>
    </row>
    <row r="598" spans="2:9" s="132" customFormat="1">
      <c r="B598" s="133" t="s">
        <v>568</v>
      </c>
      <c r="C598" s="133" t="s">
        <v>7</v>
      </c>
      <c r="D598" s="405">
        <v>3777</v>
      </c>
      <c r="E598" s="134" t="str">
        <f>IF($D598&lt;&gt;"",VLOOKUP($D598,'SINAPI JULHO 2021'!$A$1:E12296,2,FALSE),"")</f>
        <v xml:space="preserve">LONA PLASTICA PESADA PRETA, E = 150 MICRA                                                                                                                                                                                                                                                                                                                                                                                                                                                                 </v>
      </c>
      <c r="F598" s="135" t="str">
        <f>IF($D598&lt;&gt;"",VLOOKUP($D598,'SINAPI JULHO 2021'!$1:$1048576,3,FALSE),"")</f>
        <v xml:space="preserve">M2    </v>
      </c>
      <c r="G598" s="291">
        <v>0.6</v>
      </c>
      <c r="H598" s="415">
        <f>IF($D598&lt;&gt;"",VLOOKUP($D598,'SINAPI JULHO 2021'!$1:$1048576,4,FALSE),"")</f>
        <v>1.5</v>
      </c>
      <c r="I598" s="287">
        <f t="shared" si="92"/>
        <v>0.9</v>
      </c>
    </row>
    <row r="599" spans="2:9" s="132" customFormat="1">
      <c r="B599" s="512" t="s">
        <v>7493</v>
      </c>
      <c r="C599" s="426"/>
      <c r="D599" s="426"/>
      <c r="E599" s="426"/>
      <c r="F599" s="462"/>
      <c r="G599" s="426"/>
      <c r="H599" s="426"/>
      <c r="I599" s="427"/>
    </row>
    <row r="600" spans="2:9" s="132" customFormat="1" ht="38.25">
      <c r="B600" s="133" t="s">
        <v>568</v>
      </c>
      <c r="C600" s="133" t="s">
        <v>7</v>
      </c>
      <c r="D600" s="405">
        <v>7156</v>
      </c>
      <c r="E600" s="134" t="str">
        <f>IF($D600&lt;&gt;"",VLOOKUP($D600,'SINAPI JULHO 2021'!$A$1:E12298,2,FALSE),"")</f>
        <v xml:space="preserve">TELA DE ACO SOLDADA NERVURADA, CA-60, Q-196, (3,11 KG/M2), DIAMETRO DO FIO = 5,0 MM, LARGURA = 2,45 M, ESPACAMENTO DA MALHA = 10 X 10 CM                                                                                                                                                                                                                                                                                                                                                                  </v>
      </c>
      <c r="F600" s="135" t="str">
        <f>IF($D600&lt;&gt;"",VLOOKUP($D600,'SINAPI JULHO 2021'!$1:$1048576,3,FALSE),"")</f>
        <v xml:space="preserve">M2    </v>
      </c>
      <c r="G600" s="291">
        <v>0.84</v>
      </c>
      <c r="H600" s="415">
        <f>IF($D600&lt;&gt;"",VLOOKUP($D600,'SINAPI JULHO 2021'!$1:$1048576,4,FALSE),"")</f>
        <v>50.07</v>
      </c>
      <c r="I600" s="287">
        <f t="shared" ref="I600:I603" si="93">TRUNC(G600*H600,2)</f>
        <v>42.05</v>
      </c>
    </row>
    <row r="601" spans="2:9" s="132" customFormat="1">
      <c r="B601" s="133" t="s">
        <v>7403</v>
      </c>
      <c r="C601" s="133" t="s">
        <v>7</v>
      </c>
      <c r="D601" s="405">
        <v>88315</v>
      </c>
      <c r="E601" s="134" t="str">
        <f>IF($D601&lt;&gt;"",VLOOKUP($D601,'SINAPI JULHO 2021'!$A$1:E12299,2,FALSE),"")</f>
        <v>SERRALHEIRO COM ENCARGOS COMPLEMENTARES</v>
      </c>
      <c r="F601" s="135" t="str">
        <f>IF($D601&lt;&gt;"",VLOOKUP($D601,'SINAPI JULHO 2021'!$1:$1048576,3,FALSE),"")</f>
        <v>H</v>
      </c>
      <c r="G601" s="291">
        <v>1.5</v>
      </c>
      <c r="H601" s="415">
        <f>IF($D601&lt;&gt;"",VLOOKUP($D601,'SINAPI JULHO 2021'!$1:$1048576,4,FALSE),"")</f>
        <v>17.579999999999998</v>
      </c>
      <c r="I601" s="287">
        <f t="shared" si="93"/>
        <v>26.37</v>
      </c>
    </row>
    <row r="602" spans="2:9" s="132" customFormat="1">
      <c r="B602" s="133" t="s">
        <v>7403</v>
      </c>
      <c r="C602" s="133" t="s">
        <v>7</v>
      </c>
      <c r="D602" s="405">
        <v>88251</v>
      </c>
      <c r="E602" s="134" t="str">
        <f>IF($D602&lt;&gt;"",VLOOKUP($D602,'SINAPI JULHO 2021'!$A$1:E12300,2,FALSE),"")</f>
        <v>AUXILIAR DE SERRALHEIRO COM ENCARGOS COMPLEMENTARES</v>
      </c>
      <c r="F602" s="135" t="str">
        <f>IF($D602&lt;&gt;"",VLOOKUP($D602,'SINAPI JULHO 2021'!$1:$1048576,3,FALSE),"")</f>
        <v>H</v>
      </c>
      <c r="G602" s="291">
        <v>0.75</v>
      </c>
      <c r="H602" s="415">
        <f>IF($D602&lt;&gt;"",VLOOKUP($D602,'SINAPI JULHO 2021'!$1:$1048576,4,FALSE),"")</f>
        <v>14.09</v>
      </c>
      <c r="I602" s="287">
        <f t="shared" si="93"/>
        <v>10.56</v>
      </c>
    </row>
    <row r="603" spans="2:9" s="132" customFormat="1" ht="38.25">
      <c r="B603" s="133" t="s">
        <v>7403</v>
      </c>
      <c r="C603" s="133" t="s">
        <v>7</v>
      </c>
      <c r="D603" s="405">
        <v>97094</v>
      </c>
      <c r="E603" s="134" t="str">
        <f>IF($D603&lt;&gt;"",VLOOKUP($D603,'SINAPI JULHO 2021'!$A$1:E12301,2,FALSE),"")</f>
        <v>CONCRETAGEM DE RADIER, PISO OU LAJE SOBRE SOLO, FCK 30 MPA, PARA ESPESSURA DE 10 CM - LANÇAMENTO, ADENSAMENTO E ACABAMENTO. AF_09/2017</v>
      </c>
      <c r="F603" s="135" t="str">
        <f>IF($D603&lt;&gt;"",VLOOKUP($D603,'SINAPI JULHO 2021'!$1:$1048576,3,FALSE),"")</f>
        <v>M3</v>
      </c>
      <c r="G603" s="291">
        <v>0.13</v>
      </c>
      <c r="H603" s="415">
        <f>IF($D603&lt;&gt;"",VLOOKUP($D603,'SINAPI JULHO 2021'!$1:$1048576,4,FALSE),"")</f>
        <v>573.55999999999995</v>
      </c>
      <c r="I603" s="287">
        <f t="shared" si="93"/>
        <v>74.56</v>
      </c>
    </row>
    <row r="604" spans="2:9" s="132" customFormat="1">
      <c r="B604" s="512" t="s">
        <v>7494</v>
      </c>
      <c r="C604" s="426"/>
      <c r="D604" s="426"/>
      <c r="E604" s="426"/>
      <c r="F604" s="462"/>
      <c r="G604" s="426"/>
      <c r="H604" s="426"/>
      <c r="I604" s="427"/>
    </row>
    <row r="605" spans="2:9" s="132" customFormat="1" ht="63.75">
      <c r="B605" s="133" t="s">
        <v>7403</v>
      </c>
      <c r="C605" s="133" t="s">
        <v>7</v>
      </c>
      <c r="D605" s="405">
        <v>87497</v>
      </c>
      <c r="E605" s="134" t="str">
        <f>IF($D605&lt;&gt;"",VLOOKUP($D605,'SINAPI JULHO 2021'!$A$1:E12303,2,FALSE),"")</f>
        <v>ALVENARIA DE VEDAÇÃO DE BLOCOS CERÂMICOS FURADOS NA HORIZONTAL DE 11,5X19X19CM (ESPESSURA 11,5CM) DE PAREDES COM ÁREA LÍQUIDA MENOR QUE 6M² SEM VÃOS E ARGAMASSA DE ASSENTAMENTO COM PREPARO EM BETONEIRA. AF_06/2014</v>
      </c>
      <c r="F605" s="135" t="str">
        <f>IF($D605&lt;&gt;"",VLOOKUP($D605,'SINAPI JULHO 2021'!$1:$1048576,3,FALSE),"")</f>
        <v>M2</v>
      </c>
      <c r="G605" s="291">
        <v>5.28</v>
      </c>
      <c r="H605" s="415">
        <f>IF($D605&lt;&gt;"",VLOOKUP($D605,'SINAPI JULHO 2021'!$1:$1048576,4,FALSE),"")</f>
        <v>79.72</v>
      </c>
      <c r="I605" s="287">
        <f t="shared" ref="I605:I607" si="94">TRUNC(G605*H605,2)</f>
        <v>420.92</v>
      </c>
    </row>
    <row r="606" spans="2:9" s="132" customFormat="1" ht="38.25">
      <c r="B606" s="133" t="s">
        <v>7403</v>
      </c>
      <c r="C606" s="133" t="s">
        <v>7</v>
      </c>
      <c r="D606" s="405">
        <v>87878</v>
      </c>
      <c r="E606" s="134" t="str">
        <f>IF($D606&lt;&gt;"",VLOOKUP($D606,'SINAPI JULHO 2021'!$A$1:E12304,2,FALSE),"")</f>
        <v>CHAPISCO APLICADO EM ALVENARIAS E ESTRUTURAS DE CONCRETO INTERNAS, COM COLHER DE PEDREIRO.  ARGAMASSA TRAÇO 1:3 COM PREPARO MANUAL. AF_06/2014</v>
      </c>
      <c r="F606" s="135" t="str">
        <f>IF($D606&lt;&gt;"",VLOOKUP($D606,'SINAPI JULHO 2021'!$1:$1048576,3,FALSE),"")</f>
        <v>M2</v>
      </c>
      <c r="G606" s="291">
        <v>5.28</v>
      </c>
      <c r="H606" s="415">
        <f>IF($D606&lt;&gt;"",VLOOKUP($D606,'SINAPI JULHO 2021'!$1:$1048576,4,FALSE),"")</f>
        <v>3.4</v>
      </c>
      <c r="I606" s="287">
        <f t="shared" si="94"/>
        <v>17.95</v>
      </c>
    </row>
    <row r="607" spans="2:9" s="132" customFormat="1" ht="63.75">
      <c r="B607" s="133" t="s">
        <v>7403</v>
      </c>
      <c r="C607" s="133" t="s">
        <v>7</v>
      </c>
      <c r="D607" s="405">
        <v>87556</v>
      </c>
      <c r="E607" s="134" t="str">
        <f>IF($D607&lt;&gt;"",VLOOKUP($D607,'SINAPI JULHO 2021'!$A$1:E12305,2,FALSE),"")</f>
        <v>MASSA ÚNICA, PARA RECEBIMENTO DE PINTURA, EM ARGAMASSA INDUSTRIALIZADA, PREPARO MECÂNICO, APLICADO COM EQUIPAMENTO DE MISTURA E PROJEÇÃO DE 1,5 M3/H DE ARGAMASSA EM FACES INTERNAS DE PAREDES, ESPESSURA DE 10MM, COM EXECUÇÃO DE TALISCAS. AF_06/2014</v>
      </c>
      <c r="F607" s="135" t="str">
        <f>IF($D607&lt;&gt;"",VLOOKUP($D607,'SINAPI JULHO 2021'!$1:$1048576,3,FALSE),"")</f>
        <v>M2</v>
      </c>
      <c r="G607" s="291">
        <v>5.28</v>
      </c>
      <c r="H607" s="415">
        <f>IF($D607&lt;&gt;"",VLOOKUP($D607,'SINAPI JULHO 2021'!$1:$1048576,4,FALSE),"")</f>
        <v>41.43</v>
      </c>
      <c r="I607" s="287">
        <f t="shared" si="94"/>
        <v>218.75</v>
      </c>
    </row>
    <row r="608" spans="2:9" s="132" customFormat="1">
      <c r="B608" s="512" t="s">
        <v>4292</v>
      </c>
      <c r="C608" s="426"/>
      <c r="D608" s="426"/>
      <c r="E608" s="426"/>
      <c r="F608" s="462"/>
      <c r="G608" s="426"/>
      <c r="H608" s="426"/>
      <c r="I608" s="427"/>
    </row>
    <row r="609" spans="2:9" s="132" customFormat="1" ht="38.25">
      <c r="B609" s="133" t="s">
        <v>7403</v>
      </c>
      <c r="C609" s="133" t="s">
        <v>7</v>
      </c>
      <c r="D609" s="405">
        <v>101963</v>
      </c>
      <c r="E609" s="134" t="str">
        <f>IF($D609&lt;&gt;"",VLOOKUP($D609,'SINAPI JULHO 2021'!$A$1:E12307,2,FALSE),"")</f>
        <v>LAJE PRÉ-MOLDADA UNIDIRECIONAL, BIAPOIADA, PARA PISO, ENCHIMENTO EM CERÂMICA, VIGOTA CONVENCIONAL, ALTURA TOTAL DA LAJE (ENCHIMENTO+CAPA) = (8+4). AF_11/2020</v>
      </c>
      <c r="F609" s="135" t="str">
        <f>IF($D609&lt;&gt;"",VLOOKUP($D609,'SINAPI JULHO 2021'!$1:$1048576,3,FALSE),"")</f>
        <v>M2</v>
      </c>
      <c r="G609" s="291">
        <v>1.54</v>
      </c>
      <c r="H609" s="415">
        <f>IF($D609&lt;&gt;"",VLOOKUP($D609,'SINAPI JULHO 2021'!$1:$1048576,4,FALSE),"")</f>
        <v>169.31</v>
      </c>
      <c r="I609" s="287">
        <f t="shared" ref="I609" si="95">TRUNC(G609*H609,2)</f>
        <v>260.73</v>
      </c>
    </row>
    <row r="610" spans="2:9" s="132" customFormat="1" ht="13.5" thickBot="1">
      <c r="B610" s="408"/>
      <c r="C610" s="408"/>
      <c r="D610" s="424"/>
      <c r="E610" s="411"/>
      <c r="F610" s="461"/>
      <c r="G610" s="425"/>
      <c r="H610" s="289"/>
      <c r="I610" s="289"/>
    </row>
    <row r="611" spans="2:9" s="132" customFormat="1" ht="26.25" thickBot="1">
      <c r="B611" s="637" t="s">
        <v>7557</v>
      </c>
      <c r="C611" s="627"/>
      <c r="D611" s="627"/>
      <c r="E611" s="614" t="s">
        <v>7558</v>
      </c>
      <c r="F611" s="615" t="s">
        <v>14</v>
      </c>
      <c r="G611" s="653"/>
      <c r="H611" s="642"/>
      <c r="I611" s="626">
        <f>TRUNC(SUM(I612:I614),2)</f>
        <v>627.69000000000005</v>
      </c>
    </row>
    <row r="612" spans="2:9" s="132" customFormat="1">
      <c r="B612" s="240" t="s">
        <v>7403</v>
      </c>
      <c r="C612" s="240" t="s">
        <v>7</v>
      </c>
      <c r="D612" s="594">
        <v>88247</v>
      </c>
      <c r="E612" s="566" t="str">
        <f>IF($D612&lt;&gt;"",VLOOKUP($D612,'SINAPI JULHO 2021'!$A$1:E12310,2,FALSE),"")</f>
        <v>AUXILIAR DE ELETRICISTA COM ENCARGOS COMPLEMENTARES</v>
      </c>
      <c r="F612" s="567" t="str">
        <f>IF($D612&lt;&gt;"",VLOOKUP($D612,'SINAPI JULHO 2021'!$1:$1048576,3,FALSE),"")</f>
        <v>H</v>
      </c>
      <c r="G612" s="596">
        <v>0.3</v>
      </c>
      <c r="H612" s="588">
        <f>IF($D612&lt;&gt;"",VLOOKUP($D612,'SINAPI JULHO 2021'!$1:$1048576,4,FALSE),"")</f>
        <v>14</v>
      </c>
      <c r="I612" s="589">
        <f t="shared" ref="I612:I613" si="96">TRUNC(G612*H612,2)</f>
        <v>4.2</v>
      </c>
    </row>
    <row r="613" spans="2:9" s="132" customFormat="1">
      <c r="B613" s="133" t="s">
        <v>7403</v>
      </c>
      <c r="C613" s="133" t="s">
        <v>7</v>
      </c>
      <c r="D613" s="405">
        <v>88264</v>
      </c>
      <c r="E613" s="134" t="str">
        <f>IF($D613&lt;&gt;"",VLOOKUP($D613,'SINAPI JULHO 2021'!$A$1:E12311,2,FALSE),"")</f>
        <v>ELETRICISTA COM ENCARGOS COMPLEMENTARES</v>
      </c>
      <c r="F613" s="135" t="str">
        <f>IF($D613&lt;&gt;"",VLOOKUP($D613,'SINAPI JULHO 2021'!$1:$1048576,3,FALSE),"")</f>
        <v>H</v>
      </c>
      <c r="G613" s="406">
        <v>0.3</v>
      </c>
      <c r="H613" s="415">
        <f>IF($D613&lt;&gt;"",VLOOKUP($D613,'SINAPI JULHO 2021'!$1:$1048576,4,FALSE),"")</f>
        <v>18.3</v>
      </c>
      <c r="I613" s="287">
        <f t="shared" si="96"/>
        <v>5.49</v>
      </c>
    </row>
    <row r="614" spans="2:9" s="132" customFormat="1">
      <c r="B614" s="455" t="s">
        <v>568</v>
      </c>
      <c r="C614" s="133" t="s">
        <v>569</v>
      </c>
      <c r="D614" s="405"/>
      <c r="E614" s="421" t="s">
        <v>7559</v>
      </c>
      <c r="F614" s="422" t="s">
        <v>14</v>
      </c>
      <c r="G614" s="406">
        <v>1</v>
      </c>
      <c r="H614" s="423">
        <v>618</v>
      </c>
      <c r="I614" s="423">
        <f>TRUNC(H614*G614,2)</f>
        <v>618</v>
      </c>
    </row>
    <row r="615" spans="2:9" s="132" customFormat="1" ht="13.5" thickBot="1">
      <c r="B615" s="515"/>
      <c r="C615" s="515"/>
      <c r="D615" s="544"/>
      <c r="E615" s="545"/>
      <c r="F615" s="546"/>
      <c r="G615" s="547"/>
      <c r="H615" s="548"/>
      <c r="I615" s="548"/>
    </row>
    <row r="616" spans="2:9" s="132" customFormat="1" ht="26.25" thickBot="1">
      <c r="B616" s="637" t="s">
        <v>7560</v>
      </c>
      <c r="C616" s="627"/>
      <c r="D616" s="627"/>
      <c r="E616" s="614" t="s">
        <v>7561</v>
      </c>
      <c r="F616" s="615" t="s">
        <v>14</v>
      </c>
      <c r="G616" s="653"/>
      <c r="H616" s="642"/>
      <c r="I616" s="626">
        <f>TRUNC(SUM(I617:I619),2)</f>
        <v>223.69</v>
      </c>
    </row>
    <row r="617" spans="2:9" s="132" customFormat="1">
      <c r="B617" s="240" t="s">
        <v>7403</v>
      </c>
      <c r="C617" s="240" t="s">
        <v>7</v>
      </c>
      <c r="D617" s="594">
        <v>88247</v>
      </c>
      <c r="E617" s="566" t="str">
        <f>IF($D617&lt;&gt;"",VLOOKUP($D617,'SINAPI JULHO 2021'!$A$1:E12315,2,FALSE),"")</f>
        <v>AUXILIAR DE ELETRICISTA COM ENCARGOS COMPLEMENTARES</v>
      </c>
      <c r="F617" s="567" t="str">
        <f>IF($D617&lt;&gt;"",VLOOKUP($D617,'SINAPI JULHO 2021'!$1:$1048576,3,FALSE),"")</f>
        <v>H</v>
      </c>
      <c r="G617" s="596">
        <v>0.3</v>
      </c>
      <c r="H617" s="588">
        <f>IF($D617&lt;&gt;"",VLOOKUP($D617,'SINAPI JULHO 2021'!$1:$1048576,4,FALSE),"")</f>
        <v>14</v>
      </c>
      <c r="I617" s="589">
        <f t="shared" ref="I617:I618" si="97">TRUNC(G617*H617,2)</f>
        <v>4.2</v>
      </c>
    </row>
    <row r="618" spans="2:9" s="132" customFormat="1">
      <c r="B618" s="133" t="s">
        <v>7403</v>
      </c>
      <c r="C618" s="133" t="s">
        <v>7</v>
      </c>
      <c r="D618" s="405">
        <v>88264</v>
      </c>
      <c r="E618" s="134" t="str">
        <f>IF($D618&lt;&gt;"",VLOOKUP($D618,'SINAPI JULHO 2021'!$A$1:E12316,2,FALSE),"")</f>
        <v>ELETRICISTA COM ENCARGOS COMPLEMENTARES</v>
      </c>
      <c r="F618" s="135" t="str">
        <f>IF($D618&lt;&gt;"",VLOOKUP($D618,'SINAPI JULHO 2021'!$1:$1048576,3,FALSE),"")</f>
        <v>H</v>
      </c>
      <c r="G618" s="406">
        <v>0.3</v>
      </c>
      <c r="H618" s="415">
        <f>IF($D618&lt;&gt;"",VLOOKUP($D618,'SINAPI JULHO 2021'!$1:$1048576,4,FALSE),"")</f>
        <v>18.3</v>
      </c>
      <c r="I618" s="287">
        <f t="shared" si="97"/>
        <v>5.49</v>
      </c>
    </row>
    <row r="619" spans="2:9" s="132" customFormat="1">
      <c r="B619" s="455" t="s">
        <v>568</v>
      </c>
      <c r="C619" s="133" t="s">
        <v>569</v>
      </c>
      <c r="D619" s="405"/>
      <c r="E619" s="421" t="s">
        <v>7562</v>
      </c>
      <c r="F619" s="407" t="s">
        <v>14</v>
      </c>
      <c r="G619" s="406">
        <v>1</v>
      </c>
      <c r="H619" s="287">
        <v>214</v>
      </c>
      <c r="I619" s="288">
        <f t="shared" ref="I619" si="98">TRUNC(H619*G619,2)</f>
        <v>214</v>
      </c>
    </row>
    <row r="620" spans="2:9" s="132" customFormat="1" ht="13.5" thickBot="1">
      <c r="B620" s="515"/>
      <c r="C620" s="515"/>
      <c r="D620" s="544"/>
      <c r="E620" s="545"/>
      <c r="F620" s="546"/>
      <c r="G620" s="547"/>
      <c r="H620" s="548"/>
      <c r="I620" s="548"/>
    </row>
    <row r="621" spans="2:9" s="132" customFormat="1" ht="13.5" thickBot="1">
      <c r="B621" s="637" t="s">
        <v>7563</v>
      </c>
      <c r="C621" s="627"/>
      <c r="D621" s="627"/>
      <c r="E621" s="614" t="s">
        <v>7564</v>
      </c>
      <c r="F621" s="615" t="s">
        <v>553</v>
      </c>
      <c r="G621" s="653"/>
      <c r="H621" s="642"/>
      <c r="I621" s="626">
        <f>TRUNC(SUM(I622:I624),2)</f>
        <v>14.79</v>
      </c>
    </row>
    <row r="622" spans="2:9" s="132" customFormat="1">
      <c r="B622" s="240" t="s">
        <v>7403</v>
      </c>
      <c r="C622" s="240" t="s">
        <v>7</v>
      </c>
      <c r="D622" s="594">
        <v>88247</v>
      </c>
      <c r="E622" s="566" t="str">
        <f>IF($D622&lt;&gt;"",VLOOKUP($D622,'SINAPI JULHO 2021'!$A$1:E12320,2,FALSE),"")</f>
        <v>AUXILIAR DE ELETRICISTA COM ENCARGOS COMPLEMENTARES</v>
      </c>
      <c r="F622" s="567" t="str">
        <f>IF($D622&lt;&gt;"",VLOOKUP($D622,'SINAPI JULHO 2021'!$1:$1048576,3,FALSE),"")</f>
        <v>H</v>
      </c>
      <c r="G622" s="596">
        <v>0.1</v>
      </c>
      <c r="H622" s="588">
        <f>IF($D622&lt;&gt;"",VLOOKUP($D622,'SINAPI JULHO 2021'!$1:$1048576,4,FALSE),"")</f>
        <v>14</v>
      </c>
      <c r="I622" s="589">
        <f t="shared" ref="I622:I623" si="99">TRUNC(G622*H622,2)</f>
        <v>1.4</v>
      </c>
    </row>
    <row r="623" spans="2:9" s="132" customFormat="1">
      <c r="B623" s="133" t="s">
        <v>7403</v>
      </c>
      <c r="C623" s="133" t="s">
        <v>7</v>
      </c>
      <c r="D623" s="405">
        <v>88264</v>
      </c>
      <c r="E623" s="134" t="str">
        <f>IF($D623&lt;&gt;"",VLOOKUP($D623,'SINAPI JULHO 2021'!$A$1:E12321,2,FALSE),"")</f>
        <v>ELETRICISTA COM ENCARGOS COMPLEMENTARES</v>
      </c>
      <c r="F623" s="135" t="str">
        <f>IF($D623&lt;&gt;"",VLOOKUP($D623,'SINAPI JULHO 2021'!$1:$1048576,3,FALSE),"")</f>
        <v>H</v>
      </c>
      <c r="G623" s="406">
        <v>0.1</v>
      </c>
      <c r="H623" s="415">
        <f>IF($D623&lt;&gt;"",VLOOKUP($D623,'SINAPI JULHO 2021'!$1:$1048576,4,FALSE),"")</f>
        <v>18.3</v>
      </c>
      <c r="I623" s="287">
        <f t="shared" si="99"/>
        <v>1.83</v>
      </c>
    </row>
    <row r="624" spans="2:9" s="132" customFormat="1">
      <c r="B624" s="455" t="s">
        <v>568</v>
      </c>
      <c r="C624" s="133" t="s">
        <v>569</v>
      </c>
      <c r="D624" s="405"/>
      <c r="E624" s="397" t="s">
        <v>7565</v>
      </c>
      <c r="F624" s="407" t="s">
        <v>553</v>
      </c>
      <c r="G624" s="406">
        <v>1</v>
      </c>
      <c r="H624" s="287">
        <v>11.56</v>
      </c>
      <c r="I624" s="288">
        <f t="shared" ref="I624" si="100">TRUNC(H624*G624,2)</f>
        <v>11.56</v>
      </c>
    </row>
    <row r="625" spans="2:9" s="132" customFormat="1" ht="13.5" thickBot="1">
      <c r="B625" s="515"/>
      <c r="C625" s="515"/>
      <c r="D625" s="544"/>
      <c r="E625" s="545"/>
      <c r="F625" s="546"/>
      <c r="G625" s="547"/>
      <c r="H625" s="548"/>
      <c r="I625" s="548"/>
    </row>
    <row r="626" spans="2:9" s="132" customFormat="1" ht="26.25" thickBot="1">
      <c r="B626" s="637" t="s">
        <v>7566</v>
      </c>
      <c r="C626" s="651"/>
      <c r="D626" s="651"/>
      <c r="E626" s="654" t="s">
        <v>7567</v>
      </c>
      <c r="F626" s="632" t="s">
        <v>553</v>
      </c>
      <c r="G626" s="652"/>
      <c r="H626" s="642"/>
      <c r="I626" s="626">
        <f>TRUNC(SUM(I627:I629),2)</f>
        <v>221.27</v>
      </c>
    </row>
    <row r="627" spans="2:9" s="132" customFormat="1">
      <c r="B627" s="240" t="s">
        <v>7403</v>
      </c>
      <c r="C627" s="240" t="s">
        <v>7</v>
      </c>
      <c r="D627" s="594">
        <v>88247</v>
      </c>
      <c r="E627" s="566" t="str">
        <f>IF($D627&lt;&gt;"",VLOOKUP($D627,'SINAPI JULHO 2021'!$A$1:E12325,2,FALSE),"")</f>
        <v>AUXILIAR DE ELETRICISTA COM ENCARGOS COMPLEMENTARES</v>
      </c>
      <c r="F627" s="567" t="str">
        <f>IF($D627&lt;&gt;"",VLOOKUP($D627,'SINAPI JULHO 2021'!$1:$1048576,3,FALSE),"")</f>
        <v>H</v>
      </c>
      <c r="G627" s="596">
        <v>0.1</v>
      </c>
      <c r="H627" s="588">
        <f>IF($D627&lt;&gt;"",VLOOKUP($D627,'SINAPI JULHO 2021'!$1:$1048576,4,FALSE),"")</f>
        <v>14</v>
      </c>
      <c r="I627" s="589">
        <f t="shared" ref="I627:I629" si="101">TRUNC(G627*H627,2)</f>
        <v>1.4</v>
      </c>
    </row>
    <row r="628" spans="2:9" s="132" customFormat="1">
      <c r="B628" s="133" t="s">
        <v>7403</v>
      </c>
      <c r="C628" s="133" t="s">
        <v>7</v>
      </c>
      <c r="D628" s="405">
        <v>88264</v>
      </c>
      <c r="E628" s="134" t="str">
        <f>IF($D628&lt;&gt;"",VLOOKUP($D628,'SINAPI JULHO 2021'!$A$1:E12326,2,FALSE),"")</f>
        <v>ELETRICISTA COM ENCARGOS COMPLEMENTARES</v>
      </c>
      <c r="F628" s="135" t="str">
        <f>IF($D628&lt;&gt;"",VLOOKUP($D628,'SINAPI JULHO 2021'!$1:$1048576,3,FALSE),"")</f>
        <v>H</v>
      </c>
      <c r="G628" s="406">
        <v>0.1</v>
      </c>
      <c r="H628" s="415">
        <f>IF($D628&lt;&gt;"",VLOOKUP($D628,'SINAPI JULHO 2021'!$1:$1048576,4,FALSE),"")</f>
        <v>18.3</v>
      </c>
      <c r="I628" s="287">
        <f t="shared" si="101"/>
        <v>1.83</v>
      </c>
    </row>
    <row r="629" spans="2:9" s="132" customFormat="1" ht="38.25">
      <c r="B629" s="133" t="s">
        <v>568</v>
      </c>
      <c r="C629" s="133" t="s">
        <v>7</v>
      </c>
      <c r="D629" s="405">
        <v>10851</v>
      </c>
      <c r="E629" s="134" t="str">
        <f>IF($D629&lt;&gt;"",VLOOKUP($D629,'SINAPI JULHO 2021'!$A$1:E12327,2,FALSE),"")</f>
        <v xml:space="preserve">PLACA DE ACRILICO TRANSPARENTE ADESIVADA PARA SINALIZACAO DE PORTAS, BORDA POLIDA, DE *25 X 8*, E = 6 MM (NAO INCLUI ACESSORIOS PARA FIXACAO)                                                                                                                                                                                                                                                                                                                                                             </v>
      </c>
      <c r="F629" s="135" t="str">
        <f>IF($D629&lt;&gt;"",VLOOKUP($D629,'SINAPI JULHO 2021'!$1:$1048576,3,FALSE),"")</f>
        <v xml:space="preserve">UN    </v>
      </c>
      <c r="G629" s="406">
        <v>4</v>
      </c>
      <c r="H629" s="415">
        <f>IF($D629&lt;&gt;"",VLOOKUP($D629,'SINAPI JULHO 2021'!$1:$1048576,4,FALSE),"")</f>
        <v>54.51</v>
      </c>
      <c r="I629" s="287">
        <f t="shared" si="101"/>
        <v>218.04</v>
      </c>
    </row>
    <row r="630" spans="2:9" s="132" customFormat="1" ht="13.5" thickBot="1">
      <c r="B630" s="515"/>
      <c r="C630" s="515"/>
      <c r="D630" s="544"/>
      <c r="E630" s="545"/>
      <c r="F630" s="546"/>
      <c r="G630" s="547"/>
      <c r="H630" s="548"/>
      <c r="I630" s="548"/>
    </row>
    <row r="631" spans="2:9" s="132" customFormat="1" ht="26.25" thickBot="1">
      <c r="B631" s="637" t="s">
        <v>7568</v>
      </c>
      <c r="C631" s="651"/>
      <c r="D631" s="651"/>
      <c r="E631" s="620" t="s">
        <v>7569</v>
      </c>
      <c r="F631" s="632" t="s">
        <v>553</v>
      </c>
      <c r="G631" s="653"/>
      <c r="H631" s="642"/>
      <c r="I631" s="626">
        <f>TRUNC(SUM(I632:I635),2)</f>
        <v>434.83</v>
      </c>
    </row>
    <row r="632" spans="2:9" s="132" customFormat="1">
      <c r="B632" s="240" t="s">
        <v>7403</v>
      </c>
      <c r="C632" s="240" t="s">
        <v>7</v>
      </c>
      <c r="D632" s="594">
        <v>88247</v>
      </c>
      <c r="E632" s="566" t="str">
        <f>IF($D632&lt;&gt;"",VLOOKUP($D632,'SINAPI JULHO 2021'!$A$1:E12330,2,FALSE),"")</f>
        <v>AUXILIAR DE ELETRICISTA COM ENCARGOS COMPLEMENTARES</v>
      </c>
      <c r="F632" s="567" t="str">
        <f>IF($D632&lt;&gt;"",VLOOKUP($D632,'SINAPI JULHO 2021'!$1:$1048576,3,FALSE),"")</f>
        <v>H</v>
      </c>
      <c r="G632" s="596">
        <v>0.4</v>
      </c>
      <c r="H632" s="588">
        <f>IF($D632&lt;&gt;"",VLOOKUP($D632,'SINAPI JULHO 2021'!$1:$1048576,4,FALSE),"")</f>
        <v>14</v>
      </c>
      <c r="I632" s="589">
        <f t="shared" ref="I632:I635" si="102">TRUNC(G632*H632,2)</f>
        <v>5.6</v>
      </c>
    </row>
    <row r="633" spans="2:9" s="132" customFormat="1">
      <c r="B633" s="133" t="s">
        <v>7403</v>
      </c>
      <c r="C633" s="133" t="s">
        <v>7</v>
      </c>
      <c r="D633" s="405">
        <v>88264</v>
      </c>
      <c r="E633" s="134" t="str">
        <f>IF($D633&lt;&gt;"",VLOOKUP($D633,'SINAPI JULHO 2021'!$A$1:E12331,2,FALSE),"")</f>
        <v>ELETRICISTA COM ENCARGOS COMPLEMENTARES</v>
      </c>
      <c r="F633" s="135" t="str">
        <f>IF($D633&lt;&gt;"",VLOOKUP($D633,'SINAPI JULHO 2021'!$1:$1048576,3,FALSE),"")</f>
        <v>H</v>
      </c>
      <c r="G633" s="406">
        <v>0.4</v>
      </c>
      <c r="H633" s="415">
        <f>IF($D633&lt;&gt;"",VLOOKUP($D633,'SINAPI JULHO 2021'!$1:$1048576,4,FALSE),"")</f>
        <v>18.3</v>
      </c>
      <c r="I633" s="287">
        <f t="shared" si="102"/>
        <v>7.32</v>
      </c>
    </row>
    <row r="634" spans="2:9" s="132" customFormat="1" ht="38.25">
      <c r="B634" s="133" t="s">
        <v>568</v>
      </c>
      <c r="C634" s="133" t="s">
        <v>7</v>
      </c>
      <c r="D634" s="405">
        <v>1578</v>
      </c>
      <c r="E634" s="134" t="str">
        <f>IF($D634&lt;&gt;"",VLOOKUP($D634,'SINAPI JULHO 2021'!$A$1:E12332,2,FALSE),"")</f>
        <v xml:space="preserve">TERMINAL A COMPRESSAO EM COBRE ESTANHADO PARA CABO 50 MM2, 1 FURO E 1 COMPRESSAO, PARA PARAFUSO DE FIXACAO M8                                                                                                                                                                                                                                                                                                                                                                                             </v>
      </c>
      <c r="F634" s="135" t="str">
        <f>IF($D634&lt;&gt;"",VLOOKUP($D634,'SINAPI JULHO 2021'!$1:$1048576,3,FALSE),"")</f>
        <v xml:space="preserve">UN    </v>
      </c>
      <c r="G634" s="406">
        <v>3</v>
      </c>
      <c r="H634" s="415">
        <f>IF($D634&lt;&gt;"",VLOOKUP($D634,'SINAPI JULHO 2021'!$1:$1048576,4,FALSE),"")</f>
        <v>4.18</v>
      </c>
      <c r="I634" s="287">
        <f t="shared" si="102"/>
        <v>12.54</v>
      </c>
    </row>
    <row r="635" spans="2:9" s="132" customFormat="1" ht="25.5">
      <c r="B635" s="133" t="s">
        <v>568</v>
      </c>
      <c r="C635" s="133" t="s">
        <v>7</v>
      </c>
      <c r="D635" s="405">
        <v>2374</v>
      </c>
      <c r="E635" s="134" t="str">
        <f>IF($D635&lt;&gt;"",VLOOKUP($D635,'SINAPI JULHO 2021'!$A$1:E12333,2,FALSE),"")</f>
        <v xml:space="preserve">DISJUNTOR TERMOMAGNETICO TRIPOLAR 150 A / 600 V, TIPO FXD / ICC - 35 KA                                                                                                                                                                                                                                                                                                                                                                                                                                   </v>
      </c>
      <c r="F635" s="135" t="str">
        <f>IF($D635&lt;&gt;"",VLOOKUP($D635,'SINAPI JULHO 2021'!$1:$1048576,3,FALSE),"")</f>
        <v xml:space="preserve">UN    </v>
      </c>
      <c r="G635" s="406">
        <v>1</v>
      </c>
      <c r="H635" s="415">
        <f>IF($D635&lt;&gt;"",VLOOKUP($D635,'SINAPI JULHO 2021'!$1:$1048576,4,FALSE),"")</f>
        <v>409.37</v>
      </c>
      <c r="I635" s="287">
        <f t="shared" si="102"/>
        <v>409.37</v>
      </c>
    </row>
    <row r="636" spans="2:9" s="132" customFormat="1" ht="13.5" thickBot="1">
      <c r="B636" s="515"/>
      <c r="C636" s="515"/>
      <c r="D636" s="544"/>
      <c r="E636" s="545"/>
      <c r="F636" s="546"/>
      <c r="G636" s="547"/>
      <c r="H636" s="548"/>
      <c r="I636" s="548"/>
    </row>
    <row r="637" spans="2:9" s="132" customFormat="1" ht="26.25" thickBot="1">
      <c r="B637" s="637" t="s">
        <v>7570</v>
      </c>
      <c r="C637" s="627"/>
      <c r="D637" s="627"/>
      <c r="E637" s="614" t="s">
        <v>7571</v>
      </c>
      <c r="F637" s="615" t="s">
        <v>553</v>
      </c>
      <c r="G637" s="653"/>
      <c r="H637" s="642"/>
      <c r="I637" s="626">
        <f>TRUNC(SUM(I638:I641),2)</f>
        <v>381</v>
      </c>
    </row>
    <row r="638" spans="2:9" s="132" customFormat="1">
      <c r="B638" s="240" t="s">
        <v>7403</v>
      </c>
      <c r="C638" s="240" t="s">
        <v>7</v>
      </c>
      <c r="D638" s="594">
        <v>88247</v>
      </c>
      <c r="E638" s="566" t="str">
        <f>IF($D638&lt;&gt;"",VLOOKUP($D638,'SINAPI JULHO 2021'!$A$1:E12336,2,FALSE),"")</f>
        <v>AUXILIAR DE ELETRICISTA COM ENCARGOS COMPLEMENTARES</v>
      </c>
      <c r="F638" s="567" t="str">
        <f>IF($D638&lt;&gt;"",VLOOKUP($D638,'SINAPI JULHO 2021'!$1:$1048576,3,FALSE),"")</f>
        <v>H</v>
      </c>
      <c r="G638" s="596">
        <v>0.4</v>
      </c>
      <c r="H638" s="588">
        <f>IF($D638&lt;&gt;"",VLOOKUP($D638,'SINAPI JULHO 2021'!$1:$1048576,4,FALSE),"")</f>
        <v>14</v>
      </c>
      <c r="I638" s="589">
        <f t="shared" ref="I638:I641" si="103">TRUNC(G638*H638,2)</f>
        <v>5.6</v>
      </c>
    </row>
    <row r="639" spans="2:9" s="132" customFormat="1">
      <c r="B639" s="133" t="s">
        <v>7403</v>
      </c>
      <c r="C639" s="133" t="s">
        <v>7</v>
      </c>
      <c r="D639" s="405">
        <v>88264</v>
      </c>
      <c r="E639" s="134" t="str">
        <f>IF($D639&lt;&gt;"",VLOOKUP($D639,'SINAPI JULHO 2021'!$A$1:E12337,2,FALSE),"")</f>
        <v>ELETRICISTA COM ENCARGOS COMPLEMENTARES</v>
      </c>
      <c r="F639" s="135" t="str">
        <f>IF($D639&lt;&gt;"",VLOOKUP($D639,'SINAPI JULHO 2021'!$1:$1048576,3,FALSE),"")</f>
        <v>H</v>
      </c>
      <c r="G639" s="406">
        <v>0.4</v>
      </c>
      <c r="H639" s="415">
        <f>IF($D639&lt;&gt;"",VLOOKUP($D639,'SINAPI JULHO 2021'!$1:$1048576,4,FALSE),"")</f>
        <v>18.3</v>
      </c>
      <c r="I639" s="287">
        <f t="shared" si="103"/>
        <v>7.32</v>
      </c>
    </row>
    <row r="640" spans="2:9" s="132" customFormat="1" ht="38.25">
      <c r="B640" s="133" t="s">
        <v>568</v>
      </c>
      <c r="C640" s="133" t="s">
        <v>7</v>
      </c>
      <c r="D640" s="405">
        <v>1577</v>
      </c>
      <c r="E640" s="134" t="str">
        <f>IF($D640&lt;&gt;"",VLOOKUP($D640,'SINAPI JULHO 2021'!$A$1:E12338,2,FALSE),"")</f>
        <v xml:space="preserve">TERMINAL A COMPRESSAO EM COBRE ESTANHADO PARA CABO 35 MM2, 1 FURO E 1 COMPRESSAO, PARA PARAFUSO DE FIXACAO M8                                                                                                                                                                                                                                                                                                                                                                                             </v>
      </c>
      <c r="F640" s="135" t="str">
        <f>IF($D640&lt;&gt;"",VLOOKUP($D640,'SINAPI JULHO 2021'!$1:$1048576,3,FALSE),"")</f>
        <v xml:space="preserve">UN    </v>
      </c>
      <c r="G640" s="406">
        <v>3</v>
      </c>
      <c r="H640" s="415">
        <f>IF($D640&lt;&gt;"",VLOOKUP($D640,'SINAPI JULHO 2021'!$1:$1048576,4,FALSE),"")</f>
        <v>2.41</v>
      </c>
      <c r="I640" s="287">
        <f t="shared" si="103"/>
        <v>7.23</v>
      </c>
    </row>
    <row r="641" spans="2:9" s="132" customFormat="1">
      <c r="B641" s="133" t="s">
        <v>568</v>
      </c>
      <c r="C641" s="133" t="s">
        <v>7</v>
      </c>
      <c r="D641" s="405">
        <v>2391</v>
      </c>
      <c r="E641" s="134" t="str">
        <f>IF($D641&lt;&gt;"",VLOOKUP($D641,'SINAPI JULHO 2021'!$A$1:E12339,2,FALSE),"")</f>
        <v xml:space="preserve">DISJUNTOR TERMOMAGNETICO TRIPOLAR 125A                                                                                                                                                                                                                                                                                                                                                                                                                                                                    </v>
      </c>
      <c r="F641" s="135" t="str">
        <f>IF($D641&lt;&gt;"",VLOOKUP($D641,'SINAPI JULHO 2021'!$1:$1048576,3,FALSE),"")</f>
        <v xml:space="preserve">UN    </v>
      </c>
      <c r="G641" s="406">
        <v>1</v>
      </c>
      <c r="H641" s="415">
        <f>IF($D641&lt;&gt;"",VLOOKUP($D641,'SINAPI JULHO 2021'!$1:$1048576,4,FALSE),"")</f>
        <v>360.85</v>
      </c>
      <c r="I641" s="287">
        <f t="shared" si="103"/>
        <v>360.85</v>
      </c>
    </row>
    <row r="642" spans="2:9" s="132" customFormat="1" ht="13.5" thickBot="1">
      <c r="B642" s="409"/>
      <c r="C642" s="428"/>
      <c r="D642" s="428"/>
      <c r="E642" s="428"/>
      <c r="F642" s="463"/>
      <c r="G642" s="428"/>
      <c r="H642" s="294"/>
      <c r="I642" s="294"/>
    </row>
    <row r="643" spans="2:9" s="132" customFormat="1" ht="26.25" thickBot="1">
      <c r="B643" s="637" t="s">
        <v>7572</v>
      </c>
      <c r="C643" s="627"/>
      <c r="D643" s="627"/>
      <c r="E643" s="614" t="s">
        <v>7573</v>
      </c>
      <c r="F643" s="632" t="s">
        <v>553</v>
      </c>
      <c r="G643" s="653"/>
      <c r="H643" s="642"/>
      <c r="I643" s="626">
        <f>TRUNC(SUM(I644:I647),2)</f>
        <v>96.55</v>
      </c>
    </row>
    <row r="644" spans="2:9" s="132" customFormat="1">
      <c r="B644" s="240" t="s">
        <v>7403</v>
      </c>
      <c r="C644" s="240" t="s">
        <v>7</v>
      </c>
      <c r="D644" s="594">
        <v>88247</v>
      </c>
      <c r="E644" s="566" t="str">
        <f>IF($D644&lt;&gt;"",VLOOKUP($D644,'SINAPI JULHO 2021'!$A$1:E12342,2,FALSE),"")</f>
        <v>AUXILIAR DE ELETRICISTA COM ENCARGOS COMPLEMENTARES</v>
      </c>
      <c r="F644" s="567" t="str">
        <f>IF($D644&lt;&gt;"",VLOOKUP($D644,'SINAPI JULHO 2021'!$1:$1048576,3,FALSE),"")</f>
        <v>H</v>
      </c>
      <c r="G644" s="596">
        <v>0.4</v>
      </c>
      <c r="H644" s="588">
        <f>IF($D644&lt;&gt;"",VLOOKUP($D644,'SINAPI JULHO 2021'!$1:$1048576,4,FALSE),"")</f>
        <v>14</v>
      </c>
      <c r="I644" s="589">
        <f t="shared" ref="I644:I647" si="104">TRUNC(G644*H644,2)</f>
        <v>5.6</v>
      </c>
    </row>
    <row r="645" spans="2:9" s="132" customFormat="1">
      <c r="B645" s="133" t="s">
        <v>7403</v>
      </c>
      <c r="C645" s="133" t="s">
        <v>7</v>
      </c>
      <c r="D645" s="405">
        <v>88264</v>
      </c>
      <c r="E645" s="134" t="str">
        <f>IF($D645&lt;&gt;"",VLOOKUP($D645,'SINAPI JULHO 2021'!$A$1:E12343,2,FALSE),"")</f>
        <v>ELETRICISTA COM ENCARGOS COMPLEMENTARES</v>
      </c>
      <c r="F645" s="135" t="str">
        <f>IF($D645&lt;&gt;"",VLOOKUP($D645,'SINAPI JULHO 2021'!$1:$1048576,3,FALSE),"")</f>
        <v>H</v>
      </c>
      <c r="G645" s="406">
        <v>0.4</v>
      </c>
      <c r="H645" s="415">
        <f>IF($D645&lt;&gt;"",VLOOKUP($D645,'SINAPI JULHO 2021'!$1:$1048576,4,FALSE),"")</f>
        <v>18.3</v>
      </c>
      <c r="I645" s="287">
        <f t="shared" si="104"/>
        <v>7.32</v>
      </c>
    </row>
    <row r="646" spans="2:9" s="132" customFormat="1" ht="38.25">
      <c r="B646" s="133" t="s">
        <v>568</v>
      </c>
      <c r="C646" s="133" t="s">
        <v>7</v>
      </c>
      <c r="D646" s="405">
        <v>1575</v>
      </c>
      <c r="E646" s="134" t="str">
        <f>IF($D646&lt;&gt;"",VLOOKUP($D646,'SINAPI JULHO 2021'!$A$1:E12344,2,FALSE),"")</f>
        <v xml:space="preserve">TERMINAL A COMPRESSAO EM COBRE ESTANHADO PARA CABO 16 MM2, 1 FURO E 1 COMPRESSAO, PARA PARAFUSO DE FIXACAO M6                                                                                                                                                                                                                                                                                                                                                                                             </v>
      </c>
      <c r="F646" s="135" t="str">
        <f>IF($D646&lt;&gt;"",VLOOKUP($D646,'SINAPI JULHO 2021'!$1:$1048576,3,FALSE),"")</f>
        <v xml:space="preserve">UN    </v>
      </c>
      <c r="G646" s="406">
        <v>3</v>
      </c>
      <c r="H646" s="415">
        <f>IF($D646&lt;&gt;"",VLOOKUP($D646,'SINAPI JULHO 2021'!$1:$1048576,4,FALSE),"")</f>
        <v>1.54</v>
      </c>
      <c r="I646" s="287">
        <f t="shared" si="104"/>
        <v>4.62</v>
      </c>
    </row>
    <row r="647" spans="2:9" s="132" customFormat="1">
      <c r="B647" s="133" t="s">
        <v>568</v>
      </c>
      <c r="C647" s="133" t="s">
        <v>7</v>
      </c>
      <c r="D647" s="405">
        <v>34714</v>
      </c>
      <c r="E647" s="134" t="str">
        <f>IF($D647&lt;&gt;"",VLOOKUP($D647,'SINAPI JULHO 2021'!$A$1:E12345,2,FALSE),"")</f>
        <v xml:space="preserve">DISJUNTOR TIPO DIN/IEC, TRIPOLAR 63 A                                                                                                                                                                                                                                                                                                                                                                                                                                                                     </v>
      </c>
      <c r="F647" s="135" t="str">
        <f>IF($D647&lt;&gt;"",VLOOKUP($D647,'SINAPI JULHO 2021'!$1:$1048576,3,FALSE),"")</f>
        <v xml:space="preserve">UN    </v>
      </c>
      <c r="G647" s="406">
        <v>1</v>
      </c>
      <c r="H647" s="415">
        <f>IF($D647&lt;&gt;"",VLOOKUP($D647,'SINAPI JULHO 2021'!$1:$1048576,4,FALSE),"")</f>
        <v>79.010000000000005</v>
      </c>
      <c r="I647" s="287">
        <f t="shared" si="104"/>
        <v>79.010000000000005</v>
      </c>
    </row>
    <row r="648" spans="2:9" s="132" customFormat="1" ht="13.5" thickBot="1">
      <c r="B648" s="137"/>
      <c r="C648" s="137"/>
      <c r="D648" s="432"/>
      <c r="E648" s="433"/>
      <c r="F648" s="434"/>
      <c r="G648" s="435"/>
      <c r="H648" s="436"/>
      <c r="I648" s="436"/>
    </row>
    <row r="649" spans="2:9" s="132" customFormat="1" ht="13.5" thickBot="1">
      <c r="B649" s="637" t="s">
        <v>7574</v>
      </c>
      <c r="C649" s="651"/>
      <c r="D649" s="651"/>
      <c r="E649" s="620" t="s">
        <v>7575</v>
      </c>
      <c r="F649" s="632" t="s">
        <v>553</v>
      </c>
      <c r="G649" s="653"/>
      <c r="H649" s="642"/>
      <c r="I649" s="626">
        <f>TRUNC(SUM(I650:I652),2)</f>
        <v>3.89</v>
      </c>
    </row>
    <row r="650" spans="2:9" s="132" customFormat="1">
      <c r="B650" s="240" t="s">
        <v>7403</v>
      </c>
      <c r="C650" s="240" t="s">
        <v>7</v>
      </c>
      <c r="D650" s="594">
        <v>88247</v>
      </c>
      <c r="E650" s="566" t="str">
        <f>IF($D650&lt;&gt;"",VLOOKUP($D650,'SINAPI JULHO 2021'!$A$1:E12348,2,FALSE),"")</f>
        <v>AUXILIAR DE ELETRICISTA COM ENCARGOS COMPLEMENTARES</v>
      </c>
      <c r="F650" s="567" t="str">
        <f>IF($D650&lt;&gt;"",VLOOKUP($D650,'SINAPI JULHO 2021'!$1:$1048576,3,FALSE),"")</f>
        <v>H</v>
      </c>
      <c r="G650" s="596">
        <v>0.1</v>
      </c>
      <c r="H650" s="588">
        <f>IF($D650&lt;&gt;"",VLOOKUP($D650,'SINAPI JULHO 2021'!$1:$1048576,4,FALSE),"")</f>
        <v>14</v>
      </c>
      <c r="I650" s="589">
        <f t="shared" ref="I650:I651" si="105">TRUNC(G650*H650,2)</f>
        <v>1.4</v>
      </c>
    </row>
    <row r="651" spans="2:9" s="132" customFormat="1">
      <c r="B651" s="133" t="s">
        <v>7403</v>
      </c>
      <c r="C651" s="133" t="s">
        <v>7</v>
      </c>
      <c r="D651" s="405">
        <v>88264</v>
      </c>
      <c r="E651" s="134" t="str">
        <f>IF($D651&lt;&gt;"",VLOOKUP($D651,'SINAPI JULHO 2021'!$A$1:E12349,2,FALSE),"")</f>
        <v>ELETRICISTA COM ENCARGOS COMPLEMENTARES</v>
      </c>
      <c r="F651" s="135" t="str">
        <f>IF($D651&lt;&gt;"",VLOOKUP($D651,'SINAPI JULHO 2021'!$1:$1048576,3,FALSE),"")</f>
        <v>H</v>
      </c>
      <c r="G651" s="406">
        <v>0.1</v>
      </c>
      <c r="H651" s="415">
        <f>IF($D651&lt;&gt;"",VLOOKUP($D651,'SINAPI JULHO 2021'!$1:$1048576,4,FALSE),"")</f>
        <v>18.3</v>
      </c>
      <c r="I651" s="287">
        <f t="shared" si="105"/>
        <v>1.83</v>
      </c>
    </row>
    <row r="652" spans="2:9" s="132" customFormat="1">
      <c r="B652" s="455" t="s">
        <v>568</v>
      </c>
      <c r="C652" s="133" t="s">
        <v>569</v>
      </c>
      <c r="D652" s="405"/>
      <c r="E652" s="397" t="s">
        <v>7576</v>
      </c>
      <c r="F652" s="407" t="s">
        <v>553</v>
      </c>
      <c r="G652" s="406">
        <v>1</v>
      </c>
      <c r="H652" s="287">
        <v>0.66</v>
      </c>
      <c r="I652" s="288">
        <f t="shared" ref="I652" si="106">TRUNC(H652*G652,2)</f>
        <v>0.66</v>
      </c>
    </row>
    <row r="653" spans="2:9" s="132" customFormat="1" ht="13.5" thickBot="1">
      <c r="B653" s="137"/>
      <c r="C653" s="137"/>
      <c r="D653" s="432"/>
      <c r="E653" s="433"/>
      <c r="F653" s="434"/>
      <c r="G653" s="435"/>
      <c r="H653" s="436"/>
      <c r="I653" s="436"/>
    </row>
    <row r="654" spans="2:9" s="132" customFormat="1" ht="13.5" thickBot="1">
      <c r="B654" s="637" t="s">
        <v>7577</v>
      </c>
      <c r="C654" s="627"/>
      <c r="D654" s="627"/>
      <c r="E654" s="614" t="str">
        <f>E657</f>
        <v>PARAFUSO COBREADO DE Ø3/8"</v>
      </c>
      <c r="F654" s="615" t="s">
        <v>553</v>
      </c>
      <c r="G654" s="653"/>
      <c r="H654" s="642"/>
      <c r="I654" s="626">
        <f>TRUNC(SUM(I655:I657),2)</f>
        <v>4.3499999999999996</v>
      </c>
    </row>
    <row r="655" spans="2:9" s="132" customFormat="1">
      <c r="B655" s="240" t="s">
        <v>7403</v>
      </c>
      <c r="C655" s="240" t="s">
        <v>7</v>
      </c>
      <c r="D655" s="594">
        <v>88247</v>
      </c>
      <c r="E655" s="566" t="str">
        <f>IF($D655&lt;&gt;"",VLOOKUP($D655,'SINAPI JULHO 2021'!$A$1:E12353,2,FALSE),"")</f>
        <v>AUXILIAR DE ELETRICISTA COM ENCARGOS COMPLEMENTARES</v>
      </c>
      <c r="F655" s="567" t="str">
        <f>IF($D655&lt;&gt;"",VLOOKUP($D655,'SINAPI JULHO 2021'!$1:$1048576,3,FALSE),"")</f>
        <v>H</v>
      </c>
      <c r="G655" s="596">
        <v>0.1</v>
      </c>
      <c r="H655" s="588">
        <f>IF($D655&lt;&gt;"",VLOOKUP($D655,'SINAPI JULHO 2021'!$1:$1048576,4,FALSE),"")</f>
        <v>14</v>
      </c>
      <c r="I655" s="589">
        <f t="shared" ref="I655:I656" si="107">TRUNC(G655*H655,2)</f>
        <v>1.4</v>
      </c>
    </row>
    <row r="656" spans="2:9" s="132" customFormat="1">
      <c r="B656" s="133" t="s">
        <v>7403</v>
      </c>
      <c r="C656" s="133" t="s">
        <v>7</v>
      </c>
      <c r="D656" s="405">
        <v>88264</v>
      </c>
      <c r="E656" s="134" t="str">
        <f>IF($D656&lt;&gt;"",VLOOKUP($D656,'SINAPI JULHO 2021'!$A$1:E12354,2,FALSE),"")</f>
        <v>ELETRICISTA COM ENCARGOS COMPLEMENTARES</v>
      </c>
      <c r="F656" s="135" t="str">
        <f>IF($D656&lt;&gt;"",VLOOKUP($D656,'SINAPI JULHO 2021'!$1:$1048576,3,FALSE),"")</f>
        <v>H</v>
      </c>
      <c r="G656" s="406">
        <v>0.1</v>
      </c>
      <c r="H656" s="415">
        <f>IF($D656&lt;&gt;"",VLOOKUP($D656,'SINAPI JULHO 2021'!$1:$1048576,4,FALSE),"")</f>
        <v>18.3</v>
      </c>
      <c r="I656" s="287">
        <f t="shared" si="107"/>
        <v>1.83</v>
      </c>
    </row>
    <row r="657" spans="2:9" s="132" customFormat="1">
      <c r="B657" s="455" t="s">
        <v>568</v>
      </c>
      <c r="C657" s="133" t="s">
        <v>569</v>
      </c>
      <c r="D657" s="405"/>
      <c r="E657" s="421" t="s">
        <v>7578</v>
      </c>
      <c r="F657" s="437" t="s">
        <v>7579</v>
      </c>
      <c r="G657" s="406">
        <v>1</v>
      </c>
      <c r="H657" s="423">
        <v>1.1200000000000001</v>
      </c>
      <c r="I657" s="288">
        <f t="shared" ref="I657" si="108">TRUNC(H657*G657,2)</f>
        <v>1.1200000000000001</v>
      </c>
    </row>
    <row r="658" spans="2:9" s="132" customFormat="1" ht="13.5" thickBot="1">
      <c r="B658" s="409"/>
      <c r="C658" s="428"/>
      <c r="D658" s="428"/>
      <c r="E658" s="428"/>
      <c r="F658" s="463"/>
      <c r="G658" s="428"/>
      <c r="H658" s="428"/>
      <c r="I658" s="428"/>
    </row>
    <row r="659" spans="2:9" s="132" customFormat="1" ht="26.25" thickBot="1">
      <c r="B659" s="637" t="s">
        <v>7402</v>
      </c>
      <c r="C659" s="627"/>
      <c r="D659" s="627"/>
      <c r="E659" s="614" t="s">
        <v>4468</v>
      </c>
      <c r="F659" s="615" t="s">
        <v>553</v>
      </c>
      <c r="G659" s="653"/>
      <c r="H659" s="642"/>
      <c r="I659" s="626">
        <f>TRUNC(SUM(I660:I662),2)</f>
        <v>5.19</v>
      </c>
    </row>
    <row r="660" spans="2:9" s="132" customFormat="1">
      <c r="B660" s="240" t="s">
        <v>7403</v>
      </c>
      <c r="C660" s="240" t="s">
        <v>7</v>
      </c>
      <c r="D660" s="594">
        <v>88247</v>
      </c>
      <c r="E660" s="566" t="str">
        <f>IF($D660&lt;&gt;"",VLOOKUP($D660,'SINAPI JULHO 2021'!$A$1:E12365,2,FALSE),"")</f>
        <v>AUXILIAR DE ELETRICISTA COM ENCARGOS COMPLEMENTARES</v>
      </c>
      <c r="F660" s="567" t="str">
        <f>IF($D660&lt;&gt;"",VLOOKUP($D660,'SINAPI JULHO 2021'!$1:$1048576,3,FALSE),"")</f>
        <v>H</v>
      </c>
      <c r="G660" s="596">
        <v>8.5000000000000006E-2</v>
      </c>
      <c r="H660" s="588">
        <f>IF($D660&lt;&gt;"",VLOOKUP($D660,'SINAPI JULHO 2021'!$1:$1048576,4,FALSE),"")</f>
        <v>14</v>
      </c>
      <c r="I660" s="589">
        <f t="shared" ref="I660:I662" si="109">TRUNC(G660*H660,2)</f>
        <v>1.19</v>
      </c>
    </row>
    <row r="661" spans="2:9" s="132" customFormat="1">
      <c r="B661" s="133" t="s">
        <v>7403</v>
      </c>
      <c r="C661" s="133" t="s">
        <v>7</v>
      </c>
      <c r="D661" s="405">
        <v>88264</v>
      </c>
      <c r="E661" s="134" t="str">
        <f>IF($D661&lt;&gt;"",VLOOKUP($D661,'SINAPI JULHO 2021'!$A$1:E12366,2,FALSE),"")</f>
        <v>ELETRICISTA COM ENCARGOS COMPLEMENTARES</v>
      </c>
      <c r="F661" s="135" t="str">
        <f>IF($D661&lt;&gt;"",VLOOKUP($D661,'SINAPI JULHO 2021'!$1:$1048576,3,FALSE),"")</f>
        <v>H</v>
      </c>
      <c r="G661" s="406">
        <v>0.1</v>
      </c>
      <c r="H661" s="415">
        <f>IF($D661&lt;&gt;"",VLOOKUP($D661,'SINAPI JULHO 2021'!$1:$1048576,4,FALSE),"")</f>
        <v>18.3</v>
      </c>
      <c r="I661" s="287">
        <f t="shared" si="109"/>
        <v>1.83</v>
      </c>
    </row>
    <row r="662" spans="2:9" s="132" customFormat="1" ht="25.5">
      <c r="B662" s="133" t="s">
        <v>7403</v>
      </c>
      <c r="C662" s="133" t="s">
        <v>7</v>
      </c>
      <c r="D662" s="405">
        <v>393</v>
      </c>
      <c r="E662" s="134" t="str">
        <f>IF($D662&lt;&gt;"",VLOOKUP($D662,'SINAPI JULHO 2021'!$A$1:E12367,2,FALSE),"")</f>
        <v xml:space="preserve">ABRACADEIRA EM ACO PARA AMARRACAO DE ELETRODUTOS, TIPO D, COM 1" E PARAFUSO DE FIXACAO                                                                                                                                                                                                                                                                                                                                                                                                                    </v>
      </c>
      <c r="F662" s="135" t="str">
        <f>IF($D662&lt;&gt;"",VLOOKUP($D662,'SINAPI JULHO 2021'!$1:$1048576,3,FALSE),"")</f>
        <v xml:space="preserve">UN    </v>
      </c>
      <c r="G662" s="406">
        <v>1</v>
      </c>
      <c r="H662" s="415">
        <f>IF($D662&lt;&gt;"",VLOOKUP($D662,'SINAPI JULHO 2021'!$1:$1048576,4,FALSE),"")</f>
        <v>2.17</v>
      </c>
      <c r="I662" s="287">
        <f t="shared" si="109"/>
        <v>2.17</v>
      </c>
    </row>
    <row r="663" spans="2:9" s="132" customFormat="1">
      <c r="B663" s="133"/>
      <c r="C663" s="133"/>
      <c r="D663" s="405"/>
      <c r="E663" s="397"/>
      <c r="F663" s="407"/>
      <c r="G663" s="406"/>
      <c r="H663" s="287"/>
      <c r="I663" s="288"/>
    </row>
    <row r="664" spans="2:9" s="132" customFormat="1" ht="13.5" thickBot="1">
      <c r="B664" s="408"/>
      <c r="C664" s="409"/>
      <c r="D664" s="410"/>
      <c r="E664" s="411"/>
      <c r="F664" s="412"/>
      <c r="G664" s="293"/>
      <c r="H664" s="289"/>
      <c r="I664" s="290"/>
    </row>
    <row r="665" spans="2:9" s="132" customFormat="1" ht="26.25" thickBot="1">
      <c r="B665" s="637" t="s">
        <v>7404</v>
      </c>
      <c r="C665" s="627"/>
      <c r="D665" s="627"/>
      <c r="E665" s="614" t="s">
        <v>7405</v>
      </c>
      <c r="F665" s="615" t="s">
        <v>553</v>
      </c>
      <c r="G665" s="653"/>
      <c r="H665" s="642"/>
      <c r="I665" s="626">
        <f>TRUNC(SUM(I666:I668),2)</f>
        <v>46.09</v>
      </c>
    </row>
    <row r="666" spans="2:9" s="132" customFormat="1">
      <c r="B666" s="240" t="s">
        <v>7403</v>
      </c>
      <c r="C666" s="240" t="s">
        <v>7</v>
      </c>
      <c r="D666" s="594">
        <v>88247</v>
      </c>
      <c r="E666" s="566" t="str">
        <f>IF($D666&lt;&gt;"",VLOOKUP($D666,'SINAPI JULHO 2021'!$A$1:E12371,2,FALSE),"")</f>
        <v>AUXILIAR DE ELETRICISTA COM ENCARGOS COMPLEMENTARES</v>
      </c>
      <c r="F666" s="567" t="str">
        <f>IF($D666&lt;&gt;"",VLOOKUP($D666,'SINAPI JULHO 2021'!$1:$1048576,3,FALSE),"")</f>
        <v>H</v>
      </c>
      <c r="G666" s="596">
        <v>0.36399999999999999</v>
      </c>
      <c r="H666" s="588">
        <f>IF($D666&lt;&gt;"",VLOOKUP($D666,'SINAPI JULHO 2021'!$1:$1048576,4,FALSE),"")</f>
        <v>14</v>
      </c>
      <c r="I666" s="589">
        <f t="shared" ref="I666:I668" si="110">TRUNC(G666*H666,2)</f>
        <v>5.09</v>
      </c>
    </row>
    <row r="667" spans="2:9" s="132" customFormat="1">
      <c r="B667" s="133" t="s">
        <v>7403</v>
      </c>
      <c r="C667" s="133" t="s">
        <v>7</v>
      </c>
      <c r="D667" s="405">
        <v>88264</v>
      </c>
      <c r="E667" s="134" t="str">
        <f>IF($D667&lt;&gt;"",VLOOKUP($D667,'SINAPI JULHO 2021'!$A$1:E12372,2,FALSE),"")</f>
        <v>ELETRICISTA COM ENCARGOS COMPLEMENTARES</v>
      </c>
      <c r="F667" s="135" t="str">
        <f>IF($D667&lt;&gt;"",VLOOKUP($D667,'SINAPI JULHO 2021'!$1:$1048576,3,FALSE),"")</f>
        <v>H</v>
      </c>
      <c r="G667" s="406">
        <v>0.36399999999999999</v>
      </c>
      <c r="H667" s="415">
        <f>IF($D667&lt;&gt;"",VLOOKUP($D667,'SINAPI JULHO 2021'!$1:$1048576,4,FALSE),"")</f>
        <v>18.3</v>
      </c>
      <c r="I667" s="287">
        <f t="shared" si="110"/>
        <v>6.66</v>
      </c>
    </row>
    <row r="668" spans="2:9" s="132" customFormat="1" ht="25.5">
      <c r="B668" s="133" t="s">
        <v>568</v>
      </c>
      <c r="C668" s="133" t="s">
        <v>7</v>
      </c>
      <c r="D668" s="405">
        <v>39771</v>
      </c>
      <c r="E668" s="134" t="str">
        <f>IF($D668&lt;&gt;"",VLOOKUP($D668,'SINAPI JULHO 2021'!$A$1:E12373,2,FALSE),"")</f>
        <v xml:space="preserve">CAIXA DE PASSAGEM METALICA DE SOBREPOR COM TAMPA PARAFUSADA, DIMENSOES 20 X 20 X 10 CM                                                                                                                                                                                                                                                                                                                                                                                                                    </v>
      </c>
      <c r="F668" s="135" t="str">
        <f>IF($D668&lt;&gt;"",VLOOKUP($D668,'SINAPI JULHO 2021'!$1:$1048576,3,FALSE),"")</f>
        <v xml:space="preserve">UN    </v>
      </c>
      <c r="G668" s="406">
        <v>1</v>
      </c>
      <c r="H668" s="415">
        <f>IF($D668&lt;&gt;"",VLOOKUP($D668,'SINAPI JULHO 2021'!$1:$1048576,4,FALSE),"")</f>
        <v>34.340000000000003</v>
      </c>
      <c r="I668" s="287">
        <f t="shared" si="110"/>
        <v>34.340000000000003</v>
      </c>
    </row>
    <row r="669" spans="2:9" s="132" customFormat="1" ht="13.5" thickBot="1">
      <c r="B669" s="408"/>
      <c r="C669" s="409"/>
      <c r="D669" s="410"/>
      <c r="E669" s="411"/>
      <c r="F669" s="412"/>
      <c r="G669" s="293"/>
      <c r="H669" s="289"/>
      <c r="I669" s="290"/>
    </row>
    <row r="670" spans="2:9" s="132" customFormat="1" ht="39" thickBot="1">
      <c r="B670" s="637" t="s">
        <v>7406</v>
      </c>
      <c r="C670" s="627"/>
      <c r="D670" s="627"/>
      <c r="E670" s="614" t="s">
        <v>7407</v>
      </c>
      <c r="F670" s="615" t="s">
        <v>553</v>
      </c>
      <c r="G670" s="653"/>
      <c r="H670" s="642"/>
      <c r="I670" s="626">
        <f>TRUNC(SUM(I671:I673),2)</f>
        <v>107.52</v>
      </c>
    </row>
    <row r="671" spans="2:9" s="132" customFormat="1">
      <c r="B671" s="240" t="s">
        <v>7403</v>
      </c>
      <c r="C671" s="240" t="s">
        <v>7</v>
      </c>
      <c r="D671" s="594">
        <v>88247</v>
      </c>
      <c r="E671" s="566" t="str">
        <f>IF($D671&lt;&gt;"",VLOOKUP($D671,'SINAPI JULHO 2021'!$A$1:E12376,2,FALSE),"")</f>
        <v>AUXILIAR DE ELETRICISTA COM ENCARGOS COMPLEMENTARES</v>
      </c>
      <c r="F671" s="567" t="str">
        <f>IF($D671&lt;&gt;"",VLOOKUP($D671,'SINAPI JULHO 2021'!$1:$1048576,3,FALSE),"")</f>
        <v>H</v>
      </c>
      <c r="G671" s="596">
        <v>0.189</v>
      </c>
      <c r="H671" s="588">
        <f>IF($D671&lt;&gt;"",VLOOKUP($D671,'SINAPI JULHO 2021'!$1:$1048576,4,FALSE),"")</f>
        <v>14</v>
      </c>
      <c r="I671" s="589">
        <f t="shared" ref="I671:I673" si="111">TRUNC(G671*H671,2)</f>
        <v>2.64</v>
      </c>
    </row>
    <row r="672" spans="2:9" s="132" customFormat="1">
      <c r="B672" s="133" t="s">
        <v>7403</v>
      </c>
      <c r="C672" s="133" t="s">
        <v>7</v>
      </c>
      <c r="D672" s="405">
        <v>88264</v>
      </c>
      <c r="E672" s="134" t="str">
        <f>IF($D672&lt;&gt;"",VLOOKUP($D672,'SINAPI JULHO 2021'!$A$1:E12377,2,FALSE),"")</f>
        <v>ELETRICISTA COM ENCARGOS COMPLEMENTARES</v>
      </c>
      <c r="F672" s="135" t="str">
        <f>IF($D672&lt;&gt;"",VLOOKUP($D672,'SINAPI JULHO 2021'!$1:$1048576,3,FALSE),"")</f>
        <v>H</v>
      </c>
      <c r="G672" s="406">
        <v>0.189</v>
      </c>
      <c r="H672" s="415">
        <f>IF($D672&lt;&gt;"",VLOOKUP($D672,'SINAPI JULHO 2021'!$1:$1048576,4,FALSE),"")</f>
        <v>18.3</v>
      </c>
      <c r="I672" s="287">
        <f t="shared" si="111"/>
        <v>3.45</v>
      </c>
    </row>
    <row r="673" spans="2:9" s="132" customFormat="1" ht="25.5">
      <c r="B673" s="133" t="s">
        <v>568</v>
      </c>
      <c r="C673" s="133" t="s">
        <v>7</v>
      </c>
      <c r="D673" s="405">
        <v>39467</v>
      </c>
      <c r="E673" s="134" t="str">
        <f>IF($D673&lt;&gt;"",VLOOKUP($D673,'SINAPI JULHO 2021'!$A$1:E12378,2,FALSE),"")</f>
        <v xml:space="preserve">DISPOSITIVO DPS CLASSE II, 1 POLO, TENSAO MAXIMA DE 175 V, CORRENTE MAXIMA DE *45* KA (TIPO AC)                                                                                                                                                                                                                                                                                                                                                                                                           </v>
      </c>
      <c r="F673" s="135" t="str">
        <f>IF($D673&lt;&gt;"",VLOOKUP($D673,'SINAPI JULHO 2021'!$1:$1048576,3,FALSE),"")</f>
        <v xml:space="preserve">UN    </v>
      </c>
      <c r="G673" s="406">
        <v>1</v>
      </c>
      <c r="H673" s="415">
        <f>IF($D673&lt;&gt;"",VLOOKUP($D673,'SINAPI JULHO 2021'!$1:$1048576,4,FALSE),"")</f>
        <v>101.43</v>
      </c>
      <c r="I673" s="287">
        <f t="shared" si="111"/>
        <v>101.43</v>
      </c>
    </row>
    <row r="674" spans="2:9" s="132" customFormat="1" ht="13.5" thickBot="1">
      <c r="B674" s="408"/>
      <c r="C674" s="409"/>
      <c r="D674" s="410"/>
      <c r="E674" s="411"/>
      <c r="F674" s="412"/>
      <c r="G674" s="293"/>
      <c r="H674" s="289"/>
      <c r="I674" s="290"/>
    </row>
    <row r="675" spans="2:9" s="132" customFormat="1" ht="26.25" thickBot="1">
      <c r="B675" s="637" t="s">
        <v>7408</v>
      </c>
      <c r="C675" s="627"/>
      <c r="D675" s="627"/>
      <c r="E675" s="614" t="s">
        <v>7409</v>
      </c>
      <c r="F675" s="615" t="s">
        <v>553</v>
      </c>
      <c r="G675" s="653"/>
      <c r="H675" s="642"/>
      <c r="I675" s="626">
        <f>TRUNC(SUM(I676:I678),2)</f>
        <v>346.88</v>
      </c>
    </row>
    <row r="676" spans="2:9" s="132" customFormat="1">
      <c r="B676" s="240" t="s">
        <v>7403</v>
      </c>
      <c r="C676" s="240" t="s">
        <v>7</v>
      </c>
      <c r="D676" s="594">
        <v>88247</v>
      </c>
      <c r="E676" s="566" t="str">
        <f>IF($D676&lt;&gt;"",VLOOKUP($D676,'SINAPI JULHO 2021'!$A$1:E12381,2,FALSE),"")</f>
        <v>AUXILIAR DE ELETRICISTA COM ENCARGOS COMPLEMENTARES</v>
      </c>
      <c r="F676" s="567" t="str">
        <f>IF($D676&lt;&gt;"",VLOOKUP($D676,'SINAPI JULHO 2021'!$1:$1048576,3,FALSE),"")</f>
        <v>H</v>
      </c>
      <c r="G676" s="596">
        <v>0.4</v>
      </c>
      <c r="H676" s="588">
        <f>IF($D676&lt;&gt;"",VLOOKUP($D676,'SINAPI JULHO 2021'!$1:$1048576,4,FALSE),"")</f>
        <v>14</v>
      </c>
      <c r="I676" s="589">
        <f t="shared" ref="I676:I678" si="112">TRUNC(G676*H676,2)</f>
        <v>5.6</v>
      </c>
    </row>
    <row r="677" spans="2:9" s="132" customFormat="1">
      <c r="B677" s="133" t="s">
        <v>7403</v>
      </c>
      <c r="C677" s="133" t="s">
        <v>7</v>
      </c>
      <c r="D677" s="405">
        <v>88264</v>
      </c>
      <c r="E677" s="134" t="str">
        <f>IF($D677&lt;&gt;"",VLOOKUP($D677,'SINAPI JULHO 2021'!$A$1:E12382,2,FALSE),"")</f>
        <v>ELETRICISTA COM ENCARGOS COMPLEMENTARES</v>
      </c>
      <c r="F677" s="135" t="str">
        <f>IF($D677&lt;&gt;"",VLOOKUP($D677,'SINAPI JULHO 2021'!$1:$1048576,3,FALSE),"")</f>
        <v>H</v>
      </c>
      <c r="G677" s="406">
        <v>0.4</v>
      </c>
      <c r="H677" s="415">
        <f>IF($D677&lt;&gt;"",VLOOKUP($D677,'SINAPI JULHO 2021'!$1:$1048576,4,FALSE),"")</f>
        <v>18.3</v>
      </c>
      <c r="I677" s="287">
        <f t="shared" si="112"/>
        <v>7.32</v>
      </c>
    </row>
    <row r="678" spans="2:9" s="132" customFormat="1" ht="25.5">
      <c r="B678" s="133" t="s">
        <v>568</v>
      </c>
      <c r="C678" s="133" t="s">
        <v>7</v>
      </c>
      <c r="D678" s="405">
        <v>39449</v>
      </c>
      <c r="E678" s="134" t="str">
        <f>IF($D678&lt;&gt;"",VLOOKUP($D678,'SINAPI JULHO 2021'!$A$1:E12383,2,FALSE),"")</f>
        <v xml:space="preserve">DISPOSITIVO DR, 4 POLOS, SENSIBILIDADE DE 30 MA, CORRENTE DE 100 A, TIPO AC                                                                                                                                                                                                                                                                                                                                                                                                                               </v>
      </c>
      <c r="F678" s="135" t="str">
        <f>IF($D678&lt;&gt;"",VLOOKUP($D678,'SINAPI JULHO 2021'!$1:$1048576,3,FALSE),"")</f>
        <v xml:space="preserve">UN    </v>
      </c>
      <c r="G678" s="406">
        <v>1</v>
      </c>
      <c r="H678" s="415">
        <f>IF($D678&lt;&gt;"",VLOOKUP($D678,'SINAPI JULHO 2021'!$1:$1048576,4,FALSE),"")</f>
        <v>333.96</v>
      </c>
      <c r="I678" s="287">
        <f t="shared" si="112"/>
        <v>333.96</v>
      </c>
    </row>
    <row r="679" spans="2:9" s="132" customFormat="1" ht="13.5" thickBot="1">
      <c r="B679" s="408"/>
      <c r="C679" s="409"/>
      <c r="D679" s="410"/>
      <c r="E679" s="411"/>
      <c r="F679" s="412"/>
      <c r="G679" s="293"/>
      <c r="H679" s="289"/>
      <c r="I679" s="290"/>
    </row>
    <row r="680" spans="2:9" s="132" customFormat="1" ht="26.25" thickBot="1">
      <c r="B680" s="637" t="s">
        <v>7410</v>
      </c>
      <c r="C680" s="627"/>
      <c r="D680" s="627"/>
      <c r="E680" s="614" t="s">
        <v>7411</v>
      </c>
      <c r="F680" s="615" t="s">
        <v>553</v>
      </c>
      <c r="G680" s="653"/>
      <c r="H680" s="642"/>
      <c r="I680" s="626">
        <f>TRUNC(SUM(I681:I683),2)</f>
        <v>193.2</v>
      </c>
    </row>
    <row r="681" spans="2:9" s="132" customFormat="1">
      <c r="B681" s="240" t="s">
        <v>7403</v>
      </c>
      <c r="C681" s="240" t="s">
        <v>7</v>
      </c>
      <c r="D681" s="594">
        <v>88247</v>
      </c>
      <c r="E681" s="566" t="str">
        <f>IF($D681&lt;&gt;"",VLOOKUP($D681,'SINAPI JULHO 2021'!$A$1:E12386,2,FALSE),"")</f>
        <v>AUXILIAR DE ELETRICISTA COM ENCARGOS COMPLEMENTARES</v>
      </c>
      <c r="F681" s="567" t="str">
        <f>IF($D681&lt;&gt;"",VLOOKUP($D681,'SINAPI JULHO 2021'!$1:$1048576,3,FALSE),"")</f>
        <v>H</v>
      </c>
      <c r="G681" s="596">
        <v>0.4</v>
      </c>
      <c r="H681" s="588">
        <f>IF($D681&lt;&gt;"",VLOOKUP($D681,'SINAPI JULHO 2021'!$1:$1048576,4,FALSE),"")</f>
        <v>14</v>
      </c>
      <c r="I681" s="589">
        <f t="shared" ref="I681:I683" si="113">TRUNC(G681*H681,2)</f>
        <v>5.6</v>
      </c>
    </row>
    <row r="682" spans="2:9" s="132" customFormat="1">
      <c r="B682" s="133" t="s">
        <v>7403</v>
      </c>
      <c r="C682" s="133" t="s">
        <v>7</v>
      </c>
      <c r="D682" s="405">
        <v>88264</v>
      </c>
      <c r="E682" s="134" t="str">
        <f>IF($D682&lt;&gt;"",VLOOKUP($D682,'SINAPI JULHO 2021'!$A$1:E12387,2,FALSE),"")</f>
        <v>ELETRICISTA COM ENCARGOS COMPLEMENTARES</v>
      </c>
      <c r="F682" s="135" t="str">
        <f>IF($D682&lt;&gt;"",VLOOKUP($D682,'SINAPI JULHO 2021'!$1:$1048576,3,FALSE),"")</f>
        <v>H</v>
      </c>
      <c r="G682" s="406">
        <v>0.4</v>
      </c>
      <c r="H682" s="415">
        <f>IF($D682&lt;&gt;"",VLOOKUP($D682,'SINAPI JULHO 2021'!$1:$1048576,4,FALSE),"")</f>
        <v>18.3</v>
      </c>
      <c r="I682" s="287">
        <f t="shared" si="113"/>
        <v>7.32</v>
      </c>
    </row>
    <row r="683" spans="2:9" s="132" customFormat="1" ht="25.5">
      <c r="B683" s="133" t="s">
        <v>568</v>
      </c>
      <c r="C683" s="133" t="s">
        <v>7</v>
      </c>
      <c r="D683" s="405">
        <v>39457</v>
      </c>
      <c r="E683" s="134" t="str">
        <f>IF($D683&lt;&gt;"",VLOOKUP($D683,'SINAPI JULHO 2021'!$A$1:E12388,2,FALSE),"")</f>
        <v xml:space="preserve">DISPOSITIVO DR, 4 POLOS, SENSIBILIDADE DE 30 MA, CORRENTE DE 63 A, TIPO AC                                                                                                                                                                                                                                                                                                                                                                                                                                </v>
      </c>
      <c r="F683" s="135" t="str">
        <f>IF($D683&lt;&gt;"",VLOOKUP($D683,'SINAPI JULHO 2021'!$1:$1048576,3,FALSE),"")</f>
        <v xml:space="preserve">UN    </v>
      </c>
      <c r="G683" s="406">
        <v>1</v>
      </c>
      <c r="H683" s="415">
        <f>IF($D683&lt;&gt;"",VLOOKUP($D683,'SINAPI JULHO 2021'!$1:$1048576,4,FALSE),"")</f>
        <v>180.28</v>
      </c>
      <c r="I683" s="287">
        <f t="shared" si="113"/>
        <v>180.28</v>
      </c>
    </row>
    <row r="684" spans="2:9" s="132" customFormat="1" ht="13.5" thickBot="1">
      <c r="B684" s="408"/>
      <c r="C684" s="409"/>
      <c r="D684" s="410"/>
      <c r="E684" s="411"/>
      <c r="F684" s="412"/>
      <c r="G684" s="293"/>
      <c r="H684" s="289"/>
      <c r="I684" s="290"/>
    </row>
    <row r="685" spans="2:9" s="132" customFormat="1" ht="26.25" thickBot="1">
      <c r="B685" s="637" t="s">
        <v>7412</v>
      </c>
      <c r="C685" s="627"/>
      <c r="D685" s="627"/>
      <c r="E685" s="614" t="s">
        <v>7413</v>
      </c>
      <c r="F685" s="615" t="s">
        <v>553</v>
      </c>
      <c r="G685" s="653"/>
      <c r="H685" s="642"/>
      <c r="I685" s="626">
        <f>TRUNC(SUM(I686:I688),2)</f>
        <v>178.29</v>
      </c>
    </row>
    <row r="686" spans="2:9" s="132" customFormat="1">
      <c r="B686" s="240" t="s">
        <v>7403</v>
      </c>
      <c r="C686" s="240" t="s">
        <v>7</v>
      </c>
      <c r="D686" s="594">
        <v>88247</v>
      </c>
      <c r="E686" s="566" t="str">
        <f>IF($D686&lt;&gt;"",VLOOKUP($D686,'SINAPI JULHO 2021'!$A$1:E12391,2,FALSE),"")</f>
        <v>AUXILIAR DE ELETRICISTA COM ENCARGOS COMPLEMENTARES</v>
      </c>
      <c r="F686" s="567" t="str">
        <f>IF($D686&lt;&gt;"",VLOOKUP($D686,'SINAPI JULHO 2021'!$1:$1048576,3,FALSE),"")</f>
        <v>H</v>
      </c>
      <c r="G686" s="596">
        <v>0.4</v>
      </c>
      <c r="H686" s="588">
        <f>IF($D686&lt;&gt;"",VLOOKUP($D686,'SINAPI JULHO 2021'!$1:$1048576,4,FALSE),"")</f>
        <v>14</v>
      </c>
      <c r="I686" s="589">
        <f t="shared" ref="I686:I688" si="114">TRUNC(G686*H686,2)</f>
        <v>5.6</v>
      </c>
    </row>
    <row r="687" spans="2:9" s="132" customFormat="1">
      <c r="B687" s="133" t="s">
        <v>7403</v>
      </c>
      <c r="C687" s="133" t="s">
        <v>7</v>
      </c>
      <c r="D687" s="405">
        <v>88264</v>
      </c>
      <c r="E687" s="134" t="str">
        <f>IF($D687&lt;&gt;"",VLOOKUP($D687,'SINAPI JULHO 2021'!$A$1:E12392,2,FALSE),"")</f>
        <v>ELETRICISTA COM ENCARGOS COMPLEMENTARES</v>
      </c>
      <c r="F687" s="135" t="str">
        <f>IF($D687&lt;&gt;"",VLOOKUP($D687,'SINAPI JULHO 2021'!$1:$1048576,3,FALSE),"")</f>
        <v>H</v>
      </c>
      <c r="G687" s="406">
        <v>0.4</v>
      </c>
      <c r="H687" s="415">
        <f>IF($D687&lt;&gt;"",VLOOKUP($D687,'SINAPI JULHO 2021'!$1:$1048576,4,FALSE),"")</f>
        <v>18.3</v>
      </c>
      <c r="I687" s="287">
        <f t="shared" si="114"/>
        <v>7.32</v>
      </c>
    </row>
    <row r="688" spans="2:9" s="132" customFormat="1" ht="25.5">
      <c r="B688" s="133" t="s">
        <v>568</v>
      </c>
      <c r="C688" s="133" t="s">
        <v>7</v>
      </c>
      <c r="D688" s="405">
        <v>39456</v>
      </c>
      <c r="E688" s="134" t="str">
        <f>IF($D688&lt;&gt;"",VLOOKUP($D688,'SINAPI JULHO 2021'!$A$1:E12393,2,FALSE),"")</f>
        <v xml:space="preserve">DISPOSITIVO DR, 4 POLOS, SENSIBILIDADE DE 30 MA, CORRENTE DE 40 A, TIPO AC                                                                                                                                                                                                                                                                                                                                                                                                                                </v>
      </c>
      <c r="F688" s="135" t="str">
        <f>IF($D688&lt;&gt;"",VLOOKUP($D688,'SINAPI JULHO 2021'!$1:$1048576,3,FALSE),"")</f>
        <v xml:space="preserve">UN    </v>
      </c>
      <c r="G688" s="406">
        <v>1</v>
      </c>
      <c r="H688" s="415">
        <f>IF($D688&lt;&gt;"",VLOOKUP($D688,'SINAPI JULHO 2021'!$1:$1048576,4,FALSE),"")</f>
        <v>165.37</v>
      </c>
      <c r="I688" s="287">
        <f t="shared" si="114"/>
        <v>165.37</v>
      </c>
    </row>
    <row r="689" spans="2:9" s="132" customFormat="1" ht="13.5" thickBot="1">
      <c r="B689" s="408"/>
      <c r="C689" s="409"/>
      <c r="D689" s="410"/>
      <c r="E689" s="411"/>
      <c r="F689" s="412"/>
      <c r="G689" s="293"/>
      <c r="H689" s="289"/>
      <c r="I689" s="290"/>
    </row>
    <row r="690" spans="2:9" s="132" customFormat="1" ht="26.25" thickBot="1">
      <c r="B690" s="637" t="s">
        <v>7399</v>
      </c>
      <c r="C690" s="627"/>
      <c r="D690" s="627"/>
      <c r="E690" s="614" t="s">
        <v>7401</v>
      </c>
      <c r="F690" s="615" t="s">
        <v>553</v>
      </c>
      <c r="G690" s="653"/>
      <c r="H690" s="642"/>
      <c r="I690" s="626">
        <f>TRUNC(SUM(I691:I694),2)</f>
        <v>24.35</v>
      </c>
    </row>
    <row r="691" spans="2:9" s="132" customFormat="1" ht="38.25">
      <c r="B691" s="240" t="s">
        <v>7403</v>
      </c>
      <c r="C691" s="240" t="s">
        <v>7</v>
      </c>
      <c r="D691" s="594">
        <v>91946</v>
      </c>
      <c r="E691" s="566" t="str">
        <f>IF($D691&lt;&gt;"",VLOOKUP($D691,'SINAPI JULHO 2021'!$A$1:E12396,2,FALSE),"")</f>
        <v>SUPORTE PARAFUSADO COM PLACA DE ENCAIXE 4" X 2" MÉDIO (1,30 M DO PISO) PARA PONTO ELÉTRICO - FORNECIMENTO E INSTALAÇÃO. AF_12/2015</v>
      </c>
      <c r="F691" s="567" t="str">
        <f>IF($D691&lt;&gt;"",VLOOKUP($D691,'SINAPI JULHO 2021'!$1:$1048576,3,FALSE),"")</f>
        <v>UN</v>
      </c>
      <c r="G691" s="596">
        <v>1</v>
      </c>
      <c r="H691" s="588">
        <f>IF($D691&lt;&gt;"",VLOOKUP($D691,'SINAPI JULHO 2021'!$1:$1048576,4,FALSE),"")</f>
        <v>5.84</v>
      </c>
      <c r="I691" s="589">
        <f t="shared" ref="I691:I693" si="115">TRUNC(G691*H691,2)</f>
        <v>5.84</v>
      </c>
    </row>
    <row r="692" spans="2:9" s="132" customFormat="1">
      <c r="B692" s="133" t="s">
        <v>7403</v>
      </c>
      <c r="C692" s="133" t="s">
        <v>7</v>
      </c>
      <c r="D692" s="405">
        <v>88264</v>
      </c>
      <c r="E692" s="134" t="str">
        <f>IF($D692&lt;&gt;"",VLOOKUP($D692,'SINAPI JULHO 2021'!$A$1:E12397,2,FALSE),"")</f>
        <v>ELETRICISTA COM ENCARGOS COMPLEMENTARES</v>
      </c>
      <c r="F692" s="135" t="str">
        <f>IF($D692&lt;&gt;"",VLOOKUP($D692,'SINAPI JULHO 2021'!$1:$1048576,3,FALSE),"")</f>
        <v>H</v>
      </c>
      <c r="G692" s="406">
        <v>0.496</v>
      </c>
      <c r="H692" s="415">
        <f>IF($D692&lt;&gt;"",VLOOKUP($D692,'SINAPI JULHO 2021'!$1:$1048576,4,FALSE),"")</f>
        <v>18.3</v>
      </c>
      <c r="I692" s="287">
        <f t="shared" si="115"/>
        <v>9.07</v>
      </c>
    </row>
    <row r="693" spans="2:9" s="132" customFormat="1">
      <c r="B693" s="133" t="s">
        <v>7403</v>
      </c>
      <c r="C693" s="133" t="s">
        <v>7</v>
      </c>
      <c r="D693" s="405">
        <v>88247</v>
      </c>
      <c r="E693" s="134" t="str">
        <f>IF($D693&lt;&gt;"",VLOOKUP($D693,'SINAPI JULHO 2021'!$A$1:E12398,2,FALSE),"")</f>
        <v>AUXILIAR DE ELETRICISTA COM ENCARGOS COMPLEMENTARES</v>
      </c>
      <c r="F693" s="135" t="str">
        <f>IF($D693&lt;&gt;"",VLOOKUP($D693,'SINAPI JULHO 2021'!$1:$1048576,3,FALSE),"")</f>
        <v>H</v>
      </c>
      <c r="G693" s="406">
        <v>0.496</v>
      </c>
      <c r="H693" s="415">
        <f>IF($D693&lt;&gt;"",VLOOKUP($D693,'SINAPI JULHO 2021'!$1:$1048576,4,FALSE),"")</f>
        <v>14</v>
      </c>
      <c r="I693" s="287">
        <f t="shared" si="115"/>
        <v>6.94</v>
      </c>
    </row>
    <row r="694" spans="2:9" s="132" customFormat="1">
      <c r="B694" s="455" t="s">
        <v>568</v>
      </c>
      <c r="C694" s="133" t="s">
        <v>569</v>
      </c>
      <c r="D694" s="405"/>
      <c r="E694" s="397" t="s">
        <v>7414</v>
      </c>
      <c r="F694" s="407" t="s">
        <v>34</v>
      </c>
      <c r="G694" s="406">
        <v>1</v>
      </c>
      <c r="H694" s="287">
        <v>2.5</v>
      </c>
      <c r="I694" s="288">
        <f t="shared" ref="I694" si="116">TRUNC(H694*G694,2)</f>
        <v>2.5</v>
      </c>
    </row>
    <row r="695" spans="2:9" s="132" customFormat="1" ht="13.5" thickBot="1">
      <c r="B695" s="408"/>
      <c r="C695" s="409"/>
      <c r="D695" s="410"/>
      <c r="E695" s="411"/>
      <c r="F695" s="412"/>
      <c r="G695" s="293"/>
      <c r="H695" s="289"/>
      <c r="I695" s="290"/>
    </row>
    <row r="696" spans="2:9" s="132" customFormat="1" ht="26.25" thickBot="1">
      <c r="B696" s="637" t="s">
        <v>7415</v>
      </c>
      <c r="C696" s="627"/>
      <c r="D696" s="627"/>
      <c r="E696" s="614" t="s">
        <v>7416</v>
      </c>
      <c r="F696" s="615" t="s">
        <v>553</v>
      </c>
      <c r="G696" s="653"/>
      <c r="H696" s="642"/>
      <c r="I696" s="626">
        <f>TRUNC(SUM(I697:I699),2)</f>
        <v>360.04</v>
      </c>
    </row>
    <row r="697" spans="2:9" s="132" customFormat="1">
      <c r="B697" s="578" t="s">
        <v>568</v>
      </c>
      <c r="C697" s="240" t="s">
        <v>569</v>
      </c>
      <c r="D697" s="594"/>
      <c r="E697" s="597" t="s">
        <v>7417</v>
      </c>
      <c r="F697" s="598" t="s">
        <v>34</v>
      </c>
      <c r="G697" s="596">
        <v>1</v>
      </c>
      <c r="H697" s="589">
        <v>350</v>
      </c>
      <c r="I697" s="599">
        <f t="shared" ref="I697" si="117">TRUNC(H697*G697,2)</f>
        <v>350</v>
      </c>
    </row>
    <row r="698" spans="2:9" s="132" customFormat="1">
      <c r="B698" s="133" t="s">
        <v>7403</v>
      </c>
      <c r="C698" s="133" t="s">
        <v>7</v>
      </c>
      <c r="D698" s="405">
        <v>88264</v>
      </c>
      <c r="E698" s="134" t="str">
        <f>IF($D698&lt;&gt;"",VLOOKUP($D698,'SINAPI JULHO 2021'!$A$1:E12403,2,FALSE),"")</f>
        <v>ELETRICISTA COM ENCARGOS COMPLEMENTARES</v>
      </c>
      <c r="F698" s="135" t="str">
        <f>IF($D698&lt;&gt;"",VLOOKUP($D698,'SINAPI JULHO 2021'!$1:$1048576,3,FALSE),"")</f>
        <v>H</v>
      </c>
      <c r="G698" s="406">
        <v>0.41649999999999998</v>
      </c>
      <c r="H698" s="415">
        <f>IF($D698&lt;&gt;"",VLOOKUP($D698,'SINAPI JULHO 2021'!$1:$1048576,4,FALSE),"")</f>
        <v>18.3</v>
      </c>
      <c r="I698" s="287">
        <f t="shared" ref="I698:I699" si="118">TRUNC(G698*H698,2)</f>
        <v>7.62</v>
      </c>
    </row>
    <row r="699" spans="2:9" s="132" customFormat="1">
      <c r="B699" s="133" t="s">
        <v>7403</v>
      </c>
      <c r="C699" s="133" t="s">
        <v>7</v>
      </c>
      <c r="D699" s="405">
        <v>88247</v>
      </c>
      <c r="E699" s="134" t="str">
        <f>IF($D699&lt;&gt;"",VLOOKUP($D699,'SINAPI JULHO 2021'!$A$1:E12404,2,FALSE),"")</f>
        <v>AUXILIAR DE ELETRICISTA COM ENCARGOS COMPLEMENTARES</v>
      </c>
      <c r="F699" s="135" t="str">
        <f>IF($D699&lt;&gt;"",VLOOKUP($D699,'SINAPI JULHO 2021'!$1:$1048576,3,FALSE),"")</f>
        <v>H</v>
      </c>
      <c r="G699" s="406">
        <v>0.17349999999999999</v>
      </c>
      <c r="H699" s="415">
        <f>IF($D699&lt;&gt;"",VLOOKUP($D699,'SINAPI JULHO 2021'!$1:$1048576,4,FALSE),"")</f>
        <v>14</v>
      </c>
      <c r="I699" s="287">
        <f t="shared" si="118"/>
        <v>2.42</v>
      </c>
    </row>
    <row r="700" spans="2:9" s="132" customFormat="1" ht="13.5" thickBot="1">
      <c r="B700" s="408"/>
      <c r="C700" s="409"/>
      <c r="D700" s="410"/>
      <c r="E700" s="411"/>
      <c r="F700" s="412"/>
      <c r="G700" s="293"/>
      <c r="H700" s="289"/>
      <c r="I700" s="290"/>
    </row>
    <row r="701" spans="2:9" s="132" customFormat="1" ht="26.25" thickBot="1">
      <c r="B701" s="637" t="s">
        <v>7418</v>
      </c>
      <c r="C701" s="627"/>
      <c r="D701" s="627"/>
      <c r="E701" s="614" t="s">
        <v>7419</v>
      </c>
      <c r="F701" s="615" t="s">
        <v>553</v>
      </c>
      <c r="G701" s="653"/>
      <c r="H701" s="642"/>
      <c r="I701" s="626">
        <f>TRUNC(SUM(I702:I705),2)</f>
        <v>69.16</v>
      </c>
    </row>
    <row r="702" spans="2:9" s="132" customFormat="1">
      <c r="B702" s="240" t="s">
        <v>7403</v>
      </c>
      <c r="C702" s="240" t="s">
        <v>7</v>
      </c>
      <c r="D702" s="594">
        <v>88247</v>
      </c>
      <c r="E702" s="566" t="str">
        <f>IF($D702&lt;&gt;"",VLOOKUP($D702,'SINAPI JULHO 2021'!$A$1:E12407,2,FALSE),"")</f>
        <v>AUXILIAR DE ELETRICISTA COM ENCARGOS COMPLEMENTARES</v>
      </c>
      <c r="F702" s="567" t="str">
        <f>IF($D702&lt;&gt;"",VLOOKUP($D702,'SINAPI JULHO 2021'!$1:$1048576,3,FALSE),"")</f>
        <v>H</v>
      </c>
      <c r="G702" s="596">
        <v>0.22309999999999999</v>
      </c>
      <c r="H702" s="588">
        <f>IF($D702&lt;&gt;"",VLOOKUP($D702,'SINAPI JULHO 2021'!$1:$1048576,4,FALSE),"")</f>
        <v>14</v>
      </c>
      <c r="I702" s="589">
        <f t="shared" ref="I702:I704" si="119">TRUNC(G702*H702,2)</f>
        <v>3.12</v>
      </c>
    </row>
    <row r="703" spans="2:9" s="132" customFormat="1">
      <c r="B703" s="133" t="s">
        <v>7403</v>
      </c>
      <c r="C703" s="133" t="s">
        <v>7</v>
      </c>
      <c r="D703" s="405">
        <v>88264</v>
      </c>
      <c r="E703" s="134" t="str">
        <f>IF($D703&lt;&gt;"",VLOOKUP($D703,'SINAPI JULHO 2021'!$A$1:E12408,2,FALSE),"")</f>
        <v>ELETRICISTA COM ENCARGOS COMPLEMENTARES</v>
      </c>
      <c r="F703" s="135" t="str">
        <f>IF($D703&lt;&gt;"",VLOOKUP($D703,'SINAPI JULHO 2021'!$1:$1048576,3,FALSE),"")</f>
        <v>H</v>
      </c>
      <c r="G703" s="406">
        <v>0.53549999999999998</v>
      </c>
      <c r="H703" s="415">
        <f>IF($D703&lt;&gt;"",VLOOKUP($D703,'SINAPI JULHO 2021'!$1:$1048576,4,FALSE),"")</f>
        <v>18.3</v>
      </c>
      <c r="I703" s="287">
        <f t="shared" si="119"/>
        <v>9.7899999999999991</v>
      </c>
    </row>
    <row r="704" spans="2:9" s="132" customFormat="1" ht="25.5">
      <c r="B704" s="133" t="s">
        <v>568</v>
      </c>
      <c r="C704" s="133" t="s">
        <v>7</v>
      </c>
      <c r="D704" s="405">
        <v>38773</v>
      </c>
      <c r="E704" s="134" t="str">
        <f>IF($D704&lt;&gt;"",VLOOKUP($D704,'SINAPI JULHO 2021'!$A$1:E12409,2,FALSE),"")</f>
        <v xml:space="preserve">LUMINARIA DE TETO PLAFON/PLAFONIER EM PLASTICO COM BASE E27, POTENCIA MAXIMA 60 W (NAO INCLUI LAMPADA)                                                                                                                                                                                                                                                                                                                                                                                                    </v>
      </c>
      <c r="F704" s="135" t="str">
        <f>IF($D704&lt;&gt;"",VLOOKUP($D704,'SINAPI JULHO 2021'!$1:$1048576,3,FALSE),"")</f>
        <v xml:space="preserve">UN    </v>
      </c>
      <c r="G704" s="406">
        <v>1</v>
      </c>
      <c r="H704" s="415">
        <f>IF($D704&lt;&gt;"",VLOOKUP($D704,'SINAPI JULHO 2021'!$1:$1048576,4,FALSE),"")</f>
        <v>6.25</v>
      </c>
      <c r="I704" s="287">
        <f t="shared" si="119"/>
        <v>6.25</v>
      </c>
    </row>
    <row r="705" spans="2:9" s="132" customFormat="1">
      <c r="B705" s="455" t="s">
        <v>568</v>
      </c>
      <c r="C705" s="65" t="s">
        <v>569</v>
      </c>
      <c r="D705" s="438"/>
      <c r="E705" s="134" t="s">
        <v>6870</v>
      </c>
      <c r="F705" s="407" t="s">
        <v>7138</v>
      </c>
      <c r="G705" s="439">
        <v>1</v>
      </c>
      <c r="H705" s="287">
        <v>50</v>
      </c>
      <c r="I705" s="440">
        <f t="shared" ref="I705" si="120">TRUNC(H705*G705,2)</f>
        <v>50</v>
      </c>
    </row>
    <row r="706" spans="2:9" s="132" customFormat="1" ht="13.5" thickBot="1">
      <c r="B706" s="408"/>
      <c r="C706" s="409"/>
      <c r="D706" s="410"/>
      <c r="E706" s="411"/>
      <c r="F706" s="412"/>
      <c r="G706" s="293"/>
      <c r="H706" s="289"/>
      <c r="I706" s="290"/>
    </row>
    <row r="707" spans="2:9" s="132" customFormat="1" ht="26.25" thickBot="1">
      <c r="B707" s="637" t="s">
        <v>6871</v>
      </c>
      <c r="C707" s="627"/>
      <c r="D707" s="627"/>
      <c r="E707" s="614" t="s">
        <v>7420</v>
      </c>
      <c r="F707" s="615" t="s">
        <v>14</v>
      </c>
      <c r="G707" s="653"/>
      <c r="H707" s="642"/>
      <c r="I707" s="626">
        <f>TRUNC(SUM(I708:I709),2)</f>
        <v>11.07</v>
      </c>
    </row>
    <row r="708" spans="2:9" s="132" customFormat="1">
      <c r="B708" s="240" t="s">
        <v>7403</v>
      </c>
      <c r="C708" s="240" t="s">
        <v>7</v>
      </c>
      <c r="D708" s="594">
        <v>88247</v>
      </c>
      <c r="E708" s="566" t="str">
        <f>IF($D708&lt;&gt;"",VLOOKUP($D708,'SINAPI JULHO 2021'!$A$1:E12413,2,FALSE),"")</f>
        <v>AUXILIAR DE ELETRICISTA COM ENCARGOS COMPLEMENTARES</v>
      </c>
      <c r="F708" s="567" t="str">
        <f>IF($D708&lt;&gt;"",VLOOKUP($D708,'SINAPI JULHO 2021'!$1:$1048576,3,FALSE),"")</f>
        <v>H</v>
      </c>
      <c r="G708" s="596">
        <v>8.5000000000000006E-2</v>
      </c>
      <c r="H708" s="588">
        <f>IF($D708&lt;&gt;"",VLOOKUP($D708,'SINAPI JULHO 2021'!$1:$1048576,4,FALSE),"")</f>
        <v>14</v>
      </c>
      <c r="I708" s="589">
        <f t="shared" ref="I708:I709" si="121">TRUNC(G708*H708,2)</f>
        <v>1.19</v>
      </c>
    </row>
    <row r="709" spans="2:9" s="132" customFormat="1">
      <c r="B709" s="133" t="s">
        <v>7403</v>
      </c>
      <c r="C709" s="133" t="s">
        <v>7</v>
      </c>
      <c r="D709" s="405">
        <v>88264</v>
      </c>
      <c r="E709" s="134" t="str">
        <f>IF($D709&lt;&gt;"",VLOOKUP($D709,'SINAPI JULHO 2021'!$A$1:E12414,2,FALSE),"")</f>
        <v>ELETRICISTA COM ENCARGOS COMPLEMENTARES</v>
      </c>
      <c r="F709" s="135" t="str">
        <f>IF($D709&lt;&gt;"",VLOOKUP($D709,'SINAPI JULHO 2021'!$1:$1048576,3,FALSE),"")</f>
        <v>H</v>
      </c>
      <c r="G709" s="406">
        <v>0.54</v>
      </c>
      <c r="H709" s="415">
        <f>IF($D709&lt;&gt;"",VLOOKUP($D709,'SINAPI JULHO 2021'!$1:$1048576,4,FALSE),"")</f>
        <v>18.3</v>
      </c>
      <c r="I709" s="287">
        <f t="shared" si="121"/>
        <v>9.8800000000000008</v>
      </c>
    </row>
    <row r="710" spans="2:9" s="132" customFormat="1" ht="13.5" thickBot="1">
      <c r="B710" s="408"/>
      <c r="C710" s="409"/>
      <c r="D710" s="410"/>
      <c r="E710" s="411"/>
      <c r="F710" s="412"/>
      <c r="G710" s="293"/>
      <c r="H710" s="289"/>
      <c r="I710" s="290"/>
    </row>
    <row r="711" spans="2:9" s="132" customFormat="1" ht="13.5" thickBot="1">
      <c r="B711" s="637" t="s">
        <v>7400</v>
      </c>
      <c r="C711" s="627"/>
      <c r="D711" s="627"/>
      <c r="E711" s="614" t="s">
        <v>7421</v>
      </c>
      <c r="F711" s="615" t="s">
        <v>553</v>
      </c>
      <c r="G711" s="653"/>
      <c r="H711" s="642"/>
      <c r="I711" s="626">
        <f>TRUNC(SUM(I712:I714),2)</f>
        <v>237.45</v>
      </c>
    </row>
    <row r="712" spans="2:9" s="132" customFormat="1">
      <c r="B712" s="578" t="s">
        <v>568</v>
      </c>
      <c r="C712" s="240" t="s">
        <v>569</v>
      </c>
      <c r="D712" s="594"/>
      <c r="E712" s="597" t="s">
        <v>7422</v>
      </c>
      <c r="F712" s="598" t="s">
        <v>34</v>
      </c>
      <c r="G712" s="596">
        <v>1</v>
      </c>
      <c r="H712" s="589">
        <v>224</v>
      </c>
      <c r="I712" s="599">
        <f t="shared" ref="I712" si="122">TRUNC(H712*G712,2)</f>
        <v>224</v>
      </c>
    </row>
    <row r="713" spans="2:9" s="132" customFormat="1">
      <c r="B713" s="133" t="s">
        <v>7403</v>
      </c>
      <c r="C713" s="133" t="s">
        <v>7</v>
      </c>
      <c r="D713" s="405">
        <v>88264</v>
      </c>
      <c r="E713" s="134" t="str">
        <f>IF($D713&lt;&gt;"",VLOOKUP($D713,'SINAPI JULHO 2021'!$A$1:E12418,2,FALSE),"")</f>
        <v>ELETRICISTA COM ENCARGOS COMPLEMENTARES</v>
      </c>
      <c r="F713" s="135" t="str">
        <f>IF($D713&lt;&gt;"",VLOOKUP($D713,'SINAPI JULHO 2021'!$1:$1048576,3,FALSE),"")</f>
        <v>H</v>
      </c>
      <c r="G713" s="406">
        <v>0.41649999999999998</v>
      </c>
      <c r="H713" s="415">
        <f>IF($D713&lt;&gt;"",VLOOKUP($D713,'SINAPI JULHO 2021'!$1:$1048576,4,FALSE),"")</f>
        <v>18.3</v>
      </c>
      <c r="I713" s="287">
        <f t="shared" ref="I713:I714" si="123">TRUNC(G713*H713,2)</f>
        <v>7.62</v>
      </c>
    </row>
    <row r="714" spans="2:9" s="132" customFormat="1">
      <c r="B714" s="133" t="s">
        <v>7403</v>
      </c>
      <c r="C714" s="133" t="s">
        <v>7</v>
      </c>
      <c r="D714" s="405">
        <v>88247</v>
      </c>
      <c r="E714" s="134" t="str">
        <f>IF($D714&lt;&gt;"",VLOOKUP($D714,'SINAPI JULHO 2021'!$A$1:E12419,2,FALSE),"")</f>
        <v>AUXILIAR DE ELETRICISTA COM ENCARGOS COMPLEMENTARES</v>
      </c>
      <c r="F714" s="135" t="str">
        <f>IF($D714&lt;&gt;"",VLOOKUP($D714,'SINAPI JULHO 2021'!$1:$1048576,3,FALSE),"")</f>
        <v>H</v>
      </c>
      <c r="G714" s="406">
        <v>0.41649999999999998</v>
      </c>
      <c r="H714" s="415">
        <f>IF($D714&lt;&gt;"",VLOOKUP($D714,'SINAPI JULHO 2021'!$1:$1048576,4,FALSE),"")</f>
        <v>14</v>
      </c>
      <c r="I714" s="287">
        <f t="shared" si="123"/>
        <v>5.83</v>
      </c>
    </row>
    <row r="715" spans="2:9" s="132" customFormat="1" ht="13.5" thickBot="1">
      <c r="B715" s="408"/>
      <c r="C715" s="409"/>
      <c r="D715" s="410"/>
      <c r="E715" s="411"/>
      <c r="F715" s="412"/>
      <c r="G715" s="293"/>
      <c r="H715" s="289"/>
      <c r="I715" s="290"/>
    </row>
    <row r="716" spans="2:9" s="132" customFormat="1" ht="26.25" thickBot="1">
      <c r="B716" s="637" t="s">
        <v>7423</v>
      </c>
      <c r="C716" s="627"/>
      <c r="D716" s="627"/>
      <c r="E716" s="614" t="s">
        <v>7424</v>
      </c>
      <c r="F716" s="615" t="s">
        <v>553</v>
      </c>
      <c r="G716" s="653"/>
      <c r="H716" s="642"/>
      <c r="I716" s="626">
        <f>TRUNC(SUM(I717:I720),2)</f>
        <v>295.25</v>
      </c>
    </row>
    <row r="717" spans="2:9" s="132" customFormat="1">
      <c r="B717" s="578" t="s">
        <v>568</v>
      </c>
      <c r="C717" s="240" t="s">
        <v>569</v>
      </c>
      <c r="D717" s="594"/>
      <c r="E717" s="597" t="s">
        <v>7425</v>
      </c>
      <c r="F717" s="598" t="s">
        <v>34</v>
      </c>
      <c r="G717" s="596">
        <v>1</v>
      </c>
      <c r="H717" s="589">
        <v>255</v>
      </c>
      <c r="I717" s="599">
        <f t="shared" ref="I717" si="124">TRUNC(H717*G717,2)</f>
        <v>255</v>
      </c>
    </row>
    <row r="718" spans="2:9" s="132" customFormat="1">
      <c r="B718" s="133" t="s">
        <v>7403</v>
      </c>
      <c r="C718" s="133" t="s">
        <v>7</v>
      </c>
      <c r="D718" s="405">
        <v>39387</v>
      </c>
      <c r="E718" s="134" t="str">
        <f>IF($D718&lt;&gt;"",VLOOKUP($D718,'SINAPI JULHO 2021'!$A$1:E12423,2,FALSE),"")</f>
        <v xml:space="preserve">LAMPADA LED TUBULAR BIVOLT 18/20 W, BASE G13                                                                                                                                                                                                                                                                                                                                                                                                                                                              </v>
      </c>
      <c r="F718" s="135" t="str">
        <f>IF($D718&lt;&gt;"",VLOOKUP($D718,'SINAPI JULHO 2021'!$1:$1048576,3,FALSE),"")</f>
        <v xml:space="preserve">UN    </v>
      </c>
      <c r="G718" s="406">
        <v>2</v>
      </c>
      <c r="H718" s="415">
        <f>IF($D718&lt;&gt;"",VLOOKUP($D718,'SINAPI JULHO 2021'!$1:$1048576,4,FALSE),"")</f>
        <v>13.4</v>
      </c>
      <c r="I718" s="287">
        <f t="shared" ref="I718:I720" si="125">TRUNC(G718*H718,2)</f>
        <v>26.8</v>
      </c>
    </row>
    <row r="719" spans="2:9" s="132" customFormat="1">
      <c r="B719" s="133" t="s">
        <v>7403</v>
      </c>
      <c r="C719" s="133" t="s">
        <v>7</v>
      </c>
      <c r="D719" s="405">
        <v>88264</v>
      </c>
      <c r="E719" s="134" t="str">
        <f>IF($D719&lt;&gt;"",VLOOKUP($D719,'SINAPI JULHO 2021'!$A$1:E12424,2,FALSE),"")</f>
        <v>ELETRICISTA COM ENCARGOS COMPLEMENTARES</v>
      </c>
      <c r="F719" s="135" t="str">
        <f>IF($D719&lt;&gt;"",VLOOKUP($D719,'SINAPI JULHO 2021'!$1:$1048576,3,FALSE),"")</f>
        <v>H</v>
      </c>
      <c r="G719" s="406">
        <v>0.41649999999999998</v>
      </c>
      <c r="H719" s="415">
        <f>IF($D719&lt;&gt;"",VLOOKUP($D719,'SINAPI JULHO 2021'!$1:$1048576,4,FALSE),"")</f>
        <v>18.3</v>
      </c>
      <c r="I719" s="287">
        <f t="shared" si="125"/>
        <v>7.62</v>
      </c>
    </row>
    <row r="720" spans="2:9" s="132" customFormat="1">
      <c r="B720" s="133" t="s">
        <v>7403</v>
      </c>
      <c r="C720" s="133" t="s">
        <v>7</v>
      </c>
      <c r="D720" s="405">
        <v>88247</v>
      </c>
      <c r="E720" s="134" t="str">
        <f>IF($D720&lt;&gt;"",VLOOKUP($D720,'SINAPI JULHO 2021'!$A$1:E12425,2,FALSE),"")</f>
        <v>AUXILIAR DE ELETRICISTA COM ENCARGOS COMPLEMENTARES</v>
      </c>
      <c r="F720" s="135" t="str">
        <f>IF($D720&lt;&gt;"",VLOOKUP($D720,'SINAPI JULHO 2021'!$1:$1048576,3,FALSE),"")</f>
        <v>H</v>
      </c>
      <c r="G720" s="406">
        <v>0.41649999999999998</v>
      </c>
      <c r="H720" s="415">
        <f>IF($D720&lt;&gt;"",VLOOKUP($D720,'SINAPI JULHO 2021'!$1:$1048576,4,FALSE),"")</f>
        <v>14</v>
      </c>
      <c r="I720" s="287">
        <f t="shared" si="125"/>
        <v>5.83</v>
      </c>
    </row>
    <row r="721" spans="2:9" s="132" customFormat="1">
      <c r="B721" s="133"/>
      <c r="C721" s="133"/>
      <c r="D721" s="67"/>
      <c r="E721" s="211"/>
      <c r="F721" s="454"/>
      <c r="G721" s="249"/>
      <c r="H721" s="255"/>
      <c r="I721" s="255"/>
    </row>
    <row r="722" spans="2:9" s="132" customFormat="1">
      <c r="B722" s="513" t="s">
        <v>4298</v>
      </c>
      <c r="C722" s="65"/>
      <c r="D722" s="136"/>
      <c r="E722" s="397"/>
      <c r="F722" s="407"/>
      <c r="G722" s="337"/>
      <c r="H722" s="398"/>
      <c r="I722" s="398"/>
    </row>
    <row r="723" spans="2:9" s="132" customFormat="1" ht="13.5" thickBot="1">
      <c r="B723" s="533"/>
      <c r="C723" s="533"/>
      <c r="D723" s="552"/>
      <c r="E723" s="550"/>
      <c r="F723" s="543"/>
      <c r="G723" s="553"/>
      <c r="H723" s="554"/>
      <c r="I723" s="554"/>
    </row>
    <row r="724" spans="2:9" s="132" customFormat="1" ht="39" thickBot="1">
      <c r="B724" s="618" t="s">
        <v>4299</v>
      </c>
      <c r="C724" s="619"/>
      <c r="D724" s="619"/>
      <c r="E724" s="620" t="s">
        <v>13018</v>
      </c>
      <c r="F724" s="611" t="s">
        <v>42</v>
      </c>
      <c r="G724" s="608"/>
      <c r="H724" s="609"/>
      <c r="I724" s="610">
        <f>TRUNC(SUM(I725:I726),2)</f>
        <v>607.01</v>
      </c>
    </row>
    <row r="725" spans="2:9" s="132" customFormat="1" ht="25.5">
      <c r="B725" s="578" t="s">
        <v>568</v>
      </c>
      <c r="C725" s="240" t="s">
        <v>569</v>
      </c>
      <c r="D725" s="579"/>
      <c r="E725" s="566" t="s">
        <v>7388</v>
      </c>
      <c r="F725" s="567" t="s">
        <v>42</v>
      </c>
      <c r="G725" s="574">
        <v>1</v>
      </c>
      <c r="H725" s="569">
        <v>600</v>
      </c>
      <c r="I725" s="570">
        <f>TRUNC(G725*H725,2)</f>
        <v>600</v>
      </c>
    </row>
    <row r="726" spans="2:9" s="132" customFormat="1">
      <c r="B726" s="133" t="s">
        <v>570</v>
      </c>
      <c r="C726" s="133" t="s">
        <v>7</v>
      </c>
      <c r="D726" s="136">
        <v>88316</v>
      </c>
      <c r="E726" s="134" t="str">
        <f>IF($D726&lt;&gt;"",VLOOKUP($D726,'SINAPI JULHO 2021'!$A$1:E12110,2,FALSE),"")</f>
        <v>SERVENTE COM ENCARGOS COMPLEMENTARES</v>
      </c>
      <c r="F726" s="135" t="str">
        <f>IF($D726&lt;&gt;"",VLOOKUP($D726,'SINAPI JULHO 2021'!$1:$1048576,3,FALSE),"")</f>
        <v>H</v>
      </c>
      <c r="G726" s="246">
        <v>0.5</v>
      </c>
      <c r="H726" s="256">
        <f>IF($D726&lt;&gt;"",VLOOKUP($D726,'SINAPI JULHO 2021'!$1:$1048576,4,FALSE),"")</f>
        <v>14.02</v>
      </c>
      <c r="I726" s="257">
        <f>TRUNC(G726*H726,2)</f>
        <v>7.01</v>
      </c>
    </row>
    <row r="727" spans="2:9">
      <c r="B727" s="212"/>
      <c r="C727" s="133"/>
      <c r="D727" s="67"/>
      <c r="E727" s="211"/>
      <c r="F727" s="454"/>
      <c r="G727" s="249"/>
      <c r="H727" s="255"/>
      <c r="I727" s="255"/>
    </row>
    <row r="728" spans="2:9">
      <c r="B728" s="212" t="s">
        <v>4288</v>
      </c>
      <c r="C728" s="133"/>
      <c r="D728" s="67"/>
      <c r="E728" s="211"/>
      <c r="F728" s="454"/>
      <c r="G728" s="249"/>
      <c r="H728" s="255"/>
      <c r="I728" s="255"/>
    </row>
    <row r="729" spans="2:9" s="132" customFormat="1" ht="13.5" thickBot="1">
      <c r="B729" s="514"/>
      <c r="C729" s="515"/>
      <c r="D729" s="516"/>
      <c r="E729" s="517"/>
      <c r="F729" s="518"/>
      <c r="G729" s="519"/>
      <c r="H729" s="520"/>
      <c r="I729" s="520"/>
    </row>
    <row r="730" spans="2:9" s="132" customFormat="1" ht="26.25" thickBot="1">
      <c r="B730" s="604" t="s">
        <v>4289</v>
      </c>
      <c r="C730" s="605"/>
      <c r="D730" s="605"/>
      <c r="E730" s="606" t="s">
        <v>7590</v>
      </c>
      <c r="F730" s="607" t="s">
        <v>34</v>
      </c>
      <c r="G730" s="608"/>
      <c r="H730" s="609"/>
      <c r="I730" s="610">
        <f>TRUNC(SUM(I731:I743),2)</f>
        <v>3786.69</v>
      </c>
    </row>
    <row r="731" spans="2:9" s="132" customFormat="1">
      <c r="B731" s="575"/>
      <c r="C731" s="575"/>
      <c r="D731" s="575"/>
      <c r="E731" s="583" t="s">
        <v>4290</v>
      </c>
      <c r="F731" s="584"/>
      <c r="G731" s="574"/>
      <c r="H731" s="569"/>
      <c r="I731" s="254"/>
    </row>
    <row r="732" spans="2:9" s="132" customFormat="1" ht="31.5" customHeight="1">
      <c r="B732" s="140" t="s">
        <v>570</v>
      </c>
      <c r="C732" s="140" t="s">
        <v>7</v>
      </c>
      <c r="D732" s="142">
        <v>97083</v>
      </c>
      <c r="E732" s="134" t="str">
        <f>IF($D732&lt;&gt;"",VLOOKUP($D732,'SINAPI JULHO 2021'!$A$1:E12124,2,FALSE),"")</f>
        <v>COMPACTAÇÃO MECÂNICA DE SOLO PARA EXECUÇÃO DE RADIER, COM COMPACTADOR DE SOLOS A PERCUSSÃO. AF_09/2017</v>
      </c>
      <c r="F732" s="135" t="str">
        <f>IF($D732&lt;&gt;"",VLOOKUP($D732,'SINAPI JULHO 2021'!$1:$1048576,3,FALSE),"")</f>
        <v>M2</v>
      </c>
      <c r="G732" s="250">
        <f>2.4*1.2</f>
        <v>2.88</v>
      </c>
      <c r="H732" s="256">
        <f>IF($D732&lt;&gt;"",VLOOKUP($D732,'SINAPI JULHO 2021'!$1:$1048576,4,FALSE),"")</f>
        <v>2.21</v>
      </c>
      <c r="I732" s="257">
        <f>TRUNC(G732*H732,2)</f>
        <v>6.36</v>
      </c>
    </row>
    <row r="733" spans="2:9" s="132" customFormat="1" ht="24" customHeight="1">
      <c r="B733" s="140" t="s">
        <v>570</v>
      </c>
      <c r="C733" s="140" t="s">
        <v>7</v>
      </c>
      <c r="D733" s="142">
        <v>101747</v>
      </c>
      <c r="E733" s="134" t="str">
        <f>IF($D733&lt;&gt;"",VLOOKUP($D733,'SINAPI JULHO 2021'!$A$1:E12125,2,FALSE),"")</f>
        <v>PISO EM CONCRETO 20 MPA PREPARO MECÂNICO, ESPESSURA 7CM. AF_09/2020</v>
      </c>
      <c r="F733" s="135" t="str">
        <f>IF($D733&lt;&gt;"",VLOOKUP($D733,'SINAPI JULHO 2021'!$1:$1048576,3,FALSE),"")</f>
        <v>M2</v>
      </c>
      <c r="G733" s="250">
        <f>2.4*1.2</f>
        <v>2.88</v>
      </c>
      <c r="H733" s="256">
        <f>IF($D733&lt;&gt;"",VLOOKUP($D733,'SINAPI JULHO 2021'!$1:$1048576,4,FALSE),"")</f>
        <v>63.38</v>
      </c>
      <c r="I733" s="257">
        <f>TRUNC(G733*H733,2)</f>
        <v>182.53</v>
      </c>
    </row>
    <row r="734" spans="2:9" s="132" customFormat="1">
      <c r="B734" s="140"/>
      <c r="C734" s="140"/>
      <c r="D734" s="140"/>
      <c r="E734" s="194" t="s">
        <v>4291</v>
      </c>
      <c r="F734" s="141"/>
      <c r="G734" s="250"/>
      <c r="H734" s="256"/>
      <c r="I734" s="257"/>
    </row>
    <row r="735" spans="2:9" s="132" customFormat="1" ht="63.75">
      <c r="B735" s="140" t="s">
        <v>570</v>
      </c>
      <c r="C735" s="140" t="s">
        <v>7</v>
      </c>
      <c r="D735" s="142">
        <v>89312</v>
      </c>
      <c r="E735" s="134" t="str">
        <f>IF($D735&lt;&gt;"",VLOOKUP($D735,'SINAPI JULHO 2021'!$A$1:E12130,2,FALSE),"")</f>
        <v>ALVENARIA ESTRUTURAL DE BLOCOS CERÂMICOS 14X19X29, (ESPESSURA DE 14 CM), PARA PAREDES COM ÁREA LÍQUIDA MAIOR OU IGUAL A 6M², COM VÃOS, UTILIZANDO COLHER DE PEDREIRO E ARGAMASSA DE ASSENTAMENTO COM PREPARO EM BETONEIRA. AF_12/2014</v>
      </c>
      <c r="F735" s="135" t="str">
        <f>IF($D735&lt;&gt;"",VLOOKUP($D735,'SINAPI JULHO 2021'!$1:$1048576,3,FALSE),"")</f>
        <v>M2</v>
      </c>
      <c r="G735" s="250">
        <f>2.8*1.9</f>
        <v>5.3199999999999994</v>
      </c>
      <c r="H735" s="256">
        <f>IF($D735&lt;&gt;"",VLOOKUP($D735,'SINAPI JULHO 2021'!$1:$1048576,4,FALSE),"")</f>
        <v>88.4</v>
      </c>
      <c r="I735" s="257">
        <f t="shared" ref="I735:I740" si="126">TRUNC(G735*H735,2)</f>
        <v>470.28</v>
      </c>
    </row>
    <row r="736" spans="2:9" s="132" customFormat="1" ht="51">
      <c r="B736" s="140" t="s">
        <v>570</v>
      </c>
      <c r="C736" s="140" t="s">
        <v>7</v>
      </c>
      <c r="D736" s="142">
        <v>87879</v>
      </c>
      <c r="E736" s="134" t="str">
        <f>IF($D736&lt;&gt;"",VLOOKUP($D736,'SINAPI JULHO 2021'!$A$1:E12131,2,FALSE),"")</f>
        <v>CHAPISCO APLICADO EM ALVENARIAS E ESTRUTURAS DE CONCRETO INTERNAS, COM COLHER DE PEDREIRO.  ARGAMASSA TRAÇO 1:3 COM PREPARO EM BETONEIRA 400L. AF_06/2014</v>
      </c>
      <c r="F736" s="135" t="str">
        <f>IF($D736&lt;&gt;"",VLOOKUP($D736,'SINAPI JULHO 2021'!$1:$1048576,3,FALSE),"")</f>
        <v>M2</v>
      </c>
      <c r="G736" s="250">
        <f>(G735*2)+(G742*2)</f>
        <v>16.399999999999999</v>
      </c>
      <c r="H736" s="256">
        <f>IF($D736&lt;&gt;"",VLOOKUP($D736,'SINAPI JULHO 2021'!$1:$1048576,4,FALSE),"")</f>
        <v>3.01</v>
      </c>
      <c r="I736" s="257">
        <f t="shared" si="126"/>
        <v>49.36</v>
      </c>
    </row>
    <row r="737" spans="2:9" s="132" customFormat="1" ht="63.75">
      <c r="B737" s="140" t="s">
        <v>570</v>
      </c>
      <c r="C737" s="140" t="s">
        <v>7</v>
      </c>
      <c r="D737" s="142">
        <v>87529</v>
      </c>
      <c r="E737" s="134" t="str">
        <f>IF($D737&lt;&gt;"",VLOOKUP($D737,'SINAPI JULHO 2021'!$A$1:E12132,2,FALSE),"")</f>
        <v>MASSA ÚNICA, PARA RECEBIMENTO DE PINTURA, EM ARGAMASSA TRAÇO 1:2:8, PREPARO MECÂNICO COM BETONEIRA 400L, APLICADA MANUALMENTE EM FACES INTERNAS DE PAREDES, ESPESSURA DE 20MM, COM EXECUÇÃO DE TALISCAS. AF_06/2014</v>
      </c>
      <c r="F737" s="135" t="str">
        <f>IF($D737&lt;&gt;"",VLOOKUP($D737,'SINAPI JULHO 2021'!$1:$1048576,3,FALSE),"")</f>
        <v>M2</v>
      </c>
      <c r="G737" s="250">
        <f>G736</f>
        <v>16.399999999999999</v>
      </c>
      <c r="H737" s="256">
        <f>IF($D737&lt;&gt;"",VLOOKUP($D737,'SINAPI JULHO 2021'!$1:$1048576,4,FALSE),"")</f>
        <v>26.15</v>
      </c>
      <c r="I737" s="257">
        <f t="shared" si="126"/>
        <v>428.86</v>
      </c>
    </row>
    <row r="738" spans="2:9" s="132" customFormat="1" ht="25.5">
      <c r="B738" s="140" t="s">
        <v>570</v>
      </c>
      <c r="C738" s="140" t="s">
        <v>7</v>
      </c>
      <c r="D738" s="142">
        <v>88415</v>
      </c>
      <c r="E738" s="134" t="str">
        <f>IF($D738&lt;&gt;"",VLOOKUP($D738,'SINAPI JULHO 2021'!$A$1:E12133,2,FALSE),"")</f>
        <v>APLICAÇÃO MANUAL DE FUNDO SELADOR ACRÍLICO EM PAREDES EXTERNAS DE CASAS. AF_06/2014</v>
      </c>
      <c r="F738" s="135" t="str">
        <f>IF($D738&lt;&gt;"",VLOOKUP($D738,'SINAPI JULHO 2021'!$1:$1048576,3,FALSE),"")</f>
        <v>M2</v>
      </c>
      <c r="G738" s="250">
        <f>G737+G732</f>
        <v>19.279999999999998</v>
      </c>
      <c r="H738" s="256">
        <f>IF($D738&lt;&gt;"",VLOOKUP($D738,'SINAPI JULHO 2021'!$1:$1048576,4,FALSE),"")</f>
        <v>1.85</v>
      </c>
      <c r="I738" s="257">
        <f t="shared" si="126"/>
        <v>35.659999999999997</v>
      </c>
    </row>
    <row r="739" spans="2:9" s="132" customFormat="1" ht="25.5">
      <c r="B739" s="140" t="s">
        <v>570</v>
      </c>
      <c r="C739" s="140" t="s">
        <v>7</v>
      </c>
      <c r="D739" s="142">
        <v>88489</v>
      </c>
      <c r="E739" s="134" t="str">
        <f>IF($D739&lt;&gt;"",VLOOKUP($D739,'SINAPI JULHO 2021'!$A$1:E12134,2,FALSE),"")</f>
        <v>APLICAÇÃO MANUAL DE PINTURA COM TINTA LÁTEX ACRÍLICA EM PAREDES, DUAS DEMÃOS. AF_06/2014</v>
      </c>
      <c r="F739" s="135" t="str">
        <f>IF($D739&lt;&gt;"",VLOOKUP($D739,'SINAPI JULHO 2021'!$1:$1048576,3,FALSE),"")</f>
        <v>M2</v>
      </c>
      <c r="G739" s="250">
        <f>G738</f>
        <v>19.279999999999998</v>
      </c>
      <c r="H739" s="256">
        <f>IF($D739&lt;&gt;"",VLOOKUP($D739,'SINAPI JULHO 2021'!$1:$1048576,4,FALSE),"")</f>
        <v>11.44</v>
      </c>
      <c r="I739" s="257">
        <f t="shared" si="126"/>
        <v>220.56</v>
      </c>
    </row>
    <row r="740" spans="2:9" s="132" customFormat="1" ht="38.25">
      <c r="B740" s="140" t="s">
        <v>570</v>
      </c>
      <c r="C740" s="140" t="s">
        <v>7</v>
      </c>
      <c r="D740" s="142">
        <v>91341</v>
      </c>
      <c r="E740" s="134" t="str">
        <f>IF($D740&lt;&gt;"",VLOOKUP($D740,'SINAPI JULHO 2021'!$A$1:E12135,2,FALSE),"")</f>
        <v>PORTA EM ALUMÍNIO DE ABRIR TIPO VENEZIANA COM GUARNIÇÃO, FIXAÇÃO COM PARAFUSOS - FORNECIMENTO E INSTALAÇÃO. AF_12/2019</v>
      </c>
      <c r="F740" s="135" t="str">
        <f>IF($D740&lt;&gt;"",VLOOKUP($D740,'SINAPI JULHO 2021'!$1:$1048576,3,FALSE),"")</f>
        <v>M2</v>
      </c>
      <c r="G740" s="250">
        <f>1*1.8*2</f>
        <v>3.6</v>
      </c>
      <c r="H740" s="256">
        <f>IF($D740&lt;&gt;"",VLOOKUP($D740,'SINAPI JULHO 2021'!$1:$1048576,4,FALSE),"")</f>
        <v>519.91</v>
      </c>
      <c r="I740" s="257">
        <f t="shared" si="126"/>
        <v>1871.67</v>
      </c>
    </row>
    <row r="741" spans="2:9" s="132" customFormat="1">
      <c r="B741" s="140"/>
      <c r="C741" s="140"/>
      <c r="D741" s="140"/>
      <c r="E741" s="194" t="s">
        <v>4292</v>
      </c>
      <c r="F741" s="141"/>
      <c r="G741" s="250"/>
      <c r="H741" s="256"/>
      <c r="I741" s="257"/>
    </row>
    <row r="742" spans="2:9" s="132" customFormat="1" ht="48.75" customHeight="1">
      <c r="B742" s="140" t="s">
        <v>570</v>
      </c>
      <c r="C742" s="140" t="s">
        <v>7</v>
      </c>
      <c r="D742" s="142">
        <v>101964</v>
      </c>
      <c r="E742" s="134" t="str">
        <f>IF($D742&lt;&gt;"",VLOOKUP($D742,'SINAPI JULHO 2021'!$A$1:E12137,2,FALSE),"")</f>
        <v>LAJE PRÉ-MOLDADA UNIDIRECIONAL, BIAPOIADA, PARA FORRO, ENCHIMENTO EM CERÂMICA, VIGOTA CONVENCIONAL, ALTURA TOTAL DA LAJE (ENCHIMENTO+CAPA) = (8+3). AF_11/2020</v>
      </c>
      <c r="F742" s="135" t="str">
        <f>IF($D742&lt;&gt;"",VLOOKUP($D742,'SINAPI JULHO 2021'!$1:$1048576,3,FALSE),"")</f>
        <v>M2</v>
      </c>
      <c r="G742" s="250">
        <f>2.4*1.2</f>
        <v>2.88</v>
      </c>
      <c r="H742" s="256">
        <f>IF($D742&lt;&gt;"",VLOOKUP($D742,'SINAPI JULHO 2021'!$1:$1048576,4,FALSE),"")</f>
        <v>157.02000000000001</v>
      </c>
      <c r="I742" s="257">
        <f>TRUNC(G742*H742,2)</f>
        <v>452.21</v>
      </c>
    </row>
    <row r="743" spans="2:9" s="132" customFormat="1" ht="25.5">
      <c r="B743" s="140" t="s">
        <v>570</v>
      </c>
      <c r="C743" s="140" t="s">
        <v>7</v>
      </c>
      <c r="D743" s="142">
        <v>7313</v>
      </c>
      <c r="E743" s="134" t="str">
        <f>IF($D743&lt;&gt;"",VLOOKUP($D743,'SINAPI JULHO 2021'!$A$1:E12141,2,FALSE),"")</f>
        <v xml:space="preserve">TINTA ASFALTICA IMPERMEABILIZANTE DILUIDA EM SOLVENTE, PARA MATERIAIS CIMENTICIOS, METAL E MADEIRA                                                                                                                                                                                                                                                                                                                                                                                                        </v>
      </c>
      <c r="F743" s="135" t="str">
        <f>IF($D743&lt;&gt;"",VLOOKUP($D743,'SINAPI JULHO 2021'!$1:$1048576,3,FALSE),"")</f>
        <v xml:space="preserve">L     </v>
      </c>
      <c r="G743" s="250">
        <v>2</v>
      </c>
      <c r="H743" s="256">
        <f>IF($D743&lt;&gt;"",VLOOKUP($D743,'SINAPI JULHO 2021'!$1:$1048576,4,FALSE),"")</f>
        <v>34.6</v>
      </c>
      <c r="I743" s="257">
        <f>TRUNC(G743*H743,2)</f>
        <v>69.2</v>
      </c>
    </row>
    <row r="744" spans="2:9" s="132" customFormat="1" ht="13.5" thickBot="1">
      <c r="B744" s="529"/>
      <c r="C744" s="529"/>
      <c r="D744" s="555"/>
      <c r="E744" s="556"/>
      <c r="F744" s="557"/>
      <c r="G744" s="519"/>
      <c r="H744" s="520"/>
      <c r="I744" s="520"/>
    </row>
    <row r="745" spans="2:9" s="132" customFormat="1" ht="26.25" thickBot="1">
      <c r="B745" s="604" t="s">
        <v>4293</v>
      </c>
      <c r="C745" s="605"/>
      <c r="D745" s="605"/>
      <c r="E745" s="606" t="s">
        <v>3331</v>
      </c>
      <c r="F745" s="607" t="s">
        <v>34</v>
      </c>
      <c r="G745" s="608"/>
      <c r="H745" s="609"/>
      <c r="I745" s="610">
        <f>TRUNC(SUM(I746:I749),2)</f>
        <v>82.22</v>
      </c>
    </row>
    <row r="746" spans="2:9" s="132" customFormat="1">
      <c r="B746" s="575" t="s">
        <v>568</v>
      </c>
      <c r="C746" s="575" t="s">
        <v>7</v>
      </c>
      <c r="D746" s="575">
        <v>3146</v>
      </c>
      <c r="E746" s="566" t="str">
        <f>IF($D746&lt;&gt;"",VLOOKUP($D746,'SINAPI JULHO 2021'!$A$1:E12163,2,FALSE),"")</f>
        <v xml:space="preserve">FITA VEDA ROSCA EM ROLOS DE 18 MM X 10 M (L X C)                                                                                                                                                                                                                                                                                                                                                                                                                                                          </v>
      </c>
      <c r="F746" s="567" t="str">
        <f>IF($D746&lt;&gt;"",VLOOKUP($D746,'SINAPI JULHO 2021'!$1:$1048576,3,FALSE),"")</f>
        <v xml:space="preserve">UN    </v>
      </c>
      <c r="G746" s="574">
        <v>0.02</v>
      </c>
      <c r="H746" s="569">
        <f>IF($D746&lt;&gt;"",VLOOKUP($D746,'SINAPI JULHO 2021'!$1:$1048576,4,FALSE),"")</f>
        <v>5</v>
      </c>
      <c r="I746" s="570">
        <f>TRUNC(G746*H746,2)</f>
        <v>0.1</v>
      </c>
    </row>
    <row r="747" spans="2:9" s="132" customFormat="1">
      <c r="B747" s="455" t="s">
        <v>568</v>
      </c>
      <c r="C747" s="190" t="s">
        <v>569</v>
      </c>
      <c r="D747" s="140"/>
      <c r="E747" s="134" t="s">
        <v>5741</v>
      </c>
      <c r="F747" s="135" t="s">
        <v>34</v>
      </c>
      <c r="G747" s="249">
        <v>1</v>
      </c>
      <c r="H747" s="256">
        <v>65</v>
      </c>
      <c r="I747" s="257">
        <f>TRUNC(G747*H747,2)</f>
        <v>65</v>
      </c>
    </row>
    <row r="748" spans="2:9" s="132" customFormat="1" ht="12.75" customHeight="1">
      <c r="B748" s="140" t="s">
        <v>600</v>
      </c>
      <c r="C748" s="140" t="s">
        <v>7</v>
      </c>
      <c r="D748" s="140">
        <v>88248</v>
      </c>
      <c r="E748" s="134" t="str">
        <f>IF($D748&lt;&gt;"",VLOOKUP($D748,'SINAPI JULHO 2021'!$A$1:E12165,2,FALSE),"")</f>
        <v>AUXILIAR DE ENCANADOR OU BOMBEIRO HIDRÁULICO COM ENCARGOS COMPLEMENTARES</v>
      </c>
      <c r="F748" s="135" t="str">
        <f>IF($D748&lt;&gt;"",VLOOKUP($D748,'SINAPI JULHO 2021'!$1:$1048576,3,FALSE),"")</f>
        <v>H</v>
      </c>
      <c r="G748" s="249">
        <v>0.55000000000000004</v>
      </c>
      <c r="H748" s="256">
        <f>IF($D748&lt;&gt;"",VLOOKUP($D748,'SINAPI JULHO 2021'!$1:$1048576,4,FALSE),"")</f>
        <v>13.48</v>
      </c>
      <c r="I748" s="257">
        <f>TRUNC(G748*H748,2)</f>
        <v>7.41</v>
      </c>
    </row>
    <row r="749" spans="2:9" s="132" customFormat="1" ht="12.75" customHeight="1">
      <c r="B749" s="140" t="s">
        <v>600</v>
      </c>
      <c r="C749" s="140" t="s">
        <v>7</v>
      </c>
      <c r="D749" s="140">
        <v>88267</v>
      </c>
      <c r="E749" s="134" t="str">
        <f>IF($D749&lt;&gt;"",VLOOKUP($D749,'SINAPI JULHO 2021'!$A$1:E12166,2,FALSE),"")</f>
        <v>ENCANADOR OU BOMBEIRO HIDRÁULICO COM ENCARGOS COMPLEMENTARES</v>
      </c>
      <c r="F749" s="135" t="str">
        <f>IF($D749&lt;&gt;"",VLOOKUP($D749,'SINAPI JULHO 2021'!$1:$1048576,3,FALSE),"")</f>
        <v>H</v>
      </c>
      <c r="G749" s="249">
        <v>0.55000000000000004</v>
      </c>
      <c r="H749" s="256">
        <f>IF($D749&lt;&gt;"",VLOOKUP($D749,'SINAPI JULHO 2021'!$1:$1048576,4,FALSE),"")</f>
        <v>17.66</v>
      </c>
      <c r="I749" s="257">
        <f>TRUNC(G749*H749,2)</f>
        <v>9.7100000000000009</v>
      </c>
    </row>
    <row r="750" spans="2:9" s="132" customFormat="1" ht="13.5" thickBot="1">
      <c r="B750" s="529"/>
      <c r="C750" s="529"/>
      <c r="D750" s="555"/>
      <c r="E750" s="556"/>
      <c r="F750" s="557"/>
      <c r="G750" s="519"/>
      <c r="H750" s="520"/>
      <c r="I750" s="520"/>
    </row>
    <row r="751" spans="2:9" s="132" customFormat="1" ht="39" thickBot="1">
      <c r="B751" s="604" t="s">
        <v>4294</v>
      </c>
      <c r="C751" s="605"/>
      <c r="D751" s="605"/>
      <c r="E751" s="606" t="s">
        <v>3330</v>
      </c>
      <c r="F751" s="607" t="s">
        <v>34</v>
      </c>
      <c r="G751" s="608"/>
      <c r="H751" s="609"/>
      <c r="I751" s="610">
        <f>TRUNC(SUM(I752:I755),2)</f>
        <v>163.33000000000001</v>
      </c>
    </row>
    <row r="752" spans="2:9" s="132" customFormat="1">
      <c r="B752" s="575" t="s">
        <v>568</v>
      </c>
      <c r="C752" s="575" t="s">
        <v>7</v>
      </c>
      <c r="D752" s="575">
        <v>3146</v>
      </c>
      <c r="E752" s="566" t="str">
        <f>IF($D752&lt;&gt;"",VLOOKUP($D752,'SINAPI JULHO 2021'!$A$1:E12169,2,FALSE),"")</f>
        <v xml:space="preserve">FITA VEDA ROSCA EM ROLOS DE 18 MM X 10 M (L X C)                                                                                                                                                                                                                                                                                                                                                                                                                                                          </v>
      </c>
      <c r="F752" s="567" t="str">
        <f>IF($D752&lt;&gt;"",VLOOKUP($D752,'SINAPI JULHO 2021'!$1:$1048576,3,FALSE),"")</f>
        <v xml:space="preserve">UN    </v>
      </c>
      <c r="G752" s="574">
        <v>0.02</v>
      </c>
      <c r="H752" s="569">
        <f>IF($D752&lt;&gt;"",VLOOKUP($D752,'SINAPI JULHO 2021'!$1:$1048576,4,FALSE),"")</f>
        <v>5</v>
      </c>
      <c r="I752" s="570">
        <f>TRUNC(G752*H752,2)</f>
        <v>0.1</v>
      </c>
    </row>
    <row r="753" spans="2:9" s="132" customFormat="1" ht="38.25">
      <c r="B753" s="140" t="s">
        <v>568</v>
      </c>
      <c r="C753" s="140" t="s">
        <v>7</v>
      </c>
      <c r="D753" s="140">
        <v>12898</v>
      </c>
      <c r="E753" s="134" t="str">
        <f>IF($D753&lt;&gt;"",VLOOKUP($D753,'SINAPI JULHO 2021'!$A$1:E12170,2,FALSE),"")</f>
        <v xml:space="preserve">MANOMETRO COM CAIXA EM ACO PINTADO, ESCALA *10* KGF/CM2 (*10* BAR), DIAMETRO NOMINAL DE 100 MM, CONEXAO DE 1/2"                                                                                                                                                                                                                                                                                                                                                                                           </v>
      </c>
      <c r="F753" s="135" t="str">
        <f>IF($D753&lt;&gt;"",VLOOKUP($D753,'SINAPI JULHO 2021'!$1:$1048576,3,FALSE),"")</f>
        <v xml:space="preserve">UN    </v>
      </c>
      <c r="G753" s="249">
        <v>1</v>
      </c>
      <c r="H753" s="256">
        <f>IF($D753&lt;&gt;"",VLOOKUP($D753,'SINAPI JULHO 2021'!$1:$1048576,4,FALSE),"")</f>
        <v>143</v>
      </c>
      <c r="I753" s="257">
        <f>TRUNC(G753*H753,2)</f>
        <v>143</v>
      </c>
    </row>
    <row r="754" spans="2:9" s="132" customFormat="1" ht="12.75" customHeight="1">
      <c r="B754" s="140" t="s">
        <v>600</v>
      </c>
      <c r="C754" s="140" t="s">
        <v>7</v>
      </c>
      <c r="D754" s="140">
        <v>88248</v>
      </c>
      <c r="E754" s="134" t="str">
        <f>IF($D754&lt;&gt;"",VLOOKUP($D754,'SINAPI JULHO 2021'!$A$1:E12171,2,FALSE),"")</f>
        <v>AUXILIAR DE ENCANADOR OU BOMBEIRO HIDRÁULICO COM ENCARGOS COMPLEMENTARES</v>
      </c>
      <c r="F754" s="135" t="str">
        <f>IF($D754&lt;&gt;"",VLOOKUP($D754,'SINAPI JULHO 2021'!$1:$1048576,3,FALSE),"")</f>
        <v>H</v>
      </c>
      <c r="G754" s="249">
        <v>0.65</v>
      </c>
      <c r="H754" s="256">
        <f>IF($D754&lt;&gt;"",VLOOKUP($D754,'SINAPI JULHO 2021'!$1:$1048576,4,FALSE),"")</f>
        <v>13.48</v>
      </c>
      <c r="I754" s="257">
        <f>TRUNC(G754*H754,2)</f>
        <v>8.76</v>
      </c>
    </row>
    <row r="755" spans="2:9" s="132" customFormat="1" ht="12.75" customHeight="1">
      <c r="B755" s="140" t="s">
        <v>600</v>
      </c>
      <c r="C755" s="140" t="s">
        <v>7</v>
      </c>
      <c r="D755" s="140">
        <v>88267</v>
      </c>
      <c r="E755" s="134" t="str">
        <f>IF($D755&lt;&gt;"",VLOOKUP($D755,'SINAPI JULHO 2021'!$A$1:E12172,2,FALSE),"")</f>
        <v>ENCANADOR OU BOMBEIRO HIDRÁULICO COM ENCARGOS COMPLEMENTARES</v>
      </c>
      <c r="F755" s="135" t="str">
        <f>IF($D755&lt;&gt;"",VLOOKUP($D755,'SINAPI JULHO 2021'!$1:$1048576,3,FALSE),"")</f>
        <v>H</v>
      </c>
      <c r="G755" s="249">
        <v>0.65</v>
      </c>
      <c r="H755" s="256">
        <f>IF($D755&lt;&gt;"",VLOOKUP($D755,'SINAPI JULHO 2021'!$1:$1048576,4,FALSE),"")</f>
        <v>17.66</v>
      </c>
      <c r="I755" s="257">
        <f>TRUNC(G755*H755,2)</f>
        <v>11.47</v>
      </c>
    </row>
    <row r="756" spans="2:9" s="132" customFormat="1">
      <c r="B756" s="140"/>
      <c r="C756" s="140"/>
      <c r="D756" s="192"/>
      <c r="E756" s="213"/>
      <c r="F756" s="464"/>
      <c r="G756" s="249"/>
      <c r="H756" s="255"/>
      <c r="I756" s="255"/>
    </row>
    <row r="757" spans="2:9" s="132" customFormat="1">
      <c r="B757" s="212" t="s">
        <v>7595</v>
      </c>
      <c r="C757" s="140"/>
      <c r="D757" s="192"/>
      <c r="E757" s="213"/>
      <c r="F757" s="464"/>
      <c r="G757" s="249"/>
      <c r="H757" s="255"/>
      <c r="I757" s="255"/>
    </row>
    <row r="758" spans="2:9" s="132" customFormat="1" ht="13.5" thickBot="1">
      <c r="B758" s="529"/>
      <c r="C758" s="529"/>
      <c r="D758" s="555"/>
      <c r="E758" s="556"/>
      <c r="F758" s="557"/>
      <c r="G758" s="519"/>
      <c r="H758" s="520"/>
      <c r="I758" s="520"/>
    </row>
    <row r="759" spans="2:9" s="132" customFormat="1" ht="51.75" customHeight="1" thickBot="1">
      <c r="B759" s="604" t="s">
        <v>7593</v>
      </c>
      <c r="C759" s="605"/>
      <c r="D759" s="605"/>
      <c r="E759" s="606" t="s">
        <v>7594</v>
      </c>
      <c r="F759" s="607" t="s">
        <v>34</v>
      </c>
      <c r="G759" s="608"/>
      <c r="H759" s="609"/>
      <c r="I759" s="610">
        <f>TRUNC(SUM(I760:I763),2)</f>
        <v>727.43</v>
      </c>
    </row>
    <row r="760" spans="2:9" s="132" customFormat="1" ht="38.25">
      <c r="B760" s="575" t="s">
        <v>568</v>
      </c>
      <c r="C760" s="575" t="s">
        <v>7</v>
      </c>
      <c r="D760" s="575">
        <v>87316</v>
      </c>
      <c r="E760" s="566" t="str">
        <f>IF($D760&lt;&gt;"",VLOOKUP($D760,'SINAPI JULHO 2021'!$A$1:E12175,2,FALSE),"")</f>
        <v>ARGAMASSA TRAÇO 1:4 (EM VOLUME DE CIMENTO E AREIA GROSSA ÚMIDA) PARA CHAPISCO CONVENCIONAL, PREPARO MECÂNICO COM BETONEIRA 400 L. AF_08/2019</v>
      </c>
      <c r="F760" s="567" t="str">
        <f>IF($D760&lt;&gt;"",VLOOKUP($D760,'SINAPI JULHO 2021'!$1:$1048576,3,FALSE),"")</f>
        <v>M3</v>
      </c>
      <c r="G760" s="574">
        <v>0.01</v>
      </c>
      <c r="H760" s="569">
        <f>IF($D760&lt;&gt;"",VLOOKUP($D760,'SINAPI JULHO 2021'!$1:$1048576,4,FALSE),"")</f>
        <v>359.96</v>
      </c>
      <c r="I760" s="570">
        <f>TRUNC(G760*H760,2)</f>
        <v>3.59</v>
      </c>
    </row>
    <row r="761" spans="2:9" s="132" customFormat="1">
      <c r="B761" s="140" t="s">
        <v>568</v>
      </c>
      <c r="C761" s="140" t="s">
        <v>7</v>
      </c>
      <c r="D761" s="140">
        <v>88309</v>
      </c>
      <c r="E761" s="134" t="str">
        <f>IF($D761&lt;&gt;"",VLOOKUP($D761,'SINAPI JULHO 2021'!$A$1:E12176,2,FALSE),"")</f>
        <v>PEDREIRO COM ENCARGOS COMPLEMENTARES</v>
      </c>
      <c r="F761" s="135" t="str">
        <f>IF($D761&lt;&gt;"",VLOOKUP($D761,'SINAPI JULHO 2021'!$1:$1048576,3,FALSE),"")</f>
        <v>H</v>
      </c>
      <c r="G761" s="249">
        <v>2</v>
      </c>
      <c r="H761" s="256">
        <f>IF($D761&lt;&gt;"",VLOOKUP($D761,'SINAPI JULHO 2021'!$1:$1048576,4,FALSE),"")</f>
        <v>17.670000000000002</v>
      </c>
      <c r="I761" s="257">
        <f>TRUNC(G761*H761,2)</f>
        <v>35.340000000000003</v>
      </c>
    </row>
    <row r="762" spans="2:9" s="132" customFormat="1">
      <c r="B762" s="140" t="s">
        <v>600</v>
      </c>
      <c r="C762" s="140" t="s">
        <v>7</v>
      </c>
      <c r="D762" s="140">
        <v>88316</v>
      </c>
      <c r="E762" s="134" t="str">
        <f>IF($D762&lt;&gt;"",VLOOKUP($D762,'SINAPI JULHO 2021'!$A$1:E12177,2,FALSE),"")</f>
        <v>SERVENTE COM ENCARGOS COMPLEMENTARES</v>
      </c>
      <c r="F762" s="135" t="str">
        <f>IF($D762&lt;&gt;"",VLOOKUP($D762,'SINAPI JULHO 2021'!$1:$1048576,3,FALSE),"")</f>
        <v>H</v>
      </c>
      <c r="G762" s="249">
        <v>2</v>
      </c>
      <c r="H762" s="256">
        <f>IF($D762&lt;&gt;"",VLOOKUP($D762,'SINAPI JULHO 2021'!$1:$1048576,4,FALSE),"")</f>
        <v>14.02</v>
      </c>
      <c r="I762" s="257">
        <f>TRUNC(G762*H762,2)</f>
        <v>28.04</v>
      </c>
    </row>
    <row r="763" spans="2:9" s="132" customFormat="1" ht="32.25" customHeight="1">
      <c r="B763" s="140" t="s">
        <v>600</v>
      </c>
      <c r="C763" s="140" t="s">
        <v>7</v>
      </c>
      <c r="D763" s="140">
        <v>11301</v>
      </c>
      <c r="E763" s="134" t="str">
        <f>IF($D763&lt;&gt;"",VLOOKUP($D763,'SINAPI JULHO 2021'!$A$1:E12178,2,FALSE),"")</f>
        <v xml:space="preserve">TAMPAO FOFO ARTICULADO, CLASSE B125 CARGA MAX 12,5 T, REDONDO TAMPA 600 MM, REDE PLUVIAL/ESGOTO                                                                                                                                                                                                                                                                                                                                                                                                           </v>
      </c>
      <c r="F763" s="135" t="str">
        <f>IF($D763&lt;&gt;"",VLOOKUP($D763,'SINAPI JULHO 2021'!$1:$1048576,3,FALSE),"")</f>
        <v xml:space="preserve">UN    </v>
      </c>
      <c r="G763" s="249">
        <v>1</v>
      </c>
      <c r="H763" s="256">
        <f>IF($D763&lt;&gt;"",VLOOKUP($D763,'SINAPI JULHO 2021'!$1:$1048576,4,FALSE),"")</f>
        <v>660.46</v>
      </c>
      <c r="I763" s="257">
        <f>TRUNC(G763*H763,2)</f>
        <v>660.46</v>
      </c>
    </row>
    <row r="764" spans="2:9" s="132" customFormat="1" ht="13.5" thickBot="1">
      <c r="B764" s="529"/>
      <c r="C764" s="529"/>
      <c r="D764" s="555"/>
      <c r="E764" s="556"/>
      <c r="F764" s="557"/>
      <c r="G764" s="519"/>
      <c r="H764" s="520"/>
      <c r="I764" s="520"/>
    </row>
    <row r="765" spans="2:9" s="132" customFormat="1" ht="26.25" thickBot="1">
      <c r="B765" s="604" t="s">
        <v>7596</v>
      </c>
      <c r="C765" s="605"/>
      <c r="D765" s="605"/>
      <c r="E765" s="606" t="s">
        <v>12985</v>
      </c>
      <c r="F765" s="607" t="s">
        <v>34</v>
      </c>
      <c r="G765" s="608"/>
      <c r="H765" s="609"/>
      <c r="I765" s="610">
        <f>TRUNC(SUM(I766:I768),2)</f>
        <v>79.69</v>
      </c>
    </row>
    <row r="766" spans="2:9" s="132" customFormat="1">
      <c r="B766" s="578" t="s">
        <v>568</v>
      </c>
      <c r="C766" s="575" t="s">
        <v>569</v>
      </c>
      <c r="D766" s="575"/>
      <c r="E766" s="566" t="s">
        <v>12984</v>
      </c>
      <c r="F766" s="567" t="s">
        <v>34</v>
      </c>
      <c r="G766" s="574">
        <v>1</v>
      </c>
      <c r="H766" s="569">
        <v>70</v>
      </c>
      <c r="I766" s="570">
        <f>TRUNC(G766*H766,2)</f>
        <v>70</v>
      </c>
    </row>
    <row r="767" spans="2:9" s="132" customFormat="1">
      <c r="B767" s="140" t="s">
        <v>600</v>
      </c>
      <c r="C767" s="140" t="s">
        <v>7</v>
      </c>
      <c r="D767" s="140">
        <v>88264</v>
      </c>
      <c r="E767" s="134" t="str">
        <f>IF($D767&lt;&gt;"",VLOOKUP($D767,'SINAPI JULHO 2021'!$A$1:E12182,2,FALSE),"")</f>
        <v>ELETRICISTA COM ENCARGOS COMPLEMENTARES</v>
      </c>
      <c r="F767" s="135" t="str">
        <f>IF($D767&lt;&gt;"",VLOOKUP($D767,'SINAPI JULHO 2021'!$1:$1048576,3,FALSE),"")</f>
        <v>H</v>
      </c>
      <c r="G767" s="249">
        <v>0.3</v>
      </c>
      <c r="H767" s="256">
        <f>IF($D767&lt;&gt;"",VLOOKUP($D767,'SINAPI JULHO 2021'!$1:$1048576,4,FALSE),"")</f>
        <v>18.3</v>
      </c>
      <c r="I767" s="257">
        <f>TRUNC(G767*H767,2)</f>
        <v>5.49</v>
      </c>
    </row>
    <row r="768" spans="2:9" s="132" customFormat="1">
      <c r="B768" s="140" t="s">
        <v>600</v>
      </c>
      <c r="C768" s="140" t="s">
        <v>7</v>
      </c>
      <c r="D768" s="140">
        <v>88247</v>
      </c>
      <c r="E768" s="134" t="str">
        <f>IF($D768&lt;&gt;"",VLOOKUP($D768,'SINAPI JULHO 2021'!$A$1:E12183,2,FALSE),"")</f>
        <v>AUXILIAR DE ELETRICISTA COM ENCARGOS COMPLEMENTARES</v>
      </c>
      <c r="F768" s="135" t="str">
        <f>IF($D768&lt;&gt;"",VLOOKUP($D768,'SINAPI JULHO 2021'!$1:$1048576,3,FALSE),"")</f>
        <v>H</v>
      </c>
      <c r="G768" s="249">
        <v>0.3</v>
      </c>
      <c r="H768" s="256">
        <f>IF($D768&lt;&gt;"",VLOOKUP($D768,'SINAPI JULHO 2021'!$1:$1048576,4,FALSE),"")</f>
        <v>14</v>
      </c>
      <c r="I768" s="257">
        <f>TRUNC(G768*H768,2)</f>
        <v>4.2</v>
      </c>
    </row>
    <row r="769" spans="2:9" s="132" customFormat="1" ht="13.5" thickBot="1">
      <c r="B769" s="529"/>
      <c r="C769" s="529"/>
      <c r="D769" s="555"/>
      <c r="E769" s="556"/>
      <c r="F769" s="557"/>
      <c r="G769" s="519"/>
      <c r="H769" s="520"/>
      <c r="I769" s="520"/>
    </row>
    <row r="770" spans="2:9" s="132" customFormat="1" ht="13.5" thickBot="1">
      <c r="B770" s="604" t="s">
        <v>12982</v>
      </c>
      <c r="C770" s="605"/>
      <c r="D770" s="605"/>
      <c r="E770" s="606" t="s">
        <v>12986</v>
      </c>
      <c r="F770" s="607" t="s">
        <v>34</v>
      </c>
      <c r="G770" s="608"/>
      <c r="H770" s="609"/>
      <c r="I770" s="610">
        <f>TRUNC(SUM(I771:I773),2)</f>
        <v>74.69</v>
      </c>
    </row>
    <row r="771" spans="2:9" s="132" customFormat="1">
      <c r="B771" s="578" t="s">
        <v>568</v>
      </c>
      <c r="C771" s="575" t="s">
        <v>569</v>
      </c>
      <c r="D771" s="575"/>
      <c r="E771" s="566" t="s">
        <v>12987</v>
      </c>
      <c r="F771" s="567" t="s">
        <v>34</v>
      </c>
      <c r="G771" s="574">
        <v>1</v>
      </c>
      <c r="H771" s="569">
        <v>65</v>
      </c>
      <c r="I771" s="570">
        <f>TRUNC(G771*H771,2)</f>
        <v>65</v>
      </c>
    </row>
    <row r="772" spans="2:9" s="132" customFormat="1">
      <c r="B772" s="140" t="s">
        <v>600</v>
      </c>
      <c r="C772" s="140" t="s">
        <v>7</v>
      </c>
      <c r="D772" s="140">
        <v>88264</v>
      </c>
      <c r="E772" s="134" t="str">
        <f>IF($D772&lt;&gt;"",VLOOKUP($D772,'SINAPI JULHO 2021'!$A$1:E12187,2,FALSE),"")</f>
        <v>ELETRICISTA COM ENCARGOS COMPLEMENTARES</v>
      </c>
      <c r="F772" s="135" t="str">
        <f>IF($D772&lt;&gt;"",VLOOKUP($D772,'SINAPI JULHO 2021'!$1:$1048576,3,FALSE),"")</f>
        <v>H</v>
      </c>
      <c r="G772" s="249">
        <v>0.3</v>
      </c>
      <c r="H772" s="256">
        <f>IF($D772&lt;&gt;"",VLOOKUP($D772,'SINAPI JULHO 2021'!$1:$1048576,4,FALSE),"")</f>
        <v>18.3</v>
      </c>
      <c r="I772" s="257">
        <f>TRUNC(G772*H772,2)</f>
        <v>5.49</v>
      </c>
    </row>
    <row r="773" spans="2:9" s="132" customFormat="1">
      <c r="B773" s="140" t="s">
        <v>600</v>
      </c>
      <c r="C773" s="140" t="s">
        <v>7</v>
      </c>
      <c r="D773" s="140">
        <v>88247</v>
      </c>
      <c r="E773" s="134" t="str">
        <f>IF($D773&lt;&gt;"",VLOOKUP($D773,'SINAPI JULHO 2021'!$A$1:E12188,2,FALSE),"")</f>
        <v>AUXILIAR DE ELETRICISTA COM ENCARGOS COMPLEMENTARES</v>
      </c>
      <c r="F773" s="135" t="str">
        <f>IF($D773&lt;&gt;"",VLOOKUP($D773,'SINAPI JULHO 2021'!$1:$1048576,3,FALSE),"")</f>
        <v>H</v>
      </c>
      <c r="G773" s="249">
        <v>0.3</v>
      </c>
      <c r="H773" s="256">
        <f>IF($D773&lt;&gt;"",VLOOKUP($D773,'SINAPI JULHO 2021'!$1:$1048576,4,FALSE),"")</f>
        <v>14</v>
      </c>
      <c r="I773" s="257">
        <f>TRUNC(G773*H773,2)</f>
        <v>4.2</v>
      </c>
    </row>
    <row r="774" spans="2:9" s="132" customFormat="1" ht="13.5" thickBot="1">
      <c r="B774" s="529"/>
      <c r="C774" s="529"/>
      <c r="D774" s="555"/>
      <c r="E774" s="556"/>
      <c r="F774" s="557"/>
      <c r="G774" s="519"/>
      <c r="H774" s="520"/>
      <c r="I774" s="520"/>
    </row>
    <row r="775" spans="2:9" s="132" customFormat="1" ht="26.25" thickBot="1">
      <c r="B775" s="604" t="s">
        <v>12983</v>
      </c>
      <c r="C775" s="605"/>
      <c r="D775" s="605"/>
      <c r="E775" s="606" t="s">
        <v>12989</v>
      </c>
      <c r="F775" s="607" t="s">
        <v>34</v>
      </c>
      <c r="G775" s="608"/>
      <c r="H775" s="609"/>
      <c r="I775" s="610">
        <f>TRUNC(SUM(I776:I778),2)</f>
        <v>1509.69</v>
      </c>
    </row>
    <row r="776" spans="2:9" s="132" customFormat="1">
      <c r="B776" s="578" t="s">
        <v>568</v>
      </c>
      <c r="C776" s="575" t="s">
        <v>569</v>
      </c>
      <c r="D776" s="575"/>
      <c r="E776" s="566" t="s">
        <v>12988</v>
      </c>
      <c r="F776" s="567" t="s">
        <v>34</v>
      </c>
      <c r="G776" s="574">
        <v>1</v>
      </c>
      <c r="H776" s="569">
        <v>1500</v>
      </c>
      <c r="I776" s="570">
        <f>TRUNC(G776*H776,2)</f>
        <v>1500</v>
      </c>
    </row>
    <row r="777" spans="2:9" s="132" customFormat="1">
      <c r="B777" s="140" t="s">
        <v>600</v>
      </c>
      <c r="C777" s="140" t="s">
        <v>7</v>
      </c>
      <c r="D777" s="140">
        <v>88264</v>
      </c>
      <c r="E777" s="134" t="str">
        <f>IF($D777&lt;&gt;"",VLOOKUP($D777,'SINAPI JULHO 2021'!$A$1:E12192,2,FALSE),"")</f>
        <v>ELETRICISTA COM ENCARGOS COMPLEMENTARES</v>
      </c>
      <c r="F777" s="135" t="str">
        <f>IF($D777&lt;&gt;"",VLOOKUP($D777,'SINAPI JULHO 2021'!$1:$1048576,3,FALSE),"")</f>
        <v>H</v>
      </c>
      <c r="G777" s="249">
        <v>0.3</v>
      </c>
      <c r="H777" s="256">
        <f>IF($D777&lt;&gt;"",VLOOKUP($D777,'SINAPI JULHO 2021'!$1:$1048576,4,FALSE),"")</f>
        <v>18.3</v>
      </c>
      <c r="I777" s="257">
        <f>TRUNC(G777*H777,2)</f>
        <v>5.49</v>
      </c>
    </row>
    <row r="778" spans="2:9" s="132" customFormat="1">
      <c r="B778" s="140" t="s">
        <v>600</v>
      </c>
      <c r="C778" s="140" t="s">
        <v>7</v>
      </c>
      <c r="D778" s="140">
        <v>88247</v>
      </c>
      <c r="E778" s="134" t="str">
        <f>IF($D778&lt;&gt;"",VLOOKUP($D778,'SINAPI JULHO 2021'!$A$1:E12193,2,FALSE),"")</f>
        <v>AUXILIAR DE ELETRICISTA COM ENCARGOS COMPLEMENTARES</v>
      </c>
      <c r="F778" s="135" t="str">
        <f>IF($D778&lt;&gt;"",VLOOKUP($D778,'SINAPI JULHO 2021'!$1:$1048576,3,FALSE),"")</f>
        <v>H</v>
      </c>
      <c r="G778" s="249">
        <v>0.3</v>
      </c>
      <c r="H778" s="256">
        <f>IF($D778&lt;&gt;"",VLOOKUP($D778,'SINAPI JULHO 2021'!$1:$1048576,4,FALSE),"")</f>
        <v>14</v>
      </c>
      <c r="I778" s="257">
        <f>TRUNC(G778*H778,2)</f>
        <v>4.2</v>
      </c>
    </row>
    <row r="779" spans="2:9" s="132" customFormat="1" ht="13.5" thickBot="1">
      <c r="B779" s="529"/>
      <c r="C779" s="529"/>
      <c r="D779" s="555"/>
      <c r="E779" s="556"/>
      <c r="F779" s="557"/>
      <c r="G779" s="519"/>
      <c r="H779" s="520"/>
      <c r="I779" s="520"/>
    </row>
    <row r="780" spans="2:9" s="132" customFormat="1" ht="51.75" thickBot="1">
      <c r="B780" s="604" t="s">
        <v>12990</v>
      </c>
      <c r="C780" s="605"/>
      <c r="D780" s="605"/>
      <c r="E780" s="606" t="s">
        <v>7597</v>
      </c>
      <c r="F780" s="607" t="s">
        <v>34</v>
      </c>
      <c r="G780" s="608">
        <v>1</v>
      </c>
      <c r="H780" s="609"/>
      <c r="I780" s="610">
        <f>TRUNC(SUM(I781:I782),2)</f>
        <v>45.96</v>
      </c>
    </row>
    <row r="781" spans="2:9" s="132" customFormat="1" ht="51">
      <c r="B781" s="575" t="s">
        <v>568</v>
      </c>
      <c r="C781" s="575" t="s">
        <v>7</v>
      </c>
      <c r="D781" s="575">
        <v>37558</v>
      </c>
      <c r="E781" s="566" t="str">
        <f>IF($D781&lt;&gt;"",VLOOKUP($D781,'SINAPI JULHO 2021'!$A$1:E12160,2,FALSE),"")</f>
        <v xml:space="preserve">PLACA DE SINALIZACAO DE SEGURANCA CONTRA INCENDIO, FOTOLUMINESCENTE, RETANGULAR, *20 X 40* CM, EM PVC *2* MM ANTI-CHAMAS (SIMBOLOS, CORES E PICTOGRAMAS CONFORME NBR 16820)                                                                                                                                                                                                                                                                                                                               </v>
      </c>
      <c r="F781" s="567" t="str">
        <f>IF($D781&lt;&gt;"",VLOOKUP($D781,'SINAPI JULHO 2021'!$1:$1048576,3,FALSE),"")</f>
        <v xml:space="preserve">UN    </v>
      </c>
      <c r="G781" s="574">
        <v>1</v>
      </c>
      <c r="H781" s="569">
        <f>IF($D781&lt;&gt;"",VLOOKUP($D781,'SINAPI JULHO 2021'!$1:$1048576,4,FALSE),"")</f>
        <v>41.76</v>
      </c>
      <c r="I781" s="570">
        <f>TRUNC(G781*H781,2)</f>
        <v>41.76</v>
      </c>
    </row>
    <row r="782" spans="2:9" s="132" customFormat="1">
      <c r="B782" s="140" t="s">
        <v>570</v>
      </c>
      <c r="C782" s="140" t="s">
        <v>7</v>
      </c>
      <c r="D782" s="192">
        <v>88316</v>
      </c>
      <c r="E782" s="134" t="str">
        <f>IF($D782&lt;&gt;"",VLOOKUP($D782,'SINAPI JULHO 2021'!$A$1:E12161,2,FALSE),"")</f>
        <v>SERVENTE COM ENCARGOS COMPLEMENTARES</v>
      </c>
      <c r="F782" s="135" t="str">
        <f>IF($D782&lt;&gt;"",VLOOKUP($D782,'SINAPI JULHO 2021'!$1:$1048576,3,FALSE),"")</f>
        <v>H</v>
      </c>
      <c r="G782" s="249">
        <v>0.3</v>
      </c>
      <c r="H782" s="256">
        <f>IF($D782&lt;&gt;"",VLOOKUP($D782,'SINAPI JULHO 2021'!$1:$1048576,4,FALSE),"")</f>
        <v>14.02</v>
      </c>
      <c r="I782" s="257">
        <f>TRUNC(G782*H782,2)</f>
        <v>4.2</v>
      </c>
    </row>
    <row r="783" spans="2:9" s="132" customFormat="1" ht="13.5" thickBot="1">
      <c r="B783" s="514"/>
      <c r="C783" s="515"/>
      <c r="D783" s="516"/>
      <c r="E783" s="517"/>
      <c r="F783" s="518"/>
      <c r="G783" s="519"/>
      <c r="H783" s="520"/>
      <c r="I783" s="520"/>
    </row>
    <row r="784" spans="2:9" s="132" customFormat="1" ht="13.5" thickBot="1">
      <c r="B784" s="604" t="s">
        <v>12991</v>
      </c>
      <c r="C784" s="605"/>
      <c r="D784" s="605"/>
      <c r="E784" s="606" t="s">
        <v>12993</v>
      </c>
      <c r="F784" s="607" t="s">
        <v>34</v>
      </c>
      <c r="G784" s="608">
        <v>1</v>
      </c>
      <c r="H784" s="609"/>
      <c r="I784" s="610">
        <f>TRUNC(SUM(I785:I787),2)</f>
        <v>49.69</v>
      </c>
    </row>
    <row r="785" spans="2:9" s="132" customFormat="1">
      <c r="B785" s="578" t="s">
        <v>568</v>
      </c>
      <c r="C785" s="600" t="s">
        <v>569</v>
      </c>
      <c r="D785" s="575"/>
      <c r="E785" s="566" t="s">
        <v>12992</v>
      </c>
      <c r="F785" s="567" t="s">
        <v>34</v>
      </c>
      <c r="G785" s="574">
        <v>1</v>
      </c>
      <c r="H785" s="569">
        <v>40</v>
      </c>
      <c r="I785" s="570">
        <f>TRUNC(G785*H785,2)</f>
        <v>40</v>
      </c>
    </row>
    <row r="786" spans="2:9" s="132" customFormat="1">
      <c r="B786" s="140" t="s">
        <v>600</v>
      </c>
      <c r="C786" s="140" t="s">
        <v>7</v>
      </c>
      <c r="D786" s="140">
        <v>88264</v>
      </c>
      <c r="E786" s="134" t="str">
        <f>IF($D786&lt;&gt;"",VLOOKUP($D786,'SINAPI JULHO 2021'!$A$1:E12190,2,FALSE),"")</f>
        <v>ELETRICISTA COM ENCARGOS COMPLEMENTARES</v>
      </c>
      <c r="F786" s="135" t="str">
        <f>IF($D786&lt;&gt;"",VLOOKUP($D786,'SINAPI JULHO 2021'!$1:$1048576,3,FALSE),"")</f>
        <v>H</v>
      </c>
      <c r="G786" s="249">
        <v>0.3</v>
      </c>
      <c r="H786" s="256">
        <f>IF($D786&lt;&gt;"",VLOOKUP($D786,'SINAPI JULHO 2021'!$1:$1048576,4,FALSE),"")</f>
        <v>18.3</v>
      </c>
      <c r="I786" s="257">
        <f>TRUNC(G786*H786,2)</f>
        <v>5.49</v>
      </c>
    </row>
    <row r="787" spans="2:9" s="132" customFormat="1">
      <c r="B787" s="140" t="s">
        <v>600</v>
      </c>
      <c r="C787" s="140" t="s">
        <v>7</v>
      </c>
      <c r="D787" s="140">
        <v>88247</v>
      </c>
      <c r="E787" s="134" t="str">
        <f>IF($D787&lt;&gt;"",VLOOKUP($D787,'SINAPI JULHO 2021'!$A$1:E12191,2,FALSE),"")</f>
        <v>AUXILIAR DE ELETRICISTA COM ENCARGOS COMPLEMENTARES</v>
      </c>
      <c r="F787" s="135" t="str">
        <f>IF($D787&lt;&gt;"",VLOOKUP($D787,'SINAPI JULHO 2021'!$1:$1048576,3,FALSE),"")</f>
        <v>H</v>
      </c>
      <c r="G787" s="249">
        <v>0.3</v>
      </c>
      <c r="H787" s="256">
        <f>IF($D787&lt;&gt;"",VLOOKUP($D787,'SINAPI JULHO 2021'!$1:$1048576,4,FALSE),"")</f>
        <v>14</v>
      </c>
      <c r="I787" s="257">
        <f>TRUNC(G787*H787,2)</f>
        <v>4.2</v>
      </c>
    </row>
    <row r="788" spans="2:9" s="132" customFormat="1" ht="13.5" thickBot="1">
      <c r="B788" s="529"/>
      <c r="C788" s="529"/>
      <c r="D788" s="555"/>
      <c r="E788" s="556"/>
      <c r="F788" s="557"/>
      <c r="G788" s="519"/>
      <c r="H788" s="520"/>
      <c r="I788" s="520"/>
    </row>
    <row r="789" spans="2:9" s="132" customFormat="1" ht="39" thickBot="1">
      <c r="B789" s="637" t="s">
        <v>12995</v>
      </c>
      <c r="C789" s="619"/>
      <c r="D789" s="619"/>
      <c r="E789" s="620" t="s">
        <v>12996</v>
      </c>
      <c r="F789" s="611" t="s">
        <v>34</v>
      </c>
      <c r="G789" s="633"/>
      <c r="H789" s="625"/>
      <c r="I789" s="626">
        <f>TRUNC(SUM(I790:I792),2)</f>
        <v>85.92</v>
      </c>
    </row>
    <row r="790" spans="2:9" s="132" customFormat="1">
      <c r="B790" s="571" t="s">
        <v>570</v>
      </c>
      <c r="C790" s="240" t="s">
        <v>7</v>
      </c>
      <c r="D790" s="240">
        <v>88247</v>
      </c>
      <c r="E790" s="566" t="str">
        <f>IF($D790&lt;&gt;"",VLOOKUP($D790,'SINAPI JULHO 2021'!$A$1:E12194,2,FALSE),"")</f>
        <v>AUXILIAR DE ELETRICISTA COM ENCARGOS COMPLEMENTARES</v>
      </c>
      <c r="F790" s="567" t="str">
        <f>IF($D790&lt;&gt;"",VLOOKUP($D790,'SINAPI JULHO 2021'!$1:$1048576,3,FALSE),"")</f>
        <v>H</v>
      </c>
      <c r="G790" s="587">
        <v>1.2</v>
      </c>
      <c r="H790" s="588">
        <f>IF($D790&lt;&gt;"",VLOOKUP($D790,'SINAPI JULHO 2021'!$1:$1048576,4,FALSE),"")</f>
        <v>14</v>
      </c>
      <c r="I790" s="599">
        <f t="shared" ref="I790:I792" si="127">TRUNC(H790*G790,2)</f>
        <v>16.8</v>
      </c>
    </row>
    <row r="791" spans="2:9" s="132" customFormat="1" ht="25.5">
      <c r="B791" s="276" t="s">
        <v>570</v>
      </c>
      <c r="C791" s="133" t="s">
        <v>7</v>
      </c>
      <c r="D791" s="133">
        <v>88631</v>
      </c>
      <c r="E791" s="134" t="str">
        <f>IF($D791&lt;&gt;"",VLOOKUP($D791,'SINAPI JULHO 2021'!$A$1:E12195,2,FALSE),"")</f>
        <v>ARGAMASSA TRAÇO 1:4 (EM VOLUME DE CIMENTO E AREIA MÉDIA ÚMIDA), PREPARO MANUAL. AF_08/2019</v>
      </c>
      <c r="F791" s="135" t="str">
        <f>IF($D791&lt;&gt;"",VLOOKUP($D791,'SINAPI JULHO 2021'!$1:$1048576,3,FALSE),"")</f>
        <v>M3</v>
      </c>
      <c r="G791" s="291">
        <v>1.7999999999999999E-2</v>
      </c>
      <c r="H791" s="415">
        <f>IF($D791&lt;&gt;"",VLOOKUP($D791,'SINAPI JULHO 2021'!$1:$1048576,4,FALSE),"")</f>
        <v>451.29</v>
      </c>
      <c r="I791" s="288">
        <f t="shared" si="127"/>
        <v>8.1199999999999992</v>
      </c>
    </row>
    <row r="792" spans="2:9" s="132" customFormat="1" ht="25.5">
      <c r="B792" s="455" t="s">
        <v>568</v>
      </c>
      <c r="C792" s="133" t="s">
        <v>569</v>
      </c>
      <c r="D792" s="133"/>
      <c r="E792" s="211" t="s">
        <v>12997</v>
      </c>
      <c r="F792" s="454" t="s">
        <v>34</v>
      </c>
      <c r="G792" s="291">
        <v>1</v>
      </c>
      <c r="H792" s="287">
        <v>61</v>
      </c>
      <c r="I792" s="288">
        <f t="shared" si="127"/>
        <v>61</v>
      </c>
    </row>
    <row r="793" spans="2:9" s="132" customFormat="1" ht="13.5" thickBot="1">
      <c r="B793" s="68"/>
      <c r="C793" s="68"/>
      <c r="D793" s="68"/>
      <c r="E793" s="191"/>
      <c r="F793" s="231"/>
      <c r="G793" s="35"/>
      <c r="H793" s="289"/>
      <c r="I793" s="290"/>
    </row>
    <row r="794" spans="2:9" s="132" customFormat="1" ht="26.25" thickBot="1">
      <c r="B794" s="637" t="s">
        <v>12998</v>
      </c>
      <c r="C794" s="638"/>
      <c r="D794" s="638"/>
      <c r="E794" s="639" t="s">
        <v>12999</v>
      </c>
      <c r="F794" s="640" t="s">
        <v>34</v>
      </c>
      <c r="G794" s="641"/>
      <c r="H794" s="642"/>
      <c r="I794" s="626">
        <f>TRUNC(SUM(I795:I797),2)</f>
        <v>15.88</v>
      </c>
    </row>
    <row r="795" spans="2:9" s="132" customFormat="1">
      <c r="B795" s="578" t="s">
        <v>7403</v>
      </c>
      <c r="C795" s="578" t="s">
        <v>7</v>
      </c>
      <c r="D795" s="601">
        <v>88247</v>
      </c>
      <c r="E795" s="566" t="str">
        <f>IF($D795&lt;&gt;"",VLOOKUP($D795,'SINAPI JULHO 2021'!$A$1:E12199,2,FALSE),"")</f>
        <v>AUXILIAR DE ELETRICISTA COM ENCARGOS COMPLEMENTARES</v>
      </c>
      <c r="F795" s="567" t="str">
        <f>IF($D795&lt;&gt;"",VLOOKUP($D795,'SINAPI JULHO 2021'!$1:$1048576,3,FALSE),"")</f>
        <v>H</v>
      </c>
      <c r="G795" s="587">
        <v>0.1</v>
      </c>
      <c r="H795" s="588">
        <f>IF($D795&lt;&gt;"",VLOOKUP($D795,'SINAPI JULHO 2021'!$1:$1048576,4,FALSE),"")</f>
        <v>14</v>
      </c>
      <c r="I795" s="599">
        <f t="shared" ref="I795:I797" si="128">TRUNC(H795*G795,2)</f>
        <v>1.4</v>
      </c>
    </row>
    <row r="796" spans="2:9" s="132" customFormat="1">
      <c r="B796" s="455" t="s">
        <v>7403</v>
      </c>
      <c r="C796" s="455" t="s">
        <v>7</v>
      </c>
      <c r="D796" s="456">
        <v>88264</v>
      </c>
      <c r="E796" s="134" t="str">
        <f>IF($D796&lt;&gt;"",VLOOKUP($D796,'SINAPI JULHO 2021'!$A$1:E12200,2,FALSE),"")</f>
        <v>ELETRICISTA COM ENCARGOS COMPLEMENTARES</v>
      </c>
      <c r="F796" s="135" t="str">
        <f>IF($D796&lt;&gt;"",VLOOKUP($D796,'SINAPI JULHO 2021'!$1:$1048576,3,FALSE),"")</f>
        <v>H</v>
      </c>
      <c r="G796" s="291">
        <v>0.1</v>
      </c>
      <c r="H796" s="415">
        <f>IF($D796&lt;&gt;"",VLOOKUP($D796,'SINAPI JULHO 2021'!$1:$1048576,4,FALSE),"")</f>
        <v>18.3</v>
      </c>
      <c r="I796" s="288">
        <f t="shared" si="128"/>
        <v>1.83</v>
      </c>
    </row>
    <row r="797" spans="2:9" s="132" customFormat="1">
      <c r="B797" s="455" t="s">
        <v>568</v>
      </c>
      <c r="C797" s="455" t="s">
        <v>7</v>
      </c>
      <c r="D797" s="456">
        <v>11032</v>
      </c>
      <c r="E797" s="134" t="str">
        <f>IF($D797&lt;&gt;"",VLOOKUP($D797,'SINAPI JULHO 2021'!$A$1:E12201,2,FALSE),"")</f>
        <v xml:space="preserve">GRAMPO U DE 5/8 " N8 EM FERRO GALVANIZADO                                                                                                                                                                                                                                                                                                                                                                                                                                                                 </v>
      </c>
      <c r="F797" s="135" t="str">
        <f>IF($D797&lt;&gt;"",VLOOKUP($D797,'SINAPI JULHO 2021'!$1:$1048576,3,FALSE),"")</f>
        <v xml:space="preserve">UN    </v>
      </c>
      <c r="G797" s="291">
        <v>1.1000000000000001</v>
      </c>
      <c r="H797" s="415">
        <f>IF($D797&lt;&gt;"",VLOOKUP($D797,'SINAPI JULHO 2021'!$1:$1048576,4,FALSE),"")</f>
        <v>11.5</v>
      </c>
      <c r="I797" s="288">
        <f t="shared" si="128"/>
        <v>12.65</v>
      </c>
    </row>
    <row r="798" spans="2:9" s="132" customFormat="1" ht="13.5" thickBot="1">
      <c r="B798" s="457"/>
      <c r="C798" s="68"/>
      <c r="D798" s="68"/>
      <c r="E798" s="191"/>
      <c r="F798" s="231"/>
      <c r="G798" s="35"/>
      <c r="H798" s="289"/>
      <c r="I798" s="292"/>
    </row>
    <row r="799" spans="2:9" s="132" customFormat="1" ht="26.25" thickBot="1">
      <c r="B799" s="637" t="s">
        <v>13000</v>
      </c>
      <c r="C799" s="638"/>
      <c r="D799" s="638"/>
      <c r="E799" s="639" t="s">
        <v>13001</v>
      </c>
      <c r="F799" s="640" t="s">
        <v>34</v>
      </c>
      <c r="G799" s="641"/>
      <c r="H799" s="642"/>
      <c r="I799" s="626">
        <f>TRUNC(SUM(I800:I802),2)</f>
        <v>10.08</v>
      </c>
    </row>
    <row r="800" spans="2:9" s="132" customFormat="1">
      <c r="B800" s="578" t="s">
        <v>7403</v>
      </c>
      <c r="C800" s="578" t="s">
        <v>7</v>
      </c>
      <c r="D800" s="601">
        <v>88247</v>
      </c>
      <c r="E800" s="566" t="str">
        <f>IF($D800&lt;&gt;"",VLOOKUP($D800,'SINAPI JULHO 2021'!$A$1:E12204,2,FALSE),"")</f>
        <v>AUXILIAR DE ELETRICISTA COM ENCARGOS COMPLEMENTARES</v>
      </c>
      <c r="F800" s="567" t="str">
        <f>IF($D800&lt;&gt;"",VLOOKUP($D800,'SINAPI JULHO 2021'!$1:$1048576,3,FALSE),"")</f>
        <v>H</v>
      </c>
      <c r="G800" s="587">
        <v>0.1</v>
      </c>
      <c r="H800" s="588">
        <f>IF($D800&lt;&gt;"",VLOOKUP($D800,'SINAPI JULHO 2021'!$1:$1048576,4,FALSE),"")</f>
        <v>14</v>
      </c>
      <c r="I800" s="599">
        <f t="shared" ref="I800:I802" si="129">TRUNC(H800*G800,2)</f>
        <v>1.4</v>
      </c>
    </row>
    <row r="801" spans="2:9" s="132" customFormat="1">
      <c r="B801" s="455" t="s">
        <v>7403</v>
      </c>
      <c r="C801" s="455" t="s">
        <v>7</v>
      </c>
      <c r="D801" s="456">
        <v>88264</v>
      </c>
      <c r="E801" s="134" t="str">
        <f>IF($D801&lt;&gt;"",VLOOKUP($D801,'SINAPI JULHO 2021'!$A$1:E12205,2,FALSE),"")</f>
        <v>ELETRICISTA COM ENCARGOS COMPLEMENTARES</v>
      </c>
      <c r="F801" s="135" t="str">
        <f>IF($D801&lt;&gt;"",VLOOKUP($D801,'SINAPI JULHO 2021'!$1:$1048576,3,FALSE),"")</f>
        <v>H</v>
      </c>
      <c r="G801" s="291">
        <v>0.1</v>
      </c>
      <c r="H801" s="415">
        <f>IF($D801&lt;&gt;"",VLOOKUP($D801,'SINAPI JULHO 2021'!$1:$1048576,4,FALSE),"")</f>
        <v>18.3</v>
      </c>
      <c r="I801" s="288">
        <f t="shared" si="129"/>
        <v>1.83</v>
      </c>
    </row>
    <row r="802" spans="2:9" s="132" customFormat="1">
      <c r="B802" s="455" t="s">
        <v>568</v>
      </c>
      <c r="C802" s="455" t="s">
        <v>569</v>
      </c>
      <c r="D802" s="456"/>
      <c r="E802" s="211" t="s">
        <v>13002</v>
      </c>
      <c r="F802" s="454" t="s">
        <v>34</v>
      </c>
      <c r="G802" s="291">
        <v>1</v>
      </c>
      <c r="H802" s="287">
        <v>6.85</v>
      </c>
      <c r="I802" s="288">
        <f t="shared" si="129"/>
        <v>6.85</v>
      </c>
    </row>
    <row r="803" spans="2:9" s="132" customFormat="1" ht="13.5" thickBot="1">
      <c r="B803" s="408"/>
      <c r="C803" s="408"/>
      <c r="D803" s="458"/>
      <c r="E803" s="459"/>
      <c r="F803" s="412"/>
      <c r="G803" s="13"/>
      <c r="H803" s="294"/>
      <c r="I803" s="290"/>
    </row>
    <row r="804" spans="2:9" s="132" customFormat="1" ht="39" thickBot="1">
      <c r="B804" s="637" t="s">
        <v>13003</v>
      </c>
      <c r="C804" s="638"/>
      <c r="D804" s="638"/>
      <c r="E804" s="639" t="s">
        <v>13004</v>
      </c>
      <c r="F804" s="640" t="s">
        <v>34</v>
      </c>
      <c r="G804" s="641"/>
      <c r="H804" s="642"/>
      <c r="I804" s="626">
        <f>TRUNC(SUM(I805:I808),2)</f>
        <v>427.85</v>
      </c>
    </row>
    <row r="805" spans="2:9" s="132" customFormat="1">
      <c r="B805" s="578" t="s">
        <v>7403</v>
      </c>
      <c r="C805" s="578" t="s">
        <v>7</v>
      </c>
      <c r="D805" s="601">
        <v>88247</v>
      </c>
      <c r="E805" s="566" t="str">
        <f>IF($D805&lt;&gt;"",VLOOKUP($D805,'SINAPI JULHO 2021'!$A$1:E12209,2,FALSE),"")</f>
        <v>AUXILIAR DE ELETRICISTA COM ENCARGOS COMPLEMENTARES</v>
      </c>
      <c r="F805" s="567" t="str">
        <f>IF($D805&lt;&gt;"",VLOOKUP($D805,'SINAPI JULHO 2021'!$1:$1048576,3,FALSE),"")</f>
        <v>H</v>
      </c>
      <c r="G805" s="587">
        <v>2</v>
      </c>
      <c r="H805" s="588">
        <f>IF($D805&lt;&gt;"",VLOOKUP($D805,'SINAPI JULHO 2021'!$1:$1048576,4,FALSE),"")</f>
        <v>14</v>
      </c>
      <c r="I805" s="599">
        <f t="shared" ref="I805:I808" si="130">TRUNC(H805*G805,2)</f>
        <v>28</v>
      </c>
    </row>
    <row r="806" spans="2:9" s="132" customFormat="1">
      <c r="B806" s="455" t="s">
        <v>7403</v>
      </c>
      <c r="C806" s="455" t="s">
        <v>7</v>
      </c>
      <c r="D806" s="456">
        <v>88264</v>
      </c>
      <c r="E806" s="134" t="str">
        <f>IF($D806&lt;&gt;"",VLOOKUP($D806,'SINAPI JULHO 2021'!$A$1:E12210,2,FALSE),"")</f>
        <v>ELETRICISTA COM ENCARGOS COMPLEMENTARES</v>
      </c>
      <c r="F806" s="135" t="str">
        <f>IF($D806&lt;&gt;"",VLOOKUP($D806,'SINAPI JULHO 2021'!$1:$1048576,3,FALSE),"")</f>
        <v>H</v>
      </c>
      <c r="G806" s="291">
        <v>1.2</v>
      </c>
      <c r="H806" s="415">
        <f>IF($D806&lt;&gt;"",VLOOKUP($D806,'SINAPI JULHO 2021'!$1:$1048576,4,FALSE),"")</f>
        <v>18.3</v>
      </c>
      <c r="I806" s="288">
        <f t="shared" si="130"/>
        <v>21.96</v>
      </c>
    </row>
    <row r="807" spans="2:9" s="132" customFormat="1" ht="38.25">
      <c r="B807" s="455" t="s">
        <v>568</v>
      </c>
      <c r="C807" s="455" t="s">
        <v>569</v>
      </c>
      <c r="D807" s="456"/>
      <c r="E807" s="211" t="s">
        <v>13005</v>
      </c>
      <c r="F807" s="454" t="s">
        <v>34</v>
      </c>
      <c r="G807" s="291">
        <v>1</v>
      </c>
      <c r="H807" s="287">
        <v>355.33</v>
      </c>
      <c r="I807" s="288">
        <f t="shared" si="130"/>
        <v>355.33</v>
      </c>
    </row>
    <row r="808" spans="2:9" s="132" customFormat="1" ht="25.5">
      <c r="B808" s="455" t="s">
        <v>7403</v>
      </c>
      <c r="C808" s="455" t="s">
        <v>7</v>
      </c>
      <c r="D808" s="456">
        <v>88631</v>
      </c>
      <c r="E808" s="134" t="str">
        <f>IF($D808&lt;&gt;"",VLOOKUP($D808,'SINAPI JULHO 2021'!$A$1:E12212,2,FALSE),"")</f>
        <v>ARGAMASSA TRAÇO 1:4 (EM VOLUME DE CIMENTO E AREIA MÉDIA ÚMIDA), PREPARO MANUAL. AF_08/2019</v>
      </c>
      <c r="F808" s="135" t="str">
        <f>IF($D808&lt;&gt;"",VLOOKUP($D808,'SINAPI JULHO 2021'!$1:$1048576,3,FALSE),"")</f>
        <v>M3</v>
      </c>
      <c r="G808" s="291">
        <v>0.05</v>
      </c>
      <c r="H808" s="415">
        <f>IF($D808&lt;&gt;"",VLOOKUP($D808,'SINAPI JULHO 2021'!$1:$1048576,4,FALSE),"")</f>
        <v>451.29</v>
      </c>
      <c r="I808" s="288">
        <f t="shared" si="130"/>
        <v>22.56</v>
      </c>
    </row>
    <row r="809" spans="2:9" s="132" customFormat="1" ht="13.5" thickBot="1">
      <c r="B809" s="408"/>
      <c r="C809" s="408"/>
      <c r="D809" s="458"/>
      <c r="E809" s="459"/>
      <c r="F809" s="412"/>
      <c r="G809" s="13"/>
      <c r="H809" s="294"/>
      <c r="I809" s="290"/>
    </row>
    <row r="810" spans="2:9" s="132" customFormat="1" ht="13.5" thickBot="1">
      <c r="B810" s="637" t="s">
        <v>13006</v>
      </c>
      <c r="C810" s="638"/>
      <c r="D810" s="638"/>
      <c r="E810" s="639" t="s">
        <v>13007</v>
      </c>
      <c r="F810" s="640" t="s">
        <v>34</v>
      </c>
      <c r="G810" s="641"/>
      <c r="H810" s="642"/>
      <c r="I810" s="626">
        <f>TRUNC(SUM(I811:I817),2)</f>
        <v>996.99</v>
      </c>
    </row>
    <row r="811" spans="2:9" s="132" customFormat="1">
      <c r="B811" s="578" t="s">
        <v>7403</v>
      </c>
      <c r="C811" s="578" t="s">
        <v>7</v>
      </c>
      <c r="D811" s="601">
        <v>88247</v>
      </c>
      <c r="E811" s="566" t="str">
        <f>IF($D811&lt;&gt;"",VLOOKUP($D811,'SINAPI JULHO 2021'!$A$1:E12215,2,FALSE),"")</f>
        <v>AUXILIAR DE ELETRICISTA COM ENCARGOS COMPLEMENTARES</v>
      </c>
      <c r="F811" s="567" t="str">
        <f>IF($D811&lt;&gt;"",VLOOKUP($D811,'SINAPI JULHO 2021'!$1:$1048576,3,FALSE),"")</f>
        <v>H</v>
      </c>
      <c r="G811" s="587">
        <v>0.1</v>
      </c>
      <c r="H811" s="588">
        <f>IF($D811&lt;&gt;"",VLOOKUP($D811,'SINAPI JULHO 2021'!$1:$1048576,4,FALSE),"")</f>
        <v>14</v>
      </c>
      <c r="I811" s="599">
        <f t="shared" ref="I811:I817" si="131">TRUNC(H811*G811,2)</f>
        <v>1.4</v>
      </c>
    </row>
    <row r="812" spans="2:9" s="132" customFormat="1">
      <c r="B812" s="455" t="s">
        <v>7403</v>
      </c>
      <c r="C812" s="455" t="s">
        <v>7</v>
      </c>
      <c r="D812" s="456">
        <v>88264</v>
      </c>
      <c r="E812" s="134" t="str">
        <f>IF($D812&lt;&gt;"",VLOOKUP($D812,'SINAPI JULHO 2021'!$A$1:E12216,2,FALSE),"")</f>
        <v>ELETRICISTA COM ENCARGOS COMPLEMENTARES</v>
      </c>
      <c r="F812" s="135" t="str">
        <f>IF($D812&lt;&gt;"",VLOOKUP($D812,'SINAPI JULHO 2021'!$1:$1048576,3,FALSE),"")</f>
        <v>H</v>
      </c>
      <c r="G812" s="291">
        <v>0.1</v>
      </c>
      <c r="H812" s="415">
        <f>IF($D812&lt;&gt;"",VLOOKUP($D812,'SINAPI JULHO 2021'!$1:$1048576,4,FALSE),"")</f>
        <v>18.3</v>
      </c>
      <c r="I812" s="288">
        <f t="shared" si="131"/>
        <v>1.83</v>
      </c>
    </row>
    <row r="813" spans="2:9" s="132" customFormat="1" ht="25.5">
      <c r="B813" s="455" t="s">
        <v>7403</v>
      </c>
      <c r="C813" s="455" t="s">
        <v>7</v>
      </c>
      <c r="D813" s="456">
        <v>96987</v>
      </c>
      <c r="E813" s="134" t="str">
        <f>IF($D813&lt;&gt;"",VLOOKUP($D813,'SINAPI JULHO 2021'!$A$1:E12217,2,FALSE),"")</f>
        <v>BASE METÁLICA PARA MASTRO 1 ½  PARA SPDA - FORNECIMENTO E INSTALAÇÃO. AF_12/2017</v>
      </c>
      <c r="F813" s="135" t="str">
        <f>IF($D813&lt;&gt;"",VLOOKUP($D813,'SINAPI JULHO 2021'!$1:$1048576,3,FALSE),"")</f>
        <v>UN</v>
      </c>
      <c r="G813" s="291">
        <v>1</v>
      </c>
      <c r="H813" s="415">
        <f>IF($D813&lt;&gt;"",VLOOKUP($D813,'SINAPI JULHO 2021'!$1:$1048576,4,FALSE),"")</f>
        <v>116.79</v>
      </c>
      <c r="I813" s="288">
        <f t="shared" si="131"/>
        <v>116.79</v>
      </c>
    </row>
    <row r="814" spans="2:9" s="132" customFormat="1" ht="25.5">
      <c r="B814" s="455" t="s">
        <v>7403</v>
      </c>
      <c r="C814" s="455" t="s">
        <v>7</v>
      </c>
      <c r="D814" s="456">
        <v>96988</v>
      </c>
      <c r="E814" s="134" t="str">
        <f>IF($D814&lt;&gt;"",VLOOKUP($D814,'SINAPI JULHO 2021'!$A$1:E12218,2,FALSE),"")</f>
        <v>MASTRO 1 ½  PARA SPDA - FORNECIMENTO E INSTALAÇÃO. AF_12/2017</v>
      </c>
      <c r="F814" s="135" t="str">
        <f>IF($D814&lt;&gt;"",VLOOKUP($D814,'SINAPI JULHO 2021'!$1:$1048576,3,FALSE),"")</f>
        <v>UN</v>
      </c>
      <c r="G814" s="291">
        <v>1</v>
      </c>
      <c r="H814" s="415">
        <f>IF($D814&lt;&gt;"",VLOOKUP($D814,'SINAPI JULHO 2021'!$1:$1048576,4,FALSE),"")</f>
        <v>188.92</v>
      </c>
      <c r="I814" s="288">
        <f t="shared" si="131"/>
        <v>188.92</v>
      </c>
    </row>
    <row r="815" spans="2:9" s="132" customFormat="1" ht="25.5">
      <c r="B815" s="455" t="s">
        <v>7403</v>
      </c>
      <c r="C815" s="455" t="s">
        <v>7</v>
      </c>
      <c r="D815" s="456">
        <v>96989</v>
      </c>
      <c r="E815" s="134" t="str">
        <f>IF($D815&lt;&gt;"",VLOOKUP($D815,'SINAPI JULHO 2021'!$A$1:E12219,2,FALSE),"")</f>
        <v>CAPTOR TIPO FRANKLIN PARA SPDA - FORNECIMENTO E INSTALAÇÃO. AF_12/2017</v>
      </c>
      <c r="F815" s="135" t="str">
        <f>IF($D815&lt;&gt;"",VLOOKUP($D815,'SINAPI JULHO 2021'!$1:$1048576,3,FALSE),"")</f>
        <v>UN</v>
      </c>
      <c r="G815" s="291">
        <v>1</v>
      </c>
      <c r="H815" s="415">
        <f>IF($D815&lt;&gt;"",VLOOKUP($D815,'SINAPI JULHO 2021'!$1:$1048576,4,FALSE),"")</f>
        <v>124.06</v>
      </c>
      <c r="I815" s="288">
        <f t="shared" si="131"/>
        <v>124.06</v>
      </c>
    </row>
    <row r="816" spans="2:9" s="132" customFormat="1" ht="25.5">
      <c r="B816" s="455" t="s">
        <v>7403</v>
      </c>
      <c r="C816" s="455" t="s">
        <v>7</v>
      </c>
      <c r="D816" s="456">
        <v>96973</v>
      </c>
      <c r="E816" s="134" t="str">
        <f>IF($D816&lt;&gt;"",VLOOKUP($D816,'SINAPI JULHO 2021'!$A$1:E12220,2,FALSE),"")</f>
        <v>CORDOALHA DE COBRE NU 35 MM², NÃO ENTERRADA, COM ISOLADOR - FORNECIMENTO E INSTALAÇÃO. AF_12/2017</v>
      </c>
      <c r="F816" s="135" t="str">
        <f>IF($D816&lt;&gt;"",VLOOKUP($D816,'SINAPI JULHO 2021'!$1:$1048576,3,FALSE),"")</f>
        <v>M</v>
      </c>
      <c r="G816" s="291">
        <v>11</v>
      </c>
      <c r="H816" s="415">
        <f>IF($D816&lt;&gt;"",VLOOKUP($D816,'SINAPI JULHO 2021'!$1:$1048576,4,FALSE),"")</f>
        <v>47.51</v>
      </c>
      <c r="I816" s="288">
        <f t="shared" si="131"/>
        <v>522.61</v>
      </c>
    </row>
    <row r="817" spans="2:9" s="132" customFormat="1" ht="25.5">
      <c r="B817" s="455" t="s">
        <v>7403</v>
      </c>
      <c r="C817" s="455" t="s">
        <v>7</v>
      </c>
      <c r="D817" s="456">
        <v>96984</v>
      </c>
      <c r="E817" s="134" t="str">
        <f>IF($D817&lt;&gt;"",VLOOKUP($D817,'SINAPI JULHO 2021'!$A$1:E12221,2,FALSE),"")</f>
        <v>ELETRODUTO PVC 40MM (1 ¼ ) PARA SPDA - FORNECIMENTO E INSTALAÇÃO. AF_12/2017</v>
      </c>
      <c r="F817" s="135" t="str">
        <f>IF($D817&lt;&gt;"",VLOOKUP($D817,'SINAPI JULHO 2021'!$1:$1048576,3,FALSE),"")</f>
        <v>UN</v>
      </c>
      <c r="G817" s="291">
        <v>1</v>
      </c>
      <c r="H817" s="415">
        <f>IF($D817&lt;&gt;"",VLOOKUP($D817,'SINAPI JULHO 2021'!$1:$1048576,4,FALSE),"")</f>
        <v>41.38</v>
      </c>
      <c r="I817" s="288">
        <f t="shared" si="131"/>
        <v>41.38</v>
      </c>
    </row>
    <row r="818" spans="2:9" s="132" customFormat="1" ht="13.5" thickBot="1">
      <c r="B818" s="408"/>
      <c r="C818" s="408"/>
      <c r="D818" s="458"/>
      <c r="E818" s="459"/>
      <c r="F818" s="412"/>
      <c r="G818" s="13"/>
      <c r="H818" s="294"/>
      <c r="I818" s="290"/>
    </row>
    <row r="819" spans="2:9" s="132" customFormat="1" ht="13.5" thickBot="1">
      <c r="B819" s="637" t="s">
        <v>13008</v>
      </c>
      <c r="C819" s="638"/>
      <c r="D819" s="638"/>
      <c r="E819" s="639" t="s">
        <v>13009</v>
      </c>
      <c r="F819" s="640" t="s">
        <v>34</v>
      </c>
      <c r="G819" s="641"/>
      <c r="H819" s="642"/>
      <c r="I819" s="626">
        <f>TRUNC(SUM(I820:I823),2)</f>
        <v>12.03</v>
      </c>
    </row>
    <row r="820" spans="2:9" s="132" customFormat="1">
      <c r="B820" s="578" t="s">
        <v>7403</v>
      </c>
      <c r="C820" s="578" t="s">
        <v>7</v>
      </c>
      <c r="D820" s="601">
        <v>88247</v>
      </c>
      <c r="E820" s="566" t="str">
        <f>IF($D820&lt;&gt;"",VLOOKUP($D820,'SINAPI JULHO 2021'!$A$1:E12224,2,FALSE),"")</f>
        <v>AUXILIAR DE ELETRICISTA COM ENCARGOS COMPLEMENTARES</v>
      </c>
      <c r="F820" s="567" t="str">
        <f>IF($D820&lt;&gt;"",VLOOKUP($D820,'SINAPI JULHO 2021'!$1:$1048576,3,FALSE),"")</f>
        <v>H</v>
      </c>
      <c r="G820" s="587">
        <v>0.2</v>
      </c>
      <c r="H820" s="588">
        <f>IF($D820&lt;&gt;"",VLOOKUP($D820,'SINAPI JULHO 2021'!$1:$1048576,4,FALSE),"")</f>
        <v>14</v>
      </c>
      <c r="I820" s="599">
        <f t="shared" ref="I820:I823" si="132">TRUNC(H820*G820,2)</f>
        <v>2.8</v>
      </c>
    </row>
    <row r="821" spans="2:9" s="132" customFormat="1">
      <c r="B821" s="455" t="s">
        <v>7403</v>
      </c>
      <c r="C821" s="455" t="s">
        <v>7</v>
      </c>
      <c r="D821" s="456">
        <v>88264</v>
      </c>
      <c r="E821" s="134" t="str">
        <f>IF($D821&lt;&gt;"",VLOOKUP($D821,'SINAPI JULHO 2021'!$A$1:E12225,2,FALSE),"")</f>
        <v>ELETRICISTA COM ENCARGOS COMPLEMENTARES</v>
      </c>
      <c r="F821" s="135" t="str">
        <f>IF($D821&lt;&gt;"",VLOOKUP($D821,'SINAPI JULHO 2021'!$1:$1048576,3,FALSE),"")</f>
        <v>H</v>
      </c>
      <c r="G821" s="291">
        <v>0.2</v>
      </c>
      <c r="H821" s="415">
        <f>IF($D821&lt;&gt;"",VLOOKUP($D821,'SINAPI JULHO 2021'!$1:$1048576,4,FALSE),"")</f>
        <v>18.3</v>
      </c>
      <c r="I821" s="288">
        <f t="shared" si="132"/>
        <v>3.66</v>
      </c>
    </row>
    <row r="822" spans="2:9" s="132" customFormat="1" ht="25.5">
      <c r="B822" s="455" t="s">
        <v>568</v>
      </c>
      <c r="C822" s="455" t="s">
        <v>7</v>
      </c>
      <c r="D822" s="456">
        <v>1587</v>
      </c>
      <c r="E822" s="134" t="str">
        <f>IF($D822&lt;&gt;"",VLOOKUP($D822,'SINAPI JULHO 2021'!$A$1:E12226,2,FALSE),"")</f>
        <v xml:space="preserve">TERMINAL METALICO A PRESSAO PARA 1 CABO DE 35 MM2, COM 1 FURO DE FIXACAO                                                                                                                                                                                                                                                                                                                                                                                                                                  </v>
      </c>
      <c r="F822" s="135" t="str">
        <f>IF($D822&lt;&gt;"",VLOOKUP($D822,'SINAPI JULHO 2021'!$1:$1048576,3,FALSE),"")</f>
        <v xml:space="preserve">UN    </v>
      </c>
      <c r="G822" s="291">
        <v>1</v>
      </c>
      <c r="H822" s="415">
        <f>IF($D822&lt;&gt;"",VLOOKUP($D822,'SINAPI JULHO 2021'!$1:$1048576,4,FALSE),"")</f>
        <v>5.39</v>
      </c>
      <c r="I822" s="288">
        <f t="shared" si="132"/>
        <v>5.39</v>
      </c>
    </row>
    <row r="823" spans="2:9" s="132" customFormat="1" ht="25.5">
      <c r="B823" s="455" t="s">
        <v>568</v>
      </c>
      <c r="C823" s="455" t="s">
        <v>7</v>
      </c>
      <c r="D823" s="456">
        <v>40547</v>
      </c>
      <c r="E823" s="134" t="str">
        <f>IF($D823&lt;&gt;"",VLOOKUP($D823,'SINAPI JULHO 2021'!$A$1:E12227,2,FALSE),"")</f>
        <v xml:space="preserve">PARAFUSO ZINCADO, AUTOBROCANTE, FLANGEADO, 4,2 MM X 19 MM                                                                                                                                                                                                                                                                                                                                                                                                                                                 </v>
      </c>
      <c r="F823" s="135" t="str">
        <f>IF($D823&lt;&gt;"",VLOOKUP($D823,'SINAPI JULHO 2021'!$1:$1048576,3,FALSE),"")</f>
        <v xml:space="preserve">CENTO </v>
      </c>
      <c r="G823" s="291">
        <f>1/100</f>
        <v>0.01</v>
      </c>
      <c r="H823" s="415">
        <f>IF($D823&lt;&gt;"",VLOOKUP($D823,'SINAPI JULHO 2021'!$1:$1048576,4,FALSE),"")</f>
        <v>18.05</v>
      </c>
      <c r="I823" s="288">
        <f t="shared" si="132"/>
        <v>0.18</v>
      </c>
    </row>
    <row r="824" spans="2:9" s="132" customFormat="1" ht="13.5" thickBot="1">
      <c r="B824" s="408"/>
      <c r="C824" s="408"/>
      <c r="D824" s="458"/>
      <c r="E824" s="459"/>
      <c r="F824" s="412"/>
      <c r="G824" s="13"/>
      <c r="H824" s="294"/>
      <c r="I824" s="290"/>
    </row>
    <row r="825" spans="2:9" s="132" customFormat="1" ht="13.5" thickBot="1">
      <c r="B825" s="637" t="s">
        <v>13010</v>
      </c>
      <c r="C825" s="638"/>
      <c r="D825" s="638"/>
      <c r="E825" s="639" t="s">
        <v>13011</v>
      </c>
      <c r="F825" s="640" t="s">
        <v>34</v>
      </c>
      <c r="G825" s="641"/>
      <c r="H825" s="642"/>
      <c r="I825" s="626">
        <f>TRUNC(SUM(I826:I828),2)</f>
        <v>25.04</v>
      </c>
    </row>
    <row r="826" spans="2:9" s="132" customFormat="1">
      <c r="B826" s="578" t="s">
        <v>7403</v>
      </c>
      <c r="C826" s="578" t="s">
        <v>7</v>
      </c>
      <c r="D826" s="601">
        <v>88247</v>
      </c>
      <c r="E826" s="566" t="str">
        <f>IF($D826&lt;&gt;"",VLOOKUP($D826,'SINAPI JULHO 2021'!$A$1:E12230,2,FALSE),"")</f>
        <v>AUXILIAR DE ELETRICISTA COM ENCARGOS COMPLEMENTARES</v>
      </c>
      <c r="F826" s="567" t="str">
        <f>IF($D826&lt;&gt;"",VLOOKUP($D826,'SINAPI JULHO 2021'!$1:$1048576,3,FALSE),"")</f>
        <v>H</v>
      </c>
      <c r="G826" s="587">
        <v>0.2</v>
      </c>
      <c r="H826" s="588">
        <f>IF($D826&lt;&gt;"",VLOOKUP($D826,'SINAPI JULHO 2021'!$1:$1048576,4,FALSE),"")</f>
        <v>14</v>
      </c>
      <c r="I826" s="599">
        <f t="shared" ref="I826:I828" si="133">TRUNC(H826*G826,2)</f>
        <v>2.8</v>
      </c>
    </row>
    <row r="827" spans="2:9" s="132" customFormat="1">
      <c r="B827" s="455" t="s">
        <v>7403</v>
      </c>
      <c r="C827" s="455" t="s">
        <v>7</v>
      </c>
      <c r="D827" s="456">
        <v>88264</v>
      </c>
      <c r="E827" s="134" t="str">
        <f>IF($D827&lt;&gt;"",VLOOKUP($D827,'SINAPI JULHO 2021'!$A$1:E12231,2,FALSE),"")</f>
        <v>ELETRICISTA COM ENCARGOS COMPLEMENTARES</v>
      </c>
      <c r="F827" s="135" t="str">
        <f>IF($D827&lt;&gt;"",VLOOKUP($D827,'SINAPI JULHO 2021'!$1:$1048576,3,FALSE),"")</f>
        <v>H</v>
      </c>
      <c r="G827" s="291">
        <v>0.2</v>
      </c>
      <c r="H827" s="415">
        <f>IF($D827&lt;&gt;"",VLOOKUP($D827,'SINAPI JULHO 2021'!$1:$1048576,4,FALSE),"")</f>
        <v>18.3</v>
      </c>
      <c r="I827" s="288">
        <f t="shared" si="133"/>
        <v>3.66</v>
      </c>
    </row>
    <row r="828" spans="2:9" s="132" customFormat="1">
      <c r="B828" s="455" t="s">
        <v>568</v>
      </c>
      <c r="C828" s="455" t="s">
        <v>569</v>
      </c>
      <c r="D828" s="456"/>
      <c r="E828" s="134" t="s">
        <v>13011</v>
      </c>
      <c r="F828" s="135" t="s">
        <v>34</v>
      </c>
      <c r="G828" s="291">
        <v>1</v>
      </c>
      <c r="H828" s="287">
        <v>18.579999999999998</v>
      </c>
      <c r="I828" s="288">
        <f t="shared" si="133"/>
        <v>18.579999999999998</v>
      </c>
    </row>
    <row r="829" spans="2:9" s="132" customFormat="1" ht="13.5" thickBot="1">
      <c r="B829" s="408"/>
      <c r="C829" s="408"/>
      <c r="D829" s="458"/>
      <c r="E829" s="459"/>
      <c r="F829" s="412"/>
      <c r="G829" s="13"/>
      <c r="H829" s="294"/>
      <c r="I829" s="290"/>
    </row>
    <row r="830" spans="2:9" s="132" customFormat="1" ht="26.25" thickBot="1">
      <c r="B830" s="637" t="s">
        <v>13012</v>
      </c>
      <c r="C830" s="638"/>
      <c r="D830" s="638"/>
      <c r="E830" s="639" t="s">
        <v>13013</v>
      </c>
      <c r="F830" s="640" t="s">
        <v>683</v>
      </c>
      <c r="G830" s="641"/>
      <c r="H830" s="642"/>
      <c r="I830" s="626">
        <f>TRUNC(SUM(I831:I833),2)</f>
        <v>36.96</v>
      </c>
    </row>
    <row r="831" spans="2:9" s="132" customFormat="1">
      <c r="B831" s="578" t="s">
        <v>7403</v>
      </c>
      <c r="C831" s="578" t="s">
        <v>7</v>
      </c>
      <c r="D831" s="601">
        <v>88247</v>
      </c>
      <c r="E831" s="566" t="str">
        <f>IF($D831&lt;&gt;"",VLOOKUP($D831,'SINAPI JULHO 2021'!$A$1:E12235,2,FALSE),"")</f>
        <v>AUXILIAR DE ELETRICISTA COM ENCARGOS COMPLEMENTARES</v>
      </c>
      <c r="F831" s="567" t="str">
        <f>IF($D831&lt;&gt;"",VLOOKUP($D831,'SINAPI JULHO 2021'!$1:$1048576,3,FALSE),"")</f>
        <v>H</v>
      </c>
      <c r="G831" s="587">
        <v>0.25</v>
      </c>
      <c r="H831" s="588">
        <f>IF($D831&lt;&gt;"",VLOOKUP($D831,'SINAPI JULHO 2021'!$1:$1048576,4,FALSE),"")</f>
        <v>14</v>
      </c>
      <c r="I831" s="599">
        <f t="shared" ref="I831:I833" si="134">TRUNC(H831*G831,2)</f>
        <v>3.5</v>
      </c>
    </row>
    <row r="832" spans="2:9" s="132" customFormat="1">
      <c r="B832" s="455" t="s">
        <v>7403</v>
      </c>
      <c r="C832" s="455" t="s">
        <v>7</v>
      </c>
      <c r="D832" s="456">
        <v>88264</v>
      </c>
      <c r="E832" s="134" t="str">
        <f>IF($D832&lt;&gt;"",VLOOKUP($D832,'SINAPI JULHO 2021'!$A$1:E12236,2,FALSE),"")</f>
        <v>ELETRICISTA COM ENCARGOS COMPLEMENTARES</v>
      </c>
      <c r="F832" s="135" t="str">
        <f>IF($D832&lt;&gt;"",VLOOKUP($D832,'SINAPI JULHO 2021'!$1:$1048576,3,FALSE),"")</f>
        <v>H</v>
      </c>
      <c r="G832" s="291">
        <v>0.25</v>
      </c>
      <c r="H832" s="415">
        <f>IF($D832&lt;&gt;"",VLOOKUP($D832,'SINAPI JULHO 2021'!$1:$1048576,4,FALSE),"")</f>
        <v>18.3</v>
      </c>
      <c r="I832" s="288">
        <f t="shared" si="134"/>
        <v>4.57</v>
      </c>
    </row>
    <row r="833" spans="2:9" s="132" customFormat="1">
      <c r="B833" s="455" t="s">
        <v>568</v>
      </c>
      <c r="C833" s="455" t="s">
        <v>7</v>
      </c>
      <c r="D833" s="456">
        <v>863</v>
      </c>
      <c r="E833" s="134" t="str">
        <f>IF($D833&lt;&gt;"",VLOOKUP($D833,'SINAPI JULHO 2021'!$A$1:E12237,2,FALSE),"")</f>
        <v xml:space="preserve">CABO DE COBRE NU 35 MM2 MEIO-DURO                                                                                                                                                                                                                                                                                                                                                                                                                                                                         </v>
      </c>
      <c r="F833" s="135" t="str">
        <f>IF($D833&lt;&gt;"",VLOOKUP($D833,'SINAPI JULHO 2021'!$1:$1048576,3,FALSE),"")</f>
        <v xml:space="preserve">M     </v>
      </c>
      <c r="G833" s="291">
        <v>1.05</v>
      </c>
      <c r="H833" s="415">
        <f>IF($D833&lt;&gt;"",VLOOKUP($D833,'SINAPI JULHO 2021'!$1:$1048576,4,FALSE),"")</f>
        <v>27.52</v>
      </c>
      <c r="I833" s="288">
        <f t="shared" si="134"/>
        <v>28.89</v>
      </c>
    </row>
    <row r="834" spans="2:9" s="132" customFormat="1">
      <c r="B834" s="140"/>
      <c r="C834" s="140"/>
      <c r="D834" s="192"/>
      <c r="E834" s="213"/>
      <c r="F834" s="464"/>
      <c r="G834" s="249"/>
      <c r="H834" s="255"/>
      <c r="I834" s="255"/>
    </row>
    <row r="835" spans="2:9" s="132" customFormat="1">
      <c r="B835" s="212" t="s">
        <v>7603</v>
      </c>
      <c r="C835" s="140"/>
      <c r="D835" s="192"/>
      <c r="E835" s="213"/>
      <c r="F835" s="464"/>
      <c r="G835" s="249"/>
      <c r="H835" s="255"/>
      <c r="I835" s="255"/>
    </row>
    <row r="836" spans="2:9" s="132" customFormat="1" ht="13.5" thickBot="1">
      <c r="B836" s="529"/>
      <c r="C836" s="529"/>
      <c r="D836" s="555"/>
      <c r="E836" s="556"/>
      <c r="F836" s="557"/>
      <c r="G836" s="519"/>
      <c r="H836" s="520"/>
      <c r="I836" s="520"/>
    </row>
    <row r="837" spans="2:9" s="132" customFormat="1" ht="13.5" thickBot="1">
      <c r="B837" s="604" t="s">
        <v>7604</v>
      </c>
      <c r="C837" s="605"/>
      <c r="D837" s="605"/>
      <c r="E837" s="606" t="s">
        <v>7606</v>
      </c>
      <c r="F837" s="607" t="s">
        <v>34</v>
      </c>
      <c r="G837" s="608">
        <v>1</v>
      </c>
      <c r="H837" s="609"/>
      <c r="I837" s="610">
        <f>TRUNC(SUM(I838:I840),2)</f>
        <v>28.23</v>
      </c>
    </row>
    <row r="838" spans="2:9" s="132" customFormat="1">
      <c r="B838" s="578" t="s">
        <v>568</v>
      </c>
      <c r="C838" s="600" t="s">
        <v>569</v>
      </c>
      <c r="D838" s="575"/>
      <c r="E838" s="566" t="s">
        <v>7605</v>
      </c>
      <c r="F838" s="567" t="s">
        <v>34</v>
      </c>
      <c r="G838" s="574">
        <v>1</v>
      </c>
      <c r="H838" s="569">
        <v>25</v>
      </c>
      <c r="I838" s="570">
        <f>TRUNC(G838*H838,2)</f>
        <v>25</v>
      </c>
    </row>
    <row r="839" spans="2:9" s="132" customFormat="1">
      <c r="B839" s="140" t="s">
        <v>600</v>
      </c>
      <c r="C839" s="140" t="s">
        <v>7</v>
      </c>
      <c r="D839" s="140">
        <v>88264</v>
      </c>
      <c r="E839" s="134" t="str">
        <f>IF($D839&lt;&gt;"",VLOOKUP($D839,'SINAPI JULHO 2021'!$A$1:E12195,2,FALSE),"")</f>
        <v>ELETRICISTA COM ENCARGOS COMPLEMENTARES</v>
      </c>
      <c r="F839" s="135" t="str">
        <f>IF($D839&lt;&gt;"",VLOOKUP($D839,'SINAPI JULHO 2021'!$1:$1048576,3,FALSE),"")</f>
        <v>H</v>
      </c>
      <c r="G839" s="249">
        <v>0.1</v>
      </c>
      <c r="H839" s="256">
        <f>IF($D839&lt;&gt;"",VLOOKUP($D839,'SINAPI JULHO 2021'!$1:$1048576,4,FALSE),"")</f>
        <v>18.3</v>
      </c>
      <c r="I839" s="257">
        <f>TRUNC(G839*H839,2)</f>
        <v>1.83</v>
      </c>
    </row>
    <row r="840" spans="2:9" s="132" customFormat="1">
      <c r="B840" s="140" t="s">
        <v>600</v>
      </c>
      <c r="C840" s="140" t="s">
        <v>7</v>
      </c>
      <c r="D840" s="140">
        <v>88247</v>
      </c>
      <c r="E840" s="134" t="str">
        <f>IF($D840&lt;&gt;"",VLOOKUP($D840,'SINAPI JULHO 2021'!$A$1:E12196,2,FALSE),"")</f>
        <v>AUXILIAR DE ELETRICISTA COM ENCARGOS COMPLEMENTARES</v>
      </c>
      <c r="F840" s="135" t="str">
        <f>IF($D840&lt;&gt;"",VLOOKUP($D840,'SINAPI JULHO 2021'!$1:$1048576,3,FALSE),"")</f>
        <v>H</v>
      </c>
      <c r="G840" s="249">
        <v>0.1</v>
      </c>
      <c r="H840" s="256">
        <f>IF($D840&lt;&gt;"",VLOOKUP($D840,'SINAPI JULHO 2021'!$1:$1048576,4,FALSE),"")</f>
        <v>14</v>
      </c>
      <c r="I840" s="257">
        <f>TRUNC(G840*H840,2)</f>
        <v>1.4</v>
      </c>
    </row>
    <row r="841" spans="2:9" s="132" customFormat="1" ht="13.5" thickBot="1">
      <c r="B841" s="529"/>
      <c r="C841" s="529"/>
      <c r="D841" s="555"/>
      <c r="E841" s="556"/>
      <c r="F841" s="557"/>
      <c r="G841" s="519"/>
      <c r="H841" s="520"/>
      <c r="I841" s="520"/>
    </row>
    <row r="842" spans="2:9" s="132" customFormat="1" ht="28.5" customHeight="1" thickBot="1">
      <c r="B842" s="604" t="s">
        <v>7607</v>
      </c>
      <c r="C842" s="605"/>
      <c r="D842" s="605"/>
      <c r="E842" s="606" t="s">
        <v>7609</v>
      </c>
      <c r="F842" s="607" t="s">
        <v>34</v>
      </c>
      <c r="G842" s="608">
        <v>1</v>
      </c>
      <c r="H842" s="609"/>
      <c r="I842" s="610">
        <f>TRUNC(SUM(I843:I845),2)</f>
        <v>3503.23</v>
      </c>
    </row>
    <row r="843" spans="2:9" s="132" customFormat="1">
      <c r="B843" s="578" t="s">
        <v>568</v>
      </c>
      <c r="C843" s="600" t="s">
        <v>569</v>
      </c>
      <c r="D843" s="575"/>
      <c r="E843" s="566" t="s">
        <v>7608</v>
      </c>
      <c r="F843" s="567" t="s">
        <v>34</v>
      </c>
      <c r="G843" s="574">
        <v>1</v>
      </c>
      <c r="H843" s="569">
        <v>3500</v>
      </c>
      <c r="I843" s="570">
        <f>TRUNC(G843*H843,2)</f>
        <v>3500</v>
      </c>
    </row>
    <row r="844" spans="2:9" s="132" customFormat="1">
      <c r="B844" s="140" t="s">
        <v>600</v>
      </c>
      <c r="C844" s="140" t="s">
        <v>7</v>
      </c>
      <c r="D844" s="140">
        <v>88264</v>
      </c>
      <c r="E844" s="134" t="str">
        <f>IF($D844&lt;&gt;"",VLOOKUP($D844,'SINAPI JULHO 2021'!$A$1:E12200,2,FALSE),"")</f>
        <v>ELETRICISTA COM ENCARGOS COMPLEMENTARES</v>
      </c>
      <c r="F844" s="135" t="str">
        <f>IF($D844&lt;&gt;"",VLOOKUP($D844,'SINAPI JULHO 2021'!$1:$1048576,3,FALSE),"")</f>
        <v>H</v>
      </c>
      <c r="G844" s="249">
        <v>0.1</v>
      </c>
      <c r="H844" s="256">
        <f>IF($D844&lt;&gt;"",VLOOKUP($D844,'SINAPI JULHO 2021'!$1:$1048576,4,FALSE),"")</f>
        <v>18.3</v>
      </c>
      <c r="I844" s="257">
        <f>TRUNC(G844*H844,2)</f>
        <v>1.83</v>
      </c>
    </row>
    <row r="845" spans="2:9" s="132" customFormat="1">
      <c r="B845" s="140" t="s">
        <v>600</v>
      </c>
      <c r="C845" s="140" t="s">
        <v>7</v>
      </c>
      <c r="D845" s="140">
        <v>88247</v>
      </c>
      <c r="E845" s="134" t="str">
        <f>IF($D845&lt;&gt;"",VLOOKUP($D845,'SINAPI JULHO 2021'!$A$1:E12201,2,FALSE),"")</f>
        <v>AUXILIAR DE ELETRICISTA COM ENCARGOS COMPLEMENTARES</v>
      </c>
      <c r="F845" s="135" t="str">
        <f>IF($D845&lt;&gt;"",VLOOKUP($D845,'SINAPI JULHO 2021'!$1:$1048576,3,FALSE),"")</f>
        <v>H</v>
      </c>
      <c r="G845" s="249">
        <v>0.1</v>
      </c>
      <c r="H845" s="256">
        <f>IF($D845&lt;&gt;"",VLOOKUP($D845,'SINAPI JULHO 2021'!$1:$1048576,4,FALSE),"")</f>
        <v>14</v>
      </c>
      <c r="I845" s="257">
        <f>TRUNC(G845*H845,2)</f>
        <v>1.4</v>
      </c>
    </row>
    <row r="846" spans="2:9" s="132" customFormat="1" ht="13.5" thickBot="1">
      <c r="B846" s="529"/>
      <c r="C846" s="529"/>
      <c r="D846" s="555"/>
      <c r="E846" s="556"/>
      <c r="F846" s="557"/>
      <c r="G846" s="519"/>
      <c r="H846" s="520"/>
      <c r="I846" s="520"/>
    </row>
    <row r="847" spans="2:9" s="132" customFormat="1" ht="13.5" thickBot="1">
      <c r="B847" s="604" t="s">
        <v>7611</v>
      </c>
      <c r="C847" s="605"/>
      <c r="D847" s="605"/>
      <c r="E847" s="606" t="s">
        <v>7610</v>
      </c>
      <c r="F847" s="607" t="s">
        <v>34</v>
      </c>
      <c r="G847" s="608">
        <v>1</v>
      </c>
      <c r="H847" s="609"/>
      <c r="I847" s="610">
        <f>TRUNC(SUM(I848:I850),2)</f>
        <v>303.23</v>
      </c>
    </row>
    <row r="848" spans="2:9" s="132" customFormat="1">
      <c r="B848" s="578" t="s">
        <v>568</v>
      </c>
      <c r="C848" s="600" t="s">
        <v>569</v>
      </c>
      <c r="D848" s="575"/>
      <c r="E848" s="566" t="s">
        <v>7608</v>
      </c>
      <c r="F848" s="567" t="s">
        <v>34</v>
      </c>
      <c r="G848" s="574">
        <v>1</v>
      </c>
      <c r="H848" s="569">
        <v>300</v>
      </c>
      <c r="I848" s="570">
        <f>TRUNC(G848*H848,2)</f>
        <v>300</v>
      </c>
    </row>
    <row r="849" spans="2:9" s="132" customFormat="1">
      <c r="B849" s="140" t="s">
        <v>600</v>
      </c>
      <c r="C849" s="140" t="s">
        <v>7</v>
      </c>
      <c r="D849" s="140">
        <v>88264</v>
      </c>
      <c r="E849" s="134" t="str">
        <f>IF($D849&lt;&gt;"",VLOOKUP($D849,'SINAPI JULHO 2021'!$A$1:E12205,2,FALSE),"")</f>
        <v>ELETRICISTA COM ENCARGOS COMPLEMENTARES</v>
      </c>
      <c r="F849" s="135" t="str">
        <f>IF($D849&lt;&gt;"",VLOOKUP($D849,'SINAPI JULHO 2021'!$1:$1048576,3,FALSE),"")</f>
        <v>H</v>
      </c>
      <c r="G849" s="249">
        <v>0.1</v>
      </c>
      <c r="H849" s="256">
        <f>IF($D849&lt;&gt;"",VLOOKUP($D849,'SINAPI JULHO 2021'!$1:$1048576,4,FALSE),"")</f>
        <v>18.3</v>
      </c>
      <c r="I849" s="257">
        <f>TRUNC(G849*H849,2)</f>
        <v>1.83</v>
      </c>
    </row>
    <row r="850" spans="2:9" s="132" customFormat="1">
      <c r="B850" s="140" t="s">
        <v>600</v>
      </c>
      <c r="C850" s="140" t="s">
        <v>7</v>
      </c>
      <c r="D850" s="140">
        <v>88247</v>
      </c>
      <c r="E850" s="134" t="str">
        <f>IF($D850&lt;&gt;"",VLOOKUP($D850,'SINAPI JULHO 2021'!$A$1:E12206,2,FALSE),"")</f>
        <v>AUXILIAR DE ELETRICISTA COM ENCARGOS COMPLEMENTARES</v>
      </c>
      <c r="F850" s="135" t="str">
        <f>IF($D850&lt;&gt;"",VLOOKUP($D850,'SINAPI JULHO 2021'!$1:$1048576,3,FALSE),"")</f>
        <v>H</v>
      </c>
      <c r="G850" s="249">
        <v>0.1</v>
      </c>
      <c r="H850" s="256">
        <f>IF($D850&lt;&gt;"",VLOOKUP($D850,'SINAPI JULHO 2021'!$1:$1048576,4,FALSE),"")</f>
        <v>14</v>
      </c>
      <c r="I850" s="257">
        <f>TRUNC(G850*H850,2)</f>
        <v>1.4</v>
      </c>
    </row>
    <row r="851" spans="2:9" s="132" customFormat="1" ht="13.5" thickBot="1">
      <c r="B851" s="529"/>
      <c r="C851" s="529"/>
      <c r="D851" s="555"/>
      <c r="E851" s="556"/>
      <c r="F851" s="557"/>
      <c r="G851" s="519"/>
      <c r="H851" s="520"/>
      <c r="I851" s="520"/>
    </row>
    <row r="852" spans="2:9" s="132" customFormat="1" ht="15.75" customHeight="1" thickBot="1">
      <c r="B852" s="604" t="s">
        <v>7613</v>
      </c>
      <c r="C852" s="605"/>
      <c r="D852" s="605"/>
      <c r="E852" s="606" t="s">
        <v>7614</v>
      </c>
      <c r="F852" s="607" t="s">
        <v>34</v>
      </c>
      <c r="G852" s="608">
        <v>1</v>
      </c>
      <c r="H852" s="609"/>
      <c r="I852" s="610">
        <f>TRUNC(SUM(I853:I855),2)</f>
        <v>467.23</v>
      </c>
    </row>
    <row r="853" spans="2:9" s="132" customFormat="1">
      <c r="B853" s="578" t="s">
        <v>568</v>
      </c>
      <c r="C853" s="600" t="s">
        <v>569</v>
      </c>
      <c r="D853" s="575"/>
      <c r="E853" s="566" t="s">
        <v>7615</v>
      </c>
      <c r="F853" s="567" t="s">
        <v>34</v>
      </c>
      <c r="G853" s="574">
        <v>1</v>
      </c>
      <c r="H853" s="569">
        <v>464</v>
      </c>
      <c r="I853" s="570">
        <f>TRUNC(G853*H853,2)</f>
        <v>464</v>
      </c>
    </row>
    <row r="854" spans="2:9" s="132" customFormat="1">
      <c r="B854" s="140" t="s">
        <v>600</v>
      </c>
      <c r="C854" s="140" t="s">
        <v>7</v>
      </c>
      <c r="D854" s="140">
        <v>88264</v>
      </c>
      <c r="E854" s="134" t="str">
        <f>IF($D854&lt;&gt;"",VLOOKUP($D854,'SINAPI JULHO 2021'!$A$1:E12210,2,FALSE),"")</f>
        <v>ELETRICISTA COM ENCARGOS COMPLEMENTARES</v>
      </c>
      <c r="F854" s="135" t="str">
        <f>IF($D854&lt;&gt;"",VLOOKUP($D854,'SINAPI JULHO 2021'!$1:$1048576,3,FALSE),"")</f>
        <v>H</v>
      </c>
      <c r="G854" s="249">
        <v>0.1</v>
      </c>
      <c r="H854" s="256">
        <f>IF($D854&lt;&gt;"",VLOOKUP($D854,'SINAPI JULHO 2021'!$1:$1048576,4,FALSE),"")</f>
        <v>18.3</v>
      </c>
      <c r="I854" s="257">
        <f>TRUNC(G854*H854,2)</f>
        <v>1.83</v>
      </c>
    </row>
    <row r="855" spans="2:9" s="132" customFormat="1">
      <c r="B855" s="140" t="s">
        <v>600</v>
      </c>
      <c r="C855" s="140" t="s">
        <v>7</v>
      </c>
      <c r="D855" s="140">
        <v>88247</v>
      </c>
      <c r="E855" s="134" t="str">
        <f>IF($D855&lt;&gt;"",VLOOKUP($D855,'SINAPI JULHO 2021'!$A$1:E12211,2,FALSE),"")</f>
        <v>AUXILIAR DE ELETRICISTA COM ENCARGOS COMPLEMENTARES</v>
      </c>
      <c r="F855" s="135" t="str">
        <f>IF($D855&lt;&gt;"",VLOOKUP($D855,'SINAPI JULHO 2021'!$1:$1048576,3,FALSE),"")</f>
        <v>H</v>
      </c>
      <c r="G855" s="249">
        <v>0.1</v>
      </c>
      <c r="H855" s="256">
        <f>IF($D855&lt;&gt;"",VLOOKUP($D855,'SINAPI JULHO 2021'!$1:$1048576,4,FALSE),"")</f>
        <v>14</v>
      </c>
      <c r="I855" s="257">
        <f>TRUNC(G855*H855,2)</f>
        <v>1.4</v>
      </c>
    </row>
    <row r="856" spans="2:9" s="132" customFormat="1" ht="13.5" thickBot="1">
      <c r="B856" s="529"/>
      <c r="C856" s="529"/>
      <c r="D856" s="555"/>
      <c r="E856" s="556"/>
      <c r="F856" s="557"/>
      <c r="G856" s="519"/>
      <c r="H856" s="520"/>
      <c r="I856" s="520"/>
    </row>
    <row r="857" spans="2:9" s="132" customFormat="1" ht="13.5" thickBot="1">
      <c r="B857" s="604" t="s">
        <v>7616</v>
      </c>
      <c r="C857" s="605"/>
      <c r="D857" s="605"/>
      <c r="E857" s="606" t="s">
        <v>7617</v>
      </c>
      <c r="F857" s="607" t="s">
        <v>34</v>
      </c>
      <c r="G857" s="608">
        <v>1</v>
      </c>
      <c r="H857" s="609"/>
      <c r="I857" s="610">
        <f>TRUNC(SUM(I858:I860),2)</f>
        <v>613.23</v>
      </c>
    </row>
    <row r="858" spans="2:9" s="132" customFormat="1">
      <c r="B858" s="578" t="s">
        <v>568</v>
      </c>
      <c r="C858" s="600" t="s">
        <v>569</v>
      </c>
      <c r="D858" s="575"/>
      <c r="E858" s="566" t="s">
        <v>7618</v>
      </c>
      <c r="F858" s="567" t="s">
        <v>34</v>
      </c>
      <c r="G858" s="574">
        <v>1</v>
      </c>
      <c r="H858" s="569">
        <v>610</v>
      </c>
      <c r="I858" s="570">
        <f>TRUNC(G858*H858,2)</f>
        <v>610</v>
      </c>
    </row>
    <row r="859" spans="2:9" s="132" customFormat="1">
      <c r="B859" s="140" t="s">
        <v>600</v>
      </c>
      <c r="C859" s="140" t="s">
        <v>7</v>
      </c>
      <c r="D859" s="140">
        <v>88264</v>
      </c>
      <c r="E859" s="134" t="str">
        <f>IF($D859&lt;&gt;"",VLOOKUP($D859,'SINAPI JULHO 2021'!$A$1:E12215,2,FALSE),"")</f>
        <v>ELETRICISTA COM ENCARGOS COMPLEMENTARES</v>
      </c>
      <c r="F859" s="135" t="str">
        <f>IF($D859&lt;&gt;"",VLOOKUP($D859,'SINAPI JULHO 2021'!$1:$1048576,3,FALSE),"")</f>
        <v>H</v>
      </c>
      <c r="G859" s="249">
        <v>0.1</v>
      </c>
      <c r="H859" s="256">
        <f>IF($D859&lt;&gt;"",VLOOKUP($D859,'SINAPI JULHO 2021'!$1:$1048576,4,FALSE),"")</f>
        <v>18.3</v>
      </c>
      <c r="I859" s="257">
        <f>TRUNC(G859*H859,2)</f>
        <v>1.83</v>
      </c>
    </row>
    <row r="860" spans="2:9" s="132" customFormat="1">
      <c r="B860" s="140" t="s">
        <v>600</v>
      </c>
      <c r="C860" s="140" t="s">
        <v>7</v>
      </c>
      <c r="D860" s="140">
        <v>88247</v>
      </c>
      <c r="E860" s="134" t="str">
        <f>IF($D860&lt;&gt;"",VLOOKUP($D860,'SINAPI JULHO 2021'!$A$1:E12216,2,FALSE),"")</f>
        <v>AUXILIAR DE ELETRICISTA COM ENCARGOS COMPLEMENTARES</v>
      </c>
      <c r="F860" s="135" t="str">
        <f>IF($D860&lt;&gt;"",VLOOKUP($D860,'SINAPI JULHO 2021'!$1:$1048576,3,FALSE),"")</f>
        <v>H</v>
      </c>
      <c r="G860" s="249">
        <v>0.1</v>
      </c>
      <c r="H860" s="256">
        <f>IF($D860&lt;&gt;"",VLOOKUP($D860,'SINAPI JULHO 2021'!$1:$1048576,4,FALSE),"")</f>
        <v>14</v>
      </c>
      <c r="I860" s="257">
        <f>TRUNC(G860*H860,2)</f>
        <v>1.4</v>
      </c>
    </row>
    <row r="861" spans="2:9" s="132" customFormat="1" ht="13.5" thickBot="1">
      <c r="B861" s="529"/>
      <c r="C861" s="529"/>
      <c r="D861" s="555"/>
      <c r="E861" s="556"/>
      <c r="F861" s="557"/>
      <c r="G861" s="519"/>
      <c r="H861" s="520"/>
      <c r="I861" s="520"/>
    </row>
    <row r="862" spans="2:9" s="132" customFormat="1" ht="25.5" customHeight="1" thickBot="1">
      <c r="B862" s="604" t="s">
        <v>12966</v>
      </c>
      <c r="C862" s="605"/>
      <c r="D862" s="605"/>
      <c r="E862" s="606" t="s">
        <v>12980</v>
      </c>
      <c r="F862" s="607" t="s">
        <v>14</v>
      </c>
      <c r="G862" s="608">
        <v>1</v>
      </c>
      <c r="H862" s="609"/>
      <c r="I862" s="610">
        <f>TRUNC(SUM(I863:I866),2)</f>
        <v>72.489999999999995</v>
      </c>
    </row>
    <row r="863" spans="2:9" s="132" customFormat="1">
      <c r="B863" s="578" t="s">
        <v>568</v>
      </c>
      <c r="C863" s="600" t="s">
        <v>569</v>
      </c>
      <c r="D863" s="575"/>
      <c r="E863" s="566" t="s">
        <v>12967</v>
      </c>
      <c r="F863" s="567" t="s">
        <v>34</v>
      </c>
      <c r="G863" s="574">
        <v>1</v>
      </c>
      <c r="H863" s="569">
        <v>52.6</v>
      </c>
      <c r="I863" s="570">
        <f>TRUNC(G863*H863,2)</f>
        <v>52.6</v>
      </c>
    </row>
    <row r="864" spans="2:9" s="132" customFormat="1" ht="18" customHeight="1">
      <c r="B864" s="140" t="s">
        <v>600</v>
      </c>
      <c r="C864" s="140" t="s">
        <v>7</v>
      </c>
      <c r="D864" s="452">
        <v>88247</v>
      </c>
      <c r="E864" s="134" t="str">
        <f>IF($D864&lt;&gt;"",VLOOKUP($D864,'SINAPI JULHO 2021'!$A$1:E12220,2,FALSE),"")</f>
        <v>AUXILIAR DE ELETRICISTA COM ENCARGOS COMPLEMENTARES</v>
      </c>
      <c r="F864" s="135" t="str">
        <f>IF($D864&lt;&gt;"",VLOOKUP($D864,'SINAPI JULHO 2021'!$1:$1048576,3,FALSE),"")</f>
        <v>H</v>
      </c>
      <c r="G864" s="249">
        <v>0.1</v>
      </c>
      <c r="H864" s="256">
        <f>IF($D864&lt;&gt;"",VLOOKUP($D864,'SINAPI JULHO 2021'!$1:$1048576,4,FALSE),"")</f>
        <v>14</v>
      </c>
      <c r="I864" s="257">
        <f>TRUNC(G864*H864,2)</f>
        <v>1.4</v>
      </c>
    </row>
    <row r="865" spans="2:9" s="132" customFormat="1" ht="13.5" customHeight="1">
      <c r="B865" s="140" t="s">
        <v>600</v>
      </c>
      <c r="C865" s="140" t="s">
        <v>7</v>
      </c>
      <c r="D865" s="453">
        <v>88264</v>
      </c>
      <c r="E865" s="134" t="str">
        <f>IF($D865&lt;&gt;"",VLOOKUP($D865,'SINAPI JULHO 2021'!$A$1:E12221,2,FALSE),"")</f>
        <v>ELETRICISTA COM ENCARGOS COMPLEMENTARES</v>
      </c>
      <c r="F865" s="135" t="str">
        <f>IF($D865&lt;&gt;"",VLOOKUP($D865,'SINAPI JULHO 2021'!$1:$1048576,3,FALSE),"")</f>
        <v>H</v>
      </c>
      <c r="G865" s="249">
        <v>0.1</v>
      </c>
      <c r="H865" s="256">
        <f>IF($D865&lt;&gt;"",VLOOKUP($D865,'SINAPI JULHO 2021'!$1:$1048576,4,FALSE),"")</f>
        <v>18.3</v>
      </c>
      <c r="I865" s="257">
        <f>TRUNC(G865*H865,2)</f>
        <v>1.83</v>
      </c>
    </row>
    <row r="866" spans="2:9" s="132" customFormat="1" ht="51">
      <c r="B866" s="140" t="s">
        <v>600</v>
      </c>
      <c r="C866" s="140" t="s">
        <v>7</v>
      </c>
      <c r="D866" s="453">
        <v>96562</v>
      </c>
      <c r="E866" s="134" t="str">
        <f>IF($D866&lt;&gt;"",VLOOKUP($D866,'SINAPI JULHO 2021'!$A$1:E12222,2,FALSE),"")</f>
        <v>SUPORTE PARA ELETROCALHA LISA OU PERFURADA EM AÇO GALVANIZADO, LARGURA 200 OU 400 MM E ALTURA 50 MM, ESPAÇADO A CADA 1,5 M, EM PERFILADO DE SEÇÃO 38X76 MM, POR METRO DE ELETRECOLHA FIXADA. AF_07/2017</v>
      </c>
      <c r="F866" s="135" t="str">
        <f>IF($D866&lt;&gt;"",VLOOKUP($D866,'SINAPI JULHO 2021'!$1:$1048576,3,FALSE),"")</f>
        <v>M</v>
      </c>
      <c r="G866" s="249">
        <v>1.1000000000000001</v>
      </c>
      <c r="H866" s="256">
        <f>IF($D866&lt;&gt;"",VLOOKUP($D866,'SINAPI JULHO 2021'!$1:$1048576,4,FALSE),"")</f>
        <v>15.15</v>
      </c>
      <c r="I866" s="257">
        <f>TRUNC(G866*H866,2)</f>
        <v>16.66</v>
      </c>
    </row>
    <row r="867" spans="2:9" s="132" customFormat="1" ht="13.5" thickBot="1">
      <c r="B867" s="529"/>
      <c r="C867" s="529"/>
      <c r="D867" s="555"/>
      <c r="E867" s="556"/>
      <c r="F867" s="557"/>
      <c r="G867" s="519"/>
      <c r="H867" s="520"/>
      <c r="I867" s="520"/>
    </row>
    <row r="868" spans="2:9" s="132" customFormat="1" ht="39" thickBot="1">
      <c r="B868" s="604" t="s">
        <v>12968</v>
      </c>
      <c r="C868" s="605"/>
      <c r="D868" s="605"/>
      <c r="E868" s="606" t="s">
        <v>12979</v>
      </c>
      <c r="F868" s="607" t="s">
        <v>14</v>
      </c>
      <c r="G868" s="608">
        <v>1</v>
      </c>
      <c r="H868" s="609"/>
      <c r="I868" s="610">
        <f>TRUNC(SUM(I869:I872),2)</f>
        <v>79.790000000000006</v>
      </c>
    </row>
    <row r="869" spans="2:9" s="132" customFormat="1">
      <c r="B869" s="578" t="s">
        <v>568</v>
      </c>
      <c r="C869" s="600" t="s">
        <v>569</v>
      </c>
      <c r="D869" s="575"/>
      <c r="E869" s="566" t="s">
        <v>12969</v>
      </c>
      <c r="F869" s="567" t="s">
        <v>34</v>
      </c>
      <c r="G869" s="574">
        <v>1</v>
      </c>
      <c r="H869" s="569">
        <v>59.9</v>
      </c>
      <c r="I869" s="570">
        <f>TRUNC(G869*H869,2)</f>
        <v>59.9</v>
      </c>
    </row>
    <row r="870" spans="2:9" s="132" customFormat="1">
      <c r="B870" s="140" t="s">
        <v>600</v>
      </c>
      <c r="C870" s="140" t="s">
        <v>7</v>
      </c>
      <c r="D870" s="452">
        <v>88247</v>
      </c>
      <c r="E870" s="134" t="str">
        <f>IF($D870&lt;&gt;"",VLOOKUP($D870,'SINAPI JULHO 2021'!$A$1:E12226,2,FALSE),"")</f>
        <v>AUXILIAR DE ELETRICISTA COM ENCARGOS COMPLEMENTARES</v>
      </c>
      <c r="F870" s="135" t="str">
        <f>IF($D870&lt;&gt;"",VLOOKUP($D870,'SINAPI JULHO 2021'!$1:$1048576,3,FALSE),"")</f>
        <v>H</v>
      </c>
      <c r="G870" s="249">
        <v>0.1</v>
      </c>
      <c r="H870" s="256">
        <f>IF($D870&lt;&gt;"",VLOOKUP($D870,'SINAPI JULHO 2021'!$1:$1048576,4,FALSE),"")</f>
        <v>14</v>
      </c>
      <c r="I870" s="257">
        <f>TRUNC(G870*H870,2)</f>
        <v>1.4</v>
      </c>
    </row>
    <row r="871" spans="2:9" s="132" customFormat="1">
      <c r="B871" s="140" t="s">
        <v>600</v>
      </c>
      <c r="C871" s="140" t="s">
        <v>7</v>
      </c>
      <c r="D871" s="453">
        <v>88264</v>
      </c>
      <c r="E871" s="134" t="str">
        <f>IF($D871&lt;&gt;"",VLOOKUP($D871,'SINAPI JULHO 2021'!$A$1:E12227,2,FALSE),"")</f>
        <v>ELETRICISTA COM ENCARGOS COMPLEMENTARES</v>
      </c>
      <c r="F871" s="135" t="str">
        <f>IF($D871&lt;&gt;"",VLOOKUP($D871,'SINAPI JULHO 2021'!$1:$1048576,3,FALSE),"")</f>
        <v>H</v>
      </c>
      <c r="G871" s="249">
        <v>0.1</v>
      </c>
      <c r="H871" s="256">
        <f>IF($D871&lt;&gt;"",VLOOKUP($D871,'SINAPI JULHO 2021'!$1:$1048576,4,FALSE),"")</f>
        <v>18.3</v>
      </c>
      <c r="I871" s="257">
        <f>TRUNC(G871*H871,2)</f>
        <v>1.83</v>
      </c>
    </row>
    <row r="872" spans="2:9" s="132" customFormat="1" ht="51">
      <c r="B872" s="140" t="s">
        <v>600</v>
      </c>
      <c r="C872" s="140" t="s">
        <v>7</v>
      </c>
      <c r="D872" s="453">
        <v>96562</v>
      </c>
      <c r="E872" s="134" t="str">
        <f>IF($D872&lt;&gt;"",VLOOKUP($D872,'SINAPI JULHO 2021'!$A$1:E12228,2,FALSE),"")</f>
        <v>SUPORTE PARA ELETROCALHA LISA OU PERFURADA EM AÇO GALVANIZADO, LARGURA 200 OU 400 MM E ALTURA 50 MM, ESPAÇADO A CADA 1,5 M, EM PERFILADO DE SEÇÃO 38X76 MM, POR METRO DE ELETRECOLHA FIXADA. AF_07/2017</v>
      </c>
      <c r="F872" s="135" t="str">
        <f>IF($D872&lt;&gt;"",VLOOKUP($D872,'SINAPI JULHO 2021'!$1:$1048576,3,FALSE),"")</f>
        <v>M</v>
      </c>
      <c r="G872" s="249">
        <v>1.1000000000000001</v>
      </c>
      <c r="H872" s="256">
        <f>IF($D872&lt;&gt;"",VLOOKUP($D872,'SINAPI JULHO 2021'!$1:$1048576,4,FALSE),"")</f>
        <v>15.15</v>
      </c>
      <c r="I872" s="257">
        <f>TRUNC(G872*H872,2)</f>
        <v>16.66</v>
      </c>
    </row>
    <row r="873" spans="2:9" s="132" customFormat="1" ht="13.5" thickBot="1">
      <c r="B873" s="529"/>
      <c r="C873" s="529"/>
      <c r="D873" s="555"/>
      <c r="E873" s="556"/>
      <c r="F873" s="557"/>
      <c r="G873" s="519"/>
      <c r="H873" s="520"/>
      <c r="I873" s="520"/>
    </row>
    <row r="874" spans="2:9" s="132" customFormat="1" ht="39" thickBot="1">
      <c r="B874" s="604" t="s">
        <v>12970</v>
      </c>
      <c r="C874" s="605"/>
      <c r="D874" s="605"/>
      <c r="E874" s="606" t="s">
        <v>12978</v>
      </c>
      <c r="F874" s="607" t="s">
        <v>14</v>
      </c>
      <c r="G874" s="608">
        <v>1</v>
      </c>
      <c r="H874" s="609"/>
      <c r="I874" s="610">
        <f>TRUNC(SUM(I875:I878),2)</f>
        <v>104.22</v>
      </c>
    </row>
    <row r="875" spans="2:9" s="132" customFormat="1">
      <c r="B875" s="578" t="s">
        <v>568</v>
      </c>
      <c r="C875" s="600" t="s">
        <v>569</v>
      </c>
      <c r="D875" s="575"/>
      <c r="E875" s="566" t="s">
        <v>12971</v>
      </c>
      <c r="F875" s="567" t="s">
        <v>34</v>
      </c>
      <c r="G875" s="574">
        <v>1</v>
      </c>
      <c r="H875" s="569">
        <v>84.33</v>
      </c>
      <c r="I875" s="570">
        <f>TRUNC(G875*H875,2)</f>
        <v>84.33</v>
      </c>
    </row>
    <row r="876" spans="2:9" s="132" customFormat="1">
      <c r="B876" s="140" t="s">
        <v>600</v>
      </c>
      <c r="C876" s="140" t="s">
        <v>7</v>
      </c>
      <c r="D876" s="452">
        <v>88247</v>
      </c>
      <c r="E876" s="134" t="str">
        <f>IF($D876&lt;&gt;"",VLOOKUP($D876,'SINAPI JULHO 2021'!$A$1:E12232,2,FALSE),"")</f>
        <v>AUXILIAR DE ELETRICISTA COM ENCARGOS COMPLEMENTARES</v>
      </c>
      <c r="F876" s="135" t="str">
        <f>IF($D876&lt;&gt;"",VLOOKUP($D876,'SINAPI JULHO 2021'!$1:$1048576,3,FALSE),"")</f>
        <v>H</v>
      </c>
      <c r="G876" s="249">
        <v>0.1</v>
      </c>
      <c r="H876" s="256">
        <f>IF($D876&lt;&gt;"",VLOOKUP($D876,'SINAPI JULHO 2021'!$1:$1048576,4,FALSE),"")</f>
        <v>14</v>
      </c>
      <c r="I876" s="257">
        <f>TRUNC(G876*H876,2)</f>
        <v>1.4</v>
      </c>
    </row>
    <row r="877" spans="2:9" s="132" customFormat="1">
      <c r="B877" s="140" t="s">
        <v>600</v>
      </c>
      <c r="C877" s="140" t="s">
        <v>7</v>
      </c>
      <c r="D877" s="453">
        <v>88264</v>
      </c>
      <c r="E877" s="134" t="str">
        <f>IF($D877&lt;&gt;"",VLOOKUP($D877,'SINAPI JULHO 2021'!$A$1:E12233,2,FALSE),"")</f>
        <v>ELETRICISTA COM ENCARGOS COMPLEMENTARES</v>
      </c>
      <c r="F877" s="135" t="str">
        <f>IF($D877&lt;&gt;"",VLOOKUP($D877,'SINAPI JULHO 2021'!$1:$1048576,3,FALSE),"")</f>
        <v>H</v>
      </c>
      <c r="G877" s="249">
        <v>0.1</v>
      </c>
      <c r="H877" s="256">
        <f>IF($D877&lt;&gt;"",VLOOKUP($D877,'SINAPI JULHO 2021'!$1:$1048576,4,FALSE),"")</f>
        <v>18.3</v>
      </c>
      <c r="I877" s="257">
        <f>TRUNC(G877*H877,2)</f>
        <v>1.83</v>
      </c>
    </row>
    <row r="878" spans="2:9" s="132" customFormat="1" ht="51">
      <c r="B878" s="140" t="s">
        <v>600</v>
      </c>
      <c r="C878" s="140" t="s">
        <v>7</v>
      </c>
      <c r="D878" s="453">
        <v>96562</v>
      </c>
      <c r="E878" s="134" t="str">
        <f>IF($D878&lt;&gt;"",VLOOKUP($D878,'SINAPI JULHO 2021'!$A$1:E12234,2,FALSE),"")</f>
        <v>SUPORTE PARA ELETROCALHA LISA OU PERFURADA EM AÇO GALVANIZADO, LARGURA 200 OU 400 MM E ALTURA 50 MM, ESPAÇADO A CADA 1,5 M, EM PERFILADO DE SEÇÃO 38X76 MM, POR METRO DE ELETRECOLHA FIXADA. AF_07/2017</v>
      </c>
      <c r="F878" s="135" t="str">
        <f>IF($D878&lt;&gt;"",VLOOKUP($D878,'SINAPI JULHO 2021'!$1:$1048576,3,FALSE),"")</f>
        <v>M</v>
      </c>
      <c r="G878" s="249">
        <v>1.1000000000000001</v>
      </c>
      <c r="H878" s="256">
        <f>IF($D878&lt;&gt;"",VLOOKUP($D878,'SINAPI JULHO 2021'!$1:$1048576,4,FALSE),"")</f>
        <v>15.15</v>
      </c>
      <c r="I878" s="257">
        <f>TRUNC(G878*H878,2)</f>
        <v>16.66</v>
      </c>
    </row>
    <row r="879" spans="2:9" s="132" customFormat="1" ht="13.5" thickBot="1">
      <c r="B879" s="529"/>
      <c r="C879" s="529"/>
      <c r="D879" s="555"/>
      <c r="E879" s="556"/>
      <c r="F879" s="557"/>
      <c r="G879" s="519"/>
      <c r="H879" s="520"/>
      <c r="I879" s="520"/>
    </row>
    <row r="880" spans="2:9" s="132" customFormat="1" ht="39" thickBot="1">
      <c r="B880" s="604" t="s">
        <v>12973</v>
      </c>
      <c r="C880" s="605"/>
      <c r="D880" s="605"/>
      <c r="E880" s="606" t="s">
        <v>12977</v>
      </c>
      <c r="F880" s="607" t="s">
        <v>14</v>
      </c>
      <c r="G880" s="608">
        <v>1</v>
      </c>
      <c r="H880" s="609"/>
      <c r="I880" s="610">
        <f>TRUNC(SUM(I881:I884),2)</f>
        <v>99.77</v>
      </c>
    </row>
    <row r="881" spans="2:9" s="132" customFormat="1">
      <c r="B881" s="578" t="s">
        <v>568</v>
      </c>
      <c r="C881" s="600" t="s">
        <v>569</v>
      </c>
      <c r="D881" s="575"/>
      <c r="E881" s="566" t="s">
        <v>12972</v>
      </c>
      <c r="F881" s="567" t="s">
        <v>34</v>
      </c>
      <c r="G881" s="574">
        <v>1</v>
      </c>
      <c r="H881" s="569">
        <v>79.88</v>
      </c>
      <c r="I881" s="570">
        <f>TRUNC(G881*H881,2)</f>
        <v>79.88</v>
      </c>
    </row>
    <row r="882" spans="2:9" s="132" customFormat="1">
      <c r="B882" s="140" t="s">
        <v>600</v>
      </c>
      <c r="C882" s="140" t="s">
        <v>7</v>
      </c>
      <c r="D882" s="452">
        <v>88247</v>
      </c>
      <c r="E882" s="134" t="str">
        <f>IF($D882&lt;&gt;"",VLOOKUP($D882,'SINAPI JULHO 2021'!$A$1:E12238,2,FALSE),"")</f>
        <v>AUXILIAR DE ELETRICISTA COM ENCARGOS COMPLEMENTARES</v>
      </c>
      <c r="F882" s="135" t="str">
        <f>IF($D882&lt;&gt;"",VLOOKUP($D882,'SINAPI JULHO 2021'!$1:$1048576,3,FALSE),"")</f>
        <v>H</v>
      </c>
      <c r="G882" s="249">
        <v>0.1</v>
      </c>
      <c r="H882" s="256">
        <f>IF($D882&lt;&gt;"",VLOOKUP($D882,'SINAPI JULHO 2021'!$1:$1048576,4,FALSE),"")</f>
        <v>14</v>
      </c>
      <c r="I882" s="257">
        <f>TRUNC(G882*H882,2)</f>
        <v>1.4</v>
      </c>
    </row>
    <row r="883" spans="2:9" s="132" customFormat="1">
      <c r="B883" s="140" t="s">
        <v>600</v>
      </c>
      <c r="C883" s="140" t="s">
        <v>7</v>
      </c>
      <c r="D883" s="453">
        <v>88264</v>
      </c>
      <c r="E883" s="134" t="str">
        <f>IF($D883&lt;&gt;"",VLOOKUP($D883,'SINAPI JULHO 2021'!$A$1:E12239,2,FALSE),"")</f>
        <v>ELETRICISTA COM ENCARGOS COMPLEMENTARES</v>
      </c>
      <c r="F883" s="135" t="str">
        <f>IF($D883&lt;&gt;"",VLOOKUP($D883,'SINAPI JULHO 2021'!$1:$1048576,3,FALSE),"")</f>
        <v>H</v>
      </c>
      <c r="G883" s="249">
        <v>0.1</v>
      </c>
      <c r="H883" s="256">
        <f>IF($D883&lt;&gt;"",VLOOKUP($D883,'SINAPI JULHO 2021'!$1:$1048576,4,FALSE),"")</f>
        <v>18.3</v>
      </c>
      <c r="I883" s="257">
        <f>TRUNC(G883*H883,2)</f>
        <v>1.83</v>
      </c>
    </row>
    <row r="884" spans="2:9" s="132" customFormat="1" ht="51">
      <c r="B884" s="140" t="s">
        <v>600</v>
      </c>
      <c r="C884" s="140" t="s">
        <v>7</v>
      </c>
      <c r="D884" s="453">
        <v>96562</v>
      </c>
      <c r="E884" s="134" t="str">
        <f>IF($D884&lt;&gt;"",VLOOKUP($D884,'SINAPI JULHO 2021'!$A$1:E12240,2,FALSE),"")</f>
        <v>SUPORTE PARA ELETROCALHA LISA OU PERFURADA EM AÇO GALVANIZADO, LARGURA 200 OU 400 MM E ALTURA 50 MM, ESPAÇADO A CADA 1,5 M, EM PERFILADO DE SEÇÃO 38X76 MM, POR METRO DE ELETRECOLHA FIXADA. AF_07/2017</v>
      </c>
      <c r="F884" s="135" t="str">
        <f>IF($D884&lt;&gt;"",VLOOKUP($D884,'SINAPI JULHO 2021'!$1:$1048576,3,FALSE),"")</f>
        <v>M</v>
      </c>
      <c r="G884" s="249">
        <v>1.1000000000000001</v>
      </c>
      <c r="H884" s="256">
        <f>IF($D884&lt;&gt;"",VLOOKUP($D884,'SINAPI JULHO 2021'!$1:$1048576,4,FALSE),"")</f>
        <v>15.15</v>
      </c>
      <c r="I884" s="257">
        <f>TRUNC(G884*H884,2)</f>
        <v>16.66</v>
      </c>
    </row>
    <row r="885" spans="2:9" s="132" customFormat="1" ht="13.5" thickBot="1">
      <c r="B885" s="529"/>
      <c r="C885" s="529"/>
      <c r="D885" s="555"/>
      <c r="E885" s="556"/>
      <c r="F885" s="557"/>
      <c r="G885" s="519"/>
      <c r="H885" s="520"/>
      <c r="I885" s="520"/>
    </row>
    <row r="886" spans="2:9" s="132" customFormat="1" ht="45" customHeight="1" thickBot="1">
      <c r="B886" s="604" t="s">
        <v>12974</v>
      </c>
      <c r="C886" s="605"/>
      <c r="D886" s="605"/>
      <c r="E886" s="606" t="s">
        <v>12976</v>
      </c>
      <c r="F886" s="607" t="s">
        <v>14</v>
      </c>
      <c r="G886" s="608">
        <v>1</v>
      </c>
      <c r="H886" s="609"/>
      <c r="I886" s="610">
        <f>TRUNC(SUM(I887:I890),2)</f>
        <v>115.71</v>
      </c>
    </row>
    <row r="887" spans="2:9" s="132" customFormat="1" ht="25.5">
      <c r="B887" s="578" t="s">
        <v>568</v>
      </c>
      <c r="C887" s="600" t="s">
        <v>569</v>
      </c>
      <c r="D887" s="575"/>
      <c r="E887" s="566" t="s">
        <v>12975</v>
      </c>
      <c r="F887" s="567" t="s">
        <v>34</v>
      </c>
      <c r="G887" s="574">
        <v>1</v>
      </c>
      <c r="H887" s="569">
        <v>95.82</v>
      </c>
      <c r="I887" s="570">
        <f>TRUNC(G887*H887,2)</f>
        <v>95.82</v>
      </c>
    </row>
    <row r="888" spans="2:9" s="132" customFormat="1">
      <c r="B888" s="140" t="s">
        <v>600</v>
      </c>
      <c r="C888" s="140" t="s">
        <v>7</v>
      </c>
      <c r="D888" s="452">
        <v>88247</v>
      </c>
      <c r="E888" s="134" t="str">
        <f>IF($D888&lt;&gt;"",VLOOKUP($D888,'SINAPI JULHO 2021'!$A$1:E12244,2,FALSE),"")</f>
        <v>AUXILIAR DE ELETRICISTA COM ENCARGOS COMPLEMENTARES</v>
      </c>
      <c r="F888" s="135" t="str">
        <f>IF($D888&lt;&gt;"",VLOOKUP($D888,'SINAPI JULHO 2021'!$1:$1048576,3,FALSE),"")</f>
        <v>H</v>
      </c>
      <c r="G888" s="249">
        <v>0.1</v>
      </c>
      <c r="H888" s="256">
        <f>IF($D888&lt;&gt;"",VLOOKUP($D888,'SINAPI JULHO 2021'!$1:$1048576,4,FALSE),"")</f>
        <v>14</v>
      </c>
      <c r="I888" s="257">
        <f>TRUNC(G888*H888,2)</f>
        <v>1.4</v>
      </c>
    </row>
    <row r="889" spans="2:9" s="132" customFormat="1">
      <c r="B889" s="140" t="s">
        <v>600</v>
      </c>
      <c r="C889" s="140" t="s">
        <v>7</v>
      </c>
      <c r="D889" s="453">
        <v>88264</v>
      </c>
      <c r="E889" s="134" t="str">
        <f>IF($D889&lt;&gt;"",VLOOKUP($D889,'SINAPI JULHO 2021'!$A$1:E12245,2,FALSE),"")</f>
        <v>ELETRICISTA COM ENCARGOS COMPLEMENTARES</v>
      </c>
      <c r="F889" s="135" t="str">
        <f>IF($D889&lt;&gt;"",VLOOKUP($D889,'SINAPI JULHO 2021'!$1:$1048576,3,FALSE),"")</f>
        <v>H</v>
      </c>
      <c r="G889" s="249">
        <v>0.1</v>
      </c>
      <c r="H889" s="256">
        <f>IF($D889&lt;&gt;"",VLOOKUP($D889,'SINAPI JULHO 2021'!$1:$1048576,4,FALSE),"")</f>
        <v>18.3</v>
      </c>
      <c r="I889" s="257">
        <f>TRUNC(G889*H889,2)</f>
        <v>1.83</v>
      </c>
    </row>
    <row r="890" spans="2:9" s="132" customFormat="1" ht="51">
      <c r="B890" s="140" t="s">
        <v>600</v>
      </c>
      <c r="C890" s="140" t="s">
        <v>7</v>
      </c>
      <c r="D890" s="453">
        <v>96562</v>
      </c>
      <c r="E890" s="134" t="str">
        <f>IF($D890&lt;&gt;"",VLOOKUP($D890,'SINAPI JULHO 2021'!$A$1:E12246,2,FALSE),"")</f>
        <v>SUPORTE PARA ELETROCALHA LISA OU PERFURADA EM AÇO GALVANIZADO, LARGURA 200 OU 400 MM E ALTURA 50 MM, ESPAÇADO A CADA 1,5 M, EM PERFILADO DE SEÇÃO 38X76 MM, POR METRO DE ELETRECOLHA FIXADA. AF_07/2017</v>
      </c>
      <c r="F890" s="135" t="str">
        <f>IF($D890&lt;&gt;"",VLOOKUP($D890,'SINAPI JULHO 2021'!$1:$1048576,3,FALSE),"")</f>
        <v>M</v>
      </c>
      <c r="G890" s="249">
        <v>1.1000000000000001</v>
      </c>
      <c r="H890" s="256">
        <f>IF($D890&lt;&gt;"",VLOOKUP($D890,'SINAPI JULHO 2021'!$1:$1048576,4,FALSE),"")</f>
        <v>15.15</v>
      </c>
      <c r="I890" s="257">
        <f>TRUNC(G890*H890,2)</f>
        <v>16.66</v>
      </c>
    </row>
    <row r="891" spans="2:9" s="132" customFormat="1">
      <c r="B891" s="140"/>
      <c r="C891" s="140"/>
      <c r="D891" s="192"/>
      <c r="E891" s="213"/>
      <c r="F891" s="464"/>
      <c r="G891" s="249"/>
      <c r="H891" s="255"/>
      <c r="I891" s="255"/>
    </row>
    <row r="892" spans="2:9" s="132" customFormat="1">
      <c r="B892" s="140"/>
      <c r="C892" s="140"/>
      <c r="D892" s="192"/>
      <c r="E892" s="213"/>
      <c r="F892" s="464"/>
      <c r="G892" s="249"/>
      <c r="H892" s="255"/>
      <c r="I892" s="255"/>
    </row>
    <row r="893" spans="2:9" s="132" customFormat="1" ht="13.5" thickBot="1">
      <c r="B893" s="529"/>
      <c r="C893" s="529"/>
      <c r="D893" s="555"/>
      <c r="E893" s="556"/>
      <c r="F893" s="557"/>
      <c r="G893" s="519"/>
      <c r="H893" s="520"/>
      <c r="I893" s="520"/>
    </row>
    <row r="894" spans="2:9" s="132" customFormat="1" ht="39" thickBot="1">
      <c r="B894" s="604" t="s">
        <v>12974</v>
      </c>
      <c r="C894" s="605"/>
      <c r="D894" s="605"/>
      <c r="E894" s="606" t="s">
        <v>12976</v>
      </c>
      <c r="F894" s="607" t="s">
        <v>14</v>
      </c>
      <c r="G894" s="608">
        <v>1</v>
      </c>
      <c r="H894" s="609"/>
      <c r="I894" s="610">
        <f>TRUNC(SUM(I895:I898),2)</f>
        <v>115.71</v>
      </c>
    </row>
    <row r="895" spans="2:9" s="132" customFormat="1" ht="25.5">
      <c r="B895" s="578" t="s">
        <v>568</v>
      </c>
      <c r="C895" s="600" t="s">
        <v>569</v>
      </c>
      <c r="D895" s="575"/>
      <c r="E895" s="566" t="s">
        <v>12975</v>
      </c>
      <c r="F895" s="567" t="s">
        <v>34</v>
      </c>
      <c r="G895" s="574">
        <v>1</v>
      </c>
      <c r="H895" s="569">
        <v>95.82</v>
      </c>
      <c r="I895" s="570">
        <f>TRUNC(G895*H895,2)</f>
        <v>95.82</v>
      </c>
    </row>
    <row r="896" spans="2:9" s="132" customFormat="1">
      <c r="B896" s="140" t="s">
        <v>600</v>
      </c>
      <c r="C896" s="140" t="s">
        <v>7</v>
      </c>
      <c r="D896" s="452">
        <v>88247</v>
      </c>
      <c r="E896" s="134" t="str">
        <f>IF($D896&lt;&gt;"",VLOOKUP($D896,'SINAPI JULHO 2021'!$A$1:E12250,2,FALSE),"")</f>
        <v>AUXILIAR DE ELETRICISTA COM ENCARGOS COMPLEMENTARES</v>
      </c>
      <c r="F896" s="135" t="str">
        <f>IF($D896&lt;&gt;"",VLOOKUP($D896,'SINAPI JULHO 2021'!$1:$1048576,3,FALSE),"")</f>
        <v>H</v>
      </c>
      <c r="G896" s="249">
        <v>0.1</v>
      </c>
      <c r="H896" s="256">
        <f>IF($D896&lt;&gt;"",VLOOKUP($D896,'SINAPI JULHO 2021'!$1:$1048576,4,FALSE),"")</f>
        <v>14</v>
      </c>
      <c r="I896" s="257">
        <f>TRUNC(G896*H896,2)</f>
        <v>1.4</v>
      </c>
    </row>
    <row r="897" spans="2:9" s="132" customFormat="1">
      <c r="B897" s="140" t="s">
        <v>600</v>
      </c>
      <c r="C897" s="140" t="s">
        <v>7</v>
      </c>
      <c r="D897" s="453">
        <v>88264</v>
      </c>
      <c r="E897" s="134" t="str">
        <f>IF($D897&lt;&gt;"",VLOOKUP($D897,'SINAPI JULHO 2021'!$A$1:E12251,2,FALSE),"")</f>
        <v>ELETRICISTA COM ENCARGOS COMPLEMENTARES</v>
      </c>
      <c r="F897" s="135" t="str">
        <f>IF($D897&lt;&gt;"",VLOOKUP($D897,'SINAPI JULHO 2021'!$1:$1048576,3,FALSE),"")</f>
        <v>H</v>
      </c>
      <c r="G897" s="249">
        <v>0.1</v>
      </c>
      <c r="H897" s="256">
        <f>IF($D897&lt;&gt;"",VLOOKUP($D897,'SINAPI JULHO 2021'!$1:$1048576,4,FALSE),"")</f>
        <v>18.3</v>
      </c>
      <c r="I897" s="257">
        <f>TRUNC(G897*H897,2)</f>
        <v>1.83</v>
      </c>
    </row>
    <row r="898" spans="2:9" s="132" customFormat="1" ht="51">
      <c r="B898" s="140" t="s">
        <v>600</v>
      </c>
      <c r="C898" s="140" t="s">
        <v>7</v>
      </c>
      <c r="D898" s="453">
        <v>96562</v>
      </c>
      <c r="E898" s="134" t="str">
        <f>IF($D898&lt;&gt;"",VLOOKUP($D898,'SINAPI JULHO 2021'!$A$1:E12252,2,FALSE),"")</f>
        <v>SUPORTE PARA ELETROCALHA LISA OU PERFURADA EM AÇO GALVANIZADO, LARGURA 200 OU 400 MM E ALTURA 50 MM, ESPAÇADO A CADA 1,5 M, EM PERFILADO DE SEÇÃO 38X76 MM, POR METRO DE ELETRECOLHA FIXADA. AF_07/2017</v>
      </c>
      <c r="F898" s="135" t="str">
        <f>IF($D898&lt;&gt;"",VLOOKUP($D898,'SINAPI JULHO 2021'!$1:$1048576,3,FALSE),"")</f>
        <v>M</v>
      </c>
      <c r="G898" s="249">
        <v>1.1000000000000001</v>
      </c>
      <c r="H898" s="256">
        <f>IF($D898&lt;&gt;"",VLOOKUP($D898,'SINAPI JULHO 2021'!$1:$1048576,4,FALSE),"")</f>
        <v>15.15</v>
      </c>
      <c r="I898" s="257">
        <f>TRUNC(G898*H898,2)</f>
        <v>16.66</v>
      </c>
    </row>
    <row r="899" spans="2:9" s="132" customFormat="1">
      <c r="B899" s="140"/>
      <c r="C899" s="140"/>
      <c r="D899" s="192"/>
      <c r="E899" s="213"/>
      <c r="F899" s="464"/>
      <c r="G899" s="249"/>
      <c r="H899" s="255"/>
      <c r="I899" s="255"/>
    </row>
    <row r="900" spans="2:9" s="132" customFormat="1">
      <c r="B900" s="212" t="s">
        <v>13014</v>
      </c>
      <c r="C900" s="140"/>
      <c r="D900" s="192"/>
      <c r="E900" s="213"/>
      <c r="F900" s="464"/>
      <c r="G900" s="249"/>
      <c r="H900" s="255"/>
      <c r="I900" s="255"/>
    </row>
    <row r="901" spans="2:9" s="132" customFormat="1" ht="13.5" thickBot="1">
      <c r="B901" s="529"/>
      <c r="C901" s="529"/>
      <c r="D901" s="555"/>
      <c r="E901" s="556"/>
      <c r="F901" s="557"/>
      <c r="G901" s="519"/>
      <c r="H901" s="520"/>
      <c r="I901" s="520"/>
    </row>
    <row r="902" spans="2:9" s="132" customFormat="1" ht="13.5" thickBot="1">
      <c r="B902" s="655" t="s">
        <v>13015</v>
      </c>
      <c r="C902" s="656"/>
      <c r="D902" s="657"/>
      <c r="E902" s="658" t="s">
        <v>13016</v>
      </c>
      <c r="F902" s="659" t="s">
        <v>34</v>
      </c>
      <c r="G902" s="660" t="s">
        <v>33</v>
      </c>
      <c r="H902" s="609"/>
      <c r="I902" s="610">
        <f>TRUNC(SUM(I903:I904),2)</f>
        <v>680.48</v>
      </c>
    </row>
    <row r="903" spans="2:9" s="132" customFormat="1">
      <c r="B903" s="602" t="s">
        <v>568</v>
      </c>
      <c r="C903" s="602" t="s">
        <v>7</v>
      </c>
      <c r="D903" s="602">
        <v>10848</v>
      </c>
      <c r="E903" s="566" t="str">
        <f>IF($D903&lt;&gt;"",VLOOKUP($D903,'SINAPI JULHO 2021'!$A$1:E12194,2,FALSE),"")</f>
        <v xml:space="preserve">PLACA DE INAUGURACAO METALICA, *40* CM X *60* CM                                                                                                                                                                                                                                                                                                                                                                                                                                                          </v>
      </c>
      <c r="F903" s="567" t="str">
        <f>IF($D903&lt;&gt;"",VLOOKUP($D903,'SINAPI JULHO 2021'!$1:$1048576,3,FALSE),"")</f>
        <v xml:space="preserve">UN    </v>
      </c>
      <c r="G903" s="603">
        <v>1</v>
      </c>
      <c r="H903" s="569">
        <f>IF($D903&lt;&gt;"",VLOOKUP($D903,'SINAPI JULHO 2021'!$1:$1048576,4,FALSE),"")</f>
        <v>678.38</v>
      </c>
      <c r="I903" s="570">
        <f>TRUNC(G903*H903,2)</f>
        <v>678.38</v>
      </c>
    </row>
    <row r="904" spans="2:9" s="132" customFormat="1">
      <c r="B904" s="139" t="s">
        <v>600</v>
      </c>
      <c r="C904" s="139" t="s">
        <v>7</v>
      </c>
      <c r="D904" s="139">
        <v>88316</v>
      </c>
      <c r="E904" s="134" t="str">
        <f>IF($D904&lt;&gt;"",VLOOKUP($D904,'SINAPI JULHO 2021'!$A$1:E12195,2,FALSE),"")</f>
        <v>SERVENTE COM ENCARGOS COMPLEMENTARES</v>
      </c>
      <c r="F904" s="135" t="str">
        <f>IF($D904&lt;&gt;"",VLOOKUP($D904,'SINAPI JULHO 2021'!$1:$1048576,3,FALSE),"")</f>
        <v>H</v>
      </c>
      <c r="G904" s="252">
        <v>0.15</v>
      </c>
      <c r="H904" s="256">
        <f>IF($D904&lt;&gt;"",VLOOKUP($D904,'SINAPI JULHO 2021'!$1:$1048576,4,FALSE),"")</f>
        <v>14.02</v>
      </c>
      <c r="I904" s="257">
        <f>TRUNC(G904*H904,2)</f>
        <v>2.1</v>
      </c>
    </row>
    <row r="905" spans="2:9" s="132" customFormat="1" ht="13.5" thickBot="1">
      <c r="B905" s="529"/>
      <c r="C905" s="529"/>
      <c r="D905" s="555"/>
      <c r="E905" s="556"/>
      <c r="F905" s="557"/>
      <c r="G905" s="519"/>
      <c r="H905" s="520"/>
      <c r="I905" s="520"/>
    </row>
    <row r="906" spans="2:9" s="132" customFormat="1" ht="57" customHeight="1" thickBot="1">
      <c r="B906" s="655" t="s">
        <v>13019</v>
      </c>
      <c r="C906" s="656"/>
      <c r="D906" s="657"/>
      <c r="E906" s="658" t="s">
        <v>13025</v>
      </c>
      <c r="F906" s="659" t="s">
        <v>6987</v>
      </c>
      <c r="G906" s="660" t="s">
        <v>33</v>
      </c>
      <c r="H906" s="609"/>
      <c r="I906" s="610">
        <f>TRUNC(SUM(I907:I908),2)</f>
        <v>5019.46</v>
      </c>
    </row>
    <row r="907" spans="2:9" s="132" customFormat="1" ht="58.5" customHeight="1">
      <c r="B907" s="602" t="s">
        <v>568</v>
      </c>
      <c r="C907" s="602" t="s">
        <v>7</v>
      </c>
      <c r="D907" s="579">
        <v>25398</v>
      </c>
      <c r="E907" s="566" t="str">
        <f>IF($D907&lt;&gt;"",VLOOKUP($D907,'SINAPI JULHO 2021'!$A$1:E12198,2,FALSE),"")</f>
        <v xml:space="preserve">CONJUNTO PARA FUTSAL COM TRAVES OFICIAIS DE 3,00 X 2,00 M EM TUBO DE ACO GALVANIZADO 3" COM REQUADRO EM TUBO DE 1", PINTURA EM PRIMER COM TINTA ESMALTE SINTETICO E REDES DE POLIETILENO FIO 4 MM                                                                                                                                                                                                                                                                                                         </v>
      </c>
      <c r="F907" s="567" t="str">
        <f>IF($D907&lt;&gt;"",VLOOKUP($D907,'SINAPI JULHO 2021'!$1:$1048576,3,FALSE),"")</f>
        <v xml:space="preserve">UN    </v>
      </c>
      <c r="G907" s="603">
        <v>1</v>
      </c>
      <c r="H907" s="569">
        <f>IF($D907&lt;&gt;"",VLOOKUP($D907,'SINAPI JULHO 2021'!$1:$1048576,4,FALSE),"")</f>
        <v>5018.0600000000004</v>
      </c>
      <c r="I907" s="570">
        <f>TRUNC(G907*H907,2)</f>
        <v>5018.0600000000004</v>
      </c>
    </row>
    <row r="908" spans="2:9" s="132" customFormat="1">
      <c r="B908" s="139" t="s">
        <v>600</v>
      </c>
      <c r="C908" s="139" t="s">
        <v>7</v>
      </c>
      <c r="D908" s="139">
        <v>88316</v>
      </c>
      <c r="E908" s="134" t="str">
        <f>IF($D908&lt;&gt;"",VLOOKUP($D908,'SINAPI JULHO 2021'!$A$1:E12199,2,FALSE),"")</f>
        <v>SERVENTE COM ENCARGOS COMPLEMENTARES</v>
      </c>
      <c r="F908" s="135" t="str">
        <f>IF($D908&lt;&gt;"",VLOOKUP($D908,'SINAPI JULHO 2021'!$1:$1048576,3,FALSE),"")</f>
        <v>H</v>
      </c>
      <c r="G908" s="252">
        <v>0.1</v>
      </c>
      <c r="H908" s="256">
        <f>IF($D908&lt;&gt;"",VLOOKUP($D908,'SINAPI JULHO 2021'!$1:$1048576,4,FALSE),"")</f>
        <v>14.02</v>
      </c>
      <c r="I908" s="257">
        <f>TRUNC(G908*H908,2)</f>
        <v>1.4</v>
      </c>
    </row>
    <row r="909" spans="2:9" s="132" customFormat="1" ht="13.5" thickBot="1">
      <c r="B909" s="529"/>
      <c r="C909" s="529"/>
      <c r="D909" s="555"/>
      <c r="E909" s="556"/>
      <c r="F909" s="557"/>
      <c r="G909" s="519"/>
      <c r="H909" s="520"/>
      <c r="I909" s="520"/>
    </row>
    <row r="910" spans="2:9" s="132" customFormat="1" ht="64.5" thickBot="1">
      <c r="B910" s="655" t="s">
        <v>13020</v>
      </c>
      <c r="C910" s="656"/>
      <c r="D910" s="657"/>
      <c r="E910" s="658" t="s">
        <v>13026</v>
      </c>
      <c r="F910" s="659" t="s">
        <v>6987</v>
      </c>
      <c r="G910" s="660" t="s">
        <v>33</v>
      </c>
      <c r="H910" s="609"/>
      <c r="I910" s="610">
        <f>TRUNC(SUM(I911:I912),2)</f>
        <v>3047.8</v>
      </c>
    </row>
    <row r="911" spans="2:9" s="132" customFormat="1" ht="51" customHeight="1">
      <c r="B911" s="602" t="s">
        <v>568</v>
      </c>
      <c r="C911" s="602" t="s">
        <v>7</v>
      </c>
      <c r="D911" s="579">
        <v>25399</v>
      </c>
      <c r="E911" s="566" t="str">
        <f>IF($D911&lt;&gt;"",VLOOKUP($D911,'SINAPI JULHO 2021'!$A$1:E12202,2,FALSE),"")</f>
        <v xml:space="preserve">CONJUNTO PARA QUADRA DE  VOLEI COM POSTES EM TUBO DE ACO GALVANIZADO 3", H = *255* CM, PINTURA EM TINTA ESMALTE SINTETICO, REDE DE NYLON COM 2 MM, MALHA 10 X 10 CM E ANTENAS OFICIAIS EM FIBRA DE VIDRO                                                                                                                                                                                                                                                                                                  </v>
      </c>
      <c r="F911" s="567" t="str">
        <f>IF($D911&lt;&gt;"",VLOOKUP($D911,'SINAPI JULHO 2021'!$1:$1048576,3,FALSE),"")</f>
        <v xml:space="preserve">UN    </v>
      </c>
      <c r="G911" s="603">
        <v>1</v>
      </c>
      <c r="H911" s="569">
        <f>IF($D911&lt;&gt;"",VLOOKUP($D911,'SINAPI JULHO 2021'!$1:$1048576,4,FALSE),"")</f>
        <v>3046.4</v>
      </c>
      <c r="I911" s="570">
        <f>TRUNC(G911*H911,2)</f>
        <v>3046.4</v>
      </c>
    </row>
    <row r="912" spans="2:9" s="132" customFormat="1">
      <c r="B912" s="139" t="s">
        <v>600</v>
      </c>
      <c r="C912" s="139" t="s">
        <v>7</v>
      </c>
      <c r="D912" s="139">
        <v>88316</v>
      </c>
      <c r="E912" s="134" t="str">
        <f>IF($D912&lt;&gt;"",VLOOKUP($D912,'SINAPI JULHO 2021'!$A$1:E12203,2,FALSE),"")</f>
        <v>SERVENTE COM ENCARGOS COMPLEMENTARES</v>
      </c>
      <c r="F912" s="135" t="str">
        <f>IF($D912&lt;&gt;"",VLOOKUP($D912,'SINAPI JULHO 2021'!$1:$1048576,3,FALSE),"")</f>
        <v>H</v>
      </c>
      <c r="G912" s="252">
        <v>0.1</v>
      </c>
      <c r="H912" s="256">
        <f>IF($D912&lt;&gt;"",VLOOKUP($D912,'SINAPI JULHO 2021'!$1:$1048576,4,FALSE),"")</f>
        <v>14.02</v>
      </c>
      <c r="I912" s="257">
        <f>TRUNC(G912*H912,2)</f>
        <v>1.4</v>
      </c>
    </row>
    <row r="913" spans="2:9" s="132" customFormat="1" ht="13.5" thickBot="1">
      <c r="B913" s="529"/>
      <c r="C913" s="529"/>
      <c r="D913" s="555"/>
      <c r="E913" s="556"/>
      <c r="F913" s="557"/>
      <c r="G913" s="519"/>
      <c r="H913" s="520"/>
      <c r="I913" s="520"/>
    </row>
    <row r="914" spans="2:9" s="132" customFormat="1" ht="51.75" thickBot="1">
      <c r="B914" s="655" t="s">
        <v>13021</v>
      </c>
      <c r="C914" s="656"/>
      <c r="D914" s="657"/>
      <c r="E914" s="658" t="s">
        <v>13027</v>
      </c>
      <c r="F914" s="659" t="s">
        <v>6987</v>
      </c>
      <c r="G914" s="660" t="s">
        <v>33</v>
      </c>
      <c r="H914" s="609"/>
      <c r="I914" s="610">
        <f>TRUNC(SUM(I915:I917),2)</f>
        <v>4509.22</v>
      </c>
    </row>
    <row r="915" spans="2:9" s="132" customFormat="1" ht="38.25">
      <c r="B915" s="602" t="s">
        <v>568</v>
      </c>
      <c r="C915" s="602" t="s">
        <v>7</v>
      </c>
      <c r="D915" s="579">
        <v>25400</v>
      </c>
      <c r="E915" s="566" t="str">
        <f>IF($D915&lt;&gt;"",VLOOKUP($D915,'SINAPI JULHO 2021'!$A$1:E12206,2,FALSE),"")</f>
        <v xml:space="preserve">PAR DE TABELAS DE BASQUETE EM COMPENSADO NAVAL DE *1,80 X 1,20* M, COM ARO DE METAL E REDE (SEM SUPORTE DE FIXACAO)                                                                                                                                                                                                                                                                                                                                                                                       </v>
      </c>
      <c r="F915" s="567" t="str">
        <f>IF($D915&lt;&gt;"",VLOOKUP($D915,'SINAPI JULHO 2021'!$1:$1048576,3,FALSE),"")</f>
        <v xml:space="preserve">UN    </v>
      </c>
      <c r="G915" s="603">
        <v>1</v>
      </c>
      <c r="H915" s="569">
        <f>IF($D915&lt;&gt;"",VLOOKUP($D915,'SINAPI JULHO 2021'!$1:$1048576,4,FALSE),"")</f>
        <v>2007.82</v>
      </c>
      <c r="I915" s="570">
        <f>TRUNC(G915*H915,2)</f>
        <v>2007.82</v>
      </c>
    </row>
    <row r="916" spans="2:9" s="132" customFormat="1" ht="19.5" customHeight="1">
      <c r="B916" s="455" t="s">
        <v>568</v>
      </c>
      <c r="C916" s="139" t="s">
        <v>569</v>
      </c>
      <c r="D916" s="65"/>
      <c r="E916" s="134" t="s">
        <v>13023</v>
      </c>
      <c r="F916" s="135" t="s">
        <v>13024</v>
      </c>
      <c r="G916" s="252">
        <v>1</v>
      </c>
      <c r="H916" s="256">
        <f>1250*2</f>
        <v>2500</v>
      </c>
      <c r="I916" s="257">
        <f>TRUNC(G916*H916,2)</f>
        <v>2500</v>
      </c>
    </row>
    <row r="917" spans="2:9" s="132" customFormat="1">
      <c r="B917" s="139" t="s">
        <v>600</v>
      </c>
      <c r="C917" s="139" t="s">
        <v>7</v>
      </c>
      <c r="D917" s="139">
        <v>88316</v>
      </c>
      <c r="E917" s="134" t="str">
        <f>IF($D917&lt;&gt;"",VLOOKUP($D917,'SINAPI JULHO 2021'!$A$1:E12207,2,FALSE),"")</f>
        <v>SERVENTE COM ENCARGOS COMPLEMENTARES</v>
      </c>
      <c r="F917" s="135" t="str">
        <f>IF($D917&lt;&gt;"",VLOOKUP($D917,'SINAPI JULHO 2021'!$1:$1048576,3,FALSE),"")</f>
        <v>H</v>
      </c>
      <c r="G917" s="252">
        <v>0.1</v>
      </c>
      <c r="H917" s="256">
        <f>IF($D917&lt;&gt;"",VLOOKUP($D917,'SINAPI JULHO 2021'!$1:$1048576,4,FALSE),"")</f>
        <v>14.02</v>
      </c>
      <c r="I917" s="257">
        <f>TRUNC(G917*H917,2)</f>
        <v>1.4</v>
      </c>
    </row>
    <row r="918" spans="2:9" s="132" customFormat="1" ht="13.5" thickBot="1">
      <c r="B918" s="529"/>
      <c r="C918" s="529"/>
      <c r="D918" s="555"/>
      <c r="E918" s="556"/>
      <c r="F918" s="557"/>
      <c r="G918" s="519"/>
      <c r="H918" s="520"/>
      <c r="I918" s="520"/>
    </row>
    <row r="919" spans="2:9" s="132" customFormat="1" ht="51.75" thickBot="1">
      <c r="B919" s="655" t="s">
        <v>13442</v>
      </c>
      <c r="C919" s="656"/>
      <c r="D919" s="657"/>
      <c r="E919" s="658" t="s">
        <v>13443</v>
      </c>
      <c r="F919" s="659" t="s">
        <v>679</v>
      </c>
      <c r="G919" s="660" t="s">
        <v>33</v>
      </c>
      <c r="H919" s="609"/>
      <c r="I919" s="610">
        <f>TRUNC(SUM(I920:I921),2)</f>
        <v>948.33</v>
      </c>
    </row>
    <row r="920" spans="2:9" s="132" customFormat="1" ht="66" customHeight="1">
      <c r="B920" s="602" t="s">
        <v>568</v>
      </c>
      <c r="C920" s="602" t="s">
        <v>7</v>
      </c>
      <c r="D920" s="579">
        <v>42440</v>
      </c>
      <c r="E920" s="566" t="str">
        <f>IF($D920&lt;&gt;"",VLOOKUP($D920,'SINAPI JULHO 2021'!$A$1:E12212,2,FALSE),"")</f>
        <v xml:space="preserve">LIXEIRA DUPLA, COM CAPACIDADE VOLUMETRICA DE 60L*, FABRICADA EM TUBO DE ACO CARBONO, CESTOS EM CHAPA DE ACO E PINTURA NO PROCESSO ELETROSTATICO - PARA ACADEMIA AO AR LIVRE / ACADEMIA DA TERCEIRA IDADE - ATI                                                                                                                                                                                                                                                                                            </v>
      </c>
      <c r="F920" s="567" t="str">
        <f>IF($D920&lt;&gt;"",VLOOKUP($D920,'SINAPI JULHO 2021'!$1:$1048576,3,FALSE),"")</f>
        <v xml:space="preserve">UN    </v>
      </c>
      <c r="G920" s="603">
        <v>1</v>
      </c>
      <c r="H920" s="569">
        <f>IF($D920&lt;&gt;"",VLOOKUP($D920,'SINAPI JULHO 2021'!$1:$1048576,4,FALSE),"")</f>
        <v>946.93</v>
      </c>
      <c r="I920" s="570">
        <f>TRUNC(G920*H920,2)</f>
        <v>946.93</v>
      </c>
    </row>
    <row r="921" spans="2:9" s="132" customFormat="1">
      <c r="B921" s="139" t="s">
        <v>600</v>
      </c>
      <c r="C921" s="139" t="s">
        <v>7</v>
      </c>
      <c r="D921" s="139">
        <v>88316</v>
      </c>
      <c r="E921" s="134" t="str">
        <f>IF($D921&lt;&gt;"",VLOOKUP($D921,'SINAPI JULHO 2021'!$A$1:E12212,2,FALSE),"")</f>
        <v>SERVENTE COM ENCARGOS COMPLEMENTARES</v>
      </c>
      <c r="F921" s="135" t="str">
        <f>IF($D921&lt;&gt;"",VLOOKUP($D921,'SINAPI JULHO 2021'!$1:$1048576,3,FALSE),"")</f>
        <v>H</v>
      </c>
      <c r="G921" s="252">
        <v>0.1</v>
      </c>
      <c r="H921" s="256">
        <f>IF($D921&lt;&gt;"",VLOOKUP($D921,'SINAPI JULHO 2021'!$1:$1048576,4,FALSE),"")</f>
        <v>14.02</v>
      </c>
      <c r="I921" s="257">
        <f>TRUNC(G921*H921,2)</f>
        <v>1.4</v>
      </c>
    </row>
    <row r="922" spans="2:9" s="132" customFormat="1">
      <c r="B922" s="140"/>
      <c r="C922" s="140"/>
      <c r="D922" s="192"/>
      <c r="E922" s="213"/>
      <c r="F922" s="464"/>
      <c r="G922" s="249"/>
      <c r="H922" s="255"/>
      <c r="I922" s="255"/>
    </row>
    <row r="923" spans="2:9" s="132" customFormat="1" ht="13.5" thickBot="1">
      <c r="B923" s="529"/>
      <c r="C923" s="529"/>
      <c r="D923" s="555"/>
      <c r="E923" s="556"/>
      <c r="F923" s="557"/>
      <c r="G923" s="519"/>
      <c r="H923" s="520"/>
      <c r="I923" s="520"/>
    </row>
    <row r="924" spans="2:9" s="132" customFormat="1" ht="39" thickBot="1">
      <c r="B924" s="655" t="s">
        <v>13434</v>
      </c>
      <c r="C924" s="656"/>
      <c r="D924" s="657"/>
      <c r="E924" s="658" t="s">
        <v>13435</v>
      </c>
      <c r="F924" s="659" t="s">
        <v>679</v>
      </c>
      <c r="G924" s="660" t="s">
        <v>33</v>
      </c>
      <c r="H924" s="609"/>
      <c r="I924" s="610">
        <f>TRUNC(SUM(I925:I926),2)</f>
        <v>9864.02</v>
      </c>
    </row>
    <row r="925" spans="2:9" s="132" customFormat="1" ht="38.25">
      <c r="B925" s="578" t="s">
        <v>568</v>
      </c>
      <c r="C925" s="602" t="s">
        <v>569</v>
      </c>
      <c r="D925" s="579"/>
      <c r="E925" s="566" t="s">
        <v>13435</v>
      </c>
      <c r="F925" s="567" t="s">
        <v>679</v>
      </c>
      <c r="G925" s="603">
        <v>1</v>
      </c>
      <c r="H925" s="569">
        <v>9850</v>
      </c>
      <c r="I925" s="570">
        <f>TRUNC(G925*H925,2)</f>
        <v>9850</v>
      </c>
    </row>
    <row r="926" spans="2:9" s="132" customFormat="1">
      <c r="B926" s="139" t="s">
        <v>600</v>
      </c>
      <c r="C926" s="139" t="s">
        <v>7</v>
      </c>
      <c r="D926" s="139">
        <v>88316</v>
      </c>
      <c r="E926" s="134" t="str">
        <f>IF($D926&lt;&gt;"",VLOOKUP($D926,'SINAPI JULHO 2021'!$A$1:E12212,2,FALSE),"")</f>
        <v>SERVENTE COM ENCARGOS COMPLEMENTARES</v>
      </c>
      <c r="F926" s="135" t="str">
        <f>IF($D926&lt;&gt;"",VLOOKUP($D926,'SINAPI JULHO 2021'!$1:$1048576,3,FALSE),"")</f>
        <v>H</v>
      </c>
      <c r="G926" s="252">
        <v>1</v>
      </c>
      <c r="H926" s="256">
        <f>IF($D926&lt;&gt;"",VLOOKUP($D926,'SINAPI JULHO 2021'!$1:$1048576,4,FALSE),"")</f>
        <v>14.02</v>
      </c>
      <c r="I926" s="257">
        <f>TRUNC(G926*H926,2)</f>
        <v>14.02</v>
      </c>
    </row>
    <row r="927" spans="2:9" s="132" customFormat="1">
      <c r="B927" s="140"/>
      <c r="C927" s="140"/>
      <c r="D927" s="192"/>
      <c r="E927" s="213"/>
      <c r="F927" s="464"/>
      <c r="G927" s="249"/>
      <c r="H927" s="255"/>
      <c r="I927" s="255"/>
    </row>
    <row r="928" spans="2:9" s="132" customFormat="1">
      <c r="B928" s="212" t="str">
        <f>'2-ORÇAMENTO'!E615</f>
        <v>LIMPEZA DE OBRA</v>
      </c>
      <c r="C928" s="133"/>
      <c r="D928" s="67"/>
      <c r="E928" s="211"/>
      <c r="F928" s="454"/>
      <c r="G928" s="249"/>
      <c r="H928" s="255"/>
      <c r="I928" s="255"/>
    </row>
    <row r="929" spans="2:9" ht="13.5" thickBot="1">
      <c r="B929" s="558"/>
      <c r="C929" s="559"/>
      <c r="D929" s="559"/>
      <c r="E929" s="560"/>
      <c r="F929" s="561"/>
      <c r="G929" s="562"/>
      <c r="H929" s="563"/>
      <c r="I929" s="520"/>
    </row>
    <row r="930" spans="2:9" ht="13.5" thickBot="1">
      <c r="B930" s="655" t="s">
        <v>4297</v>
      </c>
      <c r="C930" s="656"/>
      <c r="D930" s="657"/>
      <c r="E930" s="658" t="s">
        <v>6145</v>
      </c>
      <c r="F930" s="659" t="s">
        <v>42</v>
      </c>
      <c r="G930" s="660" t="s">
        <v>33</v>
      </c>
      <c r="H930" s="609"/>
      <c r="I930" s="610">
        <f>TRUNC(SUM(I931:I931),2)</f>
        <v>1.96</v>
      </c>
    </row>
    <row r="931" spans="2:9">
      <c r="B931" s="602" t="s">
        <v>600</v>
      </c>
      <c r="C931" s="602" t="s">
        <v>7</v>
      </c>
      <c r="D931" s="602">
        <v>88316</v>
      </c>
      <c r="E931" s="566" t="str">
        <f>IF($D931&lt;&gt;"",VLOOKUP($D931,'SINAPI JULHO 2021'!$A$1:E12204,2,FALSE),"")</f>
        <v>SERVENTE COM ENCARGOS COMPLEMENTARES</v>
      </c>
      <c r="F931" s="567" t="str">
        <f>IF($D931&lt;&gt;"",VLOOKUP($D931,'SINAPI JULHO 2021'!$1:$1048576,3,FALSE),"")</f>
        <v>H</v>
      </c>
      <c r="G931" s="603">
        <v>0.14000000000000001</v>
      </c>
      <c r="H931" s="569">
        <f>IF($D931&lt;&gt;"",VLOOKUP($D931,'SINAPI JULHO 2021'!$1:$1048576,4,FALSE),"")</f>
        <v>14.02</v>
      </c>
      <c r="I931" s="570">
        <f>TRUNC(G931*H931,2)</f>
        <v>1.96</v>
      </c>
    </row>
  </sheetData>
  <protectedRanges>
    <protectedRange password="C715" sqref="D429 D432 D443" name="Intervalo3_4_1_1_1_1_1_1_1" securityDescriptor="O:WDG:WDD:(A;;CC;;;S-1-5-21-331323738-3957049979-2397494211-500)"/>
    <protectedRange password="C715" sqref="D428" name="Intervalo3_5_1_2_1_1_1_1_1" securityDescriptor="O:WDG:WDD:(A;;CC;;;S-1-5-21-331323738-3957049979-2397494211-500)"/>
  </protectedRanges>
  <mergeCells count="12">
    <mergeCell ref="B2:I2"/>
    <mergeCell ref="B8:D8"/>
    <mergeCell ref="F8:F9"/>
    <mergeCell ref="G8:G9"/>
    <mergeCell ref="H8:H9"/>
    <mergeCell ref="I8:I9"/>
    <mergeCell ref="E8:E9"/>
    <mergeCell ref="B6:I6"/>
    <mergeCell ref="B3:I3"/>
    <mergeCell ref="B4:I4"/>
    <mergeCell ref="B5:I5"/>
    <mergeCell ref="B7:I7"/>
  </mergeCells>
  <pageMargins left="0.51181102362204722" right="0.51181102362204722" top="0.78740157480314965" bottom="0.78740157480314965" header="0.31496062992125984" footer="0.31496062992125984"/>
  <pageSetup paperSize="9" scale="52"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6314"/>
  <sheetViews>
    <sheetView showOutlineSymbols="0" showWhiteSpace="0" workbookViewId="0">
      <selection activeCell="G2" sqref="G2:H2"/>
    </sheetView>
  </sheetViews>
  <sheetFormatPr defaultRowHeight="14.25"/>
  <cols>
    <col min="1" max="1" width="11.42578125" style="661" bestFit="1" customWidth="1"/>
    <col min="2" max="2" width="13.7109375" style="661" bestFit="1" customWidth="1"/>
    <col min="3" max="3" width="11.42578125" style="661" bestFit="1" customWidth="1"/>
    <col min="4" max="4" width="68.5703125" style="661" bestFit="1" customWidth="1"/>
    <col min="5" max="5" width="17.140625" style="661" bestFit="1" customWidth="1"/>
    <col min="6" max="9" width="13.7109375" style="661" bestFit="1" customWidth="1"/>
    <col min="10" max="10" width="16" style="661" bestFit="1" customWidth="1"/>
    <col min="11" max="16384" width="9.140625" style="661"/>
  </cols>
  <sheetData>
    <row r="1" spans="1:10" ht="15">
      <c r="A1" s="688"/>
      <c r="B1" s="688"/>
      <c r="C1" s="920" t="s">
        <v>15551</v>
      </c>
      <c r="D1" s="920"/>
      <c r="E1" s="920" t="s">
        <v>15554</v>
      </c>
      <c r="F1" s="920"/>
      <c r="G1" s="920"/>
      <c r="H1" s="920"/>
      <c r="I1" s="920"/>
      <c r="J1" s="920"/>
    </row>
    <row r="2" spans="1:10" ht="80.099999999999994" customHeight="1">
      <c r="A2" s="687"/>
      <c r="B2" s="687"/>
      <c r="C2" s="921" t="s">
        <v>15553</v>
      </c>
      <c r="D2" s="921"/>
      <c r="E2" s="921" t="s">
        <v>15552</v>
      </c>
      <c r="F2" s="921"/>
      <c r="G2" s="921"/>
      <c r="H2" s="921"/>
      <c r="I2" s="921"/>
      <c r="J2" s="921"/>
    </row>
    <row r="3" spans="1:10" ht="15">
      <c r="A3" s="922" t="s">
        <v>15551</v>
      </c>
      <c r="B3" s="923"/>
      <c r="C3" s="923"/>
      <c r="D3" s="923"/>
      <c r="E3" s="923"/>
      <c r="F3" s="923"/>
      <c r="G3" s="923"/>
      <c r="H3" s="923"/>
      <c r="I3" s="923"/>
      <c r="J3" s="923"/>
    </row>
    <row r="4" spans="1:10" ht="30" customHeight="1">
      <c r="A4" s="922" t="s">
        <v>15550</v>
      </c>
      <c r="B4" s="923"/>
      <c r="C4" s="923"/>
      <c r="D4" s="923"/>
      <c r="E4" s="923"/>
      <c r="F4" s="923"/>
      <c r="G4" s="923"/>
      <c r="H4" s="923"/>
      <c r="I4" s="923"/>
      <c r="J4" s="923"/>
    </row>
    <row r="5" spans="1:10" ht="18" customHeight="1">
      <c r="A5" s="686" t="s">
        <v>15549</v>
      </c>
      <c r="B5" s="684" t="s">
        <v>13484</v>
      </c>
      <c r="C5" s="686" t="s">
        <v>13483</v>
      </c>
      <c r="D5" s="686" t="s">
        <v>13482</v>
      </c>
      <c r="E5" s="924" t="s">
        <v>13481</v>
      </c>
      <c r="F5" s="924"/>
      <c r="G5" s="685" t="s">
        <v>13480</v>
      </c>
      <c r="H5" s="684" t="s">
        <v>13479</v>
      </c>
      <c r="I5" s="684" t="s">
        <v>13478</v>
      </c>
      <c r="J5" s="684" t="s">
        <v>13477</v>
      </c>
    </row>
    <row r="6" spans="1:10" ht="24" customHeight="1">
      <c r="A6" s="682" t="s">
        <v>13476</v>
      </c>
      <c r="B6" s="683" t="s">
        <v>15548</v>
      </c>
      <c r="C6" s="682" t="s">
        <v>7</v>
      </c>
      <c r="D6" s="682" t="s">
        <v>383</v>
      </c>
      <c r="E6" s="917" t="s">
        <v>13470</v>
      </c>
      <c r="F6" s="917"/>
      <c r="G6" s="681" t="s">
        <v>19</v>
      </c>
      <c r="H6" s="680">
        <v>1</v>
      </c>
      <c r="I6" s="679">
        <v>80.150000000000006</v>
      </c>
      <c r="J6" s="679">
        <v>80.150000000000006</v>
      </c>
    </row>
    <row r="7" spans="1:10" ht="24" customHeight="1">
      <c r="A7" s="677" t="s">
        <v>13472</v>
      </c>
      <c r="B7" s="678" t="s">
        <v>13915</v>
      </c>
      <c r="C7" s="677" t="s">
        <v>7</v>
      </c>
      <c r="D7" s="677" t="s">
        <v>2807</v>
      </c>
      <c r="E7" s="918" t="s">
        <v>13470</v>
      </c>
      <c r="F7" s="918"/>
      <c r="G7" s="676" t="s">
        <v>19</v>
      </c>
      <c r="H7" s="675">
        <v>1</v>
      </c>
      <c r="I7" s="674">
        <v>0.82</v>
      </c>
      <c r="J7" s="674">
        <v>0.82</v>
      </c>
    </row>
    <row r="8" spans="1:10" ht="24" customHeight="1">
      <c r="A8" s="672" t="s">
        <v>13467</v>
      </c>
      <c r="B8" s="673" t="s">
        <v>15547</v>
      </c>
      <c r="C8" s="672" t="s">
        <v>7</v>
      </c>
      <c r="D8" s="672" t="s">
        <v>15546</v>
      </c>
      <c r="E8" s="919" t="s">
        <v>13493</v>
      </c>
      <c r="F8" s="919"/>
      <c r="G8" s="671" t="s">
        <v>19</v>
      </c>
      <c r="H8" s="670">
        <v>1</v>
      </c>
      <c r="I8" s="669">
        <v>0.55000000000000004</v>
      </c>
      <c r="J8" s="669">
        <v>0.55000000000000004</v>
      </c>
    </row>
    <row r="9" spans="1:10" ht="24" customHeight="1">
      <c r="A9" s="672" t="s">
        <v>13467</v>
      </c>
      <c r="B9" s="673" t="s">
        <v>13914</v>
      </c>
      <c r="C9" s="672" t="s">
        <v>7</v>
      </c>
      <c r="D9" s="672" t="s">
        <v>13913</v>
      </c>
      <c r="E9" s="919" t="s">
        <v>13548</v>
      </c>
      <c r="F9" s="919"/>
      <c r="G9" s="671" t="s">
        <v>19</v>
      </c>
      <c r="H9" s="670">
        <v>1</v>
      </c>
      <c r="I9" s="669">
        <v>78.16</v>
      </c>
      <c r="J9" s="669">
        <v>78.16</v>
      </c>
    </row>
    <row r="10" spans="1:10" ht="24" customHeight="1">
      <c r="A10" s="672" t="s">
        <v>13467</v>
      </c>
      <c r="B10" s="673" t="s">
        <v>13558</v>
      </c>
      <c r="C10" s="672" t="s">
        <v>7</v>
      </c>
      <c r="D10" s="672" t="s">
        <v>13557</v>
      </c>
      <c r="E10" s="919" t="s">
        <v>13556</v>
      </c>
      <c r="F10" s="919"/>
      <c r="G10" s="671" t="s">
        <v>19</v>
      </c>
      <c r="H10" s="670">
        <v>1</v>
      </c>
      <c r="I10" s="669">
        <v>0.55000000000000004</v>
      </c>
      <c r="J10" s="669">
        <v>0.55000000000000004</v>
      </c>
    </row>
    <row r="11" spans="1:10" ht="24" customHeight="1">
      <c r="A11" s="672" t="s">
        <v>13467</v>
      </c>
      <c r="B11" s="673" t="s">
        <v>15545</v>
      </c>
      <c r="C11" s="672" t="s">
        <v>7</v>
      </c>
      <c r="D11" s="672" t="s">
        <v>15544</v>
      </c>
      <c r="E11" s="919" t="s">
        <v>13493</v>
      </c>
      <c r="F11" s="919"/>
      <c r="G11" s="671" t="s">
        <v>19</v>
      </c>
      <c r="H11" s="670">
        <v>1</v>
      </c>
      <c r="I11" s="669">
        <v>0.01</v>
      </c>
      <c r="J11" s="669">
        <v>0.01</v>
      </c>
    </row>
    <row r="12" spans="1:10" ht="24" customHeight="1">
      <c r="A12" s="672" t="s">
        <v>13467</v>
      </c>
      <c r="B12" s="673" t="s">
        <v>13553</v>
      </c>
      <c r="C12" s="672" t="s">
        <v>7</v>
      </c>
      <c r="D12" s="672" t="s">
        <v>13552</v>
      </c>
      <c r="E12" s="919" t="s">
        <v>13551</v>
      </c>
      <c r="F12" s="919"/>
      <c r="G12" s="671" t="s">
        <v>19</v>
      </c>
      <c r="H12" s="670">
        <v>1</v>
      </c>
      <c r="I12" s="669">
        <v>0.06</v>
      </c>
      <c r="J12" s="669">
        <v>0.06</v>
      </c>
    </row>
    <row r="13" spans="1:10" ht="25.5">
      <c r="A13" s="668"/>
      <c r="B13" s="668"/>
      <c r="C13" s="668"/>
      <c r="D13" s="668"/>
      <c r="E13" s="668" t="s">
        <v>13463</v>
      </c>
      <c r="F13" s="667">
        <v>42.909920700000001</v>
      </c>
      <c r="G13" s="668" t="s">
        <v>13462</v>
      </c>
      <c r="H13" s="667">
        <v>36.07</v>
      </c>
      <c r="I13" s="668" t="s">
        <v>13461</v>
      </c>
      <c r="J13" s="667">
        <v>78.98</v>
      </c>
    </row>
    <row r="14" spans="1:10" ht="15" thickBot="1">
      <c r="A14" s="668"/>
      <c r="B14" s="668"/>
      <c r="C14" s="668"/>
      <c r="D14" s="668"/>
      <c r="E14" s="668" t="s">
        <v>13460</v>
      </c>
      <c r="F14" s="667">
        <v>22.63</v>
      </c>
      <c r="G14" s="668"/>
      <c r="H14" s="925" t="s">
        <v>13459</v>
      </c>
      <c r="I14" s="925"/>
      <c r="J14" s="667">
        <v>102.78</v>
      </c>
    </row>
    <row r="15" spans="1:10" ht="0.95" customHeight="1" thickTop="1">
      <c r="A15" s="666"/>
      <c r="B15" s="666"/>
      <c r="C15" s="666"/>
      <c r="D15" s="666"/>
      <c r="E15" s="666"/>
      <c r="F15" s="666"/>
      <c r="G15" s="666"/>
      <c r="H15" s="666"/>
      <c r="I15" s="666"/>
      <c r="J15" s="666"/>
    </row>
    <row r="16" spans="1:10" ht="18" customHeight="1">
      <c r="A16" s="686" t="s">
        <v>15543</v>
      </c>
      <c r="B16" s="684" t="s">
        <v>13484</v>
      </c>
      <c r="C16" s="686" t="s">
        <v>13483</v>
      </c>
      <c r="D16" s="686" t="s">
        <v>13482</v>
      </c>
      <c r="E16" s="924" t="s">
        <v>13481</v>
      </c>
      <c r="F16" s="924"/>
      <c r="G16" s="685" t="s">
        <v>13480</v>
      </c>
      <c r="H16" s="684" t="s">
        <v>13479</v>
      </c>
      <c r="I16" s="684" t="s">
        <v>13478</v>
      </c>
      <c r="J16" s="684" t="s">
        <v>13477</v>
      </c>
    </row>
    <row r="17" spans="1:10" ht="24" customHeight="1">
      <c r="A17" s="682" t="s">
        <v>13476</v>
      </c>
      <c r="B17" s="683" t="s">
        <v>15542</v>
      </c>
      <c r="C17" s="682" t="s">
        <v>7</v>
      </c>
      <c r="D17" s="682" t="s">
        <v>382</v>
      </c>
      <c r="E17" s="917" t="s">
        <v>13470</v>
      </c>
      <c r="F17" s="917"/>
      <c r="G17" s="681" t="s">
        <v>19</v>
      </c>
      <c r="H17" s="680">
        <v>1</v>
      </c>
      <c r="I17" s="679">
        <v>20.18</v>
      </c>
      <c r="J17" s="679">
        <v>20.18</v>
      </c>
    </row>
    <row r="18" spans="1:10" ht="24" customHeight="1">
      <c r="A18" s="677" t="s">
        <v>13472</v>
      </c>
      <c r="B18" s="678" t="s">
        <v>13918</v>
      </c>
      <c r="C18" s="677" t="s">
        <v>7</v>
      </c>
      <c r="D18" s="677" t="s">
        <v>2806</v>
      </c>
      <c r="E18" s="918" t="s">
        <v>13470</v>
      </c>
      <c r="F18" s="918"/>
      <c r="G18" s="676" t="s">
        <v>19</v>
      </c>
      <c r="H18" s="675">
        <v>1</v>
      </c>
      <c r="I18" s="674">
        <v>0.27</v>
      </c>
      <c r="J18" s="674">
        <v>0.27</v>
      </c>
    </row>
    <row r="19" spans="1:10" ht="24" customHeight="1">
      <c r="A19" s="672" t="s">
        <v>13467</v>
      </c>
      <c r="B19" s="673" t="s">
        <v>13917</v>
      </c>
      <c r="C19" s="672" t="s">
        <v>7</v>
      </c>
      <c r="D19" s="672" t="s">
        <v>13916</v>
      </c>
      <c r="E19" s="919" t="s">
        <v>13548</v>
      </c>
      <c r="F19" s="919"/>
      <c r="G19" s="671" t="s">
        <v>19</v>
      </c>
      <c r="H19" s="670">
        <v>1</v>
      </c>
      <c r="I19" s="669">
        <v>18.28</v>
      </c>
      <c r="J19" s="669">
        <v>18.28</v>
      </c>
    </row>
    <row r="20" spans="1:10" ht="24" customHeight="1">
      <c r="A20" s="672" t="s">
        <v>13467</v>
      </c>
      <c r="B20" s="673" t="s">
        <v>15541</v>
      </c>
      <c r="C20" s="672" t="s">
        <v>7</v>
      </c>
      <c r="D20" s="672" t="s">
        <v>15540</v>
      </c>
      <c r="E20" s="919" t="s">
        <v>13493</v>
      </c>
      <c r="F20" s="919"/>
      <c r="G20" s="671" t="s">
        <v>19</v>
      </c>
      <c r="H20" s="670">
        <v>1</v>
      </c>
      <c r="I20" s="669">
        <v>0.94</v>
      </c>
      <c r="J20" s="669">
        <v>0.94</v>
      </c>
    </row>
    <row r="21" spans="1:10" ht="24" customHeight="1">
      <c r="A21" s="672" t="s">
        <v>13467</v>
      </c>
      <c r="B21" s="673" t="s">
        <v>13558</v>
      </c>
      <c r="C21" s="672" t="s">
        <v>7</v>
      </c>
      <c r="D21" s="672" t="s">
        <v>13557</v>
      </c>
      <c r="E21" s="919" t="s">
        <v>13556</v>
      </c>
      <c r="F21" s="919"/>
      <c r="G21" s="671" t="s">
        <v>19</v>
      </c>
      <c r="H21" s="670">
        <v>1</v>
      </c>
      <c r="I21" s="669">
        <v>0.55000000000000004</v>
      </c>
      <c r="J21" s="669">
        <v>0.55000000000000004</v>
      </c>
    </row>
    <row r="22" spans="1:10" ht="24" customHeight="1">
      <c r="A22" s="672" t="s">
        <v>13467</v>
      </c>
      <c r="B22" s="673" t="s">
        <v>15539</v>
      </c>
      <c r="C22" s="672" t="s">
        <v>7</v>
      </c>
      <c r="D22" s="672" t="s">
        <v>15538</v>
      </c>
      <c r="E22" s="919" t="s">
        <v>13493</v>
      </c>
      <c r="F22" s="919"/>
      <c r="G22" s="671" t="s">
        <v>19</v>
      </c>
      <c r="H22" s="670">
        <v>1</v>
      </c>
      <c r="I22" s="669">
        <v>0.08</v>
      </c>
      <c r="J22" s="669">
        <v>0.08</v>
      </c>
    </row>
    <row r="23" spans="1:10" ht="24" customHeight="1">
      <c r="A23" s="672" t="s">
        <v>13467</v>
      </c>
      <c r="B23" s="673" t="s">
        <v>13553</v>
      </c>
      <c r="C23" s="672" t="s">
        <v>7</v>
      </c>
      <c r="D23" s="672" t="s">
        <v>13552</v>
      </c>
      <c r="E23" s="919" t="s">
        <v>13551</v>
      </c>
      <c r="F23" s="919"/>
      <c r="G23" s="671" t="s">
        <v>19</v>
      </c>
      <c r="H23" s="670">
        <v>1</v>
      </c>
      <c r="I23" s="669">
        <v>0.06</v>
      </c>
      <c r="J23" s="669">
        <v>0.06</v>
      </c>
    </row>
    <row r="24" spans="1:10" ht="25.5">
      <c r="A24" s="668"/>
      <c r="B24" s="668"/>
      <c r="C24" s="668"/>
      <c r="D24" s="668"/>
      <c r="E24" s="668" t="s">
        <v>13463</v>
      </c>
      <c r="F24" s="667">
        <v>10.078235400000001</v>
      </c>
      <c r="G24" s="668" t="s">
        <v>13462</v>
      </c>
      <c r="H24" s="667">
        <v>8.4700000000000006</v>
      </c>
      <c r="I24" s="668" t="s">
        <v>13461</v>
      </c>
      <c r="J24" s="667">
        <v>18.55</v>
      </c>
    </row>
    <row r="25" spans="1:10" ht="15" thickBot="1">
      <c r="A25" s="668"/>
      <c r="B25" s="668"/>
      <c r="C25" s="668"/>
      <c r="D25" s="668"/>
      <c r="E25" s="668" t="s">
        <v>13460</v>
      </c>
      <c r="F25" s="667">
        <v>5.69</v>
      </c>
      <c r="G25" s="668"/>
      <c r="H25" s="925" t="s">
        <v>13459</v>
      </c>
      <c r="I25" s="925"/>
      <c r="J25" s="667">
        <v>25.87</v>
      </c>
    </row>
    <row r="26" spans="1:10" ht="0.95" customHeight="1" thickTop="1">
      <c r="A26" s="666"/>
      <c r="B26" s="666"/>
      <c r="C26" s="666"/>
      <c r="D26" s="666"/>
      <c r="E26" s="666"/>
      <c r="F26" s="666"/>
      <c r="G26" s="666"/>
      <c r="H26" s="666"/>
      <c r="I26" s="666"/>
      <c r="J26" s="666"/>
    </row>
    <row r="27" spans="1:10" ht="18" customHeight="1">
      <c r="A27" s="686" t="s">
        <v>15537</v>
      </c>
      <c r="B27" s="684" t="s">
        <v>13484</v>
      </c>
      <c r="C27" s="686" t="s">
        <v>13483</v>
      </c>
      <c r="D27" s="686" t="s">
        <v>13482</v>
      </c>
      <c r="E27" s="924" t="s">
        <v>13481</v>
      </c>
      <c r="F27" s="924"/>
      <c r="G27" s="685" t="s">
        <v>13480</v>
      </c>
      <c r="H27" s="684" t="s">
        <v>13479</v>
      </c>
      <c r="I27" s="684" t="s">
        <v>13478</v>
      </c>
      <c r="J27" s="684" t="s">
        <v>13477</v>
      </c>
    </row>
    <row r="28" spans="1:10" ht="24" customHeight="1">
      <c r="A28" s="682" t="s">
        <v>13476</v>
      </c>
      <c r="B28" s="683" t="s">
        <v>15536</v>
      </c>
      <c r="C28" s="682" t="s">
        <v>7</v>
      </c>
      <c r="D28" s="682" t="s">
        <v>4242</v>
      </c>
      <c r="E28" s="917" t="s">
        <v>13470</v>
      </c>
      <c r="F28" s="917"/>
      <c r="G28" s="681" t="s">
        <v>84</v>
      </c>
      <c r="H28" s="680">
        <v>1</v>
      </c>
      <c r="I28" s="679">
        <v>2582.3200000000002</v>
      </c>
      <c r="J28" s="679">
        <v>2582.3200000000002</v>
      </c>
    </row>
    <row r="29" spans="1:10" ht="24" customHeight="1">
      <c r="A29" s="677" t="s">
        <v>13472</v>
      </c>
      <c r="B29" s="678" t="s">
        <v>13891</v>
      </c>
      <c r="C29" s="677" t="s">
        <v>7</v>
      </c>
      <c r="D29" s="677" t="s">
        <v>5696</v>
      </c>
      <c r="E29" s="918" t="s">
        <v>13470</v>
      </c>
      <c r="F29" s="918"/>
      <c r="G29" s="676" t="s">
        <v>84</v>
      </c>
      <c r="H29" s="675">
        <v>1</v>
      </c>
      <c r="I29" s="674">
        <v>5.25</v>
      </c>
      <c r="J29" s="674">
        <v>5.25</v>
      </c>
    </row>
    <row r="30" spans="1:10" ht="24" customHeight="1">
      <c r="A30" s="672" t="s">
        <v>13467</v>
      </c>
      <c r="B30" s="673" t="s">
        <v>15535</v>
      </c>
      <c r="C30" s="672" t="s">
        <v>7</v>
      </c>
      <c r="D30" s="672" t="s">
        <v>15534</v>
      </c>
      <c r="E30" s="919" t="s">
        <v>13464</v>
      </c>
      <c r="F30" s="919"/>
      <c r="G30" s="671" t="s">
        <v>84</v>
      </c>
      <c r="H30" s="670">
        <v>1</v>
      </c>
      <c r="I30" s="669">
        <v>181.89</v>
      </c>
      <c r="J30" s="669">
        <v>181.89</v>
      </c>
    </row>
    <row r="31" spans="1:10" ht="24" customHeight="1">
      <c r="A31" s="672" t="s">
        <v>13467</v>
      </c>
      <c r="B31" s="673" t="s">
        <v>15533</v>
      </c>
      <c r="C31" s="672" t="s">
        <v>7</v>
      </c>
      <c r="D31" s="672" t="s">
        <v>15532</v>
      </c>
      <c r="E31" s="919" t="s">
        <v>13493</v>
      </c>
      <c r="F31" s="919"/>
      <c r="G31" s="671" t="s">
        <v>84</v>
      </c>
      <c r="H31" s="670">
        <v>1</v>
      </c>
      <c r="I31" s="669">
        <v>191.25</v>
      </c>
      <c r="J31" s="669">
        <v>191.25</v>
      </c>
    </row>
    <row r="32" spans="1:10" ht="24" customHeight="1">
      <c r="A32" s="672" t="s">
        <v>13467</v>
      </c>
      <c r="B32" s="673" t="s">
        <v>15531</v>
      </c>
      <c r="C32" s="672" t="s">
        <v>7</v>
      </c>
      <c r="D32" s="672" t="s">
        <v>15530</v>
      </c>
      <c r="E32" s="919" t="s">
        <v>13464</v>
      </c>
      <c r="F32" s="919"/>
      <c r="G32" s="671" t="s">
        <v>84</v>
      </c>
      <c r="H32" s="670">
        <v>1</v>
      </c>
      <c r="I32" s="669">
        <v>103.7</v>
      </c>
      <c r="J32" s="669">
        <v>103.7</v>
      </c>
    </row>
    <row r="33" spans="1:10" ht="24" customHeight="1">
      <c r="A33" s="672" t="s">
        <v>13467</v>
      </c>
      <c r="B33" s="673" t="s">
        <v>15529</v>
      </c>
      <c r="C33" s="672" t="s">
        <v>7</v>
      </c>
      <c r="D33" s="672" t="s">
        <v>15528</v>
      </c>
      <c r="E33" s="919" t="s">
        <v>13493</v>
      </c>
      <c r="F33" s="919"/>
      <c r="G33" s="671" t="s">
        <v>84</v>
      </c>
      <c r="H33" s="670">
        <v>1</v>
      </c>
      <c r="I33" s="669">
        <v>76.97</v>
      </c>
      <c r="J33" s="669">
        <v>76.97</v>
      </c>
    </row>
    <row r="34" spans="1:10" ht="24" customHeight="1">
      <c r="A34" s="672" t="s">
        <v>13467</v>
      </c>
      <c r="B34" s="673" t="s">
        <v>15527</v>
      </c>
      <c r="C34" s="672" t="s">
        <v>7</v>
      </c>
      <c r="D34" s="672" t="s">
        <v>15526</v>
      </c>
      <c r="E34" s="919" t="s">
        <v>13464</v>
      </c>
      <c r="F34" s="919"/>
      <c r="G34" s="671" t="s">
        <v>84</v>
      </c>
      <c r="H34" s="670">
        <v>1</v>
      </c>
      <c r="I34" s="669">
        <v>11.13</v>
      </c>
      <c r="J34" s="669">
        <v>11.13</v>
      </c>
    </row>
    <row r="35" spans="1:10" ht="24" customHeight="1">
      <c r="A35" s="672" t="s">
        <v>13467</v>
      </c>
      <c r="B35" s="673" t="s">
        <v>15525</v>
      </c>
      <c r="C35" s="672" t="s">
        <v>7</v>
      </c>
      <c r="D35" s="672" t="s">
        <v>15524</v>
      </c>
      <c r="E35" s="919" t="s">
        <v>13464</v>
      </c>
      <c r="F35" s="919"/>
      <c r="G35" s="671" t="s">
        <v>84</v>
      </c>
      <c r="H35" s="670">
        <v>1</v>
      </c>
      <c r="I35" s="669">
        <v>133.68</v>
      </c>
      <c r="J35" s="669">
        <v>133.68</v>
      </c>
    </row>
    <row r="36" spans="1:10" ht="24" customHeight="1">
      <c r="A36" s="672" t="s">
        <v>13467</v>
      </c>
      <c r="B36" s="673" t="s">
        <v>13890</v>
      </c>
      <c r="C36" s="672" t="s">
        <v>7</v>
      </c>
      <c r="D36" s="672" t="s">
        <v>13889</v>
      </c>
      <c r="E36" s="919" t="s">
        <v>13548</v>
      </c>
      <c r="F36" s="919"/>
      <c r="G36" s="671" t="s">
        <v>84</v>
      </c>
      <c r="H36" s="670">
        <v>1</v>
      </c>
      <c r="I36" s="669">
        <v>1878.45</v>
      </c>
      <c r="J36" s="669">
        <v>1878.45</v>
      </c>
    </row>
    <row r="37" spans="1:10" ht="25.5">
      <c r="A37" s="668"/>
      <c r="B37" s="668"/>
      <c r="C37" s="668"/>
      <c r="D37" s="668"/>
      <c r="E37" s="668" t="s">
        <v>13463</v>
      </c>
      <c r="F37" s="667">
        <v>1023.4162773</v>
      </c>
      <c r="G37" s="668" t="s">
        <v>13462</v>
      </c>
      <c r="H37" s="667">
        <v>860.28</v>
      </c>
      <c r="I37" s="668" t="s">
        <v>13461</v>
      </c>
      <c r="J37" s="667">
        <v>1883.7</v>
      </c>
    </row>
    <row r="38" spans="1:10" ht="15" thickBot="1">
      <c r="A38" s="668"/>
      <c r="B38" s="668"/>
      <c r="C38" s="668"/>
      <c r="D38" s="668"/>
      <c r="E38" s="668" t="s">
        <v>13460</v>
      </c>
      <c r="F38" s="667">
        <v>729.24</v>
      </c>
      <c r="G38" s="668"/>
      <c r="H38" s="925" t="s">
        <v>13459</v>
      </c>
      <c r="I38" s="925"/>
      <c r="J38" s="667">
        <v>3311.56</v>
      </c>
    </row>
    <row r="39" spans="1:10" ht="0.95" customHeight="1" thickTop="1">
      <c r="A39" s="666"/>
      <c r="B39" s="666"/>
      <c r="C39" s="666"/>
      <c r="D39" s="666"/>
      <c r="E39" s="666"/>
      <c r="F39" s="666"/>
      <c r="G39" s="666"/>
      <c r="H39" s="666"/>
      <c r="I39" s="666"/>
      <c r="J39" s="666"/>
    </row>
    <row r="40" spans="1:10" ht="18" customHeight="1">
      <c r="A40" s="686" t="s">
        <v>15523</v>
      </c>
      <c r="B40" s="684" t="s">
        <v>13484</v>
      </c>
      <c r="C40" s="686" t="s">
        <v>13483</v>
      </c>
      <c r="D40" s="686" t="s">
        <v>13482</v>
      </c>
      <c r="E40" s="924" t="s">
        <v>13481</v>
      </c>
      <c r="F40" s="924"/>
      <c r="G40" s="685" t="s">
        <v>13480</v>
      </c>
      <c r="H40" s="684" t="s">
        <v>13479</v>
      </c>
      <c r="I40" s="684" t="s">
        <v>13478</v>
      </c>
      <c r="J40" s="684" t="s">
        <v>13477</v>
      </c>
    </row>
    <row r="41" spans="1:10" ht="24" customHeight="1">
      <c r="A41" s="682" t="s">
        <v>13476</v>
      </c>
      <c r="B41" s="683" t="s">
        <v>15522</v>
      </c>
      <c r="C41" s="682" t="s">
        <v>7</v>
      </c>
      <c r="D41" s="682" t="s">
        <v>181</v>
      </c>
      <c r="E41" s="917" t="s">
        <v>13470</v>
      </c>
      <c r="F41" s="917"/>
      <c r="G41" s="681" t="s">
        <v>19</v>
      </c>
      <c r="H41" s="680">
        <v>1</v>
      </c>
      <c r="I41" s="679">
        <v>18.260000000000002</v>
      </c>
      <c r="J41" s="679">
        <v>18.260000000000002</v>
      </c>
    </row>
    <row r="42" spans="1:10" ht="24" customHeight="1">
      <c r="A42" s="677" t="s">
        <v>13472</v>
      </c>
      <c r="B42" s="678" t="s">
        <v>13888</v>
      </c>
      <c r="C42" s="677" t="s">
        <v>7</v>
      </c>
      <c r="D42" s="677" t="s">
        <v>2793</v>
      </c>
      <c r="E42" s="918" t="s">
        <v>13470</v>
      </c>
      <c r="F42" s="918"/>
      <c r="G42" s="676" t="s">
        <v>19</v>
      </c>
      <c r="H42" s="675">
        <v>1</v>
      </c>
      <c r="I42" s="674">
        <v>0.05</v>
      </c>
      <c r="J42" s="674">
        <v>0.05</v>
      </c>
    </row>
    <row r="43" spans="1:10" ht="24" customHeight="1">
      <c r="A43" s="672" t="s">
        <v>13467</v>
      </c>
      <c r="B43" s="673" t="s">
        <v>13562</v>
      </c>
      <c r="C43" s="672" t="s">
        <v>7</v>
      </c>
      <c r="D43" s="672" t="s">
        <v>13561</v>
      </c>
      <c r="E43" s="919" t="s">
        <v>13556</v>
      </c>
      <c r="F43" s="919"/>
      <c r="G43" s="671" t="s">
        <v>19</v>
      </c>
      <c r="H43" s="670">
        <v>1</v>
      </c>
      <c r="I43" s="669">
        <v>0.96</v>
      </c>
      <c r="J43" s="669">
        <v>0.96</v>
      </c>
    </row>
    <row r="44" spans="1:10" ht="24" customHeight="1">
      <c r="A44" s="672" t="s">
        <v>13467</v>
      </c>
      <c r="B44" s="673" t="s">
        <v>14100</v>
      </c>
      <c r="C44" s="672" t="s">
        <v>7</v>
      </c>
      <c r="D44" s="672" t="s">
        <v>14099</v>
      </c>
      <c r="E44" s="919" t="s">
        <v>13493</v>
      </c>
      <c r="F44" s="919"/>
      <c r="G44" s="671" t="s">
        <v>19</v>
      </c>
      <c r="H44" s="670">
        <v>1</v>
      </c>
      <c r="I44" s="669">
        <v>1.01</v>
      </c>
      <c r="J44" s="669">
        <v>1.01</v>
      </c>
    </row>
    <row r="45" spans="1:10" ht="24" customHeight="1">
      <c r="A45" s="672" t="s">
        <v>13467</v>
      </c>
      <c r="B45" s="673" t="s">
        <v>13558</v>
      </c>
      <c r="C45" s="672" t="s">
        <v>7</v>
      </c>
      <c r="D45" s="672" t="s">
        <v>13557</v>
      </c>
      <c r="E45" s="919" t="s">
        <v>13556</v>
      </c>
      <c r="F45" s="919"/>
      <c r="G45" s="671" t="s">
        <v>19</v>
      </c>
      <c r="H45" s="670">
        <v>1</v>
      </c>
      <c r="I45" s="669">
        <v>0.55000000000000004</v>
      </c>
      <c r="J45" s="669">
        <v>0.55000000000000004</v>
      </c>
    </row>
    <row r="46" spans="1:10" ht="24" customHeight="1">
      <c r="A46" s="672" t="s">
        <v>13467</v>
      </c>
      <c r="B46" s="673" t="s">
        <v>14098</v>
      </c>
      <c r="C46" s="672" t="s">
        <v>7</v>
      </c>
      <c r="D46" s="672" t="s">
        <v>14097</v>
      </c>
      <c r="E46" s="919" t="s">
        <v>13493</v>
      </c>
      <c r="F46" s="919"/>
      <c r="G46" s="671" t="s">
        <v>19</v>
      </c>
      <c r="H46" s="670">
        <v>1</v>
      </c>
      <c r="I46" s="669">
        <v>0.41</v>
      </c>
      <c r="J46" s="669">
        <v>0.41</v>
      </c>
    </row>
    <row r="47" spans="1:10" ht="24" customHeight="1">
      <c r="A47" s="672" t="s">
        <v>13467</v>
      </c>
      <c r="B47" s="673" t="s">
        <v>13553</v>
      </c>
      <c r="C47" s="672" t="s">
        <v>7</v>
      </c>
      <c r="D47" s="672" t="s">
        <v>13552</v>
      </c>
      <c r="E47" s="919" t="s">
        <v>13551</v>
      </c>
      <c r="F47" s="919"/>
      <c r="G47" s="671" t="s">
        <v>19</v>
      </c>
      <c r="H47" s="670">
        <v>1</v>
      </c>
      <c r="I47" s="669">
        <v>0.06</v>
      </c>
      <c r="J47" s="669">
        <v>0.06</v>
      </c>
    </row>
    <row r="48" spans="1:10" ht="24" customHeight="1">
      <c r="A48" s="672" t="s">
        <v>13467</v>
      </c>
      <c r="B48" s="673" t="s">
        <v>13547</v>
      </c>
      <c r="C48" s="672" t="s">
        <v>7</v>
      </c>
      <c r="D48" s="672" t="s">
        <v>13546</v>
      </c>
      <c r="E48" s="919" t="s">
        <v>13545</v>
      </c>
      <c r="F48" s="919"/>
      <c r="G48" s="671" t="s">
        <v>19</v>
      </c>
      <c r="H48" s="670">
        <v>1</v>
      </c>
      <c r="I48" s="669">
        <v>0.71</v>
      </c>
      <c r="J48" s="669">
        <v>0.71</v>
      </c>
    </row>
    <row r="49" spans="1:10" ht="24" customHeight="1">
      <c r="A49" s="672" t="s">
        <v>13467</v>
      </c>
      <c r="B49" s="673" t="s">
        <v>13887</v>
      </c>
      <c r="C49" s="672" t="s">
        <v>7</v>
      </c>
      <c r="D49" s="672" t="s">
        <v>13886</v>
      </c>
      <c r="E49" s="919" t="s">
        <v>13548</v>
      </c>
      <c r="F49" s="919"/>
      <c r="G49" s="671" t="s">
        <v>19</v>
      </c>
      <c r="H49" s="670">
        <v>1</v>
      </c>
      <c r="I49" s="669">
        <v>14.51</v>
      </c>
      <c r="J49" s="669">
        <v>14.51</v>
      </c>
    </row>
    <row r="50" spans="1:10" ht="25.5">
      <c r="A50" s="668"/>
      <c r="B50" s="668"/>
      <c r="C50" s="668"/>
      <c r="D50" s="668"/>
      <c r="E50" s="668" t="s">
        <v>13463</v>
      </c>
      <c r="F50" s="667">
        <v>7.9104640000000002</v>
      </c>
      <c r="G50" s="668" t="s">
        <v>13462</v>
      </c>
      <c r="H50" s="667">
        <v>6.65</v>
      </c>
      <c r="I50" s="668" t="s">
        <v>13461</v>
      </c>
      <c r="J50" s="667">
        <v>14.56</v>
      </c>
    </row>
    <row r="51" spans="1:10" ht="15" thickBot="1">
      <c r="A51" s="668"/>
      <c r="B51" s="668"/>
      <c r="C51" s="668"/>
      <c r="D51" s="668"/>
      <c r="E51" s="668" t="s">
        <v>13460</v>
      </c>
      <c r="F51" s="667">
        <v>5.15</v>
      </c>
      <c r="G51" s="668"/>
      <c r="H51" s="925" t="s">
        <v>13459</v>
      </c>
      <c r="I51" s="925"/>
      <c r="J51" s="667">
        <v>23.41</v>
      </c>
    </row>
    <row r="52" spans="1:10" ht="0.95" customHeight="1" thickTop="1">
      <c r="A52" s="666"/>
      <c r="B52" s="666"/>
      <c r="C52" s="666"/>
      <c r="D52" s="666"/>
      <c r="E52" s="666"/>
      <c r="F52" s="666"/>
      <c r="G52" s="666"/>
      <c r="H52" s="666"/>
      <c r="I52" s="666"/>
      <c r="J52" s="666"/>
    </row>
    <row r="53" spans="1:10" ht="18" customHeight="1">
      <c r="A53" s="686" t="s">
        <v>15521</v>
      </c>
      <c r="B53" s="684" t="s">
        <v>13484</v>
      </c>
      <c r="C53" s="686" t="s">
        <v>13483</v>
      </c>
      <c r="D53" s="686" t="s">
        <v>13482</v>
      </c>
      <c r="E53" s="924" t="s">
        <v>13481</v>
      </c>
      <c r="F53" s="924"/>
      <c r="G53" s="685" t="s">
        <v>13480</v>
      </c>
      <c r="H53" s="684" t="s">
        <v>13479</v>
      </c>
      <c r="I53" s="684" t="s">
        <v>13478</v>
      </c>
      <c r="J53" s="684" t="s">
        <v>13477</v>
      </c>
    </row>
    <row r="54" spans="1:10" ht="24" customHeight="1">
      <c r="A54" s="682" t="s">
        <v>13476</v>
      </c>
      <c r="B54" s="683" t="s">
        <v>15520</v>
      </c>
      <c r="C54" s="682" t="s">
        <v>7</v>
      </c>
      <c r="D54" s="682" t="s">
        <v>3532</v>
      </c>
      <c r="E54" s="917" t="s">
        <v>13855</v>
      </c>
      <c r="F54" s="917"/>
      <c r="G54" s="681" t="s">
        <v>13610</v>
      </c>
      <c r="H54" s="680">
        <v>1</v>
      </c>
      <c r="I54" s="679">
        <v>88</v>
      </c>
      <c r="J54" s="679">
        <v>88</v>
      </c>
    </row>
    <row r="55" spans="1:10" ht="36" customHeight="1">
      <c r="A55" s="677" t="s">
        <v>13472</v>
      </c>
      <c r="B55" s="678" t="s">
        <v>13577</v>
      </c>
      <c r="C55" s="677" t="s">
        <v>7</v>
      </c>
      <c r="D55" s="677" t="s">
        <v>1932</v>
      </c>
      <c r="E55" s="918" t="s">
        <v>13491</v>
      </c>
      <c r="F55" s="918"/>
      <c r="G55" s="676" t="s">
        <v>38</v>
      </c>
      <c r="H55" s="675">
        <v>4.4000000000000003E-3</v>
      </c>
      <c r="I55" s="674">
        <v>16.260000000000002</v>
      </c>
      <c r="J55" s="674">
        <v>7.0000000000000007E-2</v>
      </c>
    </row>
    <row r="56" spans="1:10" ht="36" customHeight="1">
      <c r="A56" s="677" t="s">
        <v>13472</v>
      </c>
      <c r="B56" s="678" t="s">
        <v>13578</v>
      </c>
      <c r="C56" s="677" t="s">
        <v>7</v>
      </c>
      <c r="D56" s="677" t="s">
        <v>1933</v>
      </c>
      <c r="E56" s="918" t="s">
        <v>13491</v>
      </c>
      <c r="F56" s="918"/>
      <c r="G56" s="676" t="s">
        <v>53</v>
      </c>
      <c r="H56" s="675">
        <v>1.9099999999999999E-2</v>
      </c>
      <c r="I56" s="674">
        <v>13.53</v>
      </c>
      <c r="J56" s="674">
        <v>0.25</v>
      </c>
    </row>
    <row r="57" spans="1:10" ht="36" customHeight="1">
      <c r="A57" s="677" t="s">
        <v>13472</v>
      </c>
      <c r="B57" s="678" t="s">
        <v>14001</v>
      </c>
      <c r="C57" s="677" t="s">
        <v>7</v>
      </c>
      <c r="D57" s="677" t="s">
        <v>7014</v>
      </c>
      <c r="E57" s="918" t="s">
        <v>13646</v>
      </c>
      <c r="F57" s="918"/>
      <c r="G57" s="676" t="s">
        <v>13515</v>
      </c>
      <c r="H57" s="675">
        <v>1.1999999999999999E-3</v>
      </c>
      <c r="I57" s="674">
        <v>339.33</v>
      </c>
      <c r="J57" s="674">
        <v>0.4</v>
      </c>
    </row>
    <row r="58" spans="1:10" ht="24" customHeight="1">
      <c r="A58" s="677" t="s">
        <v>13472</v>
      </c>
      <c r="B58" s="678" t="s">
        <v>13644</v>
      </c>
      <c r="C58" s="677" t="s">
        <v>7</v>
      </c>
      <c r="D58" s="677" t="s">
        <v>39</v>
      </c>
      <c r="E58" s="918" t="s">
        <v>13470</v>
      </c>
      <c r="F58" s="918"/>
      <c r="G58" s="676" t="s">
        <v>19</v>
      </c>
      <c r="H58" s="675">
        <v>0.18970000000000001</v>
      </c>
      <c r="I58" s="674">
        <v>14.57</v>
      </c>
      <c r="J58" s="674">
        <v>2.76</v>
      </c>
    </row>
    <row r="59" spans="1:10" ht="24" customHeight="1">
      <c r="A59" s="677" t="s">
        <v>13472</v>
      </c>
      <c r="B59" s="678" t="s">
        <v>13833</v>
      </c>
      <c r="C59" s="677" t="s">
        <v>7</v>
      </c>
      <c r="D59" s="677" t="s">
        <v>40</v>
      </c>
      <c r="E59" s="918" t="s">
        <v>13470</v>
      </c>
      <c r="F59" s="918"/>
      <c r="G59" s="676" t="s">
        <v>19</v>
      </c>
      <c r="H59" s="675">
        <v>0.56910000000000005</v>
      </c>
      <c r="I59" s="674">
        <v>17.48</v>
      </c>
      <c r="J59" s="674">
        <v>9.94</v>
      </c>
    </row>
    <row r="60" spans="1:10" ht="24" customHeight="1">
      <c r="A60" s="672" t="s">
        <v>13467</v>
      </c>
      <c r="B60" s="673" t="s">
        <v>13852</v>
      </c>
      <c r="C60" s="672" t="s">
        <v>7</v>
      </c>
      <c r="D60" s="672" t="s">
        <v>13851</v>
      </c>
      <c r="E60" s="919" t="s">
        <v>13464</v>
      </c>
      <c r="F60" s="919"/>
      <c r="G60" s="671" t="s">
        <v>14</v>
      </c>
      <c r="H60" s="670">
        <v>1.2273000000000001</v>
      </c>
      <c r="I60" s="669">
        <v>14.76</v>
      </c>
      <c r="J60" s="669">
        <v>18.11</v>
      </c>
    </row>
    <row r="61" spans="1:10" ht="24" customHeight="1">
      <c r="A61" s="672" t="s">
        <v>13467</v>
      </c>
      <c r="B61" s="673" t="s">
        <v>13846</v>
      </c>
      <c r="C61" s="672" t="s">
        <v>7</v>
      </c>
      <c r="D61" s="672" t="s">
        <v>13845</v>
      </c>
      <c r="E61" s="919" t="s">
        <v>13464</v>
      </c>
      <c r="F61" s="919"/>
      <c r="G61" s="671" t="s">
        <v>17</v>
      </c>
      <c r="H61" s="670">
        <v>4.2799999999999998E-2</v>
      </c>
      <c r="I61" s="669">
        <v>18</v>
      </c>
      <c r="J61" s="669">
        <v>0.77</v>
      </c>
    </row>
    <row r="62" spans="1:10" ht="24" customHeight="1">
      <c r="A62" s="672" t="s">
        <v>13467</v>
      </c>
      <c r="B62" s="673" t="s">
        <v>13844</v>
      </c>
      <c r="C62" s="672" t="s">
        <v>7</v>
      </c>
      <c r="D62" s="672" t="s">
        <v>13843</v>
      </c>
      <c r="E62" s="919" t="s">
        <v>13464</v>
      </c>
      <c r="F62" s="919"/>
      <c r="G62" s="671" t="s">
        <v>14</v>
      </c>
      <c r="H62" s="670">
        <v>1</v>
      </c>
      <c r="I62" s="669">
        <v>17.510000000000002</v>
      </c>
      <c r="J62" s="669">
        <v>17.510000000000002</v>
      </c>
    </row>
    <row r="63" spans="1:10" ht="36" customHeight="1">
      <c r="A63" s="672" t="s">
        <v>13467</v>
      </c>
      <c r="B63" s="673" t="s">
        <v>15294</v>
      </c>
      <c r="C63" s="672" t="s">
        <v>7</v>
      </c>
      <c r="D63" s="672" t="s">
        <v>15293</v>
      </c>
      <c r="E63" s="919" t="s">
        <v>13464</v>
      </c>
      <c r="F63" s="919"/>
      <c r="G63" s="671" t="s">
        <v>13610</v>
      </c>
      <c r="H63" s="670">
        <v>0.58530000000000004</v>
      </c>
      <c r="I63" s="669">
        <v>65.260000000000005</v>
      </c>
      <c r="J63" s="669">
        <v>38.19</v>
      </c>
    </row>
    <row r="64" spans="1:10" ht="25.5">
      <c r="A64" s="668"/>
      <c r="B64" s="668"/>
      <c r="C64" s="668"/>
      <c r="D64" s="668"/>
      <c r="E64" s="668" t="s">
        <v>13463</v>
      </c>
      <c r="F64" s="667">
        <v>5.5416711941758123</v>
      </c>
      <c r="G64" s="668" t="s">
        <v>13462</v>
      </c>
      <c r="H64" s="667">
        <v>4.66</v>
      </c>
      <c r="I64" s="668" t="s">
        <v>13461</v>
      </c>
      <c r="J64" s="667">
        <v>10.199999999999999</v>
      </c>
    </row>
    <row r="65" spans="1:10" ht="15" thickBot="1">
      <c r="A65" s="668"/>
      <c r="B65" s="668"/>
      <c r="C65" s="668"/>
      <c r="D65" s="668"/>
      <c r="E65" s="668" t="s">
        <v>13460</v>
      </c>
      <c r="F65" s="667">
        <v>24.85</v>
      </c>
      <c r="G65" s="668"/>
      <c r="H65" s="925" t="s">
        <v>13459</v>
      </c>
      <c r="I65" s="925"/>
      <c r="J65" s="667">
        <v>112.85</v>
      </c>
    </row>
    <row r="66" spans="1:10" ht="0.95" customHeight="1" thickTop="1">
      <c r="A66" s="666"/>
      <c r="B66" s="666"/>
      <c r="C66" s="666"/>
      <c r="D66" s="666"/>
      <c r="E66" s="666"/>
      <c r="F66" s="666"/>
      <c r="G66" s="666"/>
      <c r="H66" s="666"/>
      <c r="I66" s="666"/>
      <c r="J66" s="666"/>
    </row>
    <row r="67" spans="1:10" ht="18" customHeight="1">
      <c r="A67" s="686" t="s">
        <v>15519</v>
      </c>
      <c r="B67" s="684" t="s">
        <v>13484</v>
      </c>
      <c r="C67" s="686" t="s">
        <v>13483</v>
      </c>
      <c r="D67" s="686" t="s">
        <v>13482</v>
      </c>
      <c r="E67" s="924" t="s">
        <v>13481</v>
      </c>
      <c r="F67" s="924"/>
      <c r="G67" s="685" t="s">
        <v>13480</v>
      </c>
      <c r="H67" s="684" t="s">
        <v>13479</v>
      </c>
      <c r="I67" s="684" t="s">
        <v>13478</v>
      </c>
      <c r="J67" s="684" t="s">
        <v>13477</v>
      </c>
    </row>
    <row r="68" spans="1:10" ht="36" customHeight="1">
      <c r="A68" s="682" t="s">
        <v>13476</v>
      </c>
      <c r="B68" s="683" t="s">
        <v>15518</v>
      </c>
      <c r="C68" s="682" t="s">
        <v>7</v>
      </c>
      <c r="D68" s="682" t="s">
        <v>3436</v>
      </c>
      <c r="E68" s="917" t="s">
        <v>13855</v>
      </c>
      <c r="F68" s="917"/>
      <c r="G68" s="681" t="s">
        <v>34</v>
      </c>
      <c r="H68" s="680">
        <v>1</v>
      </c>
      <c r="I68" s="679">
        <v>6294.27</v>
      </c>
      <c r="J68" s="679">
        <v>6294.27</v>
      </c>
    </row>
    <row r="69" spans="1:10" ht="24" customHeight="1">
      <c r="A69" s="677" t="s">
        <v>13472</v>
      </c>
      <c r="B69" s="678" t="s">
        <v>13856</v>
      </c>
      <c r="C69" s="677" t="s">
        <v>7</v>
      </c>
      <c r="D69" s="677" t="s">
        <v>4490</v>
      </c>
      <c r="E69" s="918" t="s">
        <v>13855</v>
      </c>
      <c r="F69" s="918"/>
      <c r="G69" s="676" t="s">
        <v>34</v>
      </c>
      <c r="H69" s="675">
        <v>1</v>
      </c>
      <c r="I69" s="674">
        <v>5040.58</v>
      </c>
      <c r="J69" s="674">
        <v>5040.58</v>
      </c>
    </row>
    <row r="70" spans="1:10" ht="48" customHeight="1">
      <c r="A70" s="677" t="s">
        <v>13472</v>
      </c>
      <c r="B70" s="678" t="s">
        <v>13530</v>
      </c>
      <c r="C70" s="677" t="s">
        <v>7</v>
      </c>
      <c r="D70" s="677" t="s">
        <v>2547</v>
      </c>
      <c r="E70" s="918" t="s">
        <v>13474</v>
      </c>
      <c r="F70" s="918"/>
      <c r="G70" s="676" t="s">
        <v>14</v>
      </c>
      <c r="H70" s="675">
        <v>20</v>
      </c>
      <c r="I70" s="674">
        <v>7.93</v>
      </c>
      <c r="J70" s="674">
        <v>158.6</v>
      </c>
    </row>
    <row r="71" spans="1:10" ht="36" customHeight="1">
      <c r="A71" s="677" t="s">
        <v>13472</v>
      </c>
      <c r="B71" s="678" t="s">
        <v>14956</v>
      </c>
      <c r="C71" s="677" t="s">
        <v>7</v>
      </c>
      <c r="D71" s="677" t="s">
        <v>1325</v>
      </c>
      <c r="E71" s="918" t="s">
        <v>13474</v>
      </c>
      <c r="F71" s="918"/>
      <c r="G71" s="676" t="s">
        <v>34</v>
      </c>
      <c r="H71" s="675">
        <v>3</v>
      </c>
      <c r="I71" s="674">
        <v>4.72</v>
      </c>
      <c r="J71" s="674">
        <v>14.16</v>
      </c>
    </row>
    <row r="72" spans="1:10" ht="48" customHeight="1">
      <c r="A72" s="677" t="s">
        <v>13472</v>
      </c>
      <c r="B72" s="678" t="s">
        <v>13527</v>
      </c>
      <c r="C72" s="677" t="s">
        <v>7</v>
      </c>
      <c r="D72" s="677" t="s">
        <v>2587</v>
      </c>
      <c r="E72" s="918" t="s">
        <v>13474</v>
      </c>
      <c r="F72" s="918"/>
      <c r="G72" s="676" t="s">
        <v>34</v>
      </c>
      <c r="H72" s="675">
        <v>2</v>
      </c>
      <c r="I72" s="674">
        <v>8.8000000000000007</v>
      </c>
      <c r="J72" s="674">
        <v>17.600000000000001</v>
      </c>
    </row>
    <row r="73" spans="1:10" ht="60" customHeight="1">
      <c r="A73" s="677" t="s">
        <v>13472</v>
      </c>
      <c r="B73" s="678" t="s">
        <v>14104</v>
      </c>
      <c r="C73" s="677" t="s">
        <v>7</v>
      </c>
      <c r="D73" s="677" t="s">
        <v>2602</v>
      </c>
      <c r="E73" s="918" t="s">
        <v>13474</v>
      </c>
      <c r="F73" s="918"/>
      <c r="G73" s="676" t="s">
        <v>34</v>
      </c>
      <c r="H73" s="675">
        <v>1</v>
      </c>
      <c r="I73" s="674">
        <v>17.21</v>
      </c>
      <c r="J73" s="674">
        <v>17.21</v>
      </c>
    </row>
    <row r="74" spans="1:10" ht="36" customHeight="1">
      <c r="A74" s="677" t="s">
        <v>13472</v>
      </c>
      <c r="B74" s="678" t="s">
        <v>13746</v>
      </c>
      <c r="C74" s="677" t="s">
        <v>7</v>
      </c>
      <c r="D74" s="677" t="s">
        <v>1689</v>
      </c>
      <c r="E74" s="918" t="s">
        <v>13474</v>
      </c>
      <c r="F74" s="918"/>
      <c r="G74" s="676" t="s">
        <v>34</v>
      </c>
      <c r="H74" s="675">
        <v>1</v>
      </c>
      <c r="I74" s="674">
        <v>32.229999999999997</v>
      </c>
      <c r="J74" s="674">
        <v>32.229999999999997</v>
      </c>
    </row>
    <row r="75" spans="1:10" ht="24" customHeight="1">
      <c r="A75" s="677" t="s">
        <v>13472</v>
      </c>
      <c r="B75" s="678" t="s">
        <v>13535</v>
      </c>
      <c r="C75" s="677" t="s">
        <v>7</v>
      </c>
      <c r="D75" s="677" t="s">
        <v>4047</v>
      </c>
      <c r="E75" s="918" t="s">
        <v>13474</v>
      </c>
      <c r="F75" s="918"/>
      <c r="G75" s="676" t="s">
        <v>34</v>
      </c>
      <c r="H75" s="675">
        <v>1</v>
      </c>
      <c r="I75" s="674">
        <v>35.200000000000003</v>
      </c>
      <c r="J75" s="674">
        <v>35.200000000000003</v>
      </c>
    </row>
    <row r="76" spans="1:10" ht="24" customHeight="1">
      <c r="A76" s="672" t="s">
        <v>13467</v>
      </c>
      <c r="B76" s="673" t="s">
        <v>15517</v>
      </c>
      <c r="C76" s="672" t="s">
        <v>7</v>
      </c>
      <c r="D76" s="672" t="s">
        <v>15516</v>
      </c>
      <c r="E76" s="919" t="s">
        <v>13464</v>
      </c>
      <c r="F76" s="919"/>
      <c r="G76" s="671" t="s">
        <v>34</v>
      </c>
      <c r="H76" s="670">
        <v>1</v>
      </c>
      <c r="I76" s="669">
        <v>978.69</v>
      </c>
      <c r="J76" s="669">
        <v>978.69</v>
      </c>
    </row>
    <row r="77" spans="1:10" ht="25.5">
      <c r="A77" s="668"/>
      <c r="B77" s="668"/>
      <c r="C77" s="668"/>
      <c r="D77" s="668"/>
      <c r="E77" s="668" t="s">
        <v>13463</v>
      </c>
      <c r="F77" s="667">
        <v>162.9794632</v>
      </c>
      <c r="G77" s="668" t="s">
        <v>13462</v>
      </c>
      <c r="H77" s="667">
        <v>137</v>
      </c>
      <c r="I77" s="668" t="s">
        <v>13461</v>
      </c>
      <c r="J77" s="667">
        <v>299.98</v>
      </c>
    </row>
    <row r="78" spans="1:10" ht="15" thickBot="1">
      <c r="A78" s="668"/>
      <c r="B78" s="668"/>
      <c r="C78" s="668"/>
      <c r="D78" s="668"/>
      <c r="E78" s="668" t="s">
        <v>13460</v>
      </c>
      <c r="F78" s="667">
        <v>1777.5</v>
      </c>
      <c r="G78" s="668"/>
      <c r="H78" s="925" t="s">
        <v>13459</v>
      </c>
      <c r="I78" s="925"/>
      <c r="J78" s="667">
        <v>8071.77</v>
      </c>
    </row>
    <row r="79" spans="1:10" ht="0.95" customHeight="1" thickTop="1">
      <c r="A79" s="666"/>
      <c r="B79" s="666"/>
      <c r="C79" s="666"/>
      <c r="D79" s="666"/>
      <c r="E79" s="666"/>
      <c r="F79" s="666"/>
      <c r="G79" s="666"/>
      <c r="H79" s="666"/>
      <c r="I79" s="666"/>
      <c r="J79" s="666"/>
    </row>
    <row r="80" spans="1:10" ht="18" customHeight="1">
      <c r="A80" s="686" t="s">
        <v>15515</v>
      </c>
      <c r="B80" s="684" t="s">
        <v>13484</v>
      </c>
      <c r="C80" s="686" t="s">
        <v>13483</v>
      </c>
      <c r="D80" s="686" t="s">
        <v>13482</v>
      </c>
      <c r="E80" s="924" t="s">
        <v>13481</v>
      </c>
      <c r="F80" s="924"/>
      <c r="G80" s="685" t="s">
        <v>13480</v>
      </c>
      <c r="H80" s="684" t="s">
        <v>13479</v>
      </c>
      <c r="I80" s="684" t="s">
        <v>13478</v>
      </c>
      <c r="J80" s="684" t="s">
        <v>13477</v>
      </c>
    </row>
    <row r="81" spans="1:10" ht="24" customHeight="1">
      <c r="A81" s="682" t="s">
        <v>13476</v>
      </c>
      <c r="B81" s="683" t="s">
        <v>15514</v>
      </c>
      <c r="C81" s="682" t="s">
        <v>7</v>
      </c>
      <c r="D81" s="682" t="s">
        <v>3472</v>
      </c>
      <c r="E81" s="917" t="s">
        <v>15513</v>
      </c>
      <c r="F81" s="917"/>
      <c r="G81" s="681" t="s">
        <v>13610</v>
      </c>
      <c r="H81" s="680">
        <v>1</v>
      </c>
      <c r="I81" s="679">
        <v>1.63</v>
      </c>
      <c r="J81" s="679">
        <v>1.63</v>
      </c>
    </row>
    <row r="82" spans="1:10" ht="24" customHeight="1">
      <c r="A82" s="677" t="s">
        <v>13472</v>
      </c>
      <c r="B82" s="678" t="s">
        <v>13767</v>
      </c>
      <c r="C82" s="677" t="s">
        <v>7</v>
      </c>
      <c r="D82" s="677" t="s">
        <v>144</v>
      </c>
      <c r="E82" s="918" t="s">
        <v>13470</v>
      </c>
      <c r="F82" s="918"/>
      <c r="G82" s="676" t="s">
        <v>19</v>
      </c>
      <c r="H82" s="675">
        <v>4.0800000000000003E-2</v>
      </c>
      <c r="I82" s="674">
        <v>12.66</v>
      </c>
      <c r="J82" s="674">
        <v>0.51</v>
      </c>
    </row>
    <row r="83" spans="1:10" ht="24" customHeight="1">
      <c r="A83" s="677" t="s">
        <v>13472</v>
      </c>
      <c r="B83" s="678" t="s">
        <v>13471</v>
      </c>
      <c r="C83" s="677" t="s">
        <v>7</v>
      </c>
      <c r="D83" s="677" t="s">
        <v>21</v>
      </c>
      <c r="E83" s="918" t="s">
        <v>13470</v>
      </c>
      <c r="F83" s="918"/>
      <c r="G83" s="676" t="s">
        <v>19</v>
      </c>
      <c r="H83" s="675">
        <v>8.0100000000000005E-2</v>
      </c>
      <c r="I83" s="674">
        <v>14.02</v>
      </c>
      <c r="J83" s="674">
        <v>1.1200000000000001</v>
      </c>
    </row>
    <row r="84" spans="1:10" ht="25.5">
      <c r="A84" s="668"/>
      <c r="B84" s="668"/>
      <c r="C84" s="668"/>
      <c r="D84" s="668"/>
      <c r="E84" s="668" t="s">
        <v>13463</v>
      </c>
      <c r="F84" s="667">
        <v>0.6573943279365424</v>
      </c>
      <c r="G84" s="668" t="s">
        <v>13462</v>
      </c>
      <c r="H84" s="667">
        <v>0.55000000000000004</v>
      </c>
      <c r="I84" s="668" t="s">
        <v>13461</v>
      </c>
      <c r="J84" s="667">
        <v>1.21</v>
      </c>
    </row>
    <row r="85" spans="1:10" ht="15" thickBot="1">
      <c r="A85" s="668"/>
      <c r="B85" s="668"/>
      <c r="C85" s="668"/>
      <c r="D85" s="668"/>
      <c r="E85" s="668" t="s">
        <v>13460</v>
      </c>
      <c r="F85" s="667">
        <v>0.46</v>
      </c>
      <c r="G85" s="668"/>
      <c r="H85" s="925" t="s">
        <v>13459</v>
      </c>
      <c r="I85" s="925"/>
      <c r="J85" s="667">
        <v>2.09</v>
      </c>
    </row>
    <row r="86" spans="1:10" ht="0.95" customHeight="1" thickTop="1">
      <c r="A86" s="666"/>
      <c r="B86" s="666"/>
      <c r="C86" s="666"/>
      <c r="D86" s="666"/>
      <c r="E86" s="666"/>
      <c r="F86" s="666"/>
      <c r="G86" s="666"/>
      <c r="H86" s="666"/>
      <c r="I86" s="666"/>
      <c r="J86" s="666"/>
    </row>
    <row r="87" spans="1:10" ht="18" customHeight="1">
      <c r="A87" s="686" t="s">
        <v>15512</v>
      </c>
      <c r="B87" s="684" t="s">
        <v>13484</v>
      </c>
      <c r="C87" s="686" t="s">
        <v>13483</v>
      </c>
      <c r="D87" s="686" t="s">
        <v>13482</v>
      </c>
      <c r="E87" s="924" t="s">
        <v>13481</v>
      </c>
      <c r="F87" s="924"/>
      <c r="G87" s="685" t="s">
        <v>13480</v>
      </c>
      <c r="H87" s="684" t="s">
        <v>13479</v>
      </c>
      <c r="I87" s="684" t="s">
        <v>13478</v>
      </c>
      <c r="J87" s="684" t="s">
        <v>13477</v>
      </c>
    </row>
    <row r="88" spans="1:10" ht="24" customHeight="1">
      <c r="A88" s="682" t="s">
        <v>13476</v>
      </c>
      <c r="B88" s="683" t="s">
        <v>15511</v>
      </c>
      <c r="C88" s="682" t="s">
        <v>7</v>
      </c>
      <c r="D88" s="682" t="s">
        <v>4226</v>
      </c>
      <c r="E88" s="917" t="s">
        <v>14385</v>
      </c>
      <c r="F88" s="917"/>
      <c r="G88" s="681" t="s">
        <v>13610</v>
      </c>
      <c r="H88" s="680">
        <v>1</v>
      </c>
      <c r="I88" s="679">
        <v>2.2200000000000002</v>
      </c>
      <c r="J88" s="679">
        <v>2.2200000000000002</v>
      </c>
    </row>
    <row r="89" spans="1:10" ht="24" customHeight="1">
      <c r="A89" s="677" t="s">
        <v>13472</v>
      </c>
      <c r="B89" s="678" t="s">
        <v>13754</v>
      </c>
      <c r="C89" s="677" t="s">
        <v>7</v>
      </c>
      <c r="D89" s="677" t="s">
        <v>192</v>
      </c>
      <c r="E89" s="918" t="s">
        <v>13470</v>
      </c>
      <c r="F89" s="918"/>
      <c r="G89" s="676" t="s">
        <v>19</v>
      </c>
      <c r="H89" s="675">
        <v>7.1800000000000003E-2</v>
      </c>
      <c r="I89" s="674">
        <v>17.07</v>
      </c>
      <c r="J89" s="674">
        <v>1.22</v>
      </c>
    </row>
    <row r="90" spans="1:10" ht="24" customHeight="1">
      <c r="A90" s="677" t="s">
        <v>13472</v>
      </c>
      <c r="B90" s="678" t="s">
        <v>13471</v>
      </c>
      <c r="C90" s="677" t="s">
        <v>7</v>
      </c>
      <c r="D90" s="677" t="s">
        <v>21</v>
      </c>
      <c r="E90" s="918" t="s">
        <v>13470</v>
      </c>
      <c r="F90" s="918"/>
      <c r="G90" s="676" t="s">
        <v>19</v>
      </c>
      <c r="H90" s="675">
        <v>7.1800000000000003E-2</v>
      </c>
      <c r="I90" s="674">
        <v>14.02</v>
      </c>
      <c r="J90" s="674">
        <v>1</v>
      </c>
    </row>
    <row r="91" spans="1:10" ht="25.5">
      <c r="A91" s="668"/>
      <c r="B91" s="668"/>
      <c r="C91" s="668"/>
      <c r="D91" s="668"/>
      <c r="E91" s="668" t="s">
        <v>13463</v>
      </c>
      <c r="F91" s="667">
        <v>0.91817885472128657</v>
      </c>
      <c r="G91" s="668" t="s">
        <v>13462</v>
      </c>
      <c r="H91" s="667">
        <v>0.77</v>
      </c>
      <c r="I91" s="668" t="s">
        <v>13461</v>
      </c>
      <c r="J91" s="667">
        <v>1.69</v>
      </c>
    </row>
    <row r="92" spans="1:10" ht="15" thickBot="1">
      <c r="A92" s="668"/>
      <c r="B92" s="668"/>
      <c r="C92" s="668"/>
      <c r="D92" s="668"/>
      <c r="E92" s="668" t="s">
        <v>13460</v>
      </c>
      <c r="F92" s="667">
        <v>0.62</v>
      </c>
      <c r="G92" s="668"/>
      <c r="H92" s="925" t="s">
        <v>13459</v>
      </c>
      <c r="I92" s="925"/>
      <c r="J92" s="667">
        <v>2.84</v>
      </c>
    </row>
    <row r="93" spans="1:10" ht="0.95" customHeight="1" thickTop="1">
      <c r="A93" s="666"/>
      <c r="B93" s="666"/>
      <c r="C93" s="666"/>
      <c r="D93" s="666"/>
      <c r="E93" s="666"/>
      <c r="F93" s="666"/>
      <c r="G93" s="666"/>
      <c r="H93" s="666"/>
      <c r="I93" s="666"/>
      <c r="J93" s="666"/>
    </row>
    <row r="94" spans="1:10" ht="18" customHeight="1">
      <c r="A94" s="686" t="s">
        <v>15510</v>
      </c>
      <c r="B94" s="684" t="s">
        <v>13484</v>
      </c>
      <c r="C94" s="686" t="s">
        <v>13483</v>
      </c>
      <c r="D94" s="686" t="s">
        <v>13482</v>
      </c>
      <c r="E94" s="924" t="s">
        <v>13481</v>
      </c>
      <c r="F94" s="924"/>
      <c r="G94" s="685" t="s">
        <v>13480</v>
      </c>
      <c r="H94" s="684" t="s">
        <v>13479</v>
      </c>
      <c r="I94" s="684" t="s">
        <v>13478</v>
      </c>
      <c r="J94" s="684" t="s">
        <v>13477</v>
      </c>
    </row>
    <row r="95" spans="1:10" ht="48" customHeight="1">
      <c r="A95" s="682" t="s">
        <v>13476</v>
      </c>
      <c r="B95" s="683" t="s">
        <v>15509</v>
      </c>
      <c r="C95" s="682" t="s">
        <v>7</v>
      </c>
      <c r="D95" s="682" t="s">
        <v>5533</v>
      </c>
      <c r="E95" s="917" t="s">
        <v>14113</v>
      </c>
      <c r="F95" s="917"/>
      <c r="G95" s="681" t="s">
        <v>13515</v>
      </c>
      <c r="H95" s="680">
        <v>1</v>
      </c>
      <c r="I95" s="679">
        <v>6.22</v>
      </c>
      <c r="J95" s="679">
        <v>6.22</v>
      </c>
    </row>
    <row r="96" spans="1:10" ht="36" customHeight="1">
      <c r="A96" s="677" t="s">
        <v>13472</v>
      </c>
      <c r="B96" s="678" t="s">
        <v>13863</v>
      </c>
      <c r="C96" s="677" t="s">
        <v>7</v>
      </c>
      <c r="D96" s="677" t="s">
        <v>695</v>
      </c>
      <c r="E96" s="918" t="s">
        <v>13491</v>
      </c>
      <c r="F96" s="918"/>
      <c r="G96" s="676" t="s">
        <v>38</v>
      </c>
      <c r="H96" s="675">
        <v>8.3000000000000001E-3</v>
      </c>
      <c r="I96" s="674">
        <v>146.6</v>
      </c>
      <c r="J96" s="674">
        <v>1.21</v>
      </c>
    </row>
    <row r="97" spans="1:10" ht="48" customHeight="1">
      <c r="A97" s="677" t="s">
        <v>13472</v>
      </c>
      <c r="B97" s="678" t="s">
        <v>14037</v>
      </c>
      <c r="C97" s="677" t="s">
        <v>7</v>
      </c>
      <c r="D97" s="677" t="s">
        <v>823</v>
      </c>
      <c r="E97" s="918" t="s">
        <v>13491</v>
      </c>
      <c r="F97" s="918"/>
      <c r="G97" s="676" t="s">
        <v>38</v>
      </c>
      <c r="H97" s="675">
        <v>2.6700000000000002E-2</v>
      </c>
      <c r="I97" s="674">
        <v>131.85</v>
      </c>
      <c r="J97" s="674">
        <v>3.52</v>
      </c>
    </row>
    <row r="98" spans="1:10" ht="36" customHeight="1">
      <c r="A98" s="677" t="s">
        <v>13472</v>
      </c>
      <c r="B98" s="678" t="s">
        <v>13864</v>
      </c>
      <c r="C98" s="677" t="s">
        <v>7</v>
      </c>
      <c r="D98" s="677" t="s">
        <v>696</v>
      </c>
      <c r="E98" s="918" t="s">
        <v>13491</v>
      </c>
      <c r="F98" s="918"/>
      <c r="G98" s="676" t="s">
        <v>53</v>
      </c>
      <c r="H98" s="675">
        <v>1.5100000000000001E-2</v>
      </c>
      <c r="I98" s="674">
        <v>53.26</v>
      </c>
      <c r="J98" s="674">
        <v>0.8</v>
      </c>
    </row>
    <row r="99" spans="1:10" ht="48" customHeight="1">
      <c r="A99" s="677" t="s">
        <v>13472</v>
      </c>
      <c r="B99" s="678" t="s">
        <v>14038</v>
      </c>
      <c r="C99" s="677" t="s">
        <v>7</v>
      </c>
      <c r="D99" s="677" t="s">
        <v>824</v>
      </c>
      <c r="E99" s="918" t="s">
        <v>13491</v>
      </c>
      <c r="F99" s="918"/>
      <c r="G99" s="676" t="s">
        <v>53</v>
      </c>
      <c r="H99" s="675">
        <v>2.0299999999999999E-2</v>
      </c>
      <c r="I99" s="674">
        <v>34.06</v>
      </c>
      <c r="J99" s="674">
        <v>0.69</v>
      </c>
    </row>
    <row r="100" spans="1:10" ht="25.5">
      <c r="A100" s="668"/>
      <c r="B100" s="668"/>
      <c r="C100" s="668"/>
      <c r="D100" s="668"/>
      <c r="E100" s="668" t="s">
        <v>13463</v>
      </c>
      <c r="F100" s="667">
        <v>0.43464087797457351</v>
      </c>
      <c r="G100" s="668" t="s">
        <v>13462</v>
      </c>
      <c r="H100" s="667">
        <v>0.37</v>
      </c>
      <c r="I100" s="668" t="s">
        <v>13461</v>
      </c>
      <c r="J100" s="667">
        <v>0.8</v>
      </c>
    </row>
    <row r="101" spans="1:10" ht="15" thickBot="1">
      <c r="A101" s="668"/>
      <c r="B101" s="668"/>
      <c r="C101" s="668"/>
      <c r="D101" s="668"/>
      <c r="E101" s="668" t="s">
        <v>13460</v>
      </c>
      <c r="F101" s="667">
        <v>1.75</v>
      </c>
      <c r="G101" s="668"/>
      <c r="H101" s="925" t="s">
        <v>13459</v>
      </c>
      <c r="I101" s="925"/>
      <c r="J101" s="667">
        <v>7.97</v>
      </c>
    </row>
    <row r="102" spans="1:10" ht="0.95" customHeight="1" thickTop="1">
      <c r="A102" s="666"/>
      <c r="B102" s="666"/>
      <c r="C102" s="666"/>
      <c r="D102" s="666"/>
      <c r="E102" s="666"/>
      <c r="F102" s="666"/>
      <c r="G102" s="666"/>
      <c r="H102" s="666"/>
      <c r="I102" s="666"/>
      <c r="J102" s="666"/>
    </row>
    <row r="103" spans="1:10" ht="18" customHeight="1">
      <c r="A103" s="686" t="s">
        <v>15508</v>
      </c>
      <c r="B103" s="684" t="s">
        <v>13484</v>
      </c>
      <c r="C103" s="686" t="s">
        <v>13483</v>
      </c>
      <c r="D103" s="686" t="s">
        <v>13482</v>
      </c>
      <c r="E103" s="924" t="s">
        <v>13481</v>
      </c>
      <c r="F103" s="924"/>
      <c r="G103" s="685" t="s">
        <v>13480</v>
      </c>
      <c r="H103" s="684" t="s">
        <v>13479</v>
      </c>
      <c r="I103" s="684" t="s">
        <v>13478</v>
      </c>
      <c r="J103" s="684" t="s">
        <v>13477</v>
      </c>
    </row>
    <row r="104" spans="1:10" ht="36" customHeight="1">
      <c r="A104" s="682" t="s">
        <v>13476</v>
      </c>
      <c r="B104" s="683" t="s">
        <v>15507</v>
      </c>
      <c r="C104" s="682" t="s">
        <v>7</v>
      </c>
      <c r="D104" s="682" t="s">
        <v>5485</v>
      </c>
      <c r="E104" s="917" t="s">
        <v>14113</v>
      </c>
      <c r="F104" s="917"/>
      <c r="G104" s="681" t="s">
        <v>90</v>
      </c>
      <c r="H104" s="680">
        <v>1</v>
      </c>
      <c r="I104" s="679">
        <v>2.0299999999999998</v>
      </c>
      <c r="J104" s="679">
        <v>2.0299999999999998</v>
      </c>
    </row>
    <row r="105" spans="1:10" ht="48" customHeight="1">
      <c r="A105" s="677" t="s">
        <v>13472</v>
      </c>
      <c r="B105" s="678" t="s">
        <v>14037</v>
      </c>
      <c r="C105" s="677" t="s">
        <v>7</v>
      </c>
      <c r="D105" s="677" t="s">
        <v>823</v>
      </c>
      <c r="E105" s="918" t="s">
        <v>13491</v>
      </c>
      <c r="F105" s="918"/>
      <c r="G105" s="676" t="s">
        <v>38</v>
      </c>
      <c r="H105" s="675">
        <v>1.3899999999999999E-2</v>
      </c>
      <c r="I105" s="674">
        <v>131.85</v>
      </c>
      <c r="J105" s="674">
        <v>1.83</v>
      </c>
    </row>
    <row r="106" spans="1:10" ht="48" customHeight="1">
      <c r="A106" s="677" t="s">
        <v>13472</v>
      </c>
      <c r="B106" s="678" t="s">
        <v>14038</v>
      </c>
      <c r="C106" s="677" t="s">
        <v>7</v>
      </c>
      <c r="D106" s="677" t="s">
        <v>824</v>
      </c>
      <c r="E106" s="918" t="s">
        <v>13491</v>
      </c>
      <c r="F106" s="918"/>
      <c r="G106" s="676" t="s">
        <v>53</v>
      </c>
      <c r="H106" s="675">
        <v>6.0000000000000001E-3</v>
      </c>
      <c r="I106" s="674">
        <v>34.06</v>
      </c>
      <c r="J106" s="674">
        <v>0.2</v>
      </c>
    </row>
    <row r="107" spans="1:10" ht="25.5">
      <c r="A107" s="668"/>
      <c r="B107" s="668"/>
      <c r="C107" s="668"/>
      <c r="D107" s="668"/>
      <c r="E107" s="668" t="s">
        <v>13463</v>
      </c>
      <c r="F107" s="667">
        <v>0.10866021949364338</v>
      </c>
      <c r="G107" s="668" t="s">
        <v>13462</v>
      </c>
      <c r="H107" s="667">
        <v>0.09</v>
      </c>
      <c r="I107" s="668" t="s">
        <v>13461</v>
      </c>
      <c r="J107" s="667">
        <v>0.2</v>
      </c>
    </row>
    <row r="108" spans="1:10" ht="15" thickBot="1">
      <c r="A108" s="668"/>
      <c r="B108" s="668"/>
      <c r="C108" s="668"/>
      <c r="D108" s="668"/>
      <c r="E108" s="668" t="s">
        <v>13460</v>
      </c>
      <c r="F108" s="667">
        <v>0.56999999999999995</v>
      </c>
      <c r="G108" s="668"/>
      <c r="H108" s="925" t="s">
        <v>13459</v>
      </c>
      <c r="I108" s="925"/>
      <c r="J108" s="667">
        <v>2.6</v>
      </c>
    </row>
    <row r="109" spans="1:10" ht="0.95" customHeight="1" thickTop="1">
      <c r="A109" s="666"/>
      <c r="B109" s="666"/>
      <c r="C109" s="666"/>
      <c r="D109" s="666"/>
      <c r="E109" s="666"/>
      <c r="F109" s="666"/>
      <c r="G109" s="666"/>
      <c r="H109" s="666"/>
      <c r="I109" s="666"/>
      <c r="J109" s="666"/>
    </row>
    <row r="110" spans="1:10" ht="18" customHeight="1">
      <c r="A110" s="686" t="s">
        <v>15506</v>
      </c>
      <c r="B110" s="684" t="s">
        <v>13484</v>
      </c>
      <c r="C110" s="686" t="s">
        <v>13483</v>
      </c>
      <c r="D110" s="686" t="s">
        <v>13482</v>
      </c>
      <c r="E110" s="924" t="s">
        <v>13481</v>
      </c>
      <c r="F110" s="924"/>
      <c r="G110" s="685" t="s">
        <v>13480</v>
      </c>
      <c r="H110" s="684" t="s">
        <v>13479</v>
      </c>
      <c r="I110" s="684" t="s">
        <v>13478</v>
      </c>
      <c r="J110" s="684" t="s">
        <v>13477</v>
      </c>
    </row>
    <row r="111" spans="1:10" ht="36" customHeight="1">
      <c r="A111" s="682" t="s">
        <v>13476</v>
      </c>
      <c r="B111" s="683" t="s">
        <v>15505</v>
      </c>
      <c r="C111" s="682" t="s">
        <v>7</v>
      </c>
      <c r="D111" s="682" t="s">
        <v>3049</v>
      </c>
      <c r="E111" s="917" t="s">
        <v>13516</v>
      </c>
      <c r="F111" s="917"/>
      <c r="G111" s="681" t="s">
        <v>13515</v>
      </c>
      <c r="H111" s="680">
        <v>1</v>
      </c>
      <c r="I111" s="679">
        <v>30.5</v>
      </c>
      <c r="J111" s="679">
        <v>30.5</v>
      </c>
    </row>
    <row r="112" spans="1:10" ht="60" customHeight="1">
      <c r="A112" s="677" t="s">
        <v>13472</v>
      </c>
      <c r="B112" s="678" t="s">
        <v>13604</v>
      </c>
      <c r="C112" s="677" t="s">
        <v>7</v>
      </c>
      <c r="D112" s="677" t="s">
        <v>702</v>
      </c>
      <c r="E112" s="918" t="s">
        <v>13491</v>
      </c>
      <c r="F112" s="918"/>
      <c r="G112" s="676" t="s">
        <v>38</v>
      </c>
      <c r="H112" s="675">
        <v>0.20799999999999999</v>
      </c>
      <c r="I112" s="674">
        <v>101.95</v>
      </c>
      <c r="J112" s="674">
        <v>21.2</v>
      </c>
    </row>
    <row r="113" spans="1:10" ht="60" customHeight="1">
      <c r="A113" s="677" t="s">
        <v>13472</v>
      </c>
      <c r="B113" s="678" t="s">
        <v>13602</v>
      </c>
      <c r="C113" s="677" t="s">
        <v>7</v>
      </c>
      <c r="D113" s="677" t="s">
        <v>703</v>
      </c>
      <c r="E113" s="918" t="s">
        <v>13491</v>
      </c>
      <c r="F113" s="918"/>
      <c r="G113" s="676" t="s">
        <v>53</v>
      </c>
      <c r="H113" s="675">
        <v>8.5000000000000006E-2</v>
      </c>
      <c r="I113" s="674">
        <v>36.340000000000003</v>
      </c>
      <c r="J113" s="674">
        <v>3.08</v>
      </c>
    </row>
    <row r="114" spans="1:10" ht="24" customHeight="1">
      <c r="A114" s="677" t="s">
        <v>13472</v>
      </c>
      <c r="B114" s="678" t="s">
        <v>13471</v>
      </c>
      <c r="C114" s="677" t="s">
        <v>7</v>
      </c>
      <c r="D114" s="677" t="s">
        <v>21</v>
      </c>
      <c r="E114" s="918" t="s">
        <v>13470</v>
      </c>
      <c r="F114" s="918"/>
      <c r="G114" s="676" t="s">
        <v>19</v>
      </c>
      <c r="H114" s="675">
        <v>0.161</v>
      </c>
      <c r="I114" s="674">
        <v>14.02</v>
      </c>
      <c r="J114" s="674">
        <v>2.25</v>
      </c>
    </row>
    <row r="115" spans="1:10" ht="24" customHeight="1">
      <c r="A115" s="677" t="s">
        <v>13472</v>
      </c>
      <c r="B115" s="678" t="s">
        <v>13600</v>
      </c>
      <c r="C115" s="677" t="s">
        <v>7</v>
      </c>
      <c r="D115" s="677" t="s">
        <v>41</v>
      </c>
      <c r="E115" s="918" t="s">
        <v>13470</v>
      </c>
      <c r="F115" s="918"/>
      <c r="G115" s="676" t="s">
        <v>19</v>
      </c>
      <c r="H115" s="675">
        <v>0.22500000000000001</v>
      </c>
      <c r="I115" s="674">
        <v>17.670000000000002</v>
      </c>
      <c r="J115" s="674">
        <v>3.97</v>
      </c>
    </row>
    <row r="116" spans="1:10" ht="25.5">
      <c r="A116" s="668"/>
      <c r="B116" s="668"/>
      <c r="C116" s="668"/>
      <c r="D116" s="668"/>
      <c r="E116" s="668" t="s">
        <v>13463</v>
      </c>
      <c r="F116" s="667">
        <v>4.7810496577203088</v>
      </c>
      <c r="G116" s="668" t="s">
        <v>13462</v>
      </c>
      <c r="H116" s="667">
        <v>4.0199999999999996</v>
      </c>
      <c r="I116" s="668" t="s">
        <v>13461</v>
      </c>
      <c r="J116" s="667">
        <v>8.8000000000000007</v>
      </c>
    </row>
    <row r="117" spans="1:10" ht="15" thickBot="1">
      <c r="A117" s="668"/>
      <c r="B117" s="668"/>
      <c r="C117" s="668"/>
      <c r="D117" s="668"/>
      <c r="E117" s="668" t="s">
        <v>13460</v>
      </c>
      <c r="F117" s="667">
        <v>8.61</v>
      </c>
      <c r="G117" s="668"/>
      <c r="H117" s="925" t="s">
        <v>13459</v>
      </c>
      <c r="I117" s="925"/>
      <c r="J117" s="667">
        <v>39.11</v>
      </c>
    </row>
    <row r="118" spans="1:10" ht="0.95" customHeight="1" thickTop="1">
      <c r="A118" s="666"/>
      <c r="B118" s="666"/>
      <c r="C118" s="666"/>
      <c r="D118" s="666"/>
      <c r="E118" s="666"/>
      <c r="F118" s="666"/>
      <c r="G118" s="666"/>
      <c r="H118" s="666"/>
      <c r="I118" s="666"/>
      <c r="J118" s="666"/>
    </row>
    <row r="119" spans="1:10" ht="18" customHeight="1">
      <c r="A119" s="686" t="s">
        <v>15504</v>
      </c>
      <c r="B119" s="684" t="s">
        <v>13484</v>
      </c>
      <c r="C119" s="686" t="s">
        <v>13483</v>
      </c>
      <c r="D119" s="686" t="s">
        <v>13482</v>
      </c>
      <c r="E119" s="924" t="s">
        <v>13481</v>
      </c>
      <c r="F119" s="924"/>
      <c r="G119" s="685" t="s">
        <v>13480</v>
      </c>
      <c r="H119" s="684" t="s">
        <v>13479</v>
      </c>
      <c r="I119" s="684" t="s">
        <v>13478</v>
      </c>
      <c r="J119" s="684" t="s">
        <v>13477</v>
      </c>
    </row>
    <row r="120" spans="1:10" ht="36" customHeight="1">
      <c r="A120" s="682" t="s">
        <v>13476</v>
      </c>
      <c r="B120" s="683" t="s">
        <v>15503</v>
      </c>
      <c r="C120" s="682" t="s">
        <v>7</v>
      </c>
      <c r="D120" s="682" t="s">
        <v>3063</v>
      </c>
      <c r="E120" s="917" t="s">
        <v>13646</v>
      </c>
      <c r="F120" s="917"/>
      <c r="G120" s="681" t="s">
        <v>13610</v>
      </c>
      <c r="H120" s="680">
        <v>1</v>
      </c>
      <c r="I120" s="679">
        <v>100.54</v>
      </c>
      <c r="J120" s="679">
        <v>100.54</v>
      </c>
    </row>
    <row r="121" spans="1:10" ht="36" customHeight="1">
      <c r="A121" s="677" t="s">
        <v>13472</v>
      </c>
      <c r="B121" s="678" t="s">
        <v>13577</v>
      </c>
      <c r="C121" s="677" t="s">
        <v>7</v>
      </c>
      <c r="D121" s="677" t="s">
        <v>1932</v>
      </c>
      <c r="E121" s="918" t="s">
        <v>13491</v>
      </c>
      <c r="F121" s="918"/>
      <c r="G121" s="676" t="s">
        <v>38</v>
      </c>
      <c r="H121" s="675">
        <v>7.9000000000000001E-2</v>
      </c>
      <c r="I121" s="674">
        <v>16.260000000000002</v>
      </c>
      <c r="J121" s="674">
        <v>1.28</v>
      </c>
    </row>
    <row r="122" spans="1:10" ht="36" customHeight="1">
      <c r="A122" s="677" t="s">
        <v>13472</v>
      </c>
      <c r="B122" s="678" t="s">
        <v>13578</v>
      </c>
      <c r="C122" s="677" t="s">
        <v>7</v>
      </c>
      <c r="D122" s="677" t="s">
        <v>1933</v>
      </c>
      <c r="E122" s="918" t="s">
        <v>13491</v>
      </c>
      <c r="F122" s="918"/>
      <c r="G122" s="676" t="s">
        <v>53</v>
      </c>
      <c r="H122" s="675">
        <v>3.9E-2</v>
      </c>
      <c r="I122" s="674">
        <v>13.53</v>
      </c>
      <c r="J122" s="674">
        <v>0.52</v>
      </c>
    </row>
    <row r="123" spans="1:10" ht="24" customHeight="1">
      <c r="A123" s="677" t="s">
        <v>13472</v>
      </c>
      <c r="B123" s="678" t="s">
        <v>13833</v>
      </c>
      <c r="C123" s="677" t="s">
        <v>7</v>
      </c>
      <c r="D123" s="677" t="s">
        <v>40</v>
      </c>
      <c r="E123" s="918" t="s">
        <v>13470</v>
      </c>
      <c r="F123" s="918"/>
      <c r="G123" s="676" t="s">
        <v>19</v>
      </c>
      <c r="H123" s="675">
        <v>2.7690000000000001</v>
      </c>
      <c r="I123" s="674">
        <v>17.48</v>
      </c>
      <c r="J123" s="674">
        <v>48.4</v>
      </c>
    </row>
    <row r="124" spans="1:10" ht="24" customHeight="1">
      <c r="A124" s="677" t="s">
        <v>13472</v>
      </c>
      <c r="B124" s="678" t="s">
        <v>13644</v>
      </c>
      <c r="C124" s="677" t="s">
        <v>7</v>
      </c>
      <c r="D124" s="677" t="s">
        <v>39</v>
      </c>
      <c r="E124" s="918" t="s">
        <v>13470</v>
      </c>
      <c r="F124" s="918"/>
      <c r="G124" s="676" t="s">
        <v>19</v>
      </c>
      <c r="H124" s="675">
        <v>1.0860000000000001</v>
      </c>
      <c r="I124" s="674">
        <v>14.57</v>
      </c>
      <c r="J124" s="674">
        <v>15.82</v>
      </c>
    </row>
    <row r="125" spans="1:10" ht="24" customHeight="1">
      <c r="A125" s="672" t="s">
        <v>13467</v>
      </c>
      <c r="B125" s="673" t="s">
        <v>13641</v>
      </c>
      <c r="C125" s="672" t="s">
        <v>7</v>
      </c>
      <c r="D125" s="672" t="s">
        <v>13640</v>
      </c>
      <c r="E125" s="919" t="s">
        <v>13464</v>
      </c>
      <c r="F125" s="919"/>
      <c r="G125" s="671" t="s">
        <v>50</v>
      </c>
      <c r="H125" s="670">
        <v>1.7000000000000001E-2</v>
      </c>
      <c r="I125" s="669">
        <v>5.22</v>
      </c>
      <c r="J125" s="669">
        <v>0.08</v>
      </c>
    </row>
    <row r="126" spans="1:10" ht="24" customHeight="1">
      <c r="A126" s="672" t="s">
        <v>13467</v>
      </c>
      <c r="B126" s="673" t="s">
        <v>15502</v>
      </c>
      <c r="C126" s="672" t="s">
        <v>7</v>
      </c>
      <c r="D126" s="672" t="s">
        <v>15501</v>
      </c>
      <c r="E126" s="919" t="s">
        <v>13464</v>
      </c>
      <c r="F126" s="919"/>
      <c r="G126" s="671" t="s">
        <v>17</v>
      </c>
      <c r="H126" s="670">
        <v>1.6E-2</v>
      </c>
      <c r="I126" s="669">
        <v>20.51</v>
      </c>
      <c r="J126" s="669">
        <v>0.32</v>
      </c>
    </row>
    <row r="127" spans="1:10" ht="24" customHeight="1">
      <c r="A127" s="672" t="s">
        <v>13467</v>
      </c>
      <c r="B127" s="673" t="s">
        <v>14293</v>
      </c>
      <c r="C127" s="672" t="s">
        <v>7</v>
      </c>
      <c r="D127" s="672" t="s">
        <v>14292</v>
      </c>
      <c r="E127" s="919" t="s">
        <v>13464</v>
      </c>
      <c r="F127" s="919"/>
      <c r="G127" s="671" t="s">
        <v>17</v>
      </c>
      <c r="H127" s="670">
        <v>0.01</v>
      </c>
      <c r="I127" s="669">
        <v>22.6</v>
      </c>
      <c r="J127" s="669">
        <v>0.22</v>
      </c>
    </row>
    <row r="128" spans="1:10" ht="24" customHeight="1">
      <c r="A128" s="672" t="s">
        <v>13467</v>
      </c>
      <c r="B128" s="673" t="s">
        <v>14281</v>
      </c>
      <c r="C128" s="672" t="s">
        <v>7</v>
      </c>
      <c r="D128" s="672" t="s">
        <v>14280</v>
      </c>
      <c r="E128" s="919" t="s">
        <v>13464</v>
      </c>
      <c r="F128" s="919"/>
      <c r="G128" s="671" t="s">
        <v>17</v>
      </c>
      <c r="H128" s="670">
        <v>4.7E-2</v>
      </c>
      <c r="I128" s="669">
        <v>18.66</v>
      </c>
      <c r="J128" s="669">
        <v>0.87</v>
      </c>
    </row>
    <row r="129" spans="1:10" ht="24" customHeight="1">
      <c r="A129" s="672" t="s">
        <v>13467</v>
      </c>
      <c r="B129" s="673" t="s">
        <v>13651</v>
      </c>
      <c r="C129" s="672" t="s">
        <v>7</v>
      </c>
      <c r="D129" s="672" t="s">
        <v>13650</v>
      </c>
      <c r="E129" s="919" t="s">
        <v>13464</v>
      </c>
      <c r="F129" s="919"/>
      <c r="G129" s="671" t="s">
        <v>14</v>
      </c>
      <c r="H129" s="670">
        <v>4.6120000000000001</v>
      </c>
      <c r="I129" s="669">
        <v>2.85</v>
      </c>
      <c r="J129" s="669">
        <v>13.14</v>
      </c>
    </row>
    <row r="130" spans="1:10" ht="24" customHeight="1">
      <c r="A130" s="672" t="s">
        <v>13467</v>
      </c>
      <c r="B130" s="673" t="s">
        <v>13830</v>
      </c>
      <c r="C130" s="672" t="s">
        <v>7</v>
      </c>
      <c r="D130" s="672" t="s">
        <v>13829</v>
      </c>
      <c r="E130" s="919" t="s">
        <v>13464</v>
      </c>
      <c r="F130" s="919"/>
      <c r="G130" s="671" t="s">
        <v>14</v>
      </c>
      <c r="H130" s="670">
        <v>1.278</v>
      </c>
      <c r="I130" s="669">
        <v>15.57</v>
      </c>
      <c r="J130" s="669">
        <v>19.89</v>
      </c>
    </row>
    <row r="131" spans="1:10" ht="25.5">
      <c r="A131" s="668"/>
      <c r="B131" s="668"/>
      <c r="C131" s="668"/>
      <c r="D131" s="668"/>
      <c r="E131" s="668" t="s">
        <v>13463</v>
      </c>
      <c r="F131" s="667">
        <v>27.778985113549929</v>
      </c>
      <c r="G131" s="668" t="s">
        <v>13462</v>
      </c>
      <c r="H131" s="667">
        <v>23.35</v>
      </c>
      <c r="I131" s="668" t="s">
        <v>13461</v>
      </c>
      <c r="J131" s="667">
        <v>51.13</v>
      </c>
    </row>
    <row r="132" spans="1:10" ht="15" thickBot="1">
      <c r="A132" s="668"/>
      <c r="B132" s="668"/>
      <c r="C132" s="668"/>
      <c r="D132" s="668"/>
      <c r="E132" s="668" t="s">
        <v>13460</v>
      </c>
      <c r="F132" s="667">
        <v>28.39</v>
      </c>
      <c r="G132" s="668"/>
      <c r="H132" s="925" t="s">
        <v>13459</v>
      </c>
      <c r="I132" s="925"/>
      <c r="J132" s="667">
        <v>128.93</v>
      </c>
    </row>
    <row r="133" spans="1:10" ht="0.95" customHeight="1" thickTop="1">
      <c r="A133" s="666"/>
      <c r="B133" s="666"/>
      <c r="C133" s="666"/>
      <c r="D133" s="666"/>
      <c r="E133" s="666"/>
      <c r="F133" s="666"/>
      <c r="G133" s="666"/>
      <c r="H133" s="666"/>
      <c r="I133" s="666"/>
      <c r="J133" s="666"/>
    </row>
    <row r="134" spans="1:10" ht="18" customHeight="1">
      <c r="A134" s="686" t="s">
        <v>15500</v>
      </c>
      <c r="B134" s="684" t="s">
        <v>13484</v>
      </c>
      <c r="C134" s="686" t="s">
        <v>13483</v>
      </c>
      <c r="D134" s="686" t="s">
        <v>13482</v>
      </c>
      <c r="E134" s="924" t="s">
        <v>13481</v>
      </c>
      <c r="F134" s="924"/>
      <c r="G134" s="685" t="s">
        <v>13480</v>
      </c>
      <c r="H134" s="684" t="s">
        <v>13479</v>
      </c>
      <c r="I134" s="684" t="s">
        <v>13478</v>
      </c>
      <c r="J134" s="684" t="s">
        <v>13477</v>
      </c>
    </row>
    <row r="135" spans="1:10" ht="36" customHeight="1">
      <c r="A135" s="682" t="s">
        <v>13476</v>
      </c>
      <c r="B135" s="683" t="s">
        <v>15499</v>
      </c>
      <c r="C135" s="682" t="s">
        <v>7</v>
      </c>
      <c r="D135" s="682" t="s">
        <v>3085</v>
      </c>
      <c r="E135" s="917" t="s">
        <v>13646</v>
      </c>
      <c r="F135" s="917"/>
      <c r="G135" s="681" t="s">
        <v>13610</v>
      </c>
      <c r="H135" s="680">
        <v>1</v>
      </c>
      <c r="I135" s="679">
        <v>23.35</v>
      </c>
      <c r="J135" s="679">
        <v>23.35</v>
      </c>
    </row>
    <row r="136" spans="1:10" ht="36" customHeight="1">
      <c r="A136" s="677" t="s">
        <v>13472</v>
      </c>
      <c r="B136" s="678" t="s">
        <v>14000</v>
      </c>
      <c r="C136" s="677" t="s">
        <v>7</v>
      </c>
      <c r="D136" s="677" t="s">
        <v>7008</v>
      </c>
      <c r="E136" s="918" t="s">
        <v>13646</v>
      </c>
      <c r="F136" s="918"/>
      <c r="G136" s="676" t="s">
        <v>13515</v>
      </c>
      <c r="H136" s="675">
        <v>5.6500000000000002E-2</v>
      </c>
      <c r="I136" s="674">
        <v>295.51</v>
      </c>
      <c r="J136" s="674">
        <v>16.690000000000001</v>
      </c>
    </row>
    <row r="137" spans="1:10" ht="24" customHeight="1">
      <c r="A137" s="677" t="s">
        <v>13472</v>
      </c>
      <c r="B137" s="678" t="s">
        <v>13471</v>
      </c>
      <c r="C137" s="677" t="s">
        <v>7</v>
      </c>
      <c r="D137" s="677" t="s">
        <v>21</v>
      </c>
      <c r="E137" s="918" t="s">
        <v>13470</v>
      </c>
      <c r="F137" s="918"/>
      <c r="G137" s="676" t="s">
        <v>19</v>
      </c>
      <c r="H137" s="675">
        <v>8.4699999999999998E-2</v>
      </c>
      <c r="I137" s="674">
        <v>14.02</v>
      </c>
      <c r="J137" s="674">
        <v>1.18</v>
      </c>
    </row>
    <row r="138" spans="1:10" ht="24" customHeight="1">
      <c r="A138" s="677" t="s">
        <v>13472</v>
      </c>
      <c r="B138" s="678" t="s">
        <v>13600</v>
      </c>
      <c r="C138" s="677" t="s">
        <v>7</v>
      </c>
      <c r="D138" s="677" t="s">
        <v>41</v>
      </c>
      <c r="E138" s="918" t="s">
        <v>13470</v>
      </c>
      <c r="F138" s="918"/>
      <c r="G138" s="676" t="s">
        <v>19</v>
      </c>
      <c r="H138" s="675">
        <v>0.31059999999999999</v>
      </c>
      <c r="I138" s="674">
        <v>17.670000000000002</v>
      </c>
      <c r="J138" s="674">
        <v>5.48</v>
      </c>
    </row>
    <row r="139" spans="1:10" ht="25.5">
      <c r="A139" s="668"/>
      <c r="B139" s="668"/>
      <c r="C139" s="668"/>
      <c r="D139" s="668"/>
      <c r="E139" s="668" t="s">
        <v>13463</v>
      </c>
      <c r="F139" s="667">
        <v>3.8737368249483866</v>
      </c>
      <c r="G139" s="668" t="s">
        <v>13462</v>
      </c>
      <c r="H139" s="667">
        <v>3.26</v>
      </c>
      <c r="I139" s="668" t="s">
        <v>13461</v>
      </c>
      <c r="J139" s="667">
        <v>7.13</v>
      </c>
    </row>
    <row r="140" spans="1:10" ht="15" thickBot="1">
      <c r="A140" s="668"/>
      <c r="B140" s="668"/>
      <c r="C140" s="668"/>
      <c r="D140" s="668"/>
      <c r="E140" s="668" t="s">
        <v>13460</v>
      </c>
      <c r="F140" s="667">
        <v>6.59</v>
      </c>
      <c r="G140" s="668"/>
      <c r="H140" s="925" t="s">
        <v>13459</v>
      </c>
      <c r="I140" s="925"/>
      <c r="J140" s="667">
        <v>29.94</v>
      </c>
    </row>
    <row r="141" spans="1:10" ht="0.95" customHeight="1" thickTop="1">
      <c r="A141" s="666"/>
      <c r="B141" s="666"/>
      <c r="C141" s="666"/>
      <c r="D141" s="666"/>
      <c r="E141" s="666"/>
      <c r="F141" s="666"/>
      <c r="G141" s="666"/>
      <c r="H141" s="666"/>
      <c r="I141" s="666"/>
      <c r="J141" s="666"/>
    </row>
    <row r="142" spans="1:10" ht="18" customHeight="1">
      <c r="A142" s="686" t="s">
        <v>15498</v>
      </c>
      <c r="B142" s="684" t="s">
        <v>13484</v>
      </c>
      <c r="C142" s="686" t="s">
        <v>13483</v>
      </c>
      <c r="D142" s="686" t="s">
        <v>13482</v>
      </c>
      <c r="E142" s="924" t="s">
        <v>13481</v>
      </c>
      <c r="F142" s="924"/>
      <c r="G142" s="685" t="s">
        <v>13480</v>
      </c>
      <c r="H142" s="684" t="s">
        <v>13479</v>
      </c>
      <c r="I142" s="684" t="s">
        <v>13478</v>
      </c>
      <c r="J142" s="684" t="s">
        <v>13477</v>
      </c>
    </row>
    <row r="143" spans="1:10" ht="24" customHeight="1">
      <c r="A143" s="682" t="s">
        <v>13476</v>
      </c>
      <c r="B143" s="683" t="s">
        <v>15497</v>
      </c>
      <c r="C143" s="682" t="s">
        <v>7</v>
      </c>
      <c r="D143" s="682" t="s">
        <v>3074</v>
      </c>
      <c r="E143" s="917" t="s">
        <v>13646</v>
      </c>
      <c r="F143" s="917"/>
      <c r="G143" s="681" t="s">
        <v>17</v>
      </c>
      <c r="H143" s="680">
        <v>1</v>
      </c>
      <c r="I143" s="679">
        <v>17.95</v>
      </c>
      <c r="J143" s="679">
        <v>17.95</v>
      </c>
    </row>
    <row r="144" spans="1:10" ht="36" customHeight="1">
      <c r="A144" s="677" t="s">
        <v>13472</v>
      </c>
      <c r="B144" s="678" t="s">
        <v>13983</v>
      </c>
      <c r="C144" s="677" t="s">
        <v>7</v>
      </c>
      <c r="D144" s="677" t="s">
        <v>2208</v>
      </c>
      <c r="E144" s="918" t="s">
        <v>13646</v>
      </c>
      <c r="F144" s="918"/>
      <c r="G144" s="676" t="s">
        <v>17</v>
      </c>
      <c r="H144" s="675">
        <v>1</v>
      </c>
      <c r="I144" s="674">
        <v>15.43</v>
      </c>
      <c r="J144" s="674">
        <v>15.43</v>
      </c>
    </row>
    <row r="145" spans="1:10" ht="24" customHeight="1">
      <c r="A145" s="677" t="s">
        <v>13472</v>
      </c>
      <c r="B145" s="678" t="s">
        <v>13724</v>
      </c>
      <c r="C145" s="677" t="s">
        <v>7</v>
      </c>
      <c r="D145" s="677" t="s">
        <v>125</v>
      </c>
      <c r="E145" s="918" t="s">
        <v>13470</v>
      </c>
      <c r="F145" s="918"/>
      <c r="G145" s="676" t="s">
        <v>19</v>
      </c>
      <c r="H145" s="675">
        <v>8.8999999999999996E-2</v>
      </c>
      <c r="I145" s="674">
        <v>17.579999999999998</v>
      </c>
      <c r="J145" s="674">
        <v>1.56</v>
      </c>
    </row>
    <row r="146" spans="1:10" ht="24" customHeight="1">
      <c r="A146" s="677" t="s">
        <v>13472</v>
      </c>
      <c r="B146" s="678" t="s">
        <v>13723</v>
      </c>
      <c r="C146" s="677" t="s">
        <v>7</v>
      </c>
      <c r="D146" s="677" t="s">
        <v>120</v>
      </c>
      <c r="E146" s="918" t="s">
        <v>13470</v>
      </c>
      <c r="F146" s="918"/>
      <c r="G146" s="676" t="s">
        <v>19</v>
      </c>
      <c r="H146" s="675">
        <v>2.9000000000000001E-2</v>
      </c>
      <c r="I146" s="674">
        <v>13.4</v>
      </c>
      <c r="J146" s="674">
        <v>0.38</v>
      </c>
    </row>
    <row r="147" spans="1:10" ht="24" customHeight="1">
      <c r="A147" s="672" t="s">
        <v>13467</v>
      </c>
      <c r="B147" s="673" t="s">
        <v>13722</v>
      </c>
      <c r="C147" s="672" t="s">
        <v>7</v>
      </c>
      <c r="D147" s="672" t="s">
        <v>13721</v>
      </c>
      <c r="E147" s="919" t="s">
        <v>13464</v>
      </c>
      <c r="F147" s="919"/>
      <c r="G147" s="671" t="s">
        <v>17</v>
      </c>
      <c r="H147" s="670">
        <v>2.5000000000000001E-2</v>
      </c>
      <c r="I147" s="669">
        <v>19.989999999999998</v>
      </c>
      <c r="J147" s="669">
        <v>0.49</v>
      </c>
    </row>
    <row r="148" spans="1:10" ht="36" customHeight="1">
      <c r="A148" s="672" t="s">
        <v>13467</v>
      </c>
      <c r="B148" s="673" t="s">
        <v>14074</v>
      </c>
      <c r="C148" s="672" t="s">
        <v>7</v>
      </c>
      <c r="D148" s="672" t="s">
        <v>14073</v>
      </c>
      <c r="E148" s="919" t="s">
        <v>13464</v>
      </c>
      <c r="F148" s="919"/>
      <c r="G148" s="671" t="s">
        <v>34</v>
      </c>
      <c r="H148" s="670">
        <v>0.46550000000000002</v>
      </c>
      <c r="I148" s="669">
        <v>0.21</v>
      </c>
      <c r="J148" s="669">
        <v>0.09</v>
      </c>
    </row>
    <row r="149" spans="1:10" ht="25.5">
      <c r="A149" s="668"/>
      <c r="B149" s="668"/>
      <c r="C149" s="668"/>
      <c r="D149" s="668"/>
      <c r="E149" s="668" t="s">
        <v>13463</v>
      </c>
      <c r="F149" s="667">
        <v>0.90731283277192221</v>
      </c>
      <c r="G149" s="668" t="s">
        <v>13462</v>
      </c>
      <c r="H149" s="667">
        <v>0.76</v>
      </c>
      <c r="I149" s="668" t="s">
        <v>13461</v>
      </c>
      <c r="J149" s="667">
        <v>1.67</v>
      </c>
    </row>
    <row r="150" spans="1:10" ht="15" thickBot="1">
      <c r="A150" s="668"/>
      <c r="B150" s="668"/>
      <c r="C150" s="668"/>
      <c r="D150" s="668"/>
      <c r="E150" s="668" t="s">
        <v>13460</v>
      </c>
      <c r="F150" s="667">
        <v>5.0599999999999996</v>
      </c>
      <c r="G150" s="668"/>
      <c r="H150" s="925" t="s">
        <v>13459</v>
      </c>
      <c r="I150" s="925"/>
      <c r="J150" s="667">
        <v>23.01</v>
      </c>
    </row>
    <row r="151" spans="1:10" ht="0.95" customHeight="1" thickTop="1">
      <c r="A151" s="666"/>
      <c r="B151" s="666"/>
      <c r="C151" s="666"/>
      <c r="D151" s="666"/>
      <c r="E151" s="666"/>
      <c r="F151" s="666"/>
      <c r="G151" s="666"/>
      <c r="H151" s="666"/>
      <c r="I151" s="666"/>
      <c r="J151" s="666"/>
    </row>
    <row r="152" spans="1:10" ht="18" customHeight="1">
      <c r="A152" s="686" t="s">
        <v>15496</v>
      </c>
      <c r="B152" s="684" t="s">
        <v>13484</v>
      </c>
      <c r="C152" s="686" t="s">
        <v>13483</v>
      </c>
      <c r="D152" s="686" t="s">
        <v>13482</v>
      </c>
      <c r="E152" s="924" t="s">
        <v>13481</v>
      </c>
      <c r="F152" s="924"/>
      <c r="G152" s="685" t="s">
        <v>13480</v>
      </c>
      <c r="H152" s="684" t="s">
        <v>13479</v>
      </c>
      <c r="I152" s="684" t="s">
        <v>13478</v>
      </c>
      <c r="J152" s="684" t="s">
        <v>13477</v>
      </c>
    </row>
    <row r="153" spans="1:10" ht="24" customHeight="1">
      <c r="A153" s="682" t="s">
        <v>13476</v>
      </c>
      <c r="B153" s="683" t="s">
        <v>15495</v>
      </c>
      <c r="C153" s="682" t="s">
        <v>7</v>
      </c>
      <c r="D153" s="682" t="s">
        <v>3071</v>
      </c>
      <c r="E153" s="917" t="s">
        <v>13646</v>
      </c>
      <c r="F153" s="917"/>
      <c r="G153" s="681" t="s">
        <v>17</v>
      </c>
      <c r="H153" s="680">
        <v>1</v>
      </c>
      <c r="I153" s="679">
        <v>20.52</v>
      </c>
      <c r="J153" s="679">
        <v>20.52</v>
      </c>
    </row>
    <row r="154" spans="1:10" ht="36" customHeight="1">
      <c r="A154" s="677" t="s">
        <v>13472</v>
      </c>
      <c r="B154" s="678" t="s">
        <v>13973</v>
      </c>
      <c r="C154" s="677" t="s">
        <v>7</v>
      </c>
      <c r="D154" s="677" t="s">
        <v>2205</v>
      </c>
      <c r="E154" s="918" t="s">
        <v>13646</v>
      </c>
      <c r="F154" s="918"/>
      <c r="G154" s="676" t="s">
        <v>17</v>
      </c>
      <c r="H154" s="675">
        <v>1</v>
      </c>
      <c r="I154" s="674">
        <v>15.36</v>
      </c>
      <c r="J154" s="674">
        <v>15.36</v>
      </c>
    </row>
    <row r="155" spans="1:10" ht="24" customHeight="1">
      <c r="A155" s="677" t="s">
        <v>13472</v>
      </c>
      <c r="B155" s="678" t="s">
        <v>13724</v>
      </c>
      <c r="C155" s="677" t="s">
        <v>7</v>
      </c>
      <c r="D155" s="677" t="s">
        <v>125</v>
      </c>
      <c r="E155" s="918" t="s">
        <v>13470</v>
      </c>
      <c r="F155" s="918"/>
      <c r="G155" s="676" t="s">
        <v>19</v>
      </c>
      <c r="H155" s="675">
        <v>0.19450000000000001</v>
      </c>
      <c r="I155" s="674">
        <v>17.579999999999998</v>
      </c>
      <c r="J155" s="674">
        <v>3.41</v>
      </c>
    </row>
    <row r="156" spans="1:10" ht="24" customHeight="1">
      <c r="A156" s="677" t="s">
        <v>13472</v>
      </c>
      <c r="B156" s="678" t="s">
        <v>13723</v>
      </c>
      <c r="C156" s="677" t="s">
        <v>7</v>
      </c>
      <c r="D156" s="677" t="s">
        <v>120</v>
      </c>
      <c r="E156" s="918" t="s">
        <v>13470</v>
      </c>
      <c r="F156" s="918"/>
      <c r="G156" s="676" t="s">
        <v>19</v>
      </c>
      <c r="H156" s="675">
        <v>6.3500000000000001E-2</v>
      </c>
      <c r="I156" s="674">
        <v>13.4</v>
      </c>
      <c r="J156" s="674">
        <v>0.85</v>
      </c>
    </row>
    <row r="157" spans="1:10" ht="24" customHeight="1">
      <c r="A157" s="672" t="s">
        <v>13467</v>
      </c>
      <c r="B157" s="673" t="s">
        <v>13722</v>
      </c>
      <c r="C157" s="672" t="s">
        <v>7</v>
      </c>
      <c r="D157" s="672" t="s">
        <v>13721</v>
      </c>
      <c r="E157" s="919" t="s">
        <v>13464</v>
      </c>
      <c r="F157" s="919"/>
      <c r="G157" s="671" t="s">
        <v>17</v>
      </c>
      <c r="H157" s="670">
        <v>2.5000000000000001E-2</v>
      </c>
      <c r="I157" s="669">
        <v>19.989999999999998</v>
      </c>
      <c r="J157" s="669">
        <v>0.49</v>
      </c>
    </row>
    <row r="158" spans="1:10" ht="36" customHeight="1">
      <c r="A158" s="672" t="s">
        <v>13467</v>
      </c>
      <c r="B158" s="673" t="s">
        <v>14074</v>
      </c>
      <c r="C158" s="672" t="s">
        <v>7</v>
      </c>
      <c r="D158" s="672" t="s">
        <v>14073</v>
      </c>
      <c r="E158" s="919" t="s">
        <v>13464</v>
      </c>
      <c r="F158" s="919"/>
      <c r="G158" s="671" t="s">
        <v>34</v>
      </c>
      <c r="H158" s="670">
        <v>1.9664999999999999</v>
      </c>
      <c r="I158" s="669">
        <v>0.21</v>
      </c>
      <c r="J158" s="669">
        <v>0.41</v>
      </c>
    </row>
    <row r="159" spans="1:10" ht="25.5">
      <c r="A159" s="668"/>
      <c r="B159" s="668"/>
      <c r="C159" s="668"/>
      <c r="D159" s="668"/>
      <c r="E159" s="668" t="s">
        <v>13463</v>
      </c>
      <c r="F159" s="667">
        <v>2.4013908508095185</v>
      </c>
      <c r="G159" s="668" t="s">
        <v>13462</v>
      </c>
      <c r="H159" s="667">
        <v>2.02</v>
      </c>
      <c r="I159" s="668" t="s">
        <v>13461</v>
      </c>
      <c r="J159" s="667">
        <v>4.42</v>
      </c>
    </row>
    <row r="160" spans="1:10" ht="15" thickBot="1">
      <c r="A160" s="668"/>
      <c r="B160" s="668"/>
      <c r="C160" s="668"/>
      <c r="D160" s="668"/>
      <c r="E160" s="668" t="s">
        <v>13460</v>
      </c>
      <c r="F160" s="667">
        <v>5.79</v>
      </c>
      <c r="G160" s="668"/>
      <c r="H160" s="925" t="s">
        <v>13459</v>
      </c>
      <c r="I160" s="925"/>
      <c r="J160" s="667">
        <v>26.31</v>
      </c>
    </row>
    <row r="161" spans="1:10" ht="0.95" customHeight="1" thickTop="1">
      <c r="A161" s="666"/>
      <c r="B161" s="666"/>
      <c r="C161" s="666"/>
      <c r="D161" s="666"/>
      <c r="E161" s="666"/>
      <c r="F161" s="666"/>
      <c r="G161" s="666"/>
      <c r="H161" s="666"/>
      <c r="I161" s="666"/>
      <c r="J161" s="666"/>
    </row>
    <row r="162" spans="1:10" ht="18" customHeight="1">
      <c r="A162" s="686" t="s">
        <v>15494</v>
      </c>
      <c r="B162" s="684" t="s">
        <v>13484</v>
      </c>
      <c r="C162" s="686" t="s">
        <v>13483</v>
      </c>
      <c r="D162" s="686" t="s">
        <v>13482</v>
      </c>
      <c r="E162" s="924" t="s">
        <v>13481</v>
      </c>
      <c r="F162" s="924"/>
      <c r="G162" s="685" t="s">
        <v>13480</v>
      </c>
      <c r="H162" s="684" t="s">
        <v>13479</v>
      </c>
      <c r="I162" s="684" t="s">
        <v>13478</v>
      </c>
      <c r="J162" s="684" t="s">
        <v>13477</v>
      </c>
    </row>
    <row r="163" spans="1:10" ht="36" customHeight="1">
      <c r="A163" s="682" t="s">
        <v>13476</v>
      </c>
      <c r="B163" s="683" t="s">
        <v>13647</v>
      </c>
      <c r="C163" s="682" t="s">
        <v>7</v>
      </c>
      <c r="D163" s="682" t="s">
        <v>7011</v>
      </c>
      <c r="E163" s="917" t="s">
        <v>13646</v>
      </c>
      <c r="F163" s="917"/>
      <c r="G163" s="681" t="s">
        <v>13515</v>
      </c>
      <c r="H163" s="680">
        <v>1</v>
      </c>
      <c r="I163" s="679">
        <v>382.79</v>
      </c>
      <c r="J163" s="679">
        <v>382.79</v>
      </c>
    </row>
    <row r="164" spans="1:10" ht="48" customHeight="1">
      <c r="A164" s="677" t="s">
        <v>13472</v>
      </c>
      <c r="B164" s="678" t="s">
        <v>13999</v>
      </c>
      <c r="C164" s="677" t="s">
        <v>7</v>
      </c>
      <c r="D164" s="677" t="s">
        <v>1213</v>
      </c>
      <c r="E164" s="918" t="s">
        <v>13491</v>
      </c>
      <c r="F164" s="918"/>
      <c r="G164" s="676" t="s">
        <v>38</v>
      </c>
      <c r="H164" s="675">
        <v>0.64339999999999997</v>
      </c>
      <c r="I164" s="674">
        <v>4.71</v>
      </c>
      <c r="J164" s="674">
        <v>3.03</v>
      </c>
    </row>
    <row r="165" spans="1:10" ht="48" customHeight="1">
      <c r="A165" s="677" t="s">
        <v>13472</v>
      </c>
      <c r="B165" s="678" t="s">
        <v>13998</v>
      </c>
      <c r="C165" s="677" t="s">
        <v>7</v>
      </c>
      <c r="D165" s="677" t="s">
        <v>1214</v>
      </c>
      <c r="E165" s="918" t="s">
        <v>13491</v>
      </c>
      <c r="F165" s="918"/>
      <c r="G165" s="676" t="s">
        <v>53</v>
      </c>
      <c r="H165" s="675">
        <v>0.60670000000000002</v>
      </c>
      <c r="I165" s="674">
        <v>1.42</v>
      </c>
      <c r="J165" s="674">
        <v>0.86</v>
      </c>
    </row>
    <row r="166" spans="1:10" ht="24" customHeight="1">
      <c r="A166" s="677" t="s">
        <v>13472</v>
      </c>
      <c r="B166" s="678" t="s">
        <v>13471</v>
      </c>
      <c r="C166" s="677" t="s">
        <v>7</v>
      </c>
      <c r="D166" s="677" t="s">
        <v>21</v>
      </c>
      <c r="E166" s="918" t="s">
        <v>13470</v>
      </c>
      <c r="F166" s="918"/>
      <c r="G166" s="676" t="s">
        <v>19</v>
      </c>
      <c r="H166" s="675">
        <v>1.9792000000000001</v>
      </c>
      <c r="I166" s="674">
        <v>14.02</v>
      </c>
      <c r="J166" s="674">
        <v>27.74</v>
      </c>
    </row>
    <row r="167" spans="1:10" ht="24" customHeight="1">
      <c r="A167" s="677" t="s">
        <v>13472</v>
      </c>
      <c r="B167" s="678" t="s">
        <v>13690</v>
      </c>
      <c r="C167" s="677" t="s">
        <v>7</v>
      </c>
      <c r="D167" s="677" t="s">
        <v>1097</v>
      </c>
      <c r="E167" s="918" t="s">
        <v>13470</v>
      </c>
      <c r="F167" s="918"/>
      <c r="G167" s="676" t="s">
        <v>19</v>
      </c>
      <c r="H167" s="675">
        <v>1.2501</v>
      </c>
      <c r="I167" s="674">
        <v>12.73</v>
      </c>
      <c r="J167" s="674">
        <v>15.91</v>
      </c>
    </row>
    <row r="168" spans="1:10" ht="24" customHeight="1">
      <c r="A168" s="672" t="s">
        <v>13467</v>
      </c>
      <c r="B168" s="673" t="s">
        <v>13608</v>
      </c>
      <c r="C168" s="672" t="s">
        <v>7</v>
      </c>
      <c r="D168" s="672" t="s">
        <v>13607</v>
      </c>
      <c r="E168" s="919" t="s">
        <v>13464</v>
      </c>
      <c r="F168" s="919"/>
      <c r="G168" s="671" t="s">
        <v>13515</v>
      </c>
      <c r="H168" s="670">
        <v>0.72750000000000004</v>
      </c>
      <c r="I168" s="669">
        <v>74.59</v>
      </c>
      <c r="J168" s="669">
        <v>54.26</v>
      </c>
    </row>
    <row r="169" spans="1:10" ht="24" customHeight="1">
      <c r="A169" s="672" t="s">
        <v>13467</v>
      </c>
      <c r="B169" s="673" t="s">
        <v>13997</v>
      </c>
      <c r="C169" s="672" t="s">
        <v>7</v>
      </c>
      <c r="D169" s="672" t="s">
        <v>13996</v>
      </c>
      <c r="E169" s="919" t="s">
        <v>13464</v>
      </c>
      <c r="F169" s="919"/>
      <c r="G169" s="671" t="s">
        <v>17</v>
      </c>
      <c r="H169" s="670">
        <v>364.94330000000002</v>
      </c>
      <c r="I169" s="669">
        <v>0.64</v>
      </c>
      <c r="J169" s="669">
        <v>233.56</v>
      </c>
    </row>
    <row r="170" spans="1:10" ht="24" customHeight="1">
      <c r="A170" s="672" t="s">
        <v>13467</v>
      </c>
      <c r="B170" s="673" t="s">
        <v>13995</v>
      </c>
      <c r="C170" s="672" t="s">
        <v>7</v>
      </c>
      <c r="D170" s="672" t="s">
        <v>13994</v>
      </c>
      <c r="E170" s="919" t="s">
        <v>13464</v>
      </c>
      <c r="F170" s="919"/>
      <c r="G170" s="671" t="s">
        <v>13515</v>
      </c>
      <c r="H170" s="670">
        <v>0.59719999999999995</v>
      </c>
      <c r="I170" s="669">
        <v>79.430000000000007</v>
      </c>
      <c r="J170" s="669">
        <v>47.43</v>
      </c>
    </row>
    <row r="171" spans="1:10" ht="25.5">
      <c r="A171" s="668"/>
      <c r="B171" s="668"/>
      <c r="C171" s="668"/>
      <c r="D171" s="668"/>
      <c r="E171" s="668" t="s">
        <v>13463</v>
      </c>
      <c r="F171" s="667">
        <v>17.75507986526133</v>
      </c>
      <c r="G171" s="668" t="s">
        <v>13462</v>
      </c>
      <c r="H171" s="667">
        <v>14.92</v>
      </c>
      <c r="I171" s="668" t="s">
        <v>13461</v>
      </c>
      <c r="J171" s="667">
        <v>32.68</v>
      </c>
    </row>
    <row r="172" spans="1:10" ht="15" thickBot="1">
      <c r="A172" s="668"/>
      <c r="B172" s="668"/>
      <c r="C172" s="668"/>
      <c r="D172" s="668"/>
      <c r="E172" s="668" t="s">
        <v>13460</v>
      </c>
      <c r="F172" s="667">
        <v>108.09</v>
      </c>
      <c r="G172" s="668"/>
      <c r="H172" s="925" t="s">
        <v>13459</v>
      </c>
      <c r="I172" s="925"/>
      <c r="J172" s="667">
        <v>490.88</v>
      </c>
    </row>
    <row r="173" spans="1:10" ht="0.95" customHeight="1" thickTop="1">
      <c r="A173" s="666"/>
      <c r="B173" s="666"/>
      <c r="C173" s="666"/>
      <c r="D173" s="666"/>
      <c r="E173" s="666"/>
      <c r="F173" s="666"/>
      <c r="G173" s="666"/>
      <c r="H173" s="666"/>
      <c r="I173" s="666"/>
      <c r="J173" s="666"/>
    </row>
    <row r="174" spans="1:10" ht="18" customHeight="1">
      <c r="A174" s="686" t="s">
        <v>15493</v>
      </c>
      <c r="B174" s="684" t="s">
        <v>13484</v>
      </c>
      <c r="C174" s="686" t="s">
        <v>13483</v>
      </c>
      <c r="D174" s="686" t="s">
        <v>13482</v>
      </c>
      <c r="E174" s="924" t="s">
        <v>13481</v>
      </c>
      <c r="F174" s="924"/>
      <c r="G174" s="685" t="s">
        <v>13480</v>
      </c>
      <c r="H174" s="684" t="s">
        <v>13479</v>
      </c>
      <c r="I174" s="684" t="s">
        <v>13478</v>
      </c>
      <c r="J174" s="684" t="s">
        <v>13477</v>
      </c>
    </row>
    <row r="175" spans="1:10" ht="24" customHeight="1">
      <c r="A175" s="682" t="s">
        <v>13476</v>
      </c>
      <c r="B175" s="683" t="s">
        <v>15492</v>
      </c>
      <c r="C175" s="682" t="s">
        <v>7</v>
      </c>
      <c r="D175" s="682" t="s">
        <v>48</v>
      </c>
      <c r="E175" s="917" t="s">
        <v>13646</v>
      </c>
      <c r="F175" s="917"/>
      <c r="G175" s="681" t="s">
        <v>13515</v>
      </c>
      <c r="H175" s="680">
        <v>1</v>
      </c>
      <c r="I175" s="679">
        <v>144.18</v>
      </c>
      <c r="J175" s="679">
        <v>144.18</v>
      </c>
    </row>
    <row r="176" spans="1:10" ht="36" customHeight="1">
      <c r="A176" s="677" t="s">
        <v>13472</v>
      </c>
      <c r="B176" s="678" t="s">
        <v>13499</v>
      </c>
      <c r="C176" s="677" t="s">
        <v>7</v>
      </c>
      <c r="D176" s="677" t="s">
        <v>1739</v>
      </c>
      <c r="E176" s="918" t="s">
        <v>13491</v>
      </c>
      <c r="F176" s="918"/>
      <c r="G176" s="676" t="s">
        <v>38</v>
      </c>
      <c r="H176" s="675">
        <v>0.67200000000000004</v>
      </c>
      <c r="I176" s="674">
        <v>1.77</v>
      </c>
      <c r="J176" s="674">
        <v>1.18</v>
      </c>
    </row>
    <row r="177" spans="1:10" ht="36" customHeight="1">
      <c r="A177" s="677" t="s">
        <v>13472</v>
      </c>
      <c r="B177" s="678" t="s">
        <v>13500</v>
      </c>
      <c r="C177" s="677" t="s">
        <v>7</v>
      </c>
      <c r="D177" s="677" t="s">
        <v>1740</v>
      </c>
      <c r="E177" s="918" t="s">
        <v>13491</v>
      </c>
      <c r="F177" s="918"/>
      <c r="G177" s="676" t="s">
        <v>53</v>
      </c>
      <c r="H177" s="675">
        <v>1.1739999999999999</v>
      </c>
      <c r="I177" s="674">
        <v>0.42</v>
      </c>
      <c r="J177" s="674">
        <v>0.49</v>
      </c>
    </row>
    <row r="178" spans="1:10" ht="24" customHeight="1">
      <c r="A178" s="677" t="s">
        <v>13472</v>
      </c>
      <c r="B178" s="678" t="s">
        <v>13833</v>
      </c>
      <c r="C178" s="677" t="s">
        <v>7</v>
      </c>
      <c r="D178" s="677" t="s">
        <v>40</v>
      </c>
      <c r="E178" s="918" t="s">
        <v>13470</v>
      </c>
      <c r="F178" s="918"/>
      <c r="G178" s="676" t="s">
        <v>19</v>
      </c>
      <c r="H178" s="675">
        <v>1.8460000000000001</v>
      </c>
      <c r="I178" s="674">
        <v>17.48</v>
      </c>
      <c r="J178" s="674">
        <v>32.26</v>
      </c>
    </row>
    <row r="179" spans="1:10" ht="24" customHeight="1">
      <c r="A179" s="677" t="s">
        <v>13472</v>
      </c>
      <c r="B179" s="678" t="s">
        <v>13471</v>
      </c>
      <c r="C179" s="677" t="s">
        <v>7</v>
      </c>
      <c r="D179" s="677" t="s">
        <v>21</v>
      </c>
      <c r="E179" s="918" t="s">
        <v>13470</v>
      </c>
      <c r="F179" s="918"/>
      <c r="G179" s="676" t="s">
        <v>19</v>
      </c>
      <c r="H179" s="675">
        <v>5.5380000000000003</v>
      </c>
      <c r="I179" s="674">
        <v>14.02</v>
      </c>
      <c r="J179" s="674">
        <v>77.64</v>
      </c>
    </row>
    <row r="180" spans="1:10" ht="24" customHeight="1">
      <c r="A180" s="677" t="s">
        <v>13472</v>
      </c>
      <c r="B180" s="678" t="s">
        <v>13600</v>
      </c>
      <c r="C180" s="677" t="s">
        <v>7</v>
      </c>
      <c r="D180" s="677" t="s">
        <v>41</v>
      </c>
      <c r="E180" s="918" t="s">
        <v>13470</v>
      </c>
      <c r="F180" s="918"/>
      <c r="G180" s="676" t="s">
        <v>19</v>
      </c>
      <c r="H180" s="675">
        <v>1.8460000000000001</v>
      </c>
      <c r="I180" s="674">
        <v>17.670000000000002</v>
      </c>
      <c r="J180" s="674">
        <v>32.61</v>
      </c>
    </row>
    <row r="181" spans="1:10" ht="25.5">
      <c r="A181" s="668"/>
      <c r="B181" s="668"/>
      <c r="C181" s="668"/>
      <c r="D181" s="668"/>
      <c r="E181" s="668" t="s">
        <v>13463</v>
      </c>
      <c r="F181" s="667">
        <v>58.752580680212972</v>
      </c>
      <c r="G181" s="668" t="s">
        <v>13462</v>
      </c>
      <c r="H181" s="667">
        <v>49.39</v>
      </c>
      <c r="I181" s="668" t="s">
        <v>13461</v>
      </c>
      <c r="J181" s="667">
        <v>108.14</v>
      </c>
    </row>
    <row r="182" spans="1:10" ht="15" thickBot="1">
      <c r="A182" s="668"/>
      <c r="B182" s="668"/>
      <c r="C182" s="668"/>
      <c r="D182" s="668"/>
      <c r="E182" s="668" t="s">
        <v>13460</v>
      </c>
      <c r="F182" s="667">
        <v>40.71</v>
      </c>
      <c r="G182" s="668"/>
      <c r="H182" s="925" t="s">
        <v>13459</v>
      </c>
      <c r="I182" s="925"/>
      <c r="J182" s="667">
        <v>184.89</v>
      </c>
    </row>
    <row r="183" spans="1:10" ht="0.95" customHeight="1" thickTop="1">
      <c r="A183" s="666"/>
      <c r="B183" s="666"/>
      <c r="C183" s="666"/>
      <c r="D183" s="666"/>
      <c r="E183" s="666"/>
      <c r="F183" s="666"/>
      <c r="G183" s="666"/>
      <c r="H183" s="666"/>
      <c r="I183" s="666"/>
      <c r="J183" s="666"/>
    </row>
    <row r="184" spans="1:10" ht="18" customHeight="1">
      <c r="A184" s="686" t="s">
        <v>15491</v>
      </c>
      <c r="B184" s="684" t="s">
        <v>13484</v>
      </c>
      <c r="C184" s="686" t="s">
        <v>13483</v>
      </c>
      <c r="D184" s="686" t="s">
        <v>13482</v>
      </c>
      <c r="E184" s="924" t="s">
        <v>13481</v>
      </c>
      <c r="F184" s="924"/>
      <c r="G184" s="685" t="s">
        <v>13480</v>
      </c>
      <c r="H184" s="684" t="s">
        <v>13479</v>
      </c>
      <c r="I184" s="684" t="s">
        <v>13478</v>
      </c>
      <c r="J184" s="684" t="s">
        <v>13477</v>
      </c>
    </row>
    <row r="185" spans="1:10" ht="36" customHeight="1">
      <c r="A185" s="682" t="s">
        <v>13476</v>
      </c>
      <c r="B185" s="683" t="s">
        <v>15490</v>
      </c>
      <c r="C185" s="682" t="s">
        <v>7</v>
      </c>
      <c r="D185" s="682" t="s">
        <v>4713</v>
      </c>
      <c r="E185" s="917" t="s">
        <v>13646</v>
      </c>
      <c r="F185" s="917"/>
      <c r="G185" s="681" t="s">
        <v>14</v>
      </c>
      <c r="H185" s="680">
        <v>1</v>
      </c>
      <c r="I185" s="679">
        <v>138.13</v>
      </c>
      <c r="J185" s="679">
        <v>138.13</v>
      </c>
    </row>
    <row r="186" spans="1:10" ht="36" customHeight="1">
      <c r="A186" s="677" t="s">
        <v>13472</v>
      </c>
      <c r="B186" s="678" t="s">
        <v>13728</v>
      </c>
      <c r="C186" s="677" t="s">
        <v>7</v>
      </c>
      <c r="D186" s="677" t="s">
        <v>3438</v>
      </c>
      <c r="E186" s="918" t="s">
        <v>13646</v>
      </c>
      <c r="F186" s="918"/>
      <c r="G186" s="676" t="s">
        <v>17</v>
      </c>
      <c r="H186" s="675">
        <v>3.8519999999999999</v>
      </c>
      <c r="I186" s="674">
        <v>14.77</v>
      </c>
      <c r="J186" s="674">
        <v>56.89</v>
      </c>
    </row>
    <row r="187" spans="1:10" ht="36" customHeight="1">
      <c r="A187" s="677" t="s">
        <v>13472</v>
      </c>
      <c r="B187" s="678" t="s">
        <v>14002</v>
      </c>
      <c r="C187" s="677" t="s">
        <v>7</v>
      </c>
      <c r="D187" s="677" t="s">
        <v>7010</v>
      </c>
      <c r="E187" s="918" t="s">
        <v>13646</v>
      </c>
      <c r="F187" s="918"/>
      <c r="G187" s="676" t="s">
        <v>13515</v>
      </c>
      <c r="H187" s="675">
        <v>8.5999999999999993E-2</v>
      </c>
      <c r="I187" s="674">
        <v>360.42</v>
      </c>
      <c r="J187" s="674">
        <v>30.99</v>
      </c>
    </row>
    <row r="188" spans="1:10" ht="24" customHeight="1">
      <c r="A188" s="677" t="s">
        <v>13472</v>
      </c>
      <c r="B188" s="678" t="s">
        <v>13726</v>
      </c>
      <c r="C188" s="677" t="s">
        <v>7</v>
      </c>
      <c r="D188" s="677" t="s">
        <v>2846</v>
      </c>
      <c r="E188" s="918" t="s">
        <v>13646</v>
      </c>
      <c r="F188" s="918"/>
      <c r="G188" s="676" t="s">
        <v>17</v>
      </c>
      <c r="H188" s="675">
        <v>0.63300000000000001</v>
      </c>
      <c r="I188" s="674">
        <v>19.16</v>
      </c>
      <c r="J188" s="674">
        <v>12.12</v>
      </c>
    </row>
    <row r="189" spans="1:10" ht="24" customHeight="1">
      <c r="A189" s="677" t="s">
        <v>13472</v>
      </c>
      <c r="B189" s="678" t="s">
        <v>13471</v>
      </c>
      <c r="C189" s="677" t="s">
        <v>7</v>
      </c>
      <c r="D189" s="677" t="s">
        <v>21</v>
      </c>
      <c r="E189" s="918" t="s">
        <v>13470</v>
      </c>
      <c r="F189" s="918"/>
      <c r="G189" s="676" t="s">
        <v>19</v>
      </c>
      <c r="H189" s="675">
        <v>1.33</v>
      </c>
      <c r="I189" s="674">
        <v>14.02</v>
      </c>
      <c r="J189" s="674">
        <v>18.64</v>
      </c>
    </row>
    <row r="190" spans="1:10" ht="24" customHeight="1">
      <c r="A190" s="677" t="s">
        <v>13472</v>
      </c>
      <c r="B190" s="678" t="s">
        <v>13600</v>
      </c>
      <c r="C190" s="677" t="s">
        <v>7</v>
      </c>
      <c r="D190" s="677" t="s">
        <v>41</v>
      </c>
      <c r="E190" s="918" t="s">
        <v>13470</v>
      </c>
      <c r="F190" s="918"/>
      <c r="G190" s="676" t="s">
        <v>19</v>
      </c>
      <c r="H190" s="675">
        <v>1.103</v>
      </c>
      <c r="I190" s="674">
        <v>17.670000000000002</v>
      </c>
      <c r="J190" s="674">
        <v>19.489999999999998</v>
      </c>
    </row>
    <row r="191" spans="1:10" ht="25.5">
      <c r="A191" s="668"/>
      <c r="B191" s="668"/>
      <c r="C191" s="668"/>
      <c r="D191" s="668"/>
      <c r="E191" s="668" t="s">
        <v>13463</v>
      </c>
      <c r="F191" s="667">
        <v>20.781266978159294</v>
      </c>
      <c r="G191" s="668" t="s">
        <v>13462</v>
      </c>
      <c r="H191" s="667">
        <v>17.47</v>
      </c>
      <c r="I191" s="668" t="s">
        <v>13461</v>
      </c>
      <c r="J191" s="667">
        <v>38.25</v>
      </c>
    </row>
    <row r="192" spans="1:10" ht="15" thickBot="1">
      <c r="A192" s="668"/>
      <c r="B192" s="668"/>
      <c r="C192" s="668"/>
      <c r="D192" s="668"/>
      <c r="E192" s="668" t="s">
        <v>13460</v>
      </c>
      <c r="F192" s="667">
        <v>39</v>
      </c>
      <c r="G192" s="668"/>
      <c r="H192" s="925" t="s">
        <v>13459</v>
      </c>
      <c r="I192" s="925"/>
      <c r="J192" s="667">
        <v>177.13</v>
      </c>
    </row>
    <row r="193" spans="1:10" ht="0.95" customHeight="1" thickTop="1">
      <c r="A193" s="666"/>
      <c r="B193" s="666"/>
      <c r="C193" s="666"/>
      <c r="D193" s="666"/>
      <c r="E193" s="666"/>
      <c r="F193" s="666"/>
      <c r="G193" s="666"/>
      <c r="H193" s="666"/>
      <c r="I193" s="666"/>
      <c r="J193" s="666"/>
    </row>
    <row r="194" spans="1:10" ht="18" customHeight="1">
      <c r="A194" s="686" t="s">
        <v>15489</v>
      </c>
      <c r="B194" s="684" t="s">
        <v>13484</v>
      </c>
      <c r="C194" s="686" t="s">
        <v>13483</v>
      </c>
      <c r="D194" s="686" t="s">
        <v>13482</v>
      </c>
      <c r="E194" s="924" t="s">
        <v>13481</v>
      </c>
      <c r="F194" s="924"/>
      <c r="G194" s="685" t="s">
        <v>13480</v>
      </c>
      <c r="H194" s="684" t="s">
        <v>13479</v>
      </c>
      <c r="I194" s="684" t="s">
        <v>13478</v>
      </c>
      <c r="J194" s="684" t="s">
        <v>13477</v>
      </c>
    </row>
    <row r="195" spans="1:10" ht="24" customHeight="1">
      <c r="A195" s="682" t="s">
        <v>13476</v>
      </c>
      <c r="B195" s="683" t="s">
        <v>15488</v>
      </c>
      <c r="C195" s="682" t="s">
        <v>7</v>
      </c>
      <c r="D195" s="682" t="s">
        <v>506</v>
      </c>
      <c r="E195" s="917" t="s">
        <v>13516</v>
      </c>
      <c r="F195" s="917"/>
      <c r="G195" s="681" t="s">
        <v>13515</v>
      </c>
      <c r="H195" s="680">
        <v>1</v>
      </c>
      <c r="I195" s="679">
        <v>20.05</v>
      </c>
      <c r="J195" s="679">
        <v>20.05</v>
      </c>
    </row>
    <row r="196" spans="1:10" ht="36" customHeight="1">
      <c r="A196" s="677" t="s">
        <v>13472</v>
      </c>
      <c r="B196" s="678" t="s">
        <v>13603</v>
      </c>
      <c r="C196" s="677" t="s">
        <v>7</v>
      </c>
      <c r="D196" s="677" t="s">
        <v>1912</v>
      </c>
      <c r="E196" s="918" t="s">
        <v>13491</v>
      </c>
      <c r="F196" s="918"/>
      <c r="G196" s="676" t="s">
        <v>38</v>
      </c>
      <c r="H196" s="675">
        <v>0.27400000000000002</v>
      </c>
      <c r="I196" s="674">
        <v>21.1</v>
      </c>
      <c r="J196" s="674">
        <v>5.78</v>
      </c>
    </row>
    <row r="197" spans="1:10" ht="36" customHeight="1">
      <c r="A197" s="677" t="s">
        <v>13472</v>
      </c>
      <c r="B197" s="678" t="s">
        <v>13601</v>
      </c>
      <c r="C197" s="677" t="s">
        <v>7</v>
      </c>
      <c r="D197" s="677" t="s">
        <v>1913</v>
      </c>
      <c r="E197" s="918" t="s">
        <v>13491</v>
      </c>
      <c r="F197" s="918"/>
      <c r="G197" s="676" t="s">
        <v>53</v>
      </c>
      <c r="H197" s="675">
        <v>0.254</v>
      </c>
      <c r="I197" s="674">
        <v>14.17</v>
      </c>
      <c r="J197" s="674">
        <v>3.59</v>
      </c>
    </row>
    <row r="198" spans="1:10" ht="24" customHeight="1">
      <c r="A198" s="677" t="s">
        <v>13472</v>
      </c>
      <c r="B198" s="678" t="s">
        <v>13517</v>
      </c>
      <c r="C198" s="677" t="s">
        <v>7</v>
      </c>
      <c r="D198" s="677" t="s">
        <v>2854</v>
      </c>
      <c r="E198" s="918" t="s">
        <v>13516</v>
      </c>
      <c r="F198" s="918"/>
      <c r="G198" s="676" t="s">
        <v>13515</v>
      </c>
      <c r="H198" s="675">
        <v>1</v>
      </c>
      <c r="I198" s="674">
        <v>1.57</v>
      </c>
      <c r="J198" s="674">
        <v>1.57</v>
      </c>
    </row>
    <row r="199" spans="1:10" ht="24" customHeight="1">
      <c r="A199" s="677" t="s">
        <v>13472</v>
      </c>
      <c r="B199" s="678" t="s">
        <v>13471</v>
      </c>
      <c r="C199" s="677" t="s">
        <v>7</v>
      </c>
      <c r="D199" s="677" t="s">
        <v>21</v>
      </c>
      <c r="E199" s="918" t="s">
        <v>13470</v>
      </c>
      <c r="F199" s="918"/>
      <c r="G199" s="676" t="s">
        <v>19</v>
      </c>
      <c r="H199" s="675">
        <v>0.65</v>
      </c>
      <c r="I199" s="674">
        <v>14.02</v>
      </c>
      <c r="J199" s="674">
        <v>9.11</v>
      </c>
    </row>
    <row r="200" spans="1:10" ht="25.5">
      <c r="A200" s="668"/>
      <c r="B200" s="668"/>
      <c r="C200" s="668"/>
      <c r="D200" s="668"/>
      <c r="E200" s="668" t="s">
        <v>13463</v>
      </c>
      <c r="F200" s="667">
        <v>6.7423666195805714</v>
      </c>
      <c r="G200" s="668" t="s">
        <v>13462</v>
      </c>
      <c r="H200" s="667">
        <v>5.67</v>
      </c>
      <c r="I200" s="668" t="s">
        <v>13461</v>
      </c>
      <c r="J200" s="667">
        <v>12.41</v>
      </c>
    </row>
    <row r="201" spans="1:10" ht="15" thickBot="1">
      <c r="A201" s="668"/>
      <c r="B201" s="668"/>
      <c r="C201" s="668"/>
      <c r="D201" s="668"/>
      <c r="E201" s="668" t="s">
        <v>13460</v>
      </c>
      <c r="F201" s="667">
        <v>5.66</v>
      </c>
      <c r="G201" s="668"/>
      <c r="H201" s="925" t="s">
        <v>13459</v>
      </c>
      <c r="I201" s="925"/>
      <c r="J201" s="667">
        <v>25.71</v>
      </c>
    </row>
    <row r="202" spans="1:10" ht="0.95" customHeight="1" thickTop="1">
      <c r="A202" s="666"/>
      <c r="B202" s="666"/>
      <c r="C202" s="666"/>
      <c r="D202" s="666"/>
      <c r="E202" s="666"/>
      <c r="F202" s="666"/>
      <c r="G202" s="666"/>
      <c r="H202" s="666"/>
      <c r="I202" s="666"/>
      <c r="J202" s="666"/>
    </row>
    <row r="203" spans="1:10" ht="18" customHeight="1">
      <c r="A203" s="686" t="s">
        <v>15487</v>
      </c>
      <c r="B203" s="684" t="s">
        <v>13484</v>
      </c>
      <c r="C203" s="686" t="s">
        <v>13483</v>
      </c>
      <c r="D203" s="686" t="s">
        <v>13482</v>
      </c>
      <c r="E203" s="924" t="s">
        <v>13481</v>
      </c>
      <c r="F203" s="924"/>
      <c r="G203" s="685" t="s">
        <v>13480</v>
      </c>
      <c r="H203" s="684" t="s">
        <v>13479</v>
      </c>
      <c r="I203" s="684" t="s">
        <v>13478</v>
      </c>
      <c r="J203" s="684" t="s">
        <v>13477</v>
      </c>
    </row>
    <row r="204" spans="1:10" ht="36" customHeight="1">
      <c r="A204" s="682" t="s">
        <v>13476</v>
      </c>
      <c r="B204" s="683" t="s">
        <v>15486</v>
      </c>
      <c r="C204" s="682" t="s">
        <v>7</v>
      </c>
      <c r="D204" s="682" t="s">
        <v>3084</v>
      </c>
      <c r="E204" s="917" t="s">
        <v>13646</v>
      </c>
      <c r="F204" s="917"/>
      <c r="G204" s="681" t="s">
        <v>13610</v>
      </c>
      <c r="H204" s="680">
        <v>1</v>
      </c>
      <c r="I204" s="679">
        <v>14.01</v>
      </c>
      <c r="J204" s="679">
        <v>14.01</v>
      </c>
    </row>
    <row r="205" spans="1:10" ht="36" customHeight="1">
      <c r="A205" s="677" t="s">
        <v>13472</v>
      </c>
      <c r="B205" s="678" t="s">
        <v>14000</v>
      </c>
      <c r="C205" s="677" t="s">
        <v>7</v>
      </c>
      <c r="D205" s="677" t="s">
        <v>7008</v>
      </c>
      <c r="E205" s="918" t="s">
        <v>13646</v>
      </c>
      <c r="F205" s="918"/>
      <c r="G205" s="676" t="s">
        <v>13515</v>
      </c>
      <c r="H205" s="675">
        <v>3.39E-2</v>
      </c>
      <c r="I205" s="674">
        <v>295.51</v>
      </c>
      <c r="J205" s="674">
        <v>10.01</v>
      </c>
    </row>
    <row r="206" spans="1:10" ht="24" customHeight="1">
      <c r="A206" s="677" t="s">
        <v>13472</v>
      </c>
      <c r="B206" s="678" t="s">
        <v>13600</v>
      </c>
      <c r="C206" s="677" t="s">
        <v>7</v>
      </c>
      <c r="D206" s="677" t="s">
        <v>41</v>
      </c>
      <c r="E206" s="918" t="s">
        <v>13470</v>
      </c>
      <c r="F206" s="918"/>
      <c r="G206" s="676" t="s">
        <v>19</v>
      </c>
      <c r="H206" s="675">
        <v>0.18629999999999999</v>
      </c>
      <c r="I206" s="674">
        <v>17.670000000000002</v>
      </c>
      <c r="J206" s="674">
        <v>3.29</v>
      </c>
    </row>
    <row r="207" spans="1:10" ht="24" customHeight="1">
      <c r="A207" s="677" t="s">
        <v>13472</v>
      </c>
      <c r="B207" s="678" t="s">
        <v>13471</v>
      </c>
      <c r="C207" s="677" t="s">
        <v>7</v>
      </c>
      <c r="D207" s="677" t="s">
        <v>21</v>
      </c>
      <c r="E207" s="918" t="s">
        <v>13470</v>
      </c>
      <c r="F207" s="918"/>
      <c r="G207" s="676" t="s">
        <v>19</v>
      </c>
      <c r="H207" s="675">
        <v>5.0799999999999998E-2</v>
      </c>
      <c r="I207" s="674">
        <v>14.02</v>
      </c>
      <c r="J207" s="674">
        <v>0.71</v>
      </c>
    </row>
    <row r="208" spans="1:10" ht="25.5">
      <c r="A208" s="668"/>
      <c r="B208" s="668"/>
      <c r="C208" s="668"/>
      <c r="D208" s="668"/>
      <c r="E208" s="668" t="s">
        <v>13463</v>
      </c>
      <c r="F208" s="667">
        <v>2.3198956861892861</v>
      </c>
      <c r="G208" s="668" t="s">
        <v>13462</v>
      </c>
      <c r="H208" s="667">
        <v>1.95</v>
      </c>
      <c r="I208" s="668" t="s">
        <v>13461</v>
      </c>
      <c r="J208" s="667">
        <v>4.2699999999999996</v>
      </c>
    </row>
    <row r="209" spans="1:10" ht="15" thickBot="1">
      <c r="A209" s="668"/>
      <c r="B209" s="668"/>
      <c r="C209" s="668"/>
      <c r="D209" s="668"/>
      <c r="E209" s="668" t="s">
        <v>13460</v>
      </c>
      <c r="F209" s="667">
        <v>3.95</v>
      </c>
      <c r="G209" s="668"/>
      <c r="H209" s="925" t="s">
        <v>13459</v>
      </c>
      <c r="I209" s="925"/>
      <c r="J209" s="667">
        <v>17.96</v>
      </c>
    </row>
    <row r="210" spans="1:10" ht="0.95" customHeight="1" thickTop="1">
      <c r="A210" s="666"/>
      <c r="B210" s="666"/>
      <c r="C210" s="666"/>
      <c r="D210" s="666"/>
      <c r="E210" s="666"/>
      <c r="F210" s="666"/>
      <c r="G210" s="666"/>
      <c r="H210" s="666"/>
      <c r="I210" s="666"/>
      <c r="J210" s="666"/>
    </row>
    <row r="211" spans="1:10" ht="18" customHeight="1">
      <c r="A211" s="686" t="s">
        <v>15485</v>
      </c>
      <c r="B211" s="684" t="s">
        <v>13484</v>
      </c>
      <c r="C211" s="686" t="s">
        <v>13483</v>
      </c>
      <c r="D211" s="686" t="s">
        <v>13482</v>
      </c>
      <c r="E211" s="924" t="s">
        <v>13481</v>
      </c>
      <c r="F211" s="924"/>
      <c r="G211" s="685" t="s">
        <v>13480</v>
      </c>
      <c r="H211" s="684" t="s">
        <v>13479</v>
      </c>
      <c r="I211" s="684" t="s">
        <v>13478</v>
      </c>
      <c r="J211" s="684" t="s">
        <v>13477</v>
      </c>
    </row>
    <row r="212" spans="1:10" ht="36" customHeight="1">
      <c r="A212" s="682" t="s">
        <v>13476</v>
      </c>
      <c r="B212" s="683" t="s">
        <v>15484</v>
      </c>
      <c r="C212" s="682" t="s">
        <v>7</v>
      </c>
      <c r="D212" s="682" t="s">
        <v>3064</v>
      </c>
      <c r="E212" s="917" t="s">
        <v>13646</v>
      </c>
      <c r="F212" s="917"/>
      <c r="G212" s="681" t="s">
        <v>13610</v>
      </c>
      <c r="H212" s="680">
        <v>1</v>
      </c>
      <c r="I212" s="679">
        <v>50.86</v>
      </c>
      <c r="J212" s="679">
        <v>50.86</v>
      </c>
    </row>
    <row r="213" spans="1:10" ht="36" customHeight="1">
      <c r="A213" s="677" t="s">
        <v>13472</v>
      </c>
      <c r="B213" s="678" t="s">
        <v>13577</v>
      </c>
      <c r="C213" s="677" t="s">
        <v>7</v>
      </c>
      <c r="D213" s="677" t="s">
        <v>1932</v>
      </c>
      <c r="E213" s="918" t="s">
        <v>13491</v>
      </c>
      <c r="F213" s="918"/>
      <c r="G213" s="676" t="s">
        <v>38</v>
      </c>
      <c r="H213" s="675">
        <v>1.7000000000000001E-2</v>
      </c>
      <c r="I213" s="674">
        <v>16.260000000000002</v>
      </c>
      <c r="J213" s="674">
        <v>0.27</v>
      </c>
    </row>
    <row r="214" spans="1:10" ht="36" customHeight="1">
      <c r="A214" s="677" t="s">
        <v>13472</v>
      </c>
      <c r="B214" s="678" t="s">
        <v>13578</v>
      </c>
      <c r="C214" s="677" t="s">
        <v>7</v>
      </c>
      <c r="D214" s="677" t="s">
        <v>1933</v>
      </c>
      <c r="E214" s="918" t="s">
        <v>13491</v>
      </c>
      <c r="F214" s="918"/>
      <c r="G214" s="676" t="s">
        <v>53</v>
      </c>
      <c r="H214" s="675">
        <v>1.4E-2</v>
      </c>
      <c r="I214" s="674">
        <v>13.53</v>
      </c>
      <c r="J214" s="674">
        <v>0.18</v>
      </c>
    </row>
    <row r="215" spans="1:10" ht="24" customHeight="1">
      <c r="A215" s="677" t="s">
        <v>13472</v>
      </c>
      <c r="B215" s="678" t="s">
        <v>13644</v>
      </c>
      <c r="C215" s="677" t="s">
        <v>7</v>
      </c>
      <c r="D215" s="677" t="s">
        <v>39</v>
      </c>
      <c r="E215" s="918" t="s">
        <v>13470</v>
      </c>
      <c r="F215" s="918"/>
      <c r="G215" s="676" t="s">
        <v>19</v>
      </c>
      <c r="H215" s="675">
        <v>0.47099999999999997</v>
      </c>
      <c r="I215" s="674">
        <v>14.57</v>
      </c>
      <c r="J215" s="674">
        <v>6.86</v>
      </c>
    </row>
    <row r="216" spans="1:10" ht="24" customHeight="1">
      <c r="A216" s="677" t="s">
        <v>13472</v>
      </c>
      <c r="B216" s="678" t="s">
        <v>13833</v>
      </c>
      <c r="C216" s="677" t="s">
        <v>7</v>
      </c>
      <c r="D216" s="677" t="s">
        <v>40</v>
      </c>
      <c r="E216" s="918" t="s">
        <v>13470</v>
      </c>
      <c r="F216" s="918"/>
      <c r="G216" s="676" t="s">
        <v>19</v>
      </c>
      <c r="H216" s="675">
        <v>1.145</v>
      </c>
      <c r="I216" s="674">
        <v>17.48</v>
      </c>
      <c r="J216" s="674">
        <v>20.010000000000002</v>
      </c>
    </row>
    <row r="217" spans="1:10" ht="24" customHeight="1">
      <c r="A217" s="672" t="s">
        <v>13467</v>
      </c>
      <c r="B217" s="673" t="s">
        <v>13641</v>
      </c>
      <c r="C217" s="672" t="s">
        <v>7</v>
      </c>
      <c r="D217" s="672" t="s">
        <v>13640</v>
      </c>
      <c r="E217" s="919" t="s">
        <v>13464</v>
      </c>
      <c r="F217" s="919"/>
      <c r="G217" s="671" t="s">
        <v>50</v>
      </c>
      <c r="H217" s="670">
        <v>1.7000000000000001E-2</v>
      </c>
      <c r="I217" s="669">
        <v>5.22</v>
      </c>
      <c r="J217" s="669">
        <v>0.08</v>
      </c>
    </row>
    <row r="218" spans="1:10" ht="24" customHeight="1">
      <c r="A218" s="672" t="s">
        <v>13467</v>
      </c>
      <c r="B218" s="673" t="s">
        <v>14281</v>
      </c>
      <c r="C218" s="672" t="s">
        <v>7</v>
      </c>
      <c r="D218" s="672" t="s">
        <v>14280</v>
      </c>
      <c r="E218" s="919" t="s">
        <v>13464</v>
      </c>
      <c r="F218" s="919"/>
      <c r="G218" s="671" t="s">
        <v>17</v>
      </c>
      <c r="H218" s="670">
        <v>2.5999999999999999E-2</v>
      </c>
      <c r="I218" s="669">
        <v>18.66</v>
      </c>
      <c r="J218" s="669">
        <v>0.48</v>
      </c>
    </row>
    <row r="219" spans="1:10" ht="24" customHeight="1">
      <c r="A219" s="672" t="s">
        <v>13467</v>
      </c>
      <c r="B219" s="673" t="s">
        <v>14293</v>
      </c>
      <c r="C219" s="672" t="s">
        <v>7</v>
      </c>
      <c r="D219" s="672" t="s">
        <v>14292</v>
      </c>
      <c r="E219" s="919" t="s">
        <v>13464</v>
      </c>
      <c r="F219" s="919"/>
      <c r="G219" s="671" t="s">
        <v>17</v>
      </c>
      <c r="H219" s="670">
        <v>3.4000000000000002E-2</v>
      </c>
      <c r="I219" s="669">
        <v>22.6</v>
      </c>
      <c r="J219" s="669">
        <v>0.76</v>
      </c>
    </row>
    <row r="220" spans="1:10" ht="24" customHeight="1">
      <c r="A220" s="672" t="s">
        <v>13467</v>
      </c>
      <c r="B220" s="673" t="s">
        <v>13836</v>
      </c>
      <c r="C220" s="672" t="s">
        <v>7</v>
      </c>
      <c r="D220" s="672" t="s">
        <v>13835</v>
      </c>
      <c r="E220" s="919" t="s">
        <v>13464</v>
      </c>
      <c r="F220" s="919"/>
      <c r="G220" s="671" t="s">
        <v>14</v>
      </c>
      <c r="H220" s="670">
        <v>0.60499999999999998</v>
      </c>
      <c r="I220" s="669">
        <v>8.14</v>
      </c>
      <c r="J220" s="669">
        <v>4.92</v>
      </c>
    </row>
    <row r="221" spans="1:10" ht="24" customHeight="1">
      <c r="A221" s="672" t="s">
        <v>13467</v>
      </c>
      <c r="B221" s="673" t="s">
        <v>13651</v>
      </c>
      <c r="C221" s="672" t="s">
        <v>7</v>
      </c>
      <c r="D221" s="672" t="s">
        <v>13650</v>
      </c>
      <c r="E221" s="919" t="s">
        <v>13464</v>
      </c>
      <c r="F221" s="919"/>
      <c r="G221" s="671" t="s">
        <v>14</v>
      </c>
      <c r="H221" s="670">
        <v>0.56699999999999995</v>
      </c>
      <c r="I221" s="669">
        <v>2.85</v>
      </c>
      <c r="J221" s="669">
        <v>1.61</v>
      </c>
    </row>
    <row r="222" spans="1:10" ht="24" customHeight="1">
      <c r="A222" s="672" t="s">
        <v>13467</v>
      </c>
      <c r="B222" s="673" t="s">
        <v>13830</v>
      </c>
      <c r="C222" s="672" t="s">
        <v>7</v>
      </c>
      <c r="D222" s="672" t="s">
        <v>13829</v>
      </c>
      <c r="E222" s="919" t="s">
        <v>13464</v>
      </c>
      <c r="F222" s="919"/>
      <c r="G222" s="671" t="s">
        <v>14</v>
      </c>
      <c r="H222" s="670">
        <v>1.008</v>
      </c>
      <c r="I222" s="669">
        <v>15.57</v>
      </c>
      <c r="J222" s="669">
        <v>15.69</v>
      </c>
    </row>
    <row r="223" spans="1:10" ht="25.5">
      <c r="A223" s="668"/>
      <c r="B223" s="668"/>
      <c r="C223" s="668"/>
      <c r="D223" s="668"/>
      <c r="E223" s="668" t="s">
        <v>13463</v>
      </c>
      <c r="F223" s="667">
        <v>11.507117244376834</v>
      </c>
      <c r="G223" s="668" t="s">
        <v>13462</v>
      </c>
      <c r="H223" s="667">
        <v>9.67</v>
      </c>
      <c r="I223" s="668" t="s">
        <v>13461</v>
      </c>
      <c r="J223" s="667">
        <v>21.18</v>
      </c>
    </row>
    <row r="224" spans="1:10" ht="15" thickBot="1">
      <c r="A224" s="668"/>
      <c r="B224" s="668"/>
      <c r="C224" s="668"/>
      <c r="D224" s="668"/>
      <c r="E224" s="668" t="s">
        <v>13460</v>
      </c>
      <c r="F224" s="667">
        <v>14.36</v>
      </c>
      <c r="G224" s="668"/>
      <c r="H224" s="925" t="s">
        <v>13459</v>
      </c>
      <c r="I224" s="925"/>
      <c r="J224" s="667">
        <v>65.22</v>
      </c>
    </row>
    <row r="225" spans="1:10" ht="0.95" customHeight="1" thickTop="1">
      <c r="A225" s="666"/>
      <c r="B225" s="666"/>
      <c r="C225" s="666"/>
      <c r="D225" s="666"/>
      <c r="E225" s="666"/>
      <c r="F225" s="666"/>
      <c r="G225" s="666"/>
      <c r="H225" s="666"/>
      <c r="I225" s="666"/>
      <c r="J225" s="666"/>
    </row>
    <row r="226" spans="1:10" ht="18" customHeight="1">
      <c r="A226" s="686" t="s">
        <v>15483</v>
      </c>
      <c r="B226" s="684" t="s">
        <v>13484</v>
      </c>
      <c r="C226" s="686" t="s">
        <v>13483</v>
      </c>
      <c r="D226" s="686" t="s">
        <v>13482</v>
      </c>
      <c r="E226" s="924" t="s">
        <v>13481</v>
      </c>
      <c r="F226" s="924"/>
      <c r="G226" s="685" t="s">
        <v>13480</v>
      </c>
      <c r="H226" s="684" t="s">
        <v>13479</v>
      </c>
      <c r="I226" s="684" t="s">
        <v>13478</v>
      </c>
      <c r="J226" s="684" t="s">
        <v>13477</v>
      </c>
    </row>
    <row r="227" spans="1:10" ht="24" customHeight="1">
      <c r="A227" s="682" t="s">
        <v>13476</v>
      </c>
      <c r="B227" s="683" t="s">
        <v>15482</v>
      </c>
      <c r="C227" s="682" t="s">
        <v>7</v>
      </c>
      <c r="D227" s="682" t="s">
        <v>3073</v>
      </c>
      <c r="E227" s="917" t="s">
        <v>13646</v>
      </c>
      <c r="F227" s="917"/>
      <c r="G227" s="681" t="s">
        <v>17</v>
      </c>
      <c r="H227" s="680">
        <v>1</v>
      </c>
      <c r="I227" s="679">
        <v>19.73</v>
      </c>
      <c r="J227" s="679">
        <v>19.73</v>
      </c>
    </row>
    <row r="228" spans="1:10" ht="36" customHeight="1">
      <c r="A228" s="677" t="s">
        <v>13472</v>
      </c>
      <c r="B228" s="678" t="s">
        <v>13977</v>
      </c>
      <c r="C228" s="677" t="s">
        <v>7</v>
      </c>
      <c r="D228" s="677" t="s">
        <v>2207</v>
      </c>
      <c r="E228" s="918" t="s">
        <v>13646</v>
      </c>
      <c r="F228" s="918"/>
      <c r="G228" s="676" t="s">
        <v>17</v>
      </c>
      <c r="H228" s="675">
        <v>1</v>
      </c>
      <c r="I228" s="674">
        <v>16.559999999999999</v>
      </c>
      <c r="J228" s="674">
        <v>16.559999999999999</v>
      </c>
    </row>
    <row r="229" spans="1:10" ht="24" customHeight="1">
      <c r="A229" s="677" t="s">
        <v>13472</v>
      </c>
      <c r="B229" s="678" t="s">
        <v>13724</v>
      </c>
      <c r="C229" s="677" t="s">
        <v>7</v>
      </c>
      <c r="D229" s="677" t="s">
        <v>125</v>
      </c>
      <c r="E229" s="918" t="s">
        <v>13470</v>
      </c>
      <c r="F229" s="918"/>
      <c r="G229" s="676" t="s">
        <v>19</v>
      </c>
      <c r="H229" s="675">
        <v>0.11550000000000001</v>
      </c>
      <c r="I229" s="674">
        <v>17.579999999999998</v>
      </c>
      <c r="J229" s="674">
        <v>2.0299999999999998</v>
      </c>
    </row>
    <row r="230" spans="1:10" ht="24" customHeight="1">
      <c r="A230" s="677" t="s">
        <v>13472</v>
      </c>
      <c r="B230" s="678" t="s">
        <v>13723</v>
      </c>
      <c r="C230" s="677" t="s">
        <v>7</v>
      </c>
      <c r="D230" s="677" t="s">
        <v>120</v>
      </c>
      <c r="E230" s="918" t="s">
        <v>13470</v>
      </c>
      <c r="F230" s="918"/>
      <c r="G230" s="676" t="s">
        <v>19</v>
      </c>
      <c r="H230" s="675">
        <v>3.7499999999999999E-2</v>
      </c>
      <c r="I230" s="674">
        <v>13.4</v>
      </c>
      <c r="J230" s="674">
        <v>0.5</v>
      </c>
    </row>
    <row r="231" spans="1:10" ht="24" customHeight="1">
      <c r="A231" s="672" t="s">
        <v>13467</v>
      </c>
      <c r="B231" s="673" t="s">
        <v>13722</v>
      </c>
      <c r="C231" s="672" t="s">
        <v>7</v>
      </c>
      <c r="D231" s="672" t="s">
        <v>13721</v>
      </c>
      <c r="E231" s="919" t="s">
        <v>13464</v>
      </c>
      <c r="F231" s="919"/>
      <c r="G231" s="671" t="s">
        <v>17</v>
      </c>
      <c r="H231" s="670">
        <v>2.5000000000000001E-2</v>
      </c>
      <c r="I231" s="669">
        <v>19.989999999999998</v>
      </c>
      <c r="J231" s="669">
        <v>0.49</v>
      </c>
    </row>
    <row r="232" spans="1:10" ht="36" customHeight="1">
      <c r="A232" s="672" t="s">
        <v>13467</v>
      </c>
      <c r="B232" s="673" t="s">
        <v>14074</v>
      </c>
      <c r="C232" s="672" t="s">
        <v>7</v>
      </c>
      <c r="D232" s="672" t="s">
        <v>14073</v>
      </c>
      <c r="E232" s="919" t="s">
        <v>13464</v>
      </c>
      <c r="F232" s="919"/>
      <c r="G232" s="671" t="s">
        <v>34</v>
      </c>
      <c r="H232" s="670">
        <v>0.72399999999999998</v>
      </c>
      <c r="I232" s="669">
        <v>0.21</v>
      </c>
      <c r="J232" s="669">
        <v>0.15</v>
      </c>
    </row>
    <row r="233" spans="1:10" ht="25.5">
      <c r="A233" s="668"/>
      <c r="B233" s="668"/>
      <c r="C233" s="668"/>
      <c r="D233" s="668"/>
      <c r="E233" s="668" t="s">
        <v>13463</v>
      </c>
      <c r="F233" s="667">
        <v>1.2332934912528524</v>
      </c>
      <c r="G233" s="668" t="s">
        <v>13462</v>
      </c>
      <c r="H233" s="667">
        <v>1.04</v>
      </c>
      <c r="I233" s="668" t="s">
        <v>13461</v>
      </c>
      <c r="J233" s="667">
        <v>2.27</v>
      </c>
    </row>
    <row r="234" spans="1:10" ht="15" thickBot="1">
      <c r="A234" s="668"/>
      <c r="B234" s="668"/>
      <c r="C234" s="668"/>
      <c r="D234" s="668"/>
      <c r="E234" s="668" t="s">
        <v>13460</v>
      </c>
      <c r="F234" s="667">
        <v>5.57</v>
      </c>
      <c r="G234" s="668"/>
      <c r="H234" s="925" t="s">
        <v>13459</v>
      </c>
      <c r="I234" s="925"/>
      <c r="J234" s="667">
        <v>25.3</v>
      </c>
    </row>
    <row r="235" spans="1:10" ht="0.95" customHeight="1" thickTop="1">
      <c r="A235" s="666"/>
      <c r="B235" s="666"/>
      <c r="C235" s="666"/>
      <c r="D235" s="666"/>
      <c r="E235" s="666"/>
      <c r="F235" s="666"/>
      <c r="G235" s="666"/>
      <c r="H235" s="666"/>
      <c r="I235" s="666"/>
      <c r="J235" s="666"/>
    </row>
    <row r="236" spans="1:10" ht="18" customHeight="1">
      <c r="A236" s="686" t="s">
        <v>15481</v>
      </c>
      <c r="B236" s="684" t="s">
        <v>13484</v>
      </c>
      <c r="C236" s="686" t="s">
        <v>13483</v>
      </c>
      <c r="D236" s="686" t="s">
        <v>13482</v>
      </c>
      <c r="E236" s="924" t="s">
        <v>13481</v>
      </c>
      <c r="F236" s="924"/>
      <c r="G236" s="685" t="s">
        <v>13480</v>
      </c>
      <c r="H236" s="684" t="s">
        <v>13479</v>
      </c>
      <c r="I236" s="684" t="s">
        <v>13478</v>
      </c>
      <c r="J236" s="684" t="s">
        <v>13477</v>
      </c>
    </row>
    <row r="237" spans="1:10" ht="24" customHeight="1">
      <c r="A237" s="682" t="s">
        <v>13476</v>
      </c>
      <c r="B237" s="683" t="s">
        <v>15480</v>
      </c>
      <c r="C237" s="682" t="s">
        <v>7</v>
      </c>
      <c r="D237" s="682" t="s">
        <v>3809</v>
      </c>
      <c r="E237" s="917" t="s">
        <v>14276</v>
      </c>
      <c r="F237" s="917"/>
      <c r="G237" s="681" t="s">
        <v>13610</v>
      </c>
      <c r="H237" s="680">
        <v>1</v>
      </c>
      <c r="I237" s="679">
        <v>55.87</v>
      </c>
      <c r="J237" s="679">
        <v>55.87</v>
      </c>
    </row>
    <row r="238" spans="1:10" ht="24" customHeight="1">
      <c r="A238" s="677" t="s">
        <v>13472</v>
      </c>
      <c r="B238" s="678" t="s">
        <v>14101</v>
      </c>
      <c r="C238" s="677" t="s">
        <v>7</v>
      </c>
      <c r="D238" s="677" t="s">
        <v>124</v>
      </c>
      <c r="E238" s="918" t="s">
        <v>13470</v>
      </c>
      <c r="F238" s="918"/>
      <c r="G238" s="676" t="s">
        <v>19</v>
      </c>
      <c r="H238" s="675">
        <v>8.5000000000000006E-2</v>
      </c>
      <c r="I238" s="674">
        <v>16.98</v>
      </c>
      <c r="J238" s="674">
        <v>1.44</v>
      </c>
    </row>
    <row r="239" spans="1:10" ht="24" customHeight="1">
      <c r="A239" s="677" t="s">
        <v>13472</v>
      </c>
      <c r="B239" s="678" t="s">
        <v>13778</v>
      </c>
      <c r="C239" s="677" t="s">
        <v>7</v>
      </c>
      <c r="D239" s="677" t="s">
        <v>138</v>
      </c>
      <c r="E239" s="918" t="s">
        <v>13470</v>
      </c>
      <c r="F239" s="918"/>
      <c r="G239" s="676" t="s">
        <v>19</v>
      </c>
      <c r="H239" s="675">
        <v>0.42199999999999999</v>
      </c>
      <c r="I239" s="674">
        <v>18.489999999999998</v>
      </c>
      <c r="J239" s="674">
        <v>7.8</v>
      </c>
    </row>
    <row r="240" spans="1:10" ht="48" customHeight="1">
      <c r="A240" s="672" t="s">
        <v>13467</v>
      </c>
      <c r="B240" s="673" t="s">
        <v>15479</v>
      </c>
      <c r="C240" s="672" t="s">
        <v>7</v>
      </c>
      <c r="D240" s="672" t="s">
        <v>15478</v>
      </c>
      <c r="E240" s="919" t="s">
        <v>13464</v>
      </c>
      <c r="F240" s="919"/>
      <c r="G240" s="671" t="s">
        <v>17</v>
      </c>
      <c r="H240" s="670">
        <v>1.5</v>
      </c>
      <c r="I240" s="669">
        <v>31.09</v>
      </c>
      <c r="J240" s="669">
        <v>46.63</v>
      </c>
    </row>
    <row r="241" spans="1:10" ht="25.5">
      <c r="A241" s="668"/>
      <c r="B241" s="668"/>
      <c r="C241" s="668"/>
      <c r="D241" s="668"/>
      <c r="E241" s="668" t="s">
        <v>13463</v>
      </c>
      <c r="F241" s="667">
        <v>3.9715310224926657</v>
      </c>
      <c r="G241" s="668" t="s">
        <v>13462</v>
      </c>
      <c r="H241" s="667">
        <v>3.34</v>
      </c>
      <c r="I241" s="668" t="s">
        <v>13461</v>
      </c>
      <c r="J241" s="667">
        <v>7.31</v>
      </c>
    </row>
    <row r="242" spans="1:10" ht="15" thickBot="1">
      <c r="A242" s="668"/>
      <c r="B242" s="668"/>
      <c r="C242" s="668"/>
      <c r="D242" s="668"/>
      <c r="E242" s="668" t="s">
        <v>13460</v>
      </c>
      <c r="F242" s="667">
        <v>15.77</v>
      </c>
      <c r="G242" s="668"/>
      <c r="H242" s="925" t="s">
        <v>13459</v>
      </c>
      <c r="I242" s="925"/>
      <c r="J242" s="667">
        <v>71.64</v>
      </c>
    </row>
    <row r="243" spans="1:10" ht="0.95" customHeight="1" thickTop="1">
      <c r="A243" s="666"/>
      <c r="B243" s="666"/>
      <c r="C243" s="666"/>
      <c r="D243" s="666"/>
      <c r="E243" s="666"/>
      <c r="F243" s="666"/>
      <c r="G243" s="666"/>
      <c r="H243" s="666"/>
      <c r="I243" s="666"/>
      <c r="J243" s="666"/>
    </row>
    <row r="244" spans="1:10" ht="18" customHeight="1">
      <c r="A244" s="686" t="s">
        <v>15477</v>
      </c>
      <c r="B244" s="684" t="s">
        <v>13484</v>
      </c>
      <c r="C244" s="686" t="s">
        <v>13483</v>
      </c>
      <c r="D244" s="686" t="s">
        <v>13482</v>
      </c>
      <c r="E244" s="924" t="s">
        <v>13481</v>
      </c>
      <c r="F244" s="924"/>
      <c r="G244" s="685" t="s">
        <v>13480</v>
      </c>
      <c r="H244" s="684" t="s">
        <v>13479</v>
      </c>
      <c r="I244" s="684" t="s">
        <v>13478</v>
      </c>
      <c r="J244" s="684" t="s">
        <v>13477</v>
      </c>
    </row>
    <row r="245" spans="1:10" ht="36" customHeight="1">
      <c r="A245" s="682" t="s">
        <v>13476</v>
      </c>
      <c r="B245" s="683" t="s">
        <v>15476</v>
      </c>
      <c r="C245" s="682" t="s">
        <v>7</v>
      </c>
      <c r="D245" s="682" t="s">
        <v>3081</v>
      </c>
      <c r="E245" s="917" t="s">
        <v>13646</v>
      </c>
      <c r="F245" s="917"/>
      <c r="G245" s="681" t="s">
        <v>13515</v>
      </c>
      <c r="H245" s="680">
        <v>1</v>
      </c>
      <c r="I245" s="679">
        <v>565.45000000000005</v>
      </c>
      <c r="J245" s="679">
        <v>565.45000000000005</v>
      </c>
    </row>
    <row r="246" spans="1:10" ht="36" customHeight="1">
      <c r="A246" s="677" t="s">
        <v>13472</v>
      </c>
      <c r="B246" s="678" t="s">
        <v>13499</v>
      </c>
      <c r="C246" s="677" t="s">
        <v>7</v>
      </c>
      <c r="D246" s="677" t="s">
        <v>1739</v>
      </c>
      <c r="E246" s="918" t="s">
        <v>13491</v>
      </c>
      <c r="F246" s="918"/>
      <c r="G246" s="676" t="s">
        <v>38</v>
      </c>
      <c r="H246" s="675">
        <v>8.7999999999999995E-2</v>
      </c>
      <c r="I246" s="674">
        <v>1.77</v>
      </c>
      <c r="J246" s="674">
        <v>0.15</v>
      </c>
    </row>
    <row r="247" spans="1:10" ht="36" customHeight="1">
      <c r="A247" s="677" t="s">
        <v>13472</v>
      </c>
      <c r="B247" s="678" t="s">
        <v>13500</v>
      </c>
      <c r="C247" s="677" t="s">
        <v>7</v>
      </c>
      <c r="D247" s="677" t="s">
        <v>1740</v>
      </c>
      <c r="E247" s="918" t="s">
        <v>13491</v>
      </c>
      <c r="F247" s="918"/>
      <c r="G247" s="676" t="s">
        <v>53</v>
      </c>
      <c r="H247" s="675">
        <v>9.2999999999999999E-2</v>
      </c>
      <c r="I247" s="674">
        <v>0.42</v>
      </c>
      <c r="J247" s="674">
        <v>0.03</v>
      </c>
    </row>
    <row r="248" spans="1:10" ht="24" customHeight="1">
      <c r="A248" s="677" t="s">
        <v>13472</v>
      </c>
      <c r="B248" s="678" t="s">
        <v>13600</v>
      </c>
      <c r="C248" s="677" t="s">
        <v>7</v>
      </c>
      <c r="D248" s="677" t="s">
        <v>41</v>
      </c>
      <c r="E248" s="918" t="s">
        <v>13470</v>
      </c>
      <c r="F248" s="918"/>
      <c r="G248" s="676" t="s">
        <v>19</v>
      </c>
      <c r="H248" s="675">
        <v>0.36299999999999999</v>
      </c>
      <c r="I248" s="674">
        <v>17.670000000000002</v>
      </c>
      <c r="J248" s="674">
        <v>6.41</v>
      </c>
    </row>
    <row r="249" spans="1:10" ht="24" customHeight="1">
      <c r="A249" s="677" t="s">
        <v>13472</v>
      </c>
      <c r="B249" s="678" t="s">
        <v>13471</v>
      </c>
      <c r="C249" s="677" t="s">
        <v>7</v>
      </c>
      <c r="D249" s="677" t="s">
        <v>21</v>
      </c>
      <c r="E249" s="918" t="s">
        <v>13470</v>
      </c>
      <c r="F249" s="918"/>
      <c r="G249" s="676" t="s">
        <v>19</v>
      </c>
      <c r="H249" s="675">
        <v>0.54400000000000004</v>
      </c>
      <c r="I249" s="674">
        <v>14.02</v>
      </c>
      <c r="J249" s="674">
        <v>7.62</v>
      </c>
    </row>
    <row r="250" spans="1:10" ht="36" customHeight="1">
      <c r="A250" s="672" t="s">
        <v>13467</v>
      </c>
      <c r="B250" s="673" t="s">
        <v>14308</v>
      </c>
      <c r="C250" s="672" t="s">
        <v>7</v>
      </c>
      <c r="D250" s="672" t="s">
        <v>14307</v>
      </c>
      <c r="E250" s="919" t="s">
        <v>13464</v>
      </c>
      <c r="F250" s="919"/>
      <c r="G250" s="671" t="s">
        <v>13515</v>
      </c>
      <c r="H250" s="670">
        <v>1.1499999999999999</v>
      </c>
      <c r="I250" s="669">
        <v>479.34</v>
      </c>
      <c r="J250" s="669">
        <v>551.24</v>
      </c>
    </row>
    <row r="251" spans="1:10" ht="25.5">
      <c r="A251" s="668"/>
      <c r="B251" s="668"/>
      <c r="C251" s="668"/>
      <c r="D251" s="668"/>
      <c r="E251" s="668" t="s">
        <v>13463</v>
      </c>
      <c r="F251" s="667">
        <v>5.780723677061828</v>
      </c>
      <c r="G251" s="668" t="s">
        <v>13462</v>
      </c>
      <c r="H251" s="667">
        <v>4.8600000000000003</v>
      </c>
      <c r="I251" s="668" t="s">
        <v>13461</v>
      </c>
      <c r="J251" s="667">
        <v>10.64</v>
      </c>
    </row>
    <row r="252" spans="1:10" ht="15" thickBot="1">
      <c r="A252" s="668"/>
      <c r="B252" s="668"/>
      <c r="C252" s="668"/>
      <c r="D252" s="668"/>
      <c r="E252" s="668" t="s">
        <v>13460</v>
      </c>
      <c r="F252" s="667">
        <v>159.68</v>
      </c>
      <c r="G252" s="668"/>
      <c r="H252" s="925" t="s">
        <v>13459</v>
      </c>
      <c r="I252" s="925"/>
      <c r="J252" s="667">
        <v>725.13</v>
      </c>
    </row>
    <row r="253" spans="1:10" ht="0.95" customHeight="1" thickTop="1">
      <c r="A253" s="666"/>
      <c r="B253" s="666"/>
      <c r="C253" s="666"/>
      <c r="D253" s="666"/>
      <c r="E253" s="666"/>
      <c r="F253" s="666"/>
      <c r="G253" s="666"/>
      <c r="H253" s="666"/>
      <c r="I253" s="666"/>
      <c r="J253" s="666"/>
    </row>
    <row r="254" spans="1:10" ht="18" customHeight="1">
      <c r="A254" s="686" t="s">
        <v>15475</v>
      </c>
      <c r="B254" s="684" t="s">
        <v>13484</v>
      </c>
      <c r="C254" s="686" t="s">
        <v>13483</v>
      </c>
      <c r="D254" s="686" t="s">
        <v>13482</v>
      </c>
      <c r="E254" s="924" t="s">
        <v>13481</v>
      </c>
      <c r="F254" s="924"/>
      <c r="G254" s="685" t="s">
        <v>13480</v>
      </c>
      <c r="H254" s="684" t="s">
        <v>13479</v>
      </c>
      <c r="I254" s="684" t="s">
        <v>13478</v>
      </c>
      <c r="J254" s="684" t="s">
        <v>13477</v>
      </c>
    </row>
    <row r="255" spans="1:10" ht="36" customHeight="1">
      <c r="A255" s="682" t="s">
        <v>13476</v>
      </c>
      <c r="B255" s="683" t="s">
        <v>15474</v>
      </c>
      <c r="C255" s="682" t="s">
        <v>7</v>
      </c>
      <c r="D255" s="682" t="s">
        <v>6159</v>
      </c>
      <c r="E255" s="917" t="s">
        <v>13646</v>
      </c>
      <c r="F255" s="917"/>
      <c r="G255" s="681" t="s">
        <v>13610</v>
      </c>
      <c r="H255" s="680">
        <v>1</v>
      </c>
      <c r="I255" s="679">
        <v>227.54</v>
      </c>
      <c r="J255" s="679">
        <v>227.54</v>
      </c>
    </row>
    <row r="256" spans="1:10" ht="24" customHeight="1">
      <c r="A256" s="677" t="s">
        <v>13472</v>
      </c>
      <c r="B256" s="678" t="s">
        <v>14072</v>
      </c>
      <c r="C256" s="677" t="s">
        <v>7</v>
      </c>
      <c r="D256" s="677" t="s">
        <v>6157</v>
      </c>
      <c r="E256" s="918" t="s">
        <v>13646</v>
      </c>
      <c r="F256" s="918"/>
      <c r="G256" s="676" t="s">
        <v>17</v>
      </c>
      <c r="H256" s="675">
        <v>6.22</v>
      </c>
      <c r="I256" s="674">
        <v>24.03</v>
      </c>
      <c r="J256" s="674">
        <v>149.46</v>
      </c>
    </row>
    <row r="257" spans="1:10" ht="24" customHeight="1">
      <c r="A257" s="677" t="s">
        <v>13472</v>
      </c>
      <c r="B257" s="678" t="s">
        <v>14314</v>
      </c>
      <c r="C257" s="677" t="s">
        <v>7</v>
      </c>
      <c r="D257" s="677" t="s">
        <v>3352</v>
      </c>
      <c r="E257" s="918" t="s">
        <v>13646</v>
      </c>
      <c r="F257" s="918"/>
      <c r="G257" s="676" t="s">
        <v>13515</v>
      </c>
      <c r="H257" s="675">
        <v>3.5000000000000003E-2</v>
      </c>
      <c r="I257" s="674">
        <v>40.71</v>
      </c>
      <c r="J257" s="674">
        <v>1.42</v>
      </c>
    </row>
    <row r="258" spans="1:10" ht="36" customHeight="1">
      <c r="A258" s="677" t="s">
        <v>13472</v>
      </c>
      <c r="B258" s="678" t="s">
        <v>14319</v>
      </c>
      <c r="C258" s="677" t="s">
        <v>7</v>
      </c>
      <c r="D258" s="677" t="s">
        <v>3353</v>
      </c>
      <c r="E258" s="918" t="s">
        <v>13646</v>
      </c>
      <c r="F258" s="918"/>
      <c r="G258" s="676" t="s">
        <v>13610</v>
      </c>
      <c r="H258" s="675">
        <v>1</v>
      </c>
      <c r="I258" s="674">
        <v>2.21</v>
      </c>
      <c r="J258" s="674">
        <v>2.21</v>
      </c>
    </row>
    <row r="259" spans="1:10" ht="36" customHeight="1">
      <c r="A259" s="677" t="s">
        <v>13472</v>
      </c>
      <c r="B259" s="678" t="s">
        <v>14320</v>
      </c>
      <c r="C259" s="677" t="s">
        <v>7</v>
      </c>
      <c r="D259" s="677" t="s">
        <v>3355</v>
      </c>
      <c r="E259" s="918" t="s">
        <v>13646</v>
      </c>
      <c r="F259" s="918"/>
      <c r="G259" s="676" t="s">
        <v>13610</v>
      </c>
      <c r="H259" s="675">
        <v>0.04</v>
      </c>
      <c r="I259" s="674">
        <v>82</v>
      </c>
      <c r="J259" s="674">
        <v>3.28</v>
      </c>
    </row>
    <row r="260" spans="1:10" ht="36" customHeight="1">
      <c r="A260" s="677" t="s">
        <v>13472</v>
      </c>
      <c r="B260" s="678" t="s">
        <v>14324</v>
      </c>
      <c r="C260" s="677" t="s">
        <v>7</v>
      </c>
      <c r="D260" s="677" t="s">
        <v>6761</v>
      </c>
      <c r="E260" s="918" t="s">
        <v>13646</v>
      </c>
      <c r="F260" s="918"/>
      <c r="G260" s="676" t="s">
        <v>13515</v>
      </c>
      <c r="H260" s="675">
        <v>0.1</v>
      </c>
      <c r="I260" s="674">
        <v>113.54</v>
      </c>
      <c r="J260" s="674">
        <v>11.35</v>
      </c>
    </row>
    <row r="261" spans="1:10" ht="36" customHeight="1">
      <c r="A261" s="677" t="s">
        <v>13472</v>
      </c>
      <c r="B261" s="678" t="s">
        <v>14313</v>
      </c>
      <c r="C261" s="677" t="s">
        <v>7</v>
      </c>
      <c r="D261" s="677" t="s">
        <v>3356</v>
      </c>
      <c r="E261" s="918" t="s">
        <v>13646</v>
      </c>
      <c r="F261" s="918"/>
      <c r="G261" s="676" t="s">
        <v>13515</v>
      </c>
      <c r="H261" s="675">
        <v>0.1</v>
      </c>
      <c r="I261" s="674">
        <v>573.55999999999995</v>
      </c>
      <c r="J261" s="674">
        <v>57.35</v>
      </c>
    </row>
    <row r="262" spans="1:10" ht="24" customHeight="1">
      <c r="A262" s="677" t="s">
        <v>13472</v>
      </c>
      <c r="B262" s="678" t="s">
        <v>14318</v>
      </c>
      <c r="C262" s="677" t="s">
        <v>7</v>
      </c>
      <c r="D262" s="677" t="s">
        <v>6152</v>
      </c>
      <c r="E262" s="918" t="s">
        <v>13646</v>
      </c>
      <c r="F262" s="918"/>
      <c r="G262" s="676" t="s">
        <v>13610</v>
      </c>
      <c r="H262" s="675">
        <v>1</v>
      </c>
      <c r="I262" s="674">
        <v>2.4700000000000002</v>
      </c>
      <c r="J262" s="674">
        <v>2.4700000000000002</v>
      </c>
    </row>
    <row r="263" spans="1:10" ht="25.5">
      <c r="A263" s="668"/>
      <c r="B263" s="668"/>
      <c r="C263" s="668"/>
      <c r="D263" s="668"/>
      <c r="E263" s="668" t="s">
        <v>13463</v>
      </c>
      <c r="F263" s="667">
        <v>5.5416711941758123</v>
      </c>
      <c r="G263" s="668" t="s">
        <v>13462</v>
      </c>
      <c r="H263" s="667">
        <v>4.66</v>
      </c>
      <c r="I263" s="668" t="s">
        <v>13461</v>
      </c>
      <c r="J263" s="667">
        <v>10.199999999999999</v>
      </c>
    </row>
    <row r="264" spans="1:10" ht="15" thickBot="1">
      <c r="A264" s="668"/>
      <c r="B264" s="668"/>
      <c r="C264" s="668"/>
      <c r="D264" s="668"/>
      <c r="E264" s="668" t="s">
        <v>13460</v>
      </c>
      <c r="F264" s="667">
        <v>64.25</v>
      </c>
      <c r="G264" s="668"/>
      <c r="H264" s="925" t="s">
        <v>13459</v>
      </c>
      <c r="I264" s="925"/>
      <c r="J264" s="667">
        <v>291.79000000000002</v>
      </c>
    </row>
    <row r="265" spans="1:10" ht="0.95" customHeight="1" thickTop="1">
      <c r="A265" s="666"/>
      <c r="B265" s="666"/>
      <c r="C265" s="666"/>
      <c r="D265" s="666"/>
      <c r="E265" s="666"/>
      <c r="F265" s="666"/>
      <c r="G265" s="666"/>
      <c r="H265" s="666"/>
      <c r="I265" s="666"/>
      <c r="J265" s="666"/>
    </row>
    <row r="266" spans="1:10" ht="18" customHeight="1">
      <c r="A266" s="686" t="s">
        <v>15473</v>
      </c>
      <c r="B266" s="684" t="s">
        <v>13484</v>
      </c>
      <c r="C266" s="686" t="s">
        <v>13483</v>
      </c>
      <c r="D266" s="686" t="s">
        <v>13482</v>
      </c>
      <c r="E266" s="924" t="s">
        <v>13481</v>
      </c>
      <c r="F266" s="924"/>
      <c r="G266" s="685" t="s">
        <v>13480</v>
      </c>
      <c r="H266" s="684" t="s">
        <v>13479</v>
      </c>
      <c r="I266" s="684" t="s">
        <v>13478</v>
      </c>
      <c r="J266" s="684" t="s">
        <v>13477</v>
      </c>
    </row>
    <row r="267" spans="1:10" ht="48" customHeight="1">
      <c r="A267" s="682" t="s">
        <v>13476</v>
      </c>
      <c r="B267" s="683" t="s">
        <v>15472</v>
      </c>
      <c r="C267" s="682" t="s">
        <v>7</v>
      </c>
      <c r="D267" s="682" t="s">
        <v>4729</v>
      </c>
      <c r="E267" s="917" t="s">
        <v>13646</v>
      </c>
      <c r="F267" s="917"/>
      <c r="G267" s="681" t="s">
        <v>13610</v>
      </c>
      <c r="H267" s="680">
        <v>1</v>
      </c>
      <c r="I267" s="679">
        <v>103.61</v>
      </c>
      <c r="J267" s="679">
        <v>103.61</v>
      </c>
    </row>
    <row r="268" spans="1:10" ht="36" customHeight="1">
      <c r="A268" s="677" t="s">
        <v>13472</v>
      </c>
      <c r="B268" s="678" t="s">
        <v>13837</v>
      </c>
      <c r="C268" s="677" t="s">
        <v>7</v>
      </c>
      <c r="D268" s="677" t="s">
        <v>4715</v>
      </c>
      <c r="E268" s="918" t="s">
        <v>13646</v>
      </c>
      <c r="F268" s="918"/>
      <c r="G268" s="676" t="s">
        <v>13610</v>
      </c>
      <c r="H268" s="675">
        <v>0.52500000000000002</v>
      </c>
      <c r="I268" s="674">
        <v>131.86000000000001</v>
      </c>
      <c r="J268" s="674">
        <v>69.22</v>
      </c>
    </row>
    <row r="269" spans="1:10" ht="24" customHeight="1">
      <c r="A269" s="677" t="s">
        <v>13472</v>
      </c>
      <c r="B269" s="678" t="s">
        <v>13644</v>
      </c>
      <c r="C269" s="677" t="s">
        <v>7</v>
      </c>
      <c r="D269" s="677" t="s">
        <v>39</v>
      </c>
      <c r="E269" s="918" t="s">
        <v>13470</v>
      </c>
      <c r="F269" s="918"/>
      <c r="G269" s="676" t="s">
        <v>19</v>
      </c>
      <c r="H269" s="675">
        <v>0.20599999999999999</v>
      </c>
      <c r="I269" s="674">
        <v>14.57</v>
      </c>
      <c r="J269" s="674">
        <v>3</v>
      </c>
    </row>
    <row r="270" spans="1:10" ht="24" customHeight="1">
      <c r="A270" s="677" t="s">
        <v>13472</v>
      </c>
      <c r="B270" s="678" t="s">
        <v>13833</v>
      </c>
      <c r="C270" s="677" t="s">
        <v>7</v>
      </c>
      <c r="D270" s="677" t="s">
        <v>40</v>
      </c>
      <c r="E270" s="918" t="s">
        <v>13470</v>
      </c>
      <c r="F270" s="918"/>
      <c r="G270" s="676" t="s">
        <v>19</v>
      </c>
      <c r="H270" s="675">
        <v>1.125</v>
      </c>
      <c r="I270" s="674">
        <v>17.48</v>
      </c>
      <c r="J270" s="674">
        <v>19.66</v>
      </c>
    </row>
    <row r="271" spans="1:10" ht="24" customHeight="1">
      <c r="A271" s="672" t="s">
        <v>13467</v>
      </c>
      <c r="B271" s="673" t="s">
        <v>13641</v>
      </c>
      <c r="C271" s="672" t="s">
        <v>7</v>
      </c>
      <c r="D271" s="672" t="s">
        <v>13640</v>
      </c>
      <c r="E271" s="919" t="s">
        <v>13464</v>
      </c>
      <c r="F271" s="919"/>
      <c r="G271" s="671" t="s">
        <v>50</v>
      </c>
      <c r="H271" s="670">
        <v>0.01</v>
      </c>
      <c r="I271" s="669">
        <v>5.22</v>
      </c>
      <c r="J271" s="669">
        <v>0.05</v>
      </c>
    </row>
    <row r="272" spans="1:10" ht="36" customHeight="1">
      <c r="A272" s="672" t="s">
        <v>13467</v>
      </c>
      <c r="B272" s="673" t="s">
        <v>15445</v>
      </c>
      <c r="C272" s="672" t="s">
        <v>7</v>
      </c>
      <c r="D272" s="672" t="s">
        <v>15444</v>
      </c>
      <c r="E272" s="919" t="s">
        <v>13493</v>
      </c>
      <c r="F272" s="919"/>
      <c r="G272" s="671" t="s">
        <v>84</v>
      </c>
      <c r="H272" s="670">
        <v>0.39300000000000002</v>
      </c>
      <c r="I272" s="669">
        <v>15.75</v>
      </c>
      <c r="J272" s="669">
        <v>6.18</v>
      </c>
    </row>
    <row r="273" spans="1:10" ht="36" customHeight="1">
      <c r="A273" s="672" t="s">
        <v>13467</v>
      </c>
      <c r="B273" s="673" t="s">
        <v>15471</v>
      </c>
      <c r="C273" s="672" t="s">
        <v>7</v>
      </c>
      <c r="D273" s="672" t="s">
        <v>15470</v>
      </c>
      <c r="E273" s="919" t="s">
        <v>13493</v>
      </c>
      <c r="F273" s="919"/>
      <c r="G273" s="671" t="s">
        <v>84</v>
      </c>
      <c r="H273" s="670">
        <v>0.19600000000000001</v>
      </c>
      <c r="I273" s="669">
        <v>10.23</v>
      </c>
      <c r="J273" s="669">
        <v>2</v>
      </c>
    </row>
    <row r="274" spans="1:10" ht="36" customHeight="1">
      <c r="A274" s="672" t="s">
        <v>13467</v>
      </c>
      <c r="B274" s="673" t="s">
        <v>15443</v>
      </c>
      <c r="C274" s="672" t="s">
        <v>7</v>
      </c>
      <c r="D274" s="672" t="s">
        <v>15442</v>
      </c>
      <c r="E274" s="919" t="s">
        <v>13493</v>
      </c>
      <c r="F274" s="919"/>
      <c r="G274" s="671" t="s">
        <v>84</v>
      </c>
      <c r="H274" s="670">
        <v>0.78500000000000003</v>
      </c>
      <c r="I274" s="669">
        <v>3.93</v>
      </c>
      <c r="J274" s="669">
        <v>3.08</v>
      </c>
    </row>
    <row r="275" spans="1:10" ht="24" customHeight="1">
      <c r="A275" s="672" t="s">
        <v>13467</v>
      </c>
      <c r="B275" s="673" t="s">
        <v>14293</v>
      </c>
      <c r="C275" s="672" t="s">
        <v>7</v>
      </c>
      <c r="D275" s="672" t="s">
        <v>14292</v>
      </c>
      <c r="E275" s="919" t="s">
        <v>13464</v>
      </c>
      <c r="F275" s="919"/>
      <c r="G275" s="671" t="s">
        <v>17</v>
      </c>
      <c r="H275" s="670">
        <v>1.9E-2</v>
      </c>
      <c r="I275" s="669">
        <v>22.6</v>
      </c>
      <c r="J275" s="669">
        <v>0.42</v>
      </c>
    </row>
    <row r="276" spans="1:10" ht="25.5">
      <c r="A276" s="668"/>
      <c r="B276" s="668"/>
      <c r="C276" s="668"/>
      <c r="D276" s="668"/>
      <c r="E276" s="668" t="s">
        <v>13463</v>
      </c>
      <c r="F276" s="667">
        <v>16.038248397261764</v>
      </c>
      <c r="G276" s="668" t="s">
        <v>13462</v>
      </c>
      <c r="H276" s="667">
        <v>13.48</v>
      </c>
      <c r="I276" s="668" t="s">
        <v>13461</v>
      </c>
      <c r="J276" s="667">
        <v>29.52</v>
      </c>
    </row>
    <row r="277" spans="1:10" ht="15" thickBot="1">
      <c r="A277" s="668"/>
      <c r="B277" s="668"/>
      <c r="C277" s="668"/>
      <c r="D277" s="668"/>
      <c r="E277" s="668" t="s">
        <v>13460</v>
      </c>
      <c r="F277" s="667">
        <v>29.25</v>
      </c>
      <c r="G277" s="668"/>
      <c r="H277" s="925" t="s">
        <v>13459</v>
      </c>
      <c r="I277" s="925"/>
      <c r="J277" s="667">
        <v>132.86000000000001</v>
      </c>
    </row>
    <row r="278" spans="1:10" ht="0.95" customHeight="1" thickTop="1">
      <c r="A278" s="666"/>
      <c r="B278" s="666"/>
      <c r="C278" s="666"/>
      <c r="D278" s="666"/>
      <c r="E278" s="666"/>
      <c r="F278" s="666"/>
      <c r="G278" s="666"/>
      <c r="H278" s="666"/>
      <c r="I278" s="666"/>
      <c r="J278" s="666"/>
    </row>
    <row r="279" spans="1:10" ht="18" customHeight="1">
      <c r="A279" s="686" t="s">
        <v>15469</v>
      </c>
      <c r="B279" s="684" t="s">
        <v>13484</v>
      </c>
      <c r="C279" s="686" t="s">
        <v>13483</v>
      </c>
      <c r="D279" s="686" t="s">
        <v>13482</v>
      </c>
      <c r="E279" s="924" t="s">
        <v>13481</v>
      </c>
      <c r="F279" s="924"/>
      <c r="G279" s="685" t="s">
        <v>13480</v>
      </c>
      <c r="H279" s="684" t="s">
        <v>13479</v>
      </c>
      <c r="I279" s="684" t="s">
        <v>13478</v>
      </c>
      <c r="J279" s="684" t="s">
        <v>13477</v>
      </c>
    </row>
    <row r="280" spans="1:10" ht="48" customHeight="1">
      <c r="A280" s="682" t="s">
        <v>13476</v>
      </c>
      <c r="B280" s="683" t="s">
        <v>15468</v>
      </c>
      <c r="C280" s="682" t="s">
        <v>7</v>
      </c>
      <c r="D280" s="682" t="s">
        <v>2189</v>
      </c>
      <c r="E280" s="917" t="s">
        <v>13646</v>
      </c>
      <c r="F280" s="917"/>
      <c r="G280" s="681" t="s">
        <v>17</v>
      </c>
      <c r="H280" s="680">
        <v>1</v>
      </c>
      <c r="I280" s="679">
        <v>20.52</v>
      </c>
      <c r="J280" s="679">
        <v>20.52</v>
      </c>
    </row>
    <row r="281" spans="1:10" ht="36" customHeight="1">
      <c r="A281" s="677" t="s">
        <v>13472</v>
      </c>
      <c r="B281" s="678" t="s">
        <v>13973</v>
      </c>
      <c r="C281" s="677" t="s">
        <v>7</v>
      </c>
      <c r="D281" s="677" t="s">
        <v>2205</v>
      </c>
      <c r="E281" s="918" t="s">
        <v>13646</v>
      </c>
      <c r="F281" s="918"/>
      <c r="G281" s="676" t="s">
        <v>17</v>
      </c>
      <c r="H281" s="675">
        <v>1</v>
      </c>
      <c r="I281" s="674">
        <v>15.36</v>
      </c>
      <c r="J281" s="674">
        <v>15.36</v>
      </c>
    </row>
    <row r="282" spans="1:10" ht="24" customHeight="1">
      <c r="A282" s="677" t="s">
        <v>13472</v>
      </c>
      <c r="B282" s="678" t="s">
        <v>13724</v>
      </c>
      <c r="C282" s="677" t="s">
        <v>7</v>
      </c>
      <c r="D282" s="677" t="s">
        <v>125</v>
      </c>
      <c r="E282" s="918" t="s">
        <v>13470</v>
      </c>
      <c r="F282" s="918"/>
      <c r="G282" s="676" t="s">
        <v>19</v>
      </c>
      <c r="H282" s="675">
        <v>0.22450000000000001</v>
      </c>
      <c r="I282" s="674">
        <v>17.579999999999998</v>
      </c>
      <c r="J282" s="674">
        <v>3.94</v>
      </c>
    </row>
    <row r="283" spans="1:10" ht="24" customHeight="1">
      <c r="A283" s="677" t="s">
        <v>13472</v>
      </c>
      <c r="B283" s="678" t="s">
        <v>13723</v>
      </c>
      <c r="C283" s="677" t="s">
        <v>7</v>
      </c>
      <c r="D283" s="677" t="s">
        <v>120</v>
      </c>
      <c r="E283" s="918" t="s">
        <v>13470</v>
      </c>
      <c r="F283" s="918"/>
      <c r="G283" s="676" t="s">
        <v>19</v>
      </c>
      <c r="H283" s="675">
        <v>3.6700000000000003E-2</v>
      </c>
      <c r="I283" s="674">
        <v>13.4</v>
      </c>
      <c r="J283" s="674">
        <v>0.49</v>
      </c>
    </row>
    <row r="284" spans="1:10" ht="24" customHeight="1">
      <c r="A284" s="672" t="s">
        <v>13467</v>
      </c>
      <c r="B284" s="673" t="s">
        <v>13722</v>
      </c>
      <c r="C284" s="672" t="s">
        <v>7</v>
      </c>
      <c r="D284" s="672" t="s">
        <v>13721</v>
      </c>
      <c r="E284" s="919" t="s">
        <v>13464</v>
      </c>
      <c r="F284" s="919"/>
      <c r="G284" s="671" t="s">
        <v>17</v>
      </c>
      <c r="H284" s="670">
        <v>2.5000000000000001E-2</v>
      </c>
      <c r="I284" s="669">
        <v>19.989999999999998</v>
      </c>
      <c r="J284" s="669">
        <v>0.49</v>
      </c>
    </row>
    <row r="285" spans="1:10" ht="36" customHeight="1">
      <c r="A285" s="672" t="s">
        <v>13467</v>
      </c>
      <c r="B285" s="673" t="s">
        <v>14074</v>
      </c>
      <c r="C285" s="672" t="s">
        <v>7</v>
      </c>
      <c r="D285" s="672" t="s">
        <v>14073</v>
      </c>
      <c r="E285" s="919" t="s">
        <v>13464</v>
      </c>
      <c r="F285" s="919"/>
      <c r="G285" s="671" t="s">
        <v>34</v>
      </c>
      <c r="H285" s="670">
        <v>1.19</v>
      </c>
      <c r="I285" s="669">
        <v>0.21</v>
      </c>
      <c r="J285" s="669">
        <v>0.24</v>
      </c>
    </row>
    <row r="286" spans="1:10" ht="25.5">
      <c r="A286" s="668"/>
      <c r="B286" s="668"/>
      <c r="C286" s="668"/>
      <c r="D286" s="668"/>
      <c r="E286" s="668" t="s">
        <v>13463</v>
      </c>
      <c r="F286" s="667">
        <v>2.4937520373791155</v>
      </c>
      <c r="G286" s="668" t="s">
        <v>13462</v>
      </c>
      <c r="H286" s="667">
        <v>2.1</v>
      </c>
      <c r="I286" s="668" t="s">
        <v>13461</v>
      </c>
      <c r="J286" s="667">
        <v>4.59</v>
      </c>
    </row>
    <row r="287" spans="1:10" ht="15" thickBot="1">
      <c r="A287" s="668"/>
      <c r="B287" s="668"/>
      <c r="C287" s="668"/>
      <c r="D287" s="668"/>
      <c r="E287" s="668" t="s">
        <v>13460</v>
      </c>
      <c r="F287" s="667">
        <v>5.79</v>
      </c>
      <c r="G287" s="668"/>
      <c r="H287" s="925" t="s">
        <v>13459</v>
      </c>
      <c r="I287" s="925"/>
      <c r="J287" s="667">
        <v>26.31</v>
      </c>
    </row>
    <row r="288" spans="1:10" ht="0.95" customHeight="1" thickTop="1">
      <c r="A288" s="666"/>
      <c r="B288" s="666"/>
      <c r="C288" s="666"/>
      <c r="D288" s="666"/>
      <c r="E288" s="666"/>
      <c r="F288" s="666"/>
      <c r="G288" s="666"/>
      <c r="H288" s="666"/>
      <c r="I288" s="666"/>
      <c r="J288" s="666"/>
    </row>
    <row r="289" spans="1:10" ht="18" customHeight="1">
      <c r="A289" s="686" t="s">
        <v>15467</v>
      </c>
      <c r="B289" s="684" t="s">
        <v>13484</v>
      </c>
      <c r="C289" s="686" t="s">
        <v>13483</v>
      </c>
      <c r="D289" s="686" t="s">
        <v>13482</v>
      </c>
      <c r="E289" s="924" t="s">
        <v>13481</v>
      </c>
      <c r="F289" s="924"/>
      <c r="G289" s="685" t="s">
        <v>13480</v>
      </c>
      <c r="H289" s="684" t="s">
        <v>13479</v>
      </c>
      <c r="I289" s="684" t="s">
        <v>13478</v>
      </c>
      <c r="J289" s="684" t="s">
        <v>13477</v>
      </c>
    </row>
    <row r="290" spans="1:10" ht="48" customHeight="1">
      <c r="A290" s="682" t="s">
        <v>13476</v>
      </c>
      <c r="B290" s="683" t="s">
        <v>15466</v>
      </c>
      <c r="C290" s="682" t="s">
        <v>7</v>
      </c>
      <c r="D290" s="682" t="s">
        <v>2192</v>
      </c>
      <c r="E290" s="917" t="s">
        <v>13646</v>
      </c>
      <c r="F290" s="917"/>
      <c r="G290" s="681" t="s">
        <v>17</v>
      </c>
      <c r="H290" s="680">
        <v>1</v>
      </c>
      <c r="I290" s="679">
        <v>17.91</v>
      </c>
      <c r="J290" s="679">
        <v>17.91</v>
      </c>
    </row>
    <row r="291" spans="1:10" ht="36" customHeight="1">
      <c r="A291" s="677" t="s">
        <v>13472</v>
      </c>
      <c r="B291" s="678" t="s">
        <v>13983</v>
      </c>
      <c r="C291" s="677" t="s">
        <v>7</v>
      </c>
      <c r="D291" s="677" t="s">
        <v>2208</v>
      </c>
      <c r="E291" s="918" t="s">
        <v>13646</v>
      </c>
      <c r="F291" s="918"/>
      <c r="G291" s="676" t="s">
        <v>17</v>
      </c>
      <c r="H291" s="675">
        <v>1</v>
      </c>
      <c r="I291" s="674">
        <v>15.43</v>
      </c>
      <c r="J291" s="674">
        <v>15.43</v>
      </c>
    </row>
    <row r="292" spans="1:10" ht="24" customHeight="1">
      <c r="A292" s="677" t="s">
        <v>13472</v>
      </c>
      <c r="B292" s="678" t="s">
        <v>13724</v>
      </c>
      <c r="C292" s="677" t="s">
        <v>7</v>
      </c>
      <c r="D292" s="677" t="s">
        <v>125</v>
      </c>
      <c r="E292" s="918" t="s">
        <v>13470</v>
      </c>
      <c r="F292" s="918"/>
      <c r="G292" s="676" t="s">
        <v>19</v>
      </c>
      <c r="H292" s="675">
        <v>9.5600000000000004E-2</v>
      </c>
      <c r="I292" s="674">
        <v>17.579999999999998</v>
      </c>
      <c r="J292" s="674">
        <v>1.68</v>
      </c>
    </row>
    <row r="293" spans="1:10" ht="24" customHeight="1">
      <c r="A293" s="677" t="s">
        <v>13472</v>
      </c>
      <c r="B293" s="678" t="s">
        <v>13723</v>
      </c>
      <c r="C293" s="677" t="s">
        <v>7</v>
      </c>
      <c r="D293" s="677" t="s">
        <v>120</v>
      </c>
      <c r="E293" s="918" t="s">
        <v>13470</v>
      </c>
      <c r="F293" s="918"/>
      <c r="G293" s="676" t="s">
        <v>19</v>
      </c>
      <c r="H293" s="675">
        <v>1.5599999999999999E-2</v>
      </c>
      <c r="I293" s="674">
        <v>13.4</v>
      </c>
      <c r="J293" s="674">
        <v>0.2</v>
      </c>
    </row>
    <row r="294" spans="1:10" ht="24" customHeight="1">
      <c r="A294" s="672" t="s">
        <v>13467</v>
      </c>
      <c r="B294" s="673" t="s">
        <v>13722</v>
      </c>
      <c r="C294" s="672" t="s">
        <v>7</v>
      </c>
      <c r="D294" s="672" t="s">
        <v>13721</v>
      </c>
      <c r="E294" s="919" t="s">
        <v>13464</v>
      </c>
      <c r="F294" s="919"/>
      <c r="G294" s="671" t="s">
        <v>17</v>
      </c>
      <c r="H294" s="670">
        <v>2.5000000000000001E-2</v>
      </c>
      <c r="I294" s="669">
        <v>19.989999999999998</v>
      </c>
      <c r="J294" s="669">
        <v>0.49</v>
      </c>
    </row>
    <row r="295" spans="1:10" ht="36" customHeight="1">
      <c r="A295" s="672" t="s">
        <v>13467</v>
      </c>
      <c r="B295" s="673" t="s">
        <v>14074</v>
      </c>
      <c r="C295" s="672" t="s">
        <v>7</v>
      </c>
      <c r="D295" s="672" t="s">
        <v>14073</v>
      </c>
      <c r="E295" s="919" t="s">
        <v>13464</v>
      </c>
      <c r="F295" s="919"/>
      <c r="G295" s="671" t="s">
        <v>34</v>
      </c>
      <c r="H295" s="670">
        <v>0.54300000000000004</v>
      </c>
      <c r="I295" s="669">
        <v>0.21</v>
      </c>
      <c r="J295" s="669">
        <v>0.11</v>
      </c>
    </row>
    <row r="296" spans="1:10" ht="25.5">
      <c r="A296" s="668"/>
      <c r="B296" s="668"/>
      <c r="C296" s="668"/>
      <c r="D296" s="668"/>
      <c r="E296" s="668" t="s">
        <v>13463</v>
      </c>
      <c r="F296" s="667">
        <v>0.88558078887319347</v>
      </c>
      <c r="G296" s="668" t="s">
        <v>13462</v>
      </c>
      <c r="H296" s="667">
        <v>0.74</v>
      </c>
      <c r="I296" s="668" t="s">
        <v>13461</v>
      </c>
      <c r="J296" s="667">
        <v>1.63</v>
      </c>
    </row>
    <row r="297" spans="1:10" ht="15" thickBot="1">
      <c r="A297" s="668"/>
      <c r="B297" s="668"/>
      <c r="C297" s="668"/>
      <c r="D297" s="668"/>
      <c r="E297" s="668" t="s">
        <v>13460</v>
      </c>
      <c r="F297" s="667">
        <v>5.05</v>
      </c>
      <c r="G297" s="668"/>
      <c r="H297" s="925" t="s">
        <v>13459</v>
      </c>
      <c r="I297" s="925"/>
      <c r="J297" s="667">
        <v>22.96</v>
      </c>
    </row>
    <row r="298" spans="1:10" ht="0.95" customHeight="1" thickTop="1">
      <c r="A298" s="666"/>
      <c r="B298" s="666"/>
      <c r="C298" s="666"/>
      <c r="D298" s="666"/>
      <c r="E298" s="666"/>
      <c r="F298" s="666"/>
      <c r="G298" s="666"/>
      <c r="H298" s="666"/>
      <c r="I298" s="666"/>
      <c r="J298" s="666"/>
    </row>
    <row r="299" spans="1:10" ht="18" customHeight="1">
      <c r="A299" s="686" t="s">
        <v>15465</v>
      </c>
      <c r="B299" s="684" t="s">
        <v>13484</v>
      </c>
      <c r="C299" s="686" t="s">
        <v>13483</v>
      </c>
      <c r="D299" s="686" t="s">
        <v>13482</v>
      </c>
      <c r="E299" s="924" t="s">
        <v>13481</v>
      </c>
      <c r="F299" s="924"/>
      <c r="G299" s="685" t="s">
        <v>13480</v>
      </c>
      <c r="H299" s="684" t="s">
        <v>13479</v>
      </c>
      <c r="I299" s="684" t="s">
        <v>13478</v>
      </c>
      <c r="J299" s="684" t="s">
        <v>13477</v>
      </c>
    </row>
    <row r="300" spans="1:10" ht="48" customHeight="1">
      <c r="A300" s="682" t="s">
        <v>13476</v>
      </c>
      <c r="B300" s="683" t="s">
        <v>15464</v>
      </c>
      <c r="C300" s="682" t="s">
        <v>7</v>
      </c>
      <c r="D300" s="682" t="s">
        <v>2149</v>
      </c>
      <c r="E300" s="917" t="s">
        <v>13646</v>
      </c>
      <c r="F300" s="917"/>
      <c r="G300" s="681" t="s">
        <v>13515</v>
      </c>
      <c r="H300" s="680">
        <v>1</v>
      </c>
      <c r="I300" s="679">
        <v>536.79</v>
      </c>
      <c r="J300" s="679">
        <v>536.79</v>
      </c>
    </row>
    <row r="301" spans="1:10" ht="36" customHeight="1">
      <c r="A301" s="677" t="s">
        <v>13472</v>
      </c>
      <c r="B301" s="678" t="s">
        <v>13499</v>
      </c>
      <c r="C301" s="677" t="s">
        <v>7</v>
      </c>
      <c r="D301" s="677" t="s">
        <v>1739</v>
      </c>
      <c r="E301" s="918" t="s">
        <v>13491</v>
      </c>
      <c r="F301" s="918"/>
      <c r="G301" s="676" t="s">
        <v>38</v>
      </c>
      <c r="H301" s="675">
        <v>6.8000000000000005E-2</v>
      </c>
      <c r="I301" s="674">
        <v>1.77</v>
      </c>
      <c r="J301" s="674">
        <v>0.12</v>
      </c>
    </row>
    <row r="302" spans="1:10" ht="36" customHeight="1">
      <c r="A302" s="677" t="s">
        <v>13472</v>
      </c>
      <c r="B302" s="678" t="s">
        <v>13500</v>
      </c>
      <c r="C302" s="677" t="s">
        <v>7</v>
      </c>
      <c r="D302" s="677" t="s">
        <v>1740</v>
      </c>
      <c r="E302" s="918" t="s">
        <v>13491</v>
      </c>
      <c r="F302" s="918"/>
      <c r="G302" s="676" t="s">
        <v>53</v>
      </c>
      <c r="H302" s="675">
        <v>0.13100000000000001</v>
      </c>
      <c r="I302" s="674">
        <v>0.42</v>
      </c>
      <c r="J302" s="674">
        <v>0.05</v>
      </c>
    </row>
    <row r="303" spans="1:10" ht="24" customHeight="1">
      <c r="A303" s="677" t="s">
        <v>13472</v>
      </c>
      <c r="B303" s="678" t="s">
        <v>13833</v>
      </c>
      <c r="C303" s="677" t="s">
        <v>7</v>
      </c>
      <c r="D303" s="677" t="s">
        <v>40</v>
      </c>
      <c r="E303" s="918" t="s">
        <v>13470</v>
      </c>
      <c r="F303" s="918"/>
      <c r="G303" s="676" t="s">
        <v>19</v>
      </c>
      <c r="H303" s="675">
        <v>0.19900000000000001</v>
      </c>
      <c r="I303" s="674">
        <v>17.48</v>
      </c>
      <c r="J303" s="674">
        <v>3.47</v>
      </c>
    </row>
    <row r="304" spans="1:10" ht="24" customHeight="1">
      <c r="A304" s="677" t="s">
        <v>13472</v>
      </c>
      <c r="B304" s="678" t="s">
        <v>13471</v>
      </c>
      <c r="C304" s="677" t="s">
        <v>7</v>
      </c>
      <c r="D304" s="677" t="s">
        <v>21</v>
      </c>
      <c r="E304" s="918" t="s">
        <v>13470</v>
      </c>
      <c r="F304" s="918"/>
      <c r="G304" s="676" t="s">
        <v>19</v>
      </c>
      <c r="H304" s="675">
        <v>1.1919999999999999</v>
      </c>
      <c r="I304" s="674">
        <v>14.02</v>
      </c>
      <c r="J304" s="674">
        <v>16.71</v>
      </c>
    </row>
    <row r="305" spans="1:10" ht="24" customHeight="1">
      <c r="A305" s="677" t="s">
        <v>13472</v>
      </c>
      <c r="B305" s="678" t="s">
        <v>13600</v>
      </c>
      <c r="C305" s="677" t="s">
        <v>7</v>
      </c>
      <c r="D305" s="677" t="s">
        <v>41</v>
      </c>
      <c r="E305" s="918" t="s">
        <v>13470</v>
      </c>
      <c r="F305" s="918"/>
      <c r="G305" s="676" t="s">
        <v>19</v>
      </c>
      <c r="H305" s="675">
        <v>0.19900000000000001</v>
      </c>
      <c r="I305" s="674">
        <v>17.670000000000002</v>
      </c>
      <c r="J305" s="674">
        <v>3.51</v>
      </c>
    </row>
    <row r="306" spans="1:10" ht="36" customHeight="1">
      <c r="A306" s="672" t="s">
        <v>13467</v>
      </c>
      <c r="B306" s="673" t="s">
        <v>15463</v>
      </c>
      <c r="C306" s="672" t="s">
        <v>7</v>
      </c>
      <c r="D306" s="672" t="s">
        <v>15462</v>
      </c>
      <c r="E306" s="919" t="s">
        <v>13464</v>
      </c>
      <c r="F306" s="919"/>
      <c r="G306" s="671" t="s">
        <v>13515</v>
      </c>
      <c r="H306" s="670">
        <v>1.103</v>
      </c>
      <c r="I306" s="669">
        <v>465.04</v>
      </c>
      <c r="J306" s="669">
        <v>512.92999999999995</v>
      </c>
    </row>
    <row r="307" spans="1:10" ht="25.5">
      <c r="A307" s="668"/>
      <c r="B307" s="668"/>
      <c r="C307" s="668"/>
      <c r="D307" s="668"/>
      <c r="E307" s="668" t="s">
        <v>13463</v>
      </c>
      <c r="F307" s="667">
        <v>9.6653265239595783</v>
      </c>
      <c r="G307" s="668" t="s">
        <v>13462</v>
      </c>
      <c r="H307" s="667">
        <v>8.1199999999999992</v>
      </c>
      <c r="I307" s="668" t="s">
        <v>13461</v>
      </c>
      <c r="J307" s="667">
        <v>17.79</v>
      </c>
    </row>
    <row r="308" spans="1:10" ht="15" thickBot="1">
      <c r="A308" s="668"/>
      <c r="B308" s="668"/>
      <c r="C308" s="668"/>
      <c r="D308" s="668"/>
      <c r="E308" s="668" t="s">
        <v>13460</v>
      </c>
      <c r="F308" s="667">
        <v>151.58000000000001</v>
      </c>
      <c r="G308" s="668"/>
      <c r="H308" s="925" t="s">
        <v>13459</v>
      </c>
      <c r="I308" s="925"/>
      <c r="J308" s="667">
        <v>688.37</v>
      </c>
    </row>
    <row r="309" spans="1:10" ht="0.95" customHeight="1" thickTop="1">
      <c r="A309" s="666"/>
      <c r="B309" s="666"/>
      <c r="C309" s="666"/>
      <c r="D309" s="666"/>
      <c r="E309" s="666"/>
      <c r="F309" s="666"/>
      <c r="G309" s="666"/>
      <c r="H309" s="666"/>
      <c r="I309" s="666"/>
      <c r="J309" s="666"/>
    </row>
    <row r="310" spans="1:10" ht="18" customHeight="1">
      <c r="A310" s="686" t="s">
        <v>15461</v>
      </c>
      <c r="B310" s="684" t="s">
        <v>13484</v>
      </c>
      <c r="C310" s="686" t="s">
        <v>13483</v>
      </c>
      <c r="D310" s="686" t="s">
        <v>13482</v>
      </c>
      <c r="E310" s="924" t="s">
        <v>13481</v>
      </c>
      <c r="F310" s="924"/>
      <c r="G310" s="685" t="s">
        <v>13480</v>
      </c>
      <c r="H310" s="684" t="s">
        <v>13479</v>
      </c>
      <c r="I310" s="684" t="s">
        <v>13478</v>
      </c>
      <c r="J310" s="684" t="s">
        <v>13477</v>
      </c>
    </row>
    <row r="311" spans="1:10" ht="48" customHeight="1">
      <c r="A311" s="682" t="s">
        <v>13476</v>
      </c>
      <c r="B311" s="683" t="s">
        <v>15460</v>
      </c>
      <c r="C311" s="682" t="s">
        <v>7</v>
      </c>
      <c r="D311" s="682" t="s">
        <v>4761</v>
      </c>
      <c r="E311" s="917" t="s">
        <v>13646</v>
      </c>
      <c r="F311" s="917"/>
      <c r="G311" s="681" t="s">
        <v>13610</v>
      </c>
      <c r="H311" s="680">
        <v>1</v>
      </c>
      <c r="I311" s="679">
        <v>88.3</v>
      </c>
      <c r="J311" s="679">
        <v>88.3</v>
      </c>
    </row>
    <row r="312" spans="1:10" ht="24" customHeight="1">
      <c r="A312" s="677" t="s">
        <v>13472</v>
      </c>
      <c r="B312" s="678" t="s">
        <v>15435</v>
      </c>
      <c r="C312" s="677" t="s">
        <v>7</v>
      </c>
      <c r="D312" s="677" t="s">
        <v>4717</v>
      </c>
      <c r="E312" s="918" t="s">
        <v>13646</v>
      </c>
      <c r="F312" s="918"/>
      <c r="G312" s="676" t="s">
        <v>13610</v>
      </c>
      <c r="H312" s="675">
        <v>0.23599999999999999</v>
      </c>
      <c r="I312" s="674">
        <v>93.85</v>
      </c>
      <c r="J312" s="674">
        <v>22.14</v>
      </c>
    </row>
    <row r="313" spans="1:10" ht="24" customHeight="1">
      <c r="A313" s="677" t="s">
        <v>13472</v>
      </c>
      <c r="B313" s="678" t="s">
        <v>13840</v>
      </c>
      <c r="C313" s="677" t="s">
        <v>7</v>
      </c>
      <c r="D313" s="677" t="s">
        <v>4724</v>
      </c>
      <c r="E313" s="918" t="s">
        <v>13646</v>
      </c>
      <c r="F313" s="918"/>
      <c r="G313" s="676" t="s">
        <v>14</v>
      </c>
      <c r="H313" s="675">
        <v>1.482</v>
      </c>
      <c r="I313" s="674">
        <v>29.5</v>
      </c>
      <c r="J313" s="674">
        <v>43.71</v>
      </c>
    </row>
    <row r="314" spans="1:10" ht="24" customHeight="1">
      <c r="A314" s="677" t="s">
        <v>13472</v>
      </c>
      <c r="B314" s="678" t="s">
        <v>13833</v>
      </c>
      <c r="C314" s="677" t="s">
        <v>7</v>
      </c>
      <c r="D314" s="677" t="s">
        <v>40</v>
      </c>
      <c r="E314" s="918" t="s">
        <v>13470</v>
      </c>
      <c r="F314" s="918"/>
      <c r="G314" s="676" t="s">
        <v>19</v>
      </c>
      <c r="H314" s="675">
        <v>0.88400000000000001</v>
      </c>
      <c r="I314" s="674">
        <v>17.48</v>
      </c>
      <c r="J314" s="674">
        <v>15.45</v>
      </c>
    </row>
    <row r="315" spans="1:10" ht="24" customHeight="1">
      <c r="A315" s="677" t="s">
        <v>13472</v>
      </c>
      <c r="B315" s="678" t="s">
        <v>13644</v>
      </c>
      <c r="C315" s="677" t="s">
        <v>7</v>
      </c>
      <c r="D315" s="677" t="s">
        <v>39</v>
      </c>
      <c r="E315" s="918" t="s">
        <v>13470</v>
      </c>
      <c r="F315" s="918"/>
      <c r="G315" s="676" t="s">
        <v>19</v>
      </c>
      <c r="H315" s="675">
        <v>0.16200000000000001</v>
      </c>
      <c r="I315" s="674">
        <v>14.57</v>
      </c>
      <c r="J315" s="674">
        <v>2.36</v>
      </c>
    </row>
    <row r="316" spans="1:10" ht="24" customHeight="1">
      <c r="A316" s="672" t="s">
        <v>13467</v>
      </c>
      <c r="B316" s="673" t="s">
        <v>13641</v>
      </c>
      <c r="C316" s="672" t="s">
        <v>7</v>
      </c>
      <c r="D316" s="672" t="s">
        <v>13640</v>
      </c>
      <c r="E316" s="919" t="s">
        <v>13464</v>
      </c>
      <c r="F316" s="919"/>
      <c r="G316" s="671" t="s">
        <v>50</v>
      </c>
      <c r="H316" s="670">
        <v>0.01</v>
      </c>
      <c r="I316" s="669">
        <v>5.22</v>
      </c>
      <c r="J316" s="669">
        <v>0.05</v>
      </c>
    </row>
    <row r="317" spans="1:10" ht="24" customHeight="1">
      <c r="A317" s="672" t="s">
        <v>13467</v>
      </c>
      <c r="B317" s="673" t="s">
        <v>14293</v>
      </c>
      <c r="C317" s="672" t="s">
        <v>7</v>
      </c>
      <c r="D317" s="672" t="s">
        <v>14292</v>
      </c>
      <c r="E317" s="919" t="s">
        <v>13464</v>
      </c>
      <c r="F317" s="919"/>
      <c r="G317" s="671" t="s">
        <v>17</v>
      </c>
      <c r="H317" s="670">
        <v>4.9000000000000002E-2</v>
      </c>
      <c r="I317" s="669">
        <v>22.6</v>
      </c>
      <c r="J317" s="669">
        <v>1.1000000000000001</v>
      </c>
    </row>
    <row r="318" spans="1:10" ht="24" customHeight="1">
      <c r="A318" s="672" t="s">
        <v>13467</v>
      </c>
      <c r="B318" s="673" t="s">
        <v>14291</v>
      </c>
      <c r="C318" s="672" t="s">
        <v>7</v>
      </c>
      <c r="D318" s="672" t="s">
        <v>14290</v>
      </c>
      <c r="E318" s="919" t="s">
        <v>13464</v>
      </c>
      <c r="F318" s="919"/>
      <c r="G318" s="671" t="s">
        <v>14</v>
      </c>
      <c r="H318" s="670">
        <v>0.32800000000000001</v>
      </c>
      <c r="I318" s="669">
        <v>10.67</v>
      </c>
      <c r="J318" s="669">
        <v>3.49</v>
      </c>
    </row>
    <row r="319" spans="1:10" ht="25.5">
      <c r="A319" s="668"/>
      <c r="B319" s="668"/>
      <c r="C319" s="668"/>
      <c r="D319" s="668"/>
      <c r="E319" s="668" t="s">
        <v>13463</v>
      </c>
      <c r="F319" s="667">
        <v>12.213408671085515</v>
      </c>
      <c r="G319" s="668" t="s">
        <v>13462</v>
      </c>
      <c r="H319" s="667">
        <v>10.27</v>
      </c>
      <c r="I319" s="668" t="s">
        <v>13461</v>
      </c>
      <c r="J319" s="667">
        <v>22.48</v>
      </c>
    </row>
    <row r="320" spans="1:10" ht="15" thickBot="1">
      <c r="A320" s="668"/>
      <c r="B320" s="668"/>
      <c r="C320" s="668"/>
      <c r="D320" s="668"/>
      <c r="E320" s="668" t="s">
        <v>13460</v>
      </c>
      <c r="F320" s="667">
        <v>24.93</v>
      </c>
      <c r="G320" s="668"/>
      <c r="H320" s="925" t="s">
        <v>13459</v>
      </c>
      <c r="I320" s="925"/>
      <c r="J320" s="667">
        <v>113.23</v>
      </c>
    </row>
    <row r="321" spans="1:10" ht="0.95" customHeight="1" thickTop="1">
      <c r="A321" s="666"/>
      <c r="B321" s="666"/>
      <c r="C321" s="666"/>
      <c r="D321" s="666"/>
      <c r="E321" s="666"/>
      <c r="F321" s="666"/>
      <c r="G321" s="666"/>
      <c r="H321" s="666"/>
      <c r="I321" s="666"/>
      <c r="J321" s="666"/>
    </row>
    <row r="322" spans="1:10" ht="18" customHeight="1">
      <c r="A322" s="686" t="s">
        <v>15459</v>
      </c>
      <c r="B322" s="684" t="s">
        <v>13484</v>
      </c>
      <c r="C322" s="686" t="s">
        <v>13483</v>
      </c>
      <c r="D322" s="686" t="s">
        <v>13482</v>
      </c>
      <c r="E322" s="924" t="s">
        <v>13481</v>
      </c>
      <c r="F322" s="924"/>
      <c r="G322" s="685" t="s">
        <v>13480</v>
      </c>
      <c r="H322" s="684" t="s">
        <v>13479</v>
      </c>
      <c r="I322" s="684" t="s">
        <v>13478</v>
      </c>
      <c r="J322" s="684" t="s">
        <v>13477</v>
      </c>
    </row>
    <row r="323" spans="1:10" ht="48" customHeight="1">
      <c r="A323" s="682" t="s">
        <v>13476</v>
      </c>
      <c r="B323" s="683" t="s">
        <v>15458</v>
      </c>
      <c r="C323" s="682" t="s">
        <v>7</v>
      </c>
      <c r="D323" s="682" t="s">
        <v>2191</v>
      </c>
      <c r="E323" s="917" t="s">
        <v>13646</v>
      </c>
      <c r="F323" s="917"/>
      <c r="G323" s="681" t="s">
        <v>17</v>
      </c>
      <c r="H323" s="680">
        <v>1</v>
      </c>
      <c r="I323" s="679">
        <v>19.72</v>
      </c>
      <c r="J323" s="679">
        <v>19.72</v>
      </c>
    </row>
    <row r="324" spans="1:10" ht="36" customHeight="1">
      <c r="A324" s="677" t="s">
        <v>13472</v>
      </c>
      <c r="B324" s="678" t="s">
        <v>13977</v>
      </c>
      <c r="C324" s="677" t="s">
        <v>7</v>
      </c>
      <c r="D324" s="677" t="s">
        <v>2207</v>
      </c>
      <c r="E324" s="918" t="s">
        <v>13646</v>
      </c>
      <c r="F324" s="918"/>
      <c r="G324" s="676" t="s">
        <v>17</v>
      </c>
      <c r="H324" s="675">
        <v>1</v>
      </c>
      <c r="I324" s="674">
        <v>16.559999999999999</v>
      </c>
      <c r="J324" s="674">
        <v>16.559999999999999</v>
      </c>
    </row>
    <row r="325" spans="1:10" ht="24" customHeight="1">
      <c r="A325" s="677" t="s">
        <v>13472</v>
      </c>
      <c r="B325" s="678" t="s">
        <v>13724</v>
      </c>
      <c r="C325" s="677" t="s">
        <v>7</v>
      </c>
      <c r="D325" s="677" t="s">
        <v>125</v>
      </c>
      <c r="E325" s="918" t="s">
        <v>13470</v>
      </c>
      <c r="F325" s="918"/>
      <c r="G325" s="676" t="s">
        <v>19</v>
      </c>
      <c r="H325" s="675">
        <v>0.1278</v>
      </c>
      <c r="I325" s="674">
        <v>17.579999999999998</v>
      </c>
      <c r="J325" s="674">
        <v>2.2400000000000002</v>
      </c>
    </row>
    <row r="326" spans="1:10" ht="24" customHeight="1">
      <c r="A326" s="677" t="s">
        <v>13472</v>
      </c>
      <c r="B326" s="678" t="s">
        <v>13723</v>
      </c>
      <c r="C326" s="677" t="s">
        <v>7</v>
      </c>
      <c r="D326" s="677" t="s">
        <v>120</v>
      </c>
      <c r="E326" s="918" t="s">
        <v>13470</v>
      </c>
      <c r="F326" s="918"/>
      <c r="G326" s="676" t="s">
        <v>19</v>
      </c>
      <c r="H326" s="675">
        <v>2.0899999999999998E-2</v>
      </c>
      <c r="I326" s="674">
        <v>13.4</v>
      </c>
      <c r="J326" s="674">
        <v>0.28000000000000003</v>
      </c>
    </row>
    <row r="327" spans="1:10" ht="24" customHeight="1">
      <c r="A327" s="672" t="s">
        <v>13467</v>
      </c>
      <c r="B327" s="673" t="s">
        <v>13722</v>
      </c>
      <c r="C327" s="672" t="s">
        <v>7</v>
      </c>
      <c r="D327" s="672" t="s">
        <v>13721</v>
      </c>
      <c r="E327" s="919" t="s">
        <v>13464</v>
      </c>
      <c r="F327" s="919"/>
      <c r="G327" s="671" t="s">
        <v>17</v>
      </c>
      <c r="H327" s="670">
        <v>2.5000000000000001E-2</v>
      </c>
      <c r="I327" s="669">
        <v>19.989999999999998</v>
      </c>
      <c r="J327" s="669">
        <v>0.49</v>
      </c>
    </row>
    <row r="328" spans="1:10" ht="36" customHeight="1">
      <c r="A328" s="672" t="s">
        <v>13467</v>
      </c>
      <c r="B328" s="673" t="s">
        <v>14074</v>
      </c>
      <c r="C328" s="672" t="s">
        <v>7</v>
      </c>
      <c r="D328" s="672" t="s">
        <v>14073</v>
      </c>
      <c r="E328" s="919" t="s">
        <v>13464</v>
      </c>
      <c r="F328" s="919"/>
      <c r="G328" s="671" t="s">
        <v>34</v>
      </c>
      <c r="H328" s="670">
        <v>0.74299999999999999</v>
      </c>
      <c r="I328" s="669">
        <v>0.21</v>
      </c>
      <c r="J328" s="669">
        <v>0.15</v>
      </c>
    </row>
    <row r="329" spans="1:10" ht="25.5">
      <c r="A329" s="668"/>
      <c r="B329" s="668"/>
      <c r="C329" s="668"/>
      <c r="D329" s="668"/>
      <c r="E329" s="668" t="s">
        <v>13463</v>
      </c>
      <c r="F329" s="667">
        <v>1.2387265022275344</v>
      </c>
      <c r="G329" s="668" t="s">
        <v>13462</v>
      </c>
      <c r="H329" s="667">
        <v>1.04</v>
      </c>
      <c r="I329" s="668" t="s">
        <v>13461</v>
      </c>
      <c r="J329" s="667">
        <v>2.2799999999999998</v>
      </c>
    </row>
    <row r="330" spans="1:10" ht="15" thickBot="1">
      <c r="A330" s="668"/>
      <c r="B330" s="668"/>
      <c r="C330" s="668"/>
      <c r="D330" s="668"/>
      <c r="E330" s="668" t="s">
        <v>13460</v>
      </c>
      <c r="F330" s="667">
        <v>5.56</v>
      </c>
      <c r="G330" s="668"/>
      <c r="H330" s="925" t="s">
        <v>13459</v>
      </c>
      <c r="I330" s="925"/>
      <c r="J330" s="667">
        <v>25.28</v>
      </c>
    </row>
    <row r="331" spans="1:10" ht="0.95" customHeight="1" thickTop="1">
      <c r="A331" s="666"/>
      <c r="B331" s="666"/>
      <c r="C331" s="666"/>
      <c r="D331" s="666"/>
      <c r="E331" s="666"/>
      <c r="F331" s="666"/>
      <c r="G331" s="666"/>
      <c r="H331" s="666"/>
      <c r="I331" s="666"/>
      <c r="J331" s="666"/>
    </row>
    <row r="332" spans="1:10" ht="18" customHeight="1">
      <c r="A332" s="686" t="s">
        <v>15457</v>
      </c>
      <c r="B332" s="684" t="s">
        <v>13484</v>
      </c>
      <c r="C332" s="686" t="s">
        <v>13483</v>
      </c>
      <c r="D332" s="686" t="s">
        <v>13482</v>
      </c>
      <c r="E332" s="924" t="s">
        <v>13481</v>
      </c>
      <c r="F332" s="924"/>
      <c r="G332" s="685" t="s">
        <v>13480</v>
      </c>
      <c r="H332" s="684" t="s">
        <v>13479</v>
      </c>
      <c r="I332" s="684" t="s">
        <v>13478</v>
      </c>
      <c r="J332" s="684" t="s">
        <v>13477</v>
      </c>
    </row>
    <row r="333" spans="1:10" ht="60" customHeight="1">
      <c r="A333" s="682" t="s">
        <v>13476</v>
      </c>
      <c r="B333" s="683" t="s">
        <v>15456</v>
      </c>
      <c r="C333" s="682" t="s">
        <v>7</v>
      </c>
      <c r="D333" s="682" t="s">
        <v>2154</v>
      </c>
      <c r="E333" s="917" t="s">
        <v>13646</v>
      </c>
      <c r="F333" s="917"/>
      <c r="G333" s="681" t="s">
        <v>13515</v>
      </c>
      <c r="H333" s="680">
        <v>1</v>
      </c>
      <c r="I333" s="679">
        <v>517.85</v>
      </c>
      <c r="J333" s="679">
        <v>517.85</v>
      </c>
    </row>
    <row r="334" spans="1:10" ht="36" customHeight="1">
      <c r="A334" s="677" t="s">
        <v>13472</v>
      </c>
      <c r="B334" s="678" t="s">
        <v>13499</v>
      </c>
      <c r="C334" s="677" t="s">
        <v>7</v>
      </c>
      <c r="D334" s="677" t="s">
        <v>1739</v>
      </c>
      <c r="E334" s="918" t="s">
        <v>13491</v>
      </c>
      <c r="F334" s="918"/>
      <c r="G334" s="676" t="s">
        <v>38</v>
      </c>
      <c r="H334" s="675">
        <v>5.6000000000000001E-2</v>
      </c>
      <c r="I334" s="674">
        <v>1.77</v>
      </c>
      <c r="J334" s="674">
        <v>0.09</v>
      </c>
    </row>
    <row r="335" spans="1:10" ht="36" customHeight="1">
      <c r="A335" s="677" t="s">
        <v>13472</v>
      </c>
      <c r="B335" s="678" t="s">
        <v>13500</v>
      </c>
      <c r="C335" s="677" t="s">
        <v>7</v>
      </c>
      <c r="D335" s="677" t="s">
        <v>1740</v>
      </c>
      <c r="E335" s="918" t="s">
        <v>13491</v>
      </c>
      <c r="F335" s="918"/>
      <c r="G335" s="676" t="s">
        <v>53</v>
      </c>
      <c r="H335" s="675">
        <v>0.13300000000000001</v>
      </c>
      <c r="I335" s="674">
        <v>0.42</v>
      </c>
      <c r="J335" s="674">
        <v>0.05</v>
      </c>
    </row>
    <row r="336" spans="1:10" ht="24" customHeight="1">
      <c r="A336" s="677" t="s">
        <v>13472</v>
      </c>
      <c r="B336" s="678" t="s">
        <v>13833</v>
      </c>
      <c r="C336" s="677" t="s">
        <v>7</v>
      </c>
      <c r="D336" s="677" t="s">
        <v>40</v>
      </c>
      <c r="E336" s="918" t="s">
        <v>13470</v>
      </c>
      <c r="F336" s="918"/>
      <c r="G336" s="676" t="s">
        <v>19</v>
      </c>
      <c r="H336" s="675">
        <v>9.4E-2</v>
      </c>
      <c r="I336" s="674">
        <v>17.48</v>
      </c>
      <c r="J336" s="674">
        <v>1.64</v>
      </c>
    </row>
    <row r="337" spans="1:10" ht="24" customHeight="1">
      <c r="A337" s="677" t="s">
        <v>13472</v>
      </c>
      <c r="B337" s="678" t="s">
        <v>13471</v>
      </c>
      <c r="C337" s="677" t="s">
        <v>7</v>
      </c>
      <c r="D337" s="677" t="s">
        <v>21</v>
      </c>
      <c r="E337" s="918" t="s">
        <v>13470</v>
      </c>
      <c r="F337" s="918"/>
      <c r="G337" s="676" t="s">
        <v>19</v>
      </c>
      <c r="H337" s="675">
        <v>0.63800000000000001</v>
      </c>
      <c r="I337" s="674">
        <v>14.02</v>
      </c>
      <c r="J337" s="674">
        <v>8.94</v>
      </c>
    </row>
    <row r="338" spans="1:10" ht="24" customHeight="1">
      <c r="A338" s="677" t="s">
        <v>13472</v>
      </c>
      <c r="B338" s="678" t="s">
        <v>13600</v>
      </c>
      <c r="C338" s="677" t="s">
        <v>7</v>
      </c>
      <c r="D338" s="677" t="s">
        <v>41</v>
      </c>
      <c r="E338" s="918" t="s">
        <v>13470</v>
      </c>
      <c r="F338" s="918"/>
      <c r="G338" s="676" t="s">
        <v>19</v>
      </c>
      <c r="H338" s="675">
        <v>0.56499999999999995</v>
      </c>
      <c r="I338" s="674">
        <v>17.670000000000002</v>
      </c>
      <c r="J338" s="674">
        <v>9.98</v>
      </c>
    </row>
    <row r="339" spans="1:10" ht="36" customHeight="1">
      <c r="A339" s="672" t="s">
        <v>13467</v>
      </c>
      <c r="B339" s="673" t="s">
        <v>14300</v>
      </c>
      <c r="C339" s="672" t="s">
        <v>7</v>
      </c>
      <c r="D339" s="672" t="s">
        <v>14299</v>
      </c>
      <c r="E339" s="919" t="s">
        <v>13464</v>
      </c>
      <c r="F339" s="919"/>
      <c r="G339" s="671" t="s">
        <v>13515</v>
      </c>
      <c r="H339" s="670">
        <v>1.103</v>
      </c>
      <c r="I339" s="669">
        <v>450.73</v>
      </c>
      <c r="J339" s="669">
        <v>497.15</v>
      </c>
    </row>
    <row r="340" spans="1:10" ht="25.5">
      <c r="A340" s="668"/>
      <c r="B340" s="668"/>
      <c r="C340" s="668"/>
      <c r="D340" s="668"/>
      <c r="E340" s="668" t="s">
        <v>13463</v>
      </c>
      <c r="F340" s="667">
        <v>8.529827230251005</v>
      </c>
      <c r="G340" s="668" t="s">
        <v>13462</v>
      </c>
      <c r="H340" s="667">
        <v>7.17</v>
      </c>
      <c r="I340" s="668" t="s">
        <v>13461</v>
      </c>
      <c r="J340" s="667">
        <v>15.7</v>
      </c>
    </row>
    <row r="341" spans="1:10" ht="15" thickBot="1">
      <c r="A341" s="668"/>
      <c r="B341" s="668"/>
      <c r="C341" s="668"/>
      <c r="D341" s="668"/>
      <c r="E341" s="668" t="s">
        <v>13460</v>
      </c>
      <c r="F341" s="667">
        <v>146.24</v>
      </c>
      <c r="G341" s="668"/>
      <c r="H341" s="925" t="s">
        <v>13459</v>
      </c>
      <c r="I341" s="925"/>
      <c r="J341" s="667">
        <v>664.09</v>
      </c>
    </row>
    <row r="342" spans="1:10" ht="0.95" customHeight="1" thickTop="1">
      <c r="A342" s="666"/>
      <c r="B342" s="666"/>
      <c r="C342" s="666"/>
      <c r="D342" s="666"/>
      <c r="E342" s="666"/>
      <c r="F342" s="666"/>
      <c r="G342" s="666"/>
      <c r="H342" s="666"/>
      <c r="I342" s="666"/>
      <c r="J342" s="666"/>
    </row>
    <row r="343" spans="1:10" ht="18" customHeight="1">
      <c r="A343" s="686" t="s">
        <v>15455</v>
      </c>
      <c r="B343" s="684" t="s">
        <v>13484</v>
      </c>
      <c r="C343" s="686" t="s">
        <v>13483</v>
      </c>
      <c r="D343" s="686" t="s">
        <v>13482</v>
      </c>
      <c r="E343" s="924" t="s">
        <v>13481</v>
      </c>
      <c r="F343" s="924"/>
      <c r="G343" s="685" t="s">
        <v>13480</v>
      </c>
      <c r="H343" s="684" t="s">
        <v>13479</v>
      </c>
      <c r="I343" s="684" t="s">
        <v>13478</v>
      </c>
      <c r="J343" s="684" t="s">
        <v>13477</v>
      </c>
    </row>
    <row r="344" spans="1:10" ht="24" customHeight="1">
      <c r="A344" s="682" t="s">
        <v>13476</v>
      </c>
      <c r="B344" s="683" t="s">
        <v>15454</v>
      </c>
      <c r="C344" s="682" t="s">
        <v>7</v>
      </c>
      <c r="D344" s="682" t="s">
        <v>4721</v>
      </c>
      <c r="E344" s="917" t="s">
        <v>13646</v>
      </c>
      <c r="F344" s="917"/>
      <c r="G344" s="681" t="s">
        <v>13610</v>
      </c>
      <c r="H344" s="680">
        <v>1</v>
      </c>
      <c r="I344" s="679">
        <v>132.5</v>
      </c>
      <c r="J344" s="679">
        <v>132.5</v>
      </c>
    </row>
    <row r="345" spans="1:10" ht="36" customHeight="1">
      <c r="A345" s="677" t="s">
        <v>13472</v>
      </c>
      <c r="B345" s="678" t="s">
        <v>13577</v>
      </c>
      <c r="C345" s="677" t="s">
        <v>7</v>
      </c>
      <c r="D345" s="677" t="s">
        <v>1932</v>
      </c>
      <c r="E345" s="918" t="s">
        <v>13491</v>
      </c>
      <c r="F345" s="918"/>
      <c r="G345" s="676" t="s">
        <v>38</v>
      </c>
      <c r="H345" s="675">
        <v>0.05</v>
      </c>
      <c r="I345" s="674">
        <v>16.260000000000002</v>
      </c>
      <c r="J345" s="674">
        <v>0.81</v>
      </c>
    </row>
    <row r="346" spans="1:10" ht="36" customHeight="1">
      <c r="A346" s="677" t="s">
        <v>13472</v>
      </c>
      <c r="B346" s="678" t="s">
        <v>13578</v>
      </c>
      <c r="C346" s="677" t="s">
        <v>7</v>
      </c>
      <c r="D346" s="677" t="s">
        <v>1933</v>
      </c>
      <c r="E346" s="918" t="s">
        <v>13491</v>
      </c>
      <c r="F346" s="918"/>
      <c r="G346" s="676" t="s">
        <v>53</v>
      </c>
      <c r="H346" s="675">
        <v>9.2999999999999999E-2</v>
      </c>
      <c r="I346" s="674">
        <v>13.53</v>
      </c>
      <c r="J346" s="674">
        <v>1.25</v>
      </c>
    </row>
    <row r="347" spans="1:10" ht="24" customHeight="1">
      <c r="A347" s="677" t="s">
        <v>13472</v>
      </c>
      <c r="B347" s="678" t="s">
        <v>13833</v>
      </c>
      <c r="C347" s="677" t="s">
        <v>7</v>
      </c>
      <c r="D347" s="677" t="s">
        <v>40</v>
      </c>
      <c r="E347" s="918" t="s">
        <v>13470</v>
      </c>
      <c r="F347" s="918"/>
      <c r="G347" s="676" t="s">
        <v>19</v>
      </c>
      <c r="H347" s="675">
        <v>0.71499999999999997</v>
      </c>
      <c r="I347" s="674">
        <v>17.48</v>
      </c>
      <c r="J347" s="674">
        <v>12.49</v>
      </c>
    </row>
    <row r="348" spans="1:10" ht="24" customHeight="1">
      <c r="A348" s="677" t="s">
        <v>13472</v>
      </c>
      <c r="B348" s="678" t="s">
        <v>13644</v>
      </c>
      <c r="C348" s="677" t="s">
        <v>7</v>
      </c>
      <c r="D348" s="677" t="s">
        <v>39</v>
      </c>
      <c r="E348" s="918" t="s">
        <v>13470</v>
      </c>
      <c r="F348" s="918"/>
      <c r="G348" s="676" t="s">
        <v>19</v>
      </c>
      <c r="H348" s="675">
        <v>0.14299999999999999</v>
      </c>
      <c r="I348" s="674">
        <v>14.57</v>
      </c>
      <c r="J348" s="674">
        <v>2.08</v>
      </c>
    </row>
    <row r="349" spans="1:10" ht="24" customHeight="1">
      <c r="A349" s="672" t="s">
        <v>13467</v>
      </c>
      <c r="B349" s="673" t="s">
        <v>13832</v>
      </c>
      <c r="C349" s="672" t="s">
        <v>7</v>
      </c>
      <c r="D349" s="672" t="s">
        <v>13831</v>
      </c>
      <c r="E349" s="919" t="s">
        <v>13464</v>
      </c>
      <c r="F349" s="919"/>
      <c r="G349" s="671" t="s">
        <v>17</v>
      </c>
      <c r="H349" s="670">
        <v>8.5999999999999993E-2</v>
      </c>
      <c r="I349" s="669">
        <v>18.309999999999999</v>
      </c>
      <c r="J349" s="669">
        <v>1.57</v>
      </c>
    </row>
    <row r="350" spans="1:10" ht="24" customHeight="1">
      <c r="A350" s="672" t="s">
        <v>13467</v>
      </c>
      <c r="B350" s="673" t="s">
        <v>13651</v>
      </c>
      <c r="C350" s="672" t="s">
        <v>7</v>
      </c>
      <c r="D350" s="672" t="s">
        <v>13650</v>
      </c>
      <c r="E350" s="919" t="s">
        <v>13464</v>
      </c>
      <c r="F350" s="919"/>
      <c r="G350" s="671" t="s">
        <v>14</v>
      </c>
      <c r="H350" s="670">
        <v>4.4320000000000004</v>
      </c>
      <c r="I350" s="669">
        <v>2.85</v>
      </c>
      <c r="J350" s="669">
        <v>12.63</v>
      </c>
    </row>
    <row r="351" spans="1:10" ht="24" customHeight="1">
      <c r="A351" s="672" t="s">
        <v>13467</v>
      </c>
      <c r="B351" s="673" t="s">
        <v>13830</v>
      </c>
      <c r="C351" s="672" t="s">
        <v>7</v>
      </c>
      <c r="D351" s="672" t="s">
        <v>13829</v>
      </c>
      <c r="E351" s="919" t="s">
        <v>13464</v>
      </c>
      <c r="F351" s="919"/>
      <c r="G351" s="671" t="s">
        <v>14</v>
      </c>
      <c r="H351" s="670">
        <v>6.53</v>
      </c>
      <c r="I351" s="669">
        <v>15.57</v>
      </c>
      <c r="J351" s="669">
        <v>101.67</v>
      </c>
    </row>
    <row r="352" spans="1:10" ht="25.5">
      <c r="A352" s="668"/>
      <c r="B352" s="668"/>
      <c r="C352" s="668"/>
      <c r="D352" s="668"/>
      <c r="E352" s="668" t="s">
        <v>13463</v>
      </c>
      <c r="F352" s="667">
        <v>6.9977181353906337</v>
      </c>
      <c r="G352" s="668" t="s">
        <v>13462</v>
      </c>
      <c r="H352" s="667">
        <v>5.88</v>
      </c>
      <c r="I352" s="668" t="s">
        <v>13461</v>
      </c>
      <c r="J352" s="667">
        <v>12.88</v>
      </c>
    </row>
    <row r="353" spans="1:10" ht="15" thickBot="1">
      <c r="A353" s="668"/>
      <c r="B353" s="668"/>
      <c r="C353" s="668"/>
      <c r="D353" s="668"/>
      <c r="E353" s="668" t="s">
        <v>13460</v>
      </c>
      <c r="F353" s="667">
        <v>37.409999999999997</v>
      </c>
      <c r="G353" s="668"/>
      <c r="H353" s="925" t="s">
        <v>13459</v>
      </c>
      <c r="I353" s="925"/>
      <c r="J353" s="667">
        <v>169.91</v>
      </c>
    </row>
    <row r="354" spans="1:10" ht="0.95" customHeight="1" thickTop="1">
      <c r="A354" s="666"/>
      <c r="B354" s="666"/>
      <c r="C354" s="666"/>
      <c r="D354" s="666"/>
      <c r="E354" s="666"/>
      <c r="F354" s="666"/>
      <c r="G354" s="666"/>
      <c r="H354" s="666"/>
      <c r="I354" s="666"/>
      <c r="J354" s="666"/>
    </row>
    <row r="355" spans="1:10" ht="18" customHeight="1">
      <c r="A355" s="686" t="s">
        <v>15453</v>
      </c>
      <c r="B355" s="684" t="s">
        <v>13484</v>
      </c>
      <c r="C355" s="686" t="s">
        <v>13483</v>
      </c>
      <c r="D355" s="686" t="s">
        <v>13482</v>
      </c>
      <c r="E355" s="924" t="s">
        <v>13481</v>
      </c>
      <c r="F355" s="924"/>
      <c r="G355" s="685" t="s">
        <v>13480</v>
      </c>
      <c r="H355" s="684" t="s">
        <v>13479</v>
      </c>
      <c r="I355" s="684" t="s">
        <v>13478</v>
      </c>
      <c r="J355" s="684" t="s">
        <v>13477</v>
      </c>
    </row>
    <row r="356" spans="1:10" ht="48" customHeight="1">
      <c r="A356" s="682" t="s">
        <v>13476</v>
      </c>
      <c r="B356" s="683" t="s">
        <v>15452</v>
      </c>
      <c r="C356" s="682" t="s">
        <v>7</v>
      </c>
      <c r="D356" s="682" t="s">
        <v>2190</v>
      </c>
      <c r="E356" s="917" t="s">
        <v>13646</v>
      </c>
      <c r="F356" s="917"/>
      <c r="G356" s="681" t="s">
        <v>17</v>
      </c>
      <c r="H356" s="680">
        <v>1</v>
      </c>
      <c r="I356" s="679">
        <v>20.34</v>
      </c>
      <c r="J356" s="679">
        <v>20.34</v>
      </c>
    </row>
    <row r="357" spans="1:10" ht="36" customHeight="1">
      <c r="A357" s="677" t="s">
        <v>13472</v>
      </c>
      <c r="B357" s="678" t="s">
        <v>14303</v>
      </c>
      <c r="C357" s="677" t="s">
        <v>7</v>
      </c>
      <c r="D357" s="677" t="s">
        <v>2206</v>
      </c>
      <c r="E357" s="918" t="s">
        <v>13646</v>
      </c>
      <c r="F357" s="918"/>
      <c r="G357" s="676" t="s">
        <v>17</v>
      </c>
      <c r="H357" s="675">
        <v>1</v>
      </c>
      <c r="I357" s="674">
        <v>16.27</v>
      </c>
      <c r="J357" s="674">
        <v>16.27</v>
      </c>
    </row>
    <row r="358" spans="1:10" ht="24" customHeight="1">
      <c r="A358" s="677" t="s">
        <v>13472</v>
      </c>
      <c r="B358" s="678" t="s">
        <v>13724</v>
      </c>
      <c r="C358" s="677" t="s">
        <v>7</v>
      </c>
      <c r="D358" s="677" t="s">
        <v>125</v>
      </c>
      <c r="E358" s="918" t="s">
        <v>13470</v>
      </c>
      <c r="F358" s="918"/>
      <c r="G358" s="676" t="s">
        <v>19</v>
      </c>
      <c r="H358" s="675">
        <v>0.17130000000000001</v>
      </c>
      <c r="I358" s="674">
        <v>17.579999999999998</v>
      </c>
      <c r="J358" s="674">
        <v>3.01</v>
      </c>
    </row>
    <row r="359" spans="1:10" ht="24" customHeight="1">
      <c r="A359" s="677" t="s">
        <v>13472</v>
      </c>
      <c r="B359" s="678" t="s">
        <v>13723</v>
      </c>
      <c r="C359" s="677" t="s">
        <v>7</v>
      </c>
      <c r="D359" s="677" t="s">
        <v>120</v>
      </c>
      <c r="E359" s="918" t="s">
        <v>13470</v>
      </c>
      <c r="F359" s="918"/>
      <c r="G359" s="676" t="s">
        <v>19</v>
      </c>
      <c r="H359" s="675">
        <v>2.8000000000000001E-2</v>
      </c>
      <c r="I359" s="674">
        <v>13.4</v>
      </c>
      <c r="J359" s="674">
        <v>0.37</v>
      </c>
    </row>
    <row r="360" spans="1:10" ht="24" customHeight="1">
      <c r="A360" s="672" t="s">
        <v>13467</v>
      </c>
      <c r="B360" s="673" t="s">
        <v>13722</v>
      </c>
      <c r="C360" s="672" t="s">
        <v>7</v>
      </c>
      <c r="D360" s="672" t="s">
        <v>13721</v>
      </c>
      <c r="E360" s="919" t="s">
        <v>13464</v>
      </c>
      <c r="F360" s="919"/>
      <c r="G360" s="671" t="s">
        <v>17</v>
      </c>
      <c r="H360" s="670">
        <v>2.5000000000000001E-2</v>
      </c>
      <c r="I360" s="669">
        <v>19.989999999999998</v>
      </c>
      <c r="J360" s="669">
        <v>0.49</v>
      </c>
    </row>
    <row r="361" spans="1:10" ht="36" customHeight="1">
      <c r="A361" s="672" t="s">
        <v>13467</v>
      </c>
      <c r="B361" s="673" t="s">
        <v>14074</v>
      </c>
      <c r="C361" s="672" t="s">
        <v>7</v>
      </c>
      <c r="D361" s="672" t="s">
        <v>14073</v>
      </c>
      <c r="E361" s="919" t="s">
        <v>13464</v>
      </c>
      <c r="F361" s="919"/>
      <c r="G361" s="671" t="s">
        <v>34</v>
      </c>
      <c r="H361" s="670">
        <v>0.97</v>
      </c>
      <c r="I361" s="669">
        <v>0.21</v>
      </c>
      <c r="J361" s="669">
        <v>0.2</v>
      </c>
    </row>
    <row r="362" spans="1:10" ht="25.5">
      <c r="A362" s="668"/>
      <c r="B362" s="668"/>
      <c r="C362" s="668"/>
      <c r="D362" s="668"/>
      <c r="E362" s="668" t="s">
        <v>13463</v>
      </c>
      <c r="F362" s="667">
        <v>1.7548625448223405</v>
      </c>
      <c r="G362" s="668" t="s">
        <v>13462</v>
      </c>
      <c r="H362" s="667">
        <v>1.48</v>
      </c>
      <c r="I362" s="668" t="s">
        <v>13461</v>
      </c>
      <c r="J362" s="667">
        <v>3.23</v>
      </c>
    </row>
    <row r="363" spans="1:10" ht="15" thickBot="1">
      <c r="A363" s="668"/>
      <c r="B363" s="668"/>
      <c r="C363" s="668"/>
      <c r="D363" s="668"/>
      <c r="E363" s="668" t="s">
        <v>13460</v>
      </c>
      <c r="F363" s="667">
        <v>5.74</v>
      </c>
      <c r="G363" s="668"/>
      <c r="H363" s="925" t="s">
        <v>13459</v>
      </c>
      <c r="I363" s="925"/>
      <c r="J363" s="667">
        <v>26.08</v>
      </c>
    </row>
    <row r="364" spans="1:10" ht="0.95" customHeight="1" thickTop="1">
      <c r="A364" s="666"/>
      <c r="B364" s="666"/>
      <c r="C364" s="666"/>
      <c r="D364" s="666"/>
      <c r="E364" s="666"/>
      <c r="F364" s="666"/>
      <c r="G364" s="666"/>
      <c r="H364" s="666"/>
      <c r="I364" s="666"/>
      <c r="J364" s="666"/>
    </row>
    <row r="365" spans="1:10" ht="18" customHeight="1">
      <c r="A365" s="686" t="s">
        <v>15451</v>
      </c>
      <c r="B365" s="684" t="s">
        <v>13484</v>
      </c>
      <c r="C365" s="686" t="s">
        <v>13483</v>
      </c>
      <c r="D365" s="686" t="s">
        <v>13482</v>
      </c>
      <c r="E365" s="924" t="s">
        <v>13481</v>
      </c>
      <c r="F365" s="924"/>
      <c r="G365" s="685" t="s">
        <v>13480</v>
      </c>
      <c r="H365" s="684" t="s">
        <v>13479</v>
      </c>
      <c r="I365" s="684" t="s">
        <v>13478</v>
      </c>
      <c r="J365" s="684" t="s">
        <v>13477</v>
      </c>
    </row>
    <row r="366" spans="1:10" ht="48" customHeight="1">
      <c r="A366" s="682" t="s">
        <v>13476</v>
      </c>
      <c r="B366" s="683" t="s">
        <v>15450</v>
      </c>
      <c r="C366" s="682" t="s">
        <v>7</v>
      </c>
      <c r="D366" s="682" t="s">
        <v>2193</v>
      </c>
      <c r="E366" s="917" t="s">
        <v>13646</v>
      </c>
      <c r="F366" s="917"/>
      <c r="G366" s="681" t="s">
        <v>17</v>
      </c>
      <c r="H366" s="680">
        <v>1</v>
      </c>
      <c r="I366" s="679">
        <v>15.23</v>
      </c>
      <c r="J366" s="679">
        <v>15.23</v>
      </c>
    </row>
    <row r="367" spans="1:10" ht="36" customHeight="1">
      <c r="A367" s="677" t="s">
        <v>13472</v>
      </c>
      <c r="B367" s="678" t="s">
        <v>13727</v>
      </c>
      <c r="C367" s="677" t="s">
        <v>7</v>
      </c>
      <c r="D367" s="677" t="s">
        <v>2209</v>
      </c>
      <c r="E367" s="918" t="s">
        <v>13646</v>
      </c>
      <c r="F367" s="918"/>
      <c r="G367" s="676" t="s">
        <v>17</v>
      </c>
      <c r="H367" s="675">
        <v>1</v>
      </c>
      <c r="I367" s="674">
        <v>13.3</v>
      </c>
      <c r="J367" s="674">
        <v>13.3</v>
      </c>
    </row>
    <row r="368" spans="1:10" ht="24" customHeight="1">
      <c r="A368" s="677" t="s">
        <v>13472</v>
      </c>
      <c r="B368" s="678" t="s">
        <v>13724</v>
      </c>
      <c r="C368" s="677" t="s">
        <v>7</v>
      </c>
      <c r="D368" s="677" t="s">
        <v>125</v>
      </c>
      <c r="E368" s="918" t="s">
        <v>13470</v>
      </c>
      <c r="F368" s="918"/>
      <c r="G368" s="676" t="s">
        <v>19</v>
      </c>
      <c r="H368" s="675">
        <v>6.9800000000000001E-2</v>
      </c>
      <c r="I368" s="674">
        <v>17.579999999999998</v>
      </c>
      <c r="J368" s="674">
        <v>1.22</v>
      </c>
    </row>
    <row r="369" spans="1:10" ht="24" customHeight="1">
      <c r="A369" s="677" t="s">
        <v>13472</v>
      </c>
      <c r="B369" s="678" t="s">
        <v>13723</v>
      </c>
      <c r="C369" s="677" t="s">
        <v>7</v>
      </c>
      <c r="D369" s="677" t="s">
        <v>120</v>
      </c>
      <c r="E369" s="918" t="s">
        <v>13470</v>
      </c>
      <c r="F369" s="918"/>
      <c r="G369" s="676" t="s">
        <v>19</v>
      </c>
      <c r="H369" s="675">
        <v>1.14E-2</v>
      </c>
      <c r="I369" s="674">
        <v>13.4</v>
      </c>
      <c r="J369" s="674">
        <v>0.15</v>
      </c>
    </row>
    <row r="370" spans="1:10" ht="24" customHeight="1">
      <c r="A370" s="672" t="s">
        <v>13467</v>
      </c>
      <c r="B370" s="673" t="s">
        <v>13722</v>
      </c>
      <c r="C370" s="672" t="s">
        <v>7</v>
      </c>
      <c r="D370" s="672" t="s">
        <v>13721</v>
      </c>
      <c r="E370" s="919" t="s">
        <v>13464</v>
      </c>
      <c r="F370" s="919"/>
      <c r="G370" s="671" t="s">
        <v>17</v>
      </c>
      <c r="H370" s="670">
        <v>2.5000000000000001E-2</v>
      </c>
      <c r="I370" s="669">
        <v>19.989999999999998</v>
      </c>
      <c r="J370" s="669">
        <v>0.49</v>
      </c>
    </row>
    <row r="371" spans="1:10" ht="36" customHeight="1">
      <c r="A371" s="672" t="s">
        <v>13467</v>
      </c>
      <c r="B371" s="673" t="s">
        <v>14074</v>
      </c>
      <c r="C371" s="672" t="s">
        <v>7</v>
      </c>
      <c r="D371" s="672" t="s">
        <v>14073</v>
      </c>
      <c r="E371" s="919" t="s">
        <v>13464</v>
      </c>
      <c r="F371" s="919"/>
      <c r="G371" s="671" t="s">
        <v>34</v>
      </c>
      <c r="H371" s="670">
        <v>0.36699999999999999</v>
      </c>
      <c r="I371" s="669">
        <v>0.21</v>
      </c>
      <c r="J371" s="669">
        <v>7.0000000000000007E-2</v>
      </c>
    </row>
    <row r="372" spans="1:10" ht="25.5">
      <c r="A372" s="668"/>
      <c r="B372" s="668"/>
      <c r="C372" s="668"/>
      <c r="D372" s="668"/>
      <c r="E372" s="668" t="s">
        <v>13463</v>
      </c>
      <c r="F372" s="667">
        <v>0.62479626208844941</v>
      </c>
      <c r="G372" s="668" t="s">
        <v>13462</v>
      </c>
      <c r="H372" s="667">
        <v>0.53</v>
      </c>
      <c r="I372" s="668" t="s">
        <v>13461</v>
      </c>
      <c r="J372" s="667">
        <v>1.1499999999999999</v>
      </c>
    </row>
    <row r="373" spans="1:10" ht="15" thickBot="1">
      <c r="A373" s="668"/>
      <c r="B373" s="668"/>
      <c r="C373" s="668"/>
      <c r="D373" s="668"/>
      <c r="E373" s="668" t="s">
        <v>13460</v>
      </c>
      <c r="F373" s="667">
        <v>4.3</v>
      </c>
      <c r="G373" s="668"/>
      <c r="H373" s="925" t="s">
        <v>13459</v>
      </c>
      <c r="I373" s="925"/>
      <c r="J373" s="667">
        <v>19.53</v>
      </c>
    </row>
    <row r="374" spans="1:10" ht="0.95" customHeight="1" thickTop="1">
      <c r="A374" s="666"/>
      <c r="B374" s="666"/>
      <c r="C374" s="666"/>
      <c r="D374" s="666"/>
      <c r="E374" s="666"/>
      <c r="F374" s="666"/>
      <c r="G374" s="666"/>
      <c r="H374" s="666"/>
      <c r="I374" s="666"/>
      <c r="J374" s="666"/>
    </row>
    <row r="375" spans="1:10" ht="18" customHeight="1">
      <c r="A375" s="686" t="s">
        <v>15449</v>
      </c>
      <c r="B375" s="684" t="s">
        <v>13484</v>
      </c>
      <c r="C375" s="686" t="s">
        <v>13483</v>
      </c>
      <c r="D375" s="686" t="s">
        <v>13482</v>
      </c>
      <c r="E375" s="924" t="s">
        <v>13481</v>
      </c>
      <c r="F375" s="924"/>
      <c r="G375" s="685" t="s">
        <v>13480</v>
      </c>
      <c r="H375" s="684" t="s">
        <v>13479</v>
      </c>
      <c r="I375" s="684" t="s">
        <v>13478</v>
      </c>
      <c r="J375" s="684" t="s">
        <v>13477</v>
      </c>
    </row>
    <row r="376" spans="1:10" ht="36" customHeight="1">
      <c r="A376" s="682" t="s">
        <v>13476</v>
      </c>
      <c r="B376" s="683" t="s">
        <v>15448</v>
      </c>
      <c r="C376" s="682" t="s">
        <v>7</v>
      </c>
      <c r="D376" s="682" t="s">
        <v>4751</v>
      </c>
      <c r="E376" s="917" t="s">
        <v>13646</v>
      </c>
      <c r="F376" s="917"/>
      <c r="G376" s="681" t="s">
        <v>13610</v>
      </c>
      <c r="H376" s="680">
        <v>1</v>
      </c>
      <c r="I376" s="679">
        <v>121.28</v>
      </c>
      <c r="J376" s="679">
        <v>121.28</v>
      </c>
    </row>
    <row r="377" spans="1:10" ht="24" customHeight="1">
      <c r="A377" s="677" t="s">
        <v>13472</v>
      </c>
      <c r="B377" s="678" t="s">
        <v>15435</v>
      </c>
      <c r="C377" s="677" t="s">
        <v>7</v>
      </c>
      <c r="D377" s="677" t="s">
        <v>4717</v>
      </c>
      <c r="E377" s="918" t="s">
        <v>13646</v>
      </c>
      <c r="F377" s="918"/>
      <c r="G377" s="676" t="s">
        <v>13610</v>
      </c>
      <c r="H377" s="675">
        <v>0.621</v>
      </c>
      <c r="I377" s="674">
        <v>93.85</v>
      </c>
      <c r="J377" s="674">
        <v>58.28</v>
      </c>
    </row>
    <row r="378" spans="1:10" ht="24" customHeight="1">
      <c r="A378" s="677" t="s">
        <v>13472</v>
      </c>
      <c r="B378" s="678" t="s">
        <v>13833</v>
      </c>
      <c r="C378" s="677" t="s">
        <v>7</v>
      </c>
      <c r="D378" s="677" t="s">
        <v>40</v>
      </c>
      <c r="E378" s="918" t="s">
        <v>13470</v>
      </c>
      <c r="F378" s="918"/>
      <c r="G378" s="676" t="s">
        <v>19</v>
      </c>
      <c r="H378" s="675">
        <v>1.7689999999999999</v>
      </c>
      <c r="I378" s="674">
        <v>17.48</v>
      </c>
      <c r="J378" s="674">
        <v>30.92</v>
      </c>
    </row>
    <row r="379" spans="1:10" ht="24" customHeight="1">
      <c r="A379" s="677" t="s">
        <v>13472</v>
      </c>
      <c r="B379" s="678" t="s">
        <v>13644</v>
      </c>
      <c r="C379" s="677" t="s">
        <v>7</v>
      </c>
      <c r="D379" s="677" t="s">
        <v>39</v>
      </c>
      <c r="E379" s="918" t="s">
        <v>13470</v>
      </c>
      <c r="F379" s="918"/>
      <c r="G379" s="676" t="s">
        <v>19</v>
      </c>
      <c r="H379" s="675">
        <v>0.32400000000000001</v>
      </c>
      <c r="I379" s="674">
        <v>14.57</v>
      </c>
      <c r="J379" s="674">
        <v>4.72</v>
      </c>
    </row>
    <row r="380" spans="1:10" ht="24" customHeight="1">
      <c r="A380" s="672" t="s">
        <v>13467</v>
      </c>
      <c r="B380" s="673" t="s">
        <v>13641</v>
      </c>
      <c r="C380" s="672" t="s">
        <v>7</v>
      </c>
      <c r="D380" s="672" t="s">
        <v>13640</v>
      </c>
      <c r="E380" s="919" t="s">
        <v>13464</v>
      </c>
      <c r="F380" s="919"/>
      <c r="G380" s="671" t="s">
        <v>50</v>
      </c>
      <c r="H380" s="670">
        <v>0.01</v>
      </c>
      <c r="I380" s="669">
        <v>5.22</v>
      </c>
      <c r="J380" s="669">
        <v>0.05</v>
      </c>
    </row>
    <row r="381" spans="1:10" ht="48" customHeight="1">
      <c r="A381" s="672" t="s">
        <v>13467</v>
      </c>
      <c r="B381" s="673" t="s">
        <v>15447</v>
      </c>
      <c r="C381" s="672" t="s">
        <v>7</v>
      </c>
      <c r="D381" s="672" t="s">
        <v>15446</v>
      </c>
      <c r="E381" s="919" t="s">
        <v>13493</v>
      </c>
      <c r="F381" s="919"/>
      <c r="G381" s="671" t="s">
        <v>84</v>
      </c>
      <c r="H381" s="670">
        <v>1.1859999999999999</v>
      </c>
      <c r="I381" s="669">
        <v>7.21</v>
      </c>
      <c r="J381" s="669">
        <v>8.5500000000000007</v>
      </c>
    </row>
    <row r="382" spans="1:10" ht="36" customHeight="1">
      <c r="A382" s="672" t="s">
        <v>13467</v>
      </c>
      <c r="B382" s="673" t="s">
        <v>15445</v>
      </c>
      <c r="C382" s="672" t="s">
        <v>7</v>
      </c>
      <c r="D382" s="672" t="s">
        <v>15444</v>
      </c>
      <c r="E382" s="919" t="s">
        <v>13493</v>
      </c>
      <c r="F382" s="919"/>
      <c r="G382" s="671" t="s">
        <v>84</v>
      </c>
      <c r="H382" s="670">
        <v>0.35599999999999998</v>
      </c>
      <c r="I382" s="669">
        <v>15.75</v>
      </c>
      <c r="J382" s="669">
        <v>5.6</v>
      </c>
    </row>
    <row r="383" spans="1:10" ht="36" customHeight="1">
      <c r="A383" s="672" t="s">
        <v>13467</v>
      </c>
      <c r="B383" s="673" t="s">
        <v>15443</v>
      </c>
      <c r="C383" s="672" t="s">
        <v>7</v>
      </c>
      <c r="D383" s="672" t="s">
        <v>15442</v>
      </c>
      <c r="E383" s="919" t="s">
        <v>13493</v>
      </c>
      <c r="F383" s="919"/>
      <c r="G383" s="671" t="s">
        <v>84</v>
      </c>
      <c r="H383" s="670">
        <v>0.47399999999999998</v>
      </c>
      <c r="I383" s="669">
        <v>3.93</v>
      </c>
      <c r="J383" s="669">
        <v>1.86</v>
      </c>
    </row>
    <row r="384" spans="1:10" ht="24" customHeight="1">
      <c r="A384" s="672" t="s">
        <v>13467</v>
      </c>
      <c r="B384" s="673" t="s">
        <v>15441</v>
      </c>
      <c r="C384" s="672" t="s">
        <v>7</v>
      </c>
      <c r="D384" s="672" t="s">
        <v>15440</v>
      </c>
      <c r="E384" s="919" t="s">
        <v>13493</v>
      </c>
      <c r="F384" s="919"/>
      <c r="G384" s="671" t="s">
        <v>84</v>
      </c>
      <c r="H384" s="670">
        <v>1.1859999999999999</v>
      </c>
      <c r="I384" s="669">
        <v>3.93</v>
      </c>
      <c r="J384" s="669">
        <v>4.66</v>
      </c>
    </row>
    <row r="385" spans="1:10" ht="24" customHeight="1">
      <c r="A385" s="672" t="s">
        <v>13467</v>
      </c>
      <c r="B385" s="673" t="s">
        <v>14293</v>
      </c>
      <c r="C385" s="672" t="s">
        <v>7</v>
      </c>
      <c r="D385" s="672" t="s">
        <v>14292</v>
      </c>
      <c r="E385" s="919" t="s">
        <v>13464</v>
      </c>
      <c r="F385" s="919"/>
      <c r="G385" s="671" t="s">
        <v>17</v>
      </c>
      <c r="H385" s="670">
        <v>3.3000000000000002E-2</v>
      </c>
      <c r="I385" s="669">
        <v>22.6</v>
      </c>
      <c r="J385" s="669">
        <v>0.74</v>
      </c>
    </row>
    <row r="386" spans="1:10" ht="24" customHeight="1">
      <c r="A386" s="672" t="s">
        <v>13467</v>
      </c>
      <c r="B386" s="673" t="s">
        <v>13836</v>
      </c>
      <c r="C386" s="672" t="s">
        <v>7</v>
      </c>
      <c r="D386" s="672" t="s">
        <v>13835</v>
      </c>
      <c r="E386" s="919" t="s">
        <v>13464</v>
      </c>
      <c r="F386" s="919"/>
      <c r="G386" s="671" t="s">
        <v>14</v>
      </c>
      <c r="H386" s="670">
        <v>0.72599999999999998</v>
      </c>
      <c r="I386" s="669">
        <v>8.14</v>
      </c>
      <c r="J386" s="669">
        <v>5.9</v>
      </c>
    </row>
    <row r="387" spans="1:10" ht="25.5">
      <c r="A387" s="668"/>
      <c r="B387" s="668"/>
      <c r="C387" s="668"/>
      <c r="D387" s="668"/>
      <c r="E387" s="668" t="s">
        <v>13463</v>
      </c>
      <c r="F387" s="667">
        <v>21.286536998804738</v>
      </c>
      <c r="G387" s="668" t="s">
        <v>13462</v>
      </c>
      <c r="H387" s="667">
        <v>17.89</v>
      </c>
      <c r="I387" s="668" t="s">
        <v>13461</v>
      </c>
      <c r="J387" s="667">
        <v>39.18</v>
      </c>
    </row>
    <row r="388" spans="1:10" ht="15" thickBot="1">
      <c r="A388" s="668"/>
      <c r="B388" s="668"/>
      <c r="C388" s="668"/>
      <c r="D388" s="668"/>
      <c r="E388" s="668" t="s">
        <v>13460</v>
      </c>
      <c r="F388" s="667">
        <v>34.24</v>
      </c>
      <c r="G388" s="668"/>
      <c r="H388" s="925" t="s">
        <v>13459</v>
      </c>
      <c r="I388" s="925"/>
      <c r="J388" s="667">
        <v>155.52000000000001</v>
      </c>
    </row>
    <row r="389" spans="1:10" ht="0.95" customHeight="1" thickTop="1">
      <c r="A389" s="666"/>
      <c r="B389" s="666"/>
      <c r="C389" s="666"/>
      <c r="D389" s="666"/>
      <c r="E389" s="666"/>
      <c r="F389" s="666"/>
      <c r="G389" s="666"/>
      <c r="H389" s="666"/>
      <c r="I389" s="666"/>
      <c r="J389" s="666"/>
    </row>
    <row r="390" spans="1:10" ht="18" customHeight="1">
      <c r="A390" s="686" t="s">
        <v>15439</v>
      </c>
      <c r="B390" s="684" t="s">
        <v>13484</v>
      </c>
      <c r="C390" s="686" t="s">
        <v>13483</v>
      </c>
      <c r="D390" s="686" t="s">
        <v>13482</v>
      </c>
      <c r="E390" s="924" t="s">
        <v>13481</v>
      </c>
      <c r="F390" s="924"/>
      <c r="G390" s="685" t="s">
        <v>13480</v>
      </c>
      <c r="H390" s="684" t="s">
        <v>13479</v>
      </c>
      <c r="I390" s="684" t="s">
        <v>13478</v>
      </c>
      <c r="J390" s="684" t="s">
        <v>13477</v>
      </c>
    </row>
    <row r="391" spans="1:10" ht="48" customHeight="1">
      <c r="A391" s="682" t="s">
        <v>13476</v>
      </c>
      <c r="B391" s="683" t="s">
        <v>13648</v>
      </c>
      <c r="C391" s="682" t="s">
        <v>7</v>
      </c>
      <c r="D391" s="682" t="s">
        <v>2197</v>
      </c>
      <c r="E391" s="917" t="s">
        <v>13646</v>
      </c>
      <c r="F391" s="917"/>
      <c r="G391" s="681" t="s">
        <v>17</v>
      </c>
      <c r="H391" s="680">
        <v>1</v>
      </c>
      <c r="I391" s="679">
        <v>20.5</v>
      </c>
      <c r="J391" s="679">
        <v>20.5</v>
      </c>
    </row>
    <row r="392" spans="1:10" ht="24" customHeight="1">
      <c r="A392" s="677" t="s">
        <v>13472</v>
      </c>
      <c r="B392" s="678" t="s">
        <v>13974</v>
      </c>
      <c r="C392" s="677" t="s">
        <v>7</v>
      </c>
      <c r="D392" s="677" t="s">
        <v>2213</v>
      </c>
      <c r="E392" s="918" t="s">
        <v>13646</v>
      </c>
      <c r="F392" s="918"/>
      <c r="G392" s="676" t="s">
        <v>17</v>
      </c>
      <c r="H392" s="675">
        <v>1</v>
      </c>
      <c r="I392" s="674">
        <v>15.68</v>
      </c>
      <c r="J392" s="674">
        <v>15.68</v>
      </c>
    </row>
    <row r="393" spans="1:10" ht="24" customHeight="1">
      <c r="A393" s="677" t="s">
        <v>13472</v>
      </c>
      <c r="B393" s="678" t="s">
        <v>13724</v>
      </c>
      <c r="C393" s="677" t="s">
        <v>7</v>
      </c>
      <c r="D393" s="677" t="s">
        <v>125</v>
      </c>
      <c r="E393" s="918" t="s">
        <v>13470</v>
      </c>
      <c r="F393" s="918"/>
      <c r="G393" s="676" t="s">
        <v>19</v>
      </c>
      <c r="H393" s="675">
        <v>0.18959999999999999</v>
      </c>
      <c r="I393" s="674">
        <v>17.579999999999998</v>
      </c>
      <c r="J393" s="674">
        <v>3.33</v>
      </c>
    </row>
    <row r="394" spans="1:10" ht="24" customHeight="1">
      <c r="A394" s="677" t="s">
        <v>13472</v>
      </c>
      <c r="B394" s="678" t="s">
        <v>13723</v>
      </c>
      <c r="C394" s="677" t="s">
        <v>7</v>
      </c>
      <c r="D394" s="677" t="s">
        <v>120</v>
      </c>
      <c r="E394" s="918" t="s">
        <v>13470</v>
      </c>
      <c r="F394" s="918"/>
      <c r="G394" s="676" t="s">
        <v>19</v>
      </c>
      <c r="H394" s="675">
        <v>3.1E-2</v>
      </c>
      <c r="I394" s="674">
        <v>13.4</v>
      </c>
      <c r="J394" s="674">
        <v>0.41</v>
      </c>
    </row>
    <row r="395" spans="1:10" ht="24" customHeight="1">
      <c r="A395" s="672" t="s">
        <v>13467</v>
      </c>
      <c r="B395" s="673" t="s">
        <v>13722</v>
      </c>
      <c r="C395" s="672" t="s">
        <v>7</v>
      </c>
      <c r="D395" s="672" t="s">
        <v>13721</v>
      </c>
      <c r="E395" s="919" t="s">
        <v>13464</v>
      </c>
      <c r="F395" s="919"/>
      <c r="G395" s="671" t="s">
        <v>17</v>
      </c>
      <c r="H395" s="670">
        <v>2.5000000000000001E-2</v>
      </c>
      <c r="I395" s="669">
        <v>19.989999999999998</v>
      </c>
      <c r="J395" s="669">
        <v>0.49</v>
      </c>
    </row>
    <row r="396" spans="1:10" ht="36" customHeight="1">
      <c r="A396" s="672" t="s">
        <v>13467</v>
      </c>
      <c r="B396" s="673" t="s">
        <v>14074</v>
      </c>
      <c r="C396" s="672" t="s">
        <v>7</v>
      </c>
      <c r="D396" s="672" t="s">
        <v>14073</v>
      </c>
      <c r="E396" s="919" t="s">
        <v>13464</v>
      </c>
      <c r="F396" s="919"/>
      <c r="G396" s="671" t="s">
        <v>34</v>
      </c>
      <c r="H396" s="670">
        <v>2.8159999999999998</v>
      </c>
      <c r="I396" s="669">
        <v>0.21</v>
      </c>
      <c r="J396" s="669">
        <v>0.59</v>
      </c>
    </row>
    <row r="397" spans="1:10" ht="25.5">
      <c r="A397" s="668"/>
      <c r="B397" s="668"/>
      <c r="C397" s="668"/>
      <c r="D397" s="668"/>
      <c r="E397" s="668" t="s">
        <v>13463</v>
      </c>
      <c r="F397" s="667">
        <v>2.3361947191133328</v>
      </c>
      <c r="G397" s="668" t="s">
        <v>13462</v>
      </c>
      <c r="H397" s="667">
        <v>1.96</v>
      </c>
      <c r="I397" s="668" t="s">
        <v>13461</v>
      </c>
      <c r="J397" s="667">
        <v>4.3</v>
      </c>
    </row>
    <row r="398" spans="1:10" ht="15" thickBot="1">
      <c r="A398" s="668"/>
      <c r="B398" s="668"/>
      <c r="C398" s="668"/>
      <c r="D398" s="668"/>
      <c r="E398" s="668" t="s">
        <v>13460</v>
      </c>
      <c r="F398" s="667">
        <v>5.78</v>
      </c>
      <c r="G398" s="668"/>
      <c r="H398" s="925" t="s">
        <v>13459</v>
      </c>
      <c r="I398" s="925"/>
      <c r="J398" s="667">
        <v>26.28</v>
      </c>
    </row>
    <row r="399" spans="1:10" ht="0.95" customHeight="1" thickTop="1">
      <c r="A399" s="666"/>
      <c r="B399" s="666"/>
      <c r="C399" s="666"/>
      <c r="D399" s="666"/>
      <c r="E399" s="666"/>
      <c r="F399" s="666"/>
      <c r="G399" s="666"/>
      <c r="H399" s="666"/>
      <c r="I399" s="666"/>
      <c r="J399" s="666"/>
    </row>
    <row r="400" spans="1:10" ht="18" customHeight="1">
      <c r="A400" s="686" t="s">
        <v>15438</v>
      </c>
      <c r="B400" s="684" t="s">
        <v>13484</v>
      </c>
      <c r="C400" s="686" t="s">
        <v>13483</v>
      </c>
      <c r="D400" s="686" t="s">
        <v>13482</v>
      </c>
      <c r="E400" s="924" t="s">
        <v>13481</v>
      </c>
      <c r="F400" s="924"/>
      <c r="G400" s="685" t="s">
        <v>13480</v>
      </c>
      <c r="H400" s="684" t="s">
        <v>13479</v>
      </c>
      <c r="I400" s="684" t="s">
        <v>13478</v>
      </c>
      <c r="J400" s="684" t="s">
        <v>13477</v>
      </c>
    </row>
    <row r="401" spans="1:10" ht="48" customHeight="1">
      <c r="A401" s="682" t="s">
        <v>13476</v>
      </c>
      <c r="B401" s="683" t="s">
        <v>15437</v>
      </c>
      <c r="C401" s="682" t="s">
        <v>7</v>
      </c>
      <c r="D401" s="682" t="s">
        <v>2194</v>
      </c>
      <c r="E401" s="917" t="s">
        <v>13646</v>
      </c>
      <c r="F401" s="917"/>
      <c r="G401" s="681" t="s">
        <v>17</v>
      </c>
      <c r="H401" s="680">
        <v>1</v>
      </c>
      <c r="I401" s="679">
        <v>14.69</v>
      </c>
      <c r="J401" s="679">
        <v>14.69</v>
      </c>
    </row>
    <row r="402" spans="1:10" ht="36" customHeight="1">
      <c r="A402" s="677" t="s">
        <v>13472</v>
      </c>
      <c r="B402" s="678" t="s">
        <v>13980</v>
      </c>
      <c r="C402" s="677" t="s">
        <v>7</v>
      </c>
      <c r="D402" s="677" t="s">
        <v>2210</v>
      </c>
      <c r="E402" s="918" t="s">
        <v>13646</v>
      </c>
      <c r="F402" s="918"/>
      <c r="G402" s="676" t="s">
        <v>17</v>
      </c>
      <c r="H402" s="675">
        <v>1</v>
      </c>
      <c r="I402" s="674">
        <v>13.23</v>
      </c>
      <c r="J402" s="674">
        <v>13.23</v>
      </c>
    </row>
    <row r="403" spans="1:10" ht="24" customHeight="1">
      <c r="A403" s="677" t="s">
        <v>13472</v>
      </c>
      <c r="B403" s="678" t="s">
        <v>13724</v>
      </c>
      <c r="C403" s="677" t="s">
        <v>7</v>
      </c>
      <c r="D403" s="677" t="s">
        <v>125</v>
      </c>
      <c r="E403" s="918" t="s">
        <v>13470</v>
      </c>
      <c r="F403" s="918"/>
      <c r="G403" s="676" t="s">
        <v>19</v>
      </c>
      <c r="H403" s="675">
        <v>4.7300000000000002E-2</v>
      </c>
      <c r="I403" s="674">
        <v>17.579999999999998</v>
      </c>
      <c r="J403" s="674">
        <v>0.83</v>
      </c>
    </row>
    <row r="404" spans="1:10" ht="24" customHeight="1">
      <c r="A404" s="677" t="s">
        <v>13472</v>
      </c>
      <c r="B404" s="678" t="s">
        <v>13723</v>
      </c>
      <c r="C404" s="677" t="s">
        <v>7</v>
      </c>
      <c r="D404" s="677" t="s">
        <v>120</v>
      </c>
      <c r="E404" s="918" t="s">
        <v>13470</v>
      </c>
      <c r="F404" s="918"/>
      <c r="G404" s="676" t="s">
        <v>19</v>
      </c>
      <c r="H404" s="675">
        <v>7.7000000000000002E-3</v>
      </c>
      <c r="I404" s="674">
        <v>13.4</v>
      </c>
      <c r="J404" s="674">
        <v>0.1</v>
      </c>
    </row>
    <row r="405" spans="1:10" ht="24" customHeight="1">
      <c r="A405" s="672" t="s">
        <v>13467</v>
      </c>
      <c r="B405" s="673" t="s">
        <v>13722</v>
      </c>
      <c r="C405" s="672" t="s">
        <v>7</v>
      </c>
      <c r="D405" s="672" t="s">
        <v>13721</v>
      </c>
      <c r="E405" s="919" t="s">
        <v>13464</v>
      </c>
      <c r="F405" s="919"/>
      <c r="G405" s="671" t="s">
        <v>17</v>
      </c>
      <c r="H405" s="670">
        <v>2.5000000000000001E-2</v>
      </c>
      <c r="I405" s="669">
        <v>19.989999999999998</v>
      </c>
      <c r="J405" s="669">
        <v>0.49</v>
      </c>
    </row>
    <row r="406" spans="1:10" ht="36" customHeight="1">
      <c r="A406" s="672" t="s">
        <v>13467</v>
      </c>
      <c r="B406" s="673" t="s">
        <v>14074</v>
      </c>
      <c r="C406" s="672" t="s">
        <v>7</v>
      </c>
      <c r="D406" s="672" t="s">
        <v>14073</v>
      </c>
      <c r="E406" s="919" t="s">
        <v>13464</v>
      </c>
      <c r="F406" s="919"/>
      <c r="G406" s="671" t="s">
        <v>34</v>
      </c>
      <c r="H406" s="670">
        <v>0.21199999999999999</v>
      </c>
      <c r="I406" s="669">
        <v>0.21</v>
      </c>
      <c r="J406" s="669">
        <v>0.04</v>
      </c>
    </row>
    <row r="407" spans="1:10" ht="25.5">
      <c r="A407" s="668"/>
      <c r="B407" s="668"/>
      <c r="C407" s="668"/>
      <c r="D407" s="668"/>
      <c r="E407" s="668" t="s">
        <v>13463</v>
      </c>
      <c r="F407" s="667">
        <v>0.41834184505052702</v>
      </c>
      <c r="G407" s="668" t="s">
        <v>13462</v>
      </c>
      <c r="H407" s="667">
        <v>0.35</v>
      </c>
      <c r="I407" s="668" t="s">
        <v>13461</v>
      </c>
      <c r="J407" s="667">
        <v>0.77</v>
      </c>
    </row>
    <row r="408" spans="1:10" ht="15" thickBot="1">
      <c r="A408" s="668"/>
      <c r="B408" s="668"/>
      <c r="C408" s="668"/>
      <c r="D408" s="668"/>
      <c r="E408" s="668" t="s">
        <v>13460</v>
      </c>
      <c r="F408" s="667">
        <v>4.1399999999999997</v>
      </c>
      <c r="G408" s="668"/>
      <c r="H408" s="925" t="s">
        <v>13459</v>
      </c>
      <c r="I408" s="925"/>
      <c r="J408" s="667">
        <v>18.829999999999998</v>
      </c>
    </row>
    <row r="409" spans="1:10" ht="0.95" customHeight="1" thickTop="1">
      <c r="A409" s="666"/>
      <c r="B409" s="666"/>
      <c r="C409" s="666"/>
      <c r="D409" s="666"/>
      <c r="E409" s="666"/>
      <c r="F409" s="666"/>
      <c r="G409" s="666"/>
      <c r="H409" s="666"/>
      <c r="I409" s="666"/>
      <c r="J409" s="666"/>
    </row>
    <row r="410" spans="1:10" ht="18" customHeight="1">
      <c r="A410" s="686" t="s">
        <v>15436</v>
      </c>
      <c r="B410" s="684" t="s">
        <v>13484</v>
      </c>
      <c r="C410" s="686" t="s">
        <v>13483</v>
      </c>
      <c r="D410" s="686" t="s">
        <v>13482</v>
      </c>
      <c r="E410" s="924" t="s">
        <v>13481</v>
      </c>
      <c r="F410" s="924"/>
      <c r="G410" s="685" t="s">
        <v>13480</v>
      </c>
      <c r="H410" s="684" t="s">
        <v>13479</v>
      </c>
      <c r="I410" s="684" t="s">
        <v>13478</v>
      </c>
      <c r="J410" s="684" t="s">
        <v>13477</v>
      </c>
    </row>
    <row r="411" spans="1:10" ht="24" customHeight="1">
      <c r="A411" s="682" t="s">
        <v>13476</v>
      </c>
      <c r="B411" s="683" t="s">
        <v>15435</v>
      </c>
      <c r="C411" s="682" t="s">
        <v>7</v>
      </c>
      <c r="D411" s="682" t="s">
        <v>4717</v>
      </c>
      <c r="E411" s="917" t="s">
        <v>13646</v>
      </c>
      <c r="F411" s="917"/>
      <c r="G411" s="681" t="s">
        <v>13610</v>
      </c>
      <c r="H411" s="680">
        <v>1</v>
      </c>
      <c r="I411" s="679">
        <v>93.85</v>
      </c>
      <c r="J411" s="679">
        <v>93.85</v>
      </c>
    </row>
    <row r="412" spans="1:10" ht="36" customHeight="1">
      <c r="A412" s="677" t="s">
        <v>13472</v>
      </c>
      <c r="B412" s="678" t="s">
        <v>13577</v>
      </c>
      <c r="C412" s="677" t="s">
        <v>7</v>
      </c>
      <c r="D412" s="677" t="s">
        <v>1932</v>
      </c>
      <c r="E412" s="918" t="s">
        <v>13491</v>
      </c>
      <c r="F412" s="918"/>
      <c r="G412" s="676" t="s">
        <v>38</v>
      </c>
      <c r="H412" s="675">
        <v>0.05</v>
      </c>
      <c r="I412" s="674">
        <v>16.260000000000002</v>
      </c>
      <c r="J412" s="674">
        <v>0.81</v>
      </c>
    </row>
    <row r="413" spans="1:10" ht="36" customHeight="1">
      <c r="A413" s="677" t="s">
        <v>13472</v>
      </c>
      <c r="B413" s="678" t="s">
        <v>13578</v>
      </c>
      <c r="C413" s="677" t="s">
        <v>7</v>
      </c>
      <c r="D413" s="677" t="s">
        <v>1933</v>
      </c>
      <c r="E413" s="918" t="s">
        <v>13491</v>
      </c>
      <c r="F413" s="918"/>
      <c r="G413" s="676" t="s">
        <v>53</v>
      </c>
      <c r="H413" s="675">
        <v>0.152</v>
      </c>
      <c r="I413" s="674">
        <v>13.53</v>
      </c>
      <c r="J413" s="674">
        <v>2.0499999999999998</v>
      </c>
    </row>
    <row r="414" spans="1:10" ht="24" customHeight="1">
      <c r="A414" s="677" t="s">
        <v>13472</v>
      </c>
      <c r="B414" s="678" t="s">
        <v>13833</v>
      </c>
      <c r="C414" s="677" t="s">
        <v>7</v>
      </c>
      <c r="D414" s="677" t="s">
        <v>40</v>
      </c>
      <c r="E414" s="918" t="s">
        <v>13470</v>
      </c>
      <c r="F414" s="918"/>
      <c r="G414" s="676" t="s">
        <v>19</v>
      </c>
      <c r="H414" s="675">
        <v>1.012</v>
      </c>
      <c r="I414" s="674">
        <v>17.48</v>
      </c>
      <c r="J414" s="674">
        <v>17.68</v>
      </c>
    </row>
    <row r="415" spans="1:10" ht="24" customHeight="1">
      <c r="A415" s="677" t="s">
        <v>13472</v>
      </c>
      <c r="B415" s="678" t="s">
        <v>13644</v>
      </c>
      <c r="C415" s="677" t="s">
        <v>7</v>
      </c>
      <c r="D415" s="677" t="s">
        <v>39</v>
      </c>
      <c r="E415" s="918" t="s">
        <v>13470</v>
      </c>
      <c r="F415" s="918"/>
      <c r="G415" s="676" t="s">
        <v>19</v>
      </c>
      <c r="H415" s="675">
        <v>0.20200000000000001</v>
      </c>
      <c r="I415" s="674">
        <v>14.57</v>
      </c>
      <c r="J415" s="674">
        <v>2.94</v>
      </c>
    </row>
    <row r="416" spans="1:10" ht="24" customHeight="1">
      <c r="A416" s="672" t="s">
        <v>13467</v>
      </c>
      <c r="B416" s="673" t="s">
        <v>13643</v>
      </c>
      <c r="C416" s="672" t="s">
        <v>7</v>
      </c>
      <c r="D416" s="672" t="s">
        <v>13642</v>
      </c>
      <c r="E416" s="919" t="s">
        <v>13464</v>
      </c>
      <c r="F416" s="919"/>
      <c r="G416" s="671" t="s">
        <v>13610</v>
      </c>
      <c r="H416" s="670">
        <v>1.1459999999999999</v>
      </c>
      <c r="I416" s="669">
        <v>40.409999999999997</v>
      </c>
      <c r="J416" s="669">
        <v>46.3</v>
      </c>
    </row>
    <row r="417" spans="1:10" ht="24" customHeight="1">
      <c r="A417" s="672" t="s">
        <v>13467</v>
      </c>
      <c r="B417" s="673" t="s">
        <v>13836</v>
      </c>
      <c r="C417" s="672" t="s">
        <v>7</v>
      </c>
      <c r="D417" s="672" t="s">
        <v>13835</v>
      </c>
      <c r="E417" s="919" t="s">
        <v>13464</v>
      </c>
      <c r="F417" s="919"/>
      <c r="G417" s="671" t="s">
        <v>14</v>
      </c>
      <c r="H417" s="670">
        <v>0.16600000000000001</v>
      </c>
      <c r="I417" s="669">
        <v>8.14</v>
      </c>
      <c r="J417" s="669">
        <v>1.35</v>
      </c>
    </row>
    <row r="418" spans="1:10" ht="24" customHeight="1">
      <c r="A418" s="672" t="s">
        <v>13467</v>
      </c>
      <c r="B418" s="673" t="s">
        <v>13832</v>
      </c>
      <c r="C418" s="672" t="s">
        <v>7</v>
      </c>
      <c r="D418" s="672" t="s">
        <v>13831</v>
      </c>
      <c r="E418" s="919" t="s">
        <v>13464</v>
      </c>
      <c r="F418" s="919"/>
      <c r="G418" s="671" t="s">
        <v>17</v>
      </c>
      <c r="H418" s="670">
        <v>0.159</v>
      </c>
      <c r="I418" s="669">
        <v>18.309999999999999</v>
      </c>
      <c r="J418" s="669">
        <v>2.91</v>
      </c>
    </row>
    <row r="419" spans="1:10" ht="24" customHeight="1">
      <c r="A419" s="672" t="s">
        <v>13467</v>
      </c>
      <c r="B419" s="673" t="s">
        <v>13651</v>
      </c>
      <c r="C419" s="672" t="s">
        <v>7</v>
      </c>
      <c r="D419" s="672" t="s">
        <v>13650</v>
      </c>
      <c r="E419" s="919" t="s">
        <v>13464</v>
      </c>
      <c r="F419" s="919"/>
      <c r="G419" s="671" t="s">
        <v>14</v>
      </c>
      <c r="H419" s="670">
        <v>6.952</v>
      </c>
      <c r="I419" s="669">
        <v>2.85</v>
      </c>
      <c r="J419" s="669">
        <v>19.809999999999999</v>
      </c>
    </row>
    <row r="420" spans="1:10" ht="25.5">
      <c r="A420" s="668"/>
      <c r="B420" s="668"/>
      <c r="C420" s="668"/>
      <c r="D420" s="668"/>
      <c r="E420" s="668" t="s">
        <v>13463</v>
      </c>
      <c r="F420" s="667">
        <v>9.904379006845593</v>
      </c>
      <c r="G420" s="668" t="s">
        <v>13462</v>
      </c>
      <c r="H420" s="667">
        <v>8.33</v>
      </c>
      <c r="I420" s="668" t="s">
        <v>13461</v>
      </c>
      <c r="J420" s="667">
        <v>18.23</v>
      </c>
    </row>
    <row r="421" spans="1:10" ht="15" thickBot="1">
      <c r="A421" s="668"/>
      <c r="B421" s="668"/>
      <c r="C421" s="668"/>
      <c r="D421" s="668"/>
      <c r="E421" s="668" t="s">
        <v>13460</v>
      </c>
      <c r="F421" s="667">
        <v>26.5</v>
      </c>
      <c r="G421" s="668"/>
      <c r="H421" s="925" t="s">
        <v>13459</v>
      </c>
      <c r="I421" s="925"/>
      <c r="J421" s="667">
        <v>120.35</v>
      </c>
    </row>
    <row r="422" spans="1:10" ht="0.95" customHeight="1" thickTop="1">
      <c r="A422" s="666"/>
      <c r="B422" s="666"/>
      <c r="C422" s="666"/>
      <c r="D422" s="666"/>
      <c r="E422" s="666"/>
      <c r="F422" s="666"/>
      <c r="G422" s="666"/>
      <c r="H422" s="666"/>
      <c r="I422" s="666"/>
      <c r="J422" s="666"/>
    </row>
    <row r="423" spans="1:10" ht="18" customHeight="1">
      <c r="A423" s="686" t="s">
        <v>15434</v>
      </c>
      <c r="B423" s="684" t="s">
        <v>13484</v>
      </c>
      <c r="C423" s="686" t="s">
        <v>13483</v>
      </c>
      <c r="D423" s="686" t="s">
        <v>13482</v>
      </c>
      <c r="E423" s="924" t="s">
        <v>13481</v>
      </c>
      <c r="F423" s="924"/>
      <c r="G423" s="685" t="s">
        <v>13480</v>
      </c>
      <c r="H423" s="684" t="s">
        <v>13479</v>
      </c>
      <c r="I423" s="684" t="s">
        <v>13478</v>
      </c>
      <c r="J423" s="684" t="s">
        <v>13477</v>
      </c>
    </row>
    <row r="424" spans="1:10" ht="48" customHeight="1">
      <c r="A424" s="682" t="s">
        <v>13476</v>
      </c>
      <c r="B424" s="683" t="s">
        <v>15433</v>
      </c>
      <c r="C424" s="682" t="s">
        <v>7</v>
      </c>
      <c r="D424" s="682" t="s">
        <v>6256</v>
      </c>
      <c r="E424" s="917" t="s">
        <v>13646</v>
      </c>
      <c r="F424" s="917"/>
      <c r="G424" s="681" t="s">
        <v>13610</v>
      </c>
      <c r="H424" s="680">
        <v>1</v>
      </c>
      <c r="I424" s="679">
        <v>169.31</v>
      </c>
      <c r="J424" s="679">
        <v>169.31</v>
      </c>
    </row>
    <row r="425" spans="1:10" ht="24" customHeight="1">
      <c r="A425" s="677" t="s">
        <v>13472</v>
      </c>
      <c r="B425" s="678" t="s">
        <v>14297</v>
      </c>
      <c r="C425" s="677" t="s">
        <v>7</v>
      </c>
      <c r="D425" s="677" t="s">
        <v>4725</v>
      </c>
      <c r="E425" s="918" t="s">
        <v>13646</v>
      </c>
      <c r="F425" s="918"/>
      <c r="G425" s="676" t="s">
        <v>14</v>
      </c>
      <c r="H425" s="675">
        <v>0.97</v>
      </c>
      <c r="I425" s="674">
        <v>13.52</v>
      </c>
      <c r="J425" s="674">
        <v>13.11</v>
      </c>
    </row>
    <row r="426" spans="1:10" ht="48" customHeight="1">
      <c r="A426" s="677" t="s">
        <v>13472</v>
      </c>
      <c r="B426" s="678" t="s">
        <v>13648</v>
      </c>
      <c r="C426" s="677" t="s">
        <v>7</v>
      </c>
      <c r="D426" s="677" t="s">
        <v>2197</v>
      </c>
      <c r="E426" s="918" t="s">
        <v>13646</v>
      </c>
      <c r="F426" s="918"/>
      <c r="G426" s="676" t="s">
        <v>17</v>
      </c>
      <c r="H426" s="675">
        <v>1.2110000000000001</v>
      </c>
      <c r="I426" s="674">
        <v>20.5</v>
      </c>
      <c r="J426" s="674">
        <v>24.82</v>
      </c>
    </row>
    <row r="427" spans="1:10" ht="48" customHeight="1">
      <c r="A427" s="677" t="s">
        <v>13472</v>
      </c>
      <c r="B427" s="678" t="s">
        <v>14296</v>
      </c>
      <c r="C427" s="677" t="s">
        <v>7</v>
      </c>
      <c r="D427" s="677" t="s">
        <v>2152</v>
      </c>
      <c r="E427" s="918" t="s">
        <v>13646</v>
      </c>
      <c r="F427" s="918"/>
      <c r="G427" s="676" t="s">
        <v>13515</v>
      </c>
      <c r="H427" s="675">
        <v>5.3999999999999999E-2</v>
      </c>
      <c r="I427" s="674">
        <v>521.54999999999995</v>
      </c>
      <c r="J427" s="674">
        <v>28.16</v>
      </c>
    </row>
    <row r="428" spans="1:10" ht="24" customHeight="1">
      <c r="A428" s="677" t="s">
        <v>13472</v>
      </c>
      <c r="B428" s="678" t="s">
        <v>13833</v>
      </c>
      <c r="C428" s="677" t="s">
        <v>7</v>
      </c>
      <c r="D428" s="677" t="s">
        <v>40</v>
      </c>
      <c r="E428" s="918" t="s">
        <v>13470</v>
      </c>
      <c r="F428" s="918"/>
      <c r="G428" s="676" t="s">
        <v>19</v>
      </c>
      <c r="H428" s="675">
        <v>0.501</v>
      </c>
      <c r="I428" s="674">
        <v>17.48</v>
      </c>
      <c r="J428" s="674">
        <v>8.75</v>
      </c>
    </row>
    <row r="429" spans="1:10" ht="24" customHeight="1">
      <c r="A429" s="677" t="s">
        <v>13472</v>
      </c>
      <c r="B429" s="678" t="s">
        <v>13471</v>
      </c>
      <c r="C429" s="677" t="s">
        <v>7</v>
      </c>
      <c r="D429" s="677" t="s">
        <v>21</v>
      </c>
      <c r="E429" s="918" t="s">
        <v>13470</v>
      </c>
      <c r="F429" s="918"/>
      <c r="G429" s="676" t="s">
        <v>19</v>
      </c>
      <c r="H429" s="675">
        <v>0.35399999999999998</v>
      </c>
      <c r="I429" s="674">
        <v>14.02</v>
      </c>
      <c r="J429" s="674">
        <v>4.96</v>
      </c>
    </row>
    <row r="430" spans="1:10" ht="36" customHeight="1">
      <c r="A430" s="672" t="s">
        <v>13467</v>
      </c>
      <c r="B430" s="673" t="s">
        <v>15432</v>
      </c>
      <c r="C430" s="672" t="s">
        <v>7</v>
      </c>
      <c r="D430" s="672" t="s">
        <v>15431</v>
      </c>
      <c r="E430" s="919" t="s">
        <v>13464</v>
      </c>
      <c r="F430" s="919"/>
      <c r="G430" s="671" t="s">
        <v>13610</v>
      </c>
      <c r="H430" s="670">
        <v>1</v>
      </c>
      <c r="I430" s="669">
        <v>68.66</v>
      </c>
      <c r="J430" s="669">
        <v>68.66</v>
      </c>
    </row>
    <row r="431" spans="1:10" ht="24" customHeight="1">
      <c r="A431" s="672" t="s">
        <v>13467</v>
      </c>
      <c r="B431" s="673" t="s">
        <v>14293</v>
      </c>
      <c r="C431" s="672" t="s">
        <v>7</v>
      </c>
      <c r="D431" s="672" t="s">
        <v>14292</v>
      </c>
      <c r="E431" s="919" t="s">
        <v>13464</v>
      </c>
      <c r="F431" s="919"/>
      <c r="G431" s="671" t="s">
        <v>17</v>
      </c>
      <c r="H431" s="670">
        <v>0.04</v>
      </c>
      <c r="I431" s="669">
        <v>22.6</v>
      </c>
      <c r="J431" s="669">
        <v>0.9</v>
      </c>
    </row>
    <row r="432" spans="1:10" ht="24" customHeight="1">
      <c r="A432" s="672" t="s">
        <v>13467</v>
      </c>
      <c r="B432" s="673" t="s">
        <v>14291</v>
      </c>
      <c r="C432" s="672" t="s">
        <v>7</v>
      </c>
      <c r="D432" s="672" t="s">
        <v>14290</v>
      </c>
      <c r="E432" s="919" t="s">
        <v>13464</v>
      </c>
      <c r="F432" s="919"/>
      <c r="G432" s="671" t="s">
        <v>14</v>
      </c>
      <c r="H432" s="670">
        <v>1.87</v>
      </c>
      <c r="I432" s="669">
        <v>10.67</v>
      </c>
      <c r="J432" s="669">
        <v>19.95</v>
      </c>
    </row>
    <row r="433" spans="1:10" ht="25.5">
      <c r="A433" s="668"/>
      <c r="B433" s="668"/>
      <c r="C433" s="668"/>
      <c r="D433" s="668"/>
      <c r="E433" s="668" t="s">
        <v>13463</v>
      </c>
      <c r="F433" s="667">
        <v>10.078235358035423</v>
      </c>
      <c r="G433" s="668" t="s">
        <v>13462</v>
      </c>
      <c r="H433" s="667">
        <v>8.4700000000000006</v>
      </c>
      <c r="I433" s="668" t="s">
        <v>13461</v>
      </c>
      <c r="J433" s="667">
        <v>18.55</v>
      </c>
    </row>
    <row r="434" spans="1:10" ht="15" thickBot="1">
      <c r="A434" s="668"/>
      <c r="B434" s="668"/>
      <c r="C434" s="668"/>
      <c r="D434" s="668"/>
      <c r="E434" s="668" t="s">
        <v>13460</v>
      </c>
      <c r="F434" s="667">
        <v>47.81</v>
      </c>
      <c r="G434" s="668"/>
      <c r="H434" s="925" t="s">
        <v>13459</v>
      </c>
      <c r="I434" s="925"/>
      <c r="J434" s="667">
        <v>217.12</v>
      </c>
    </row>
    <row r="435" spans="1:10" ht="0.95" customHeight="1" thickTop="1">
      <c r="A435" s="666"/>
      <c r="B435" s="666"/>
      <c r="C435" s="666"/>
      <c r="D435" s="666"/>
      <c r="E435" s="666"/>
      <c r="F435" s="666"/>
      <c r="G435" s="666"/>
      <c r="H435" s="666"/>
      <c r="I435" s="666"/>
      <c r="J435" s="666"/>
    </row>
    <row r="436" spans="1:10" ht="18" customHeight="1">
      <c r="A436" s="686" t="s">
        <v>15430</v>
      </c>
      <c r="B436" s="684" t="s">
        <v>13484</v>
      </c>
      <c r="C436" s="686" t="s">
        <v>13483</v>
      </c>
      <c r="D436" s="686" t="s">
        <v>13482</v>
      </c>
      <c r="E436" s="924" t="s">
        <v>13481</v>
      </c>
      <c r="F436" s="924"/>
      <c r="G436" s="685" t="s">
        <v>13480</v>
      </c>
      <c r="H436" s="684" t="s">
        <v>13479</v>
      </c>
      <c r="I436" s="684" t="s">
        <v>13478</v>
      </c>
      <c r="J436" s="684" t="s">
        <v>13477</v>
      </c>
    </row>
    <row r="437" spans="1:10" ht="24" customHeight="1">
      <c r="A437" s="682" t="s">
        <v>13476</v>
      </c>
      <c r="B437" s="683" t="s">
        <v>15429</v>
      </c>
      <c r="C437" s="682" t="s">
        <v>7</v>
      </c>
      <c r="D437" s="682" t="s">
        <v>6800</v>
      </c>
      <c r="E437" s="917" t="s">
        <v>13516</v>
      </c>
      <c r="F437" s="917"/>
      <c r="G437" s="681" t="s">
        <v>13515</v>
      </c>
      <c r="H437" s="680">
        <v>1</v>
      </c>
      <c r="I437" s="679">
        <v>55.46</v>
      </c>
      <c r="J437" s="679">
        <v>55.46</v>
      </c>
    </row>
    <row r="438" spans="1:10" ht="24" customHeight="1">
      <c r="A438" s="677" t="s">
        <v>13472</v>
      </c>
      <c r="B438" s="678" t="s">
        <v>13471</v>
      </c>
      <c r="C438" s="677" t="s">
        <v>7</v>
      </c>
      <c r="D438" s="677" t="s">
        <v>21</v>
      </c>
      <c r="E438" s="918" t="s">
        <v>13470</v>
      </c>
      <c r="F438" s="918"/>
      <c r="G438" s="676" t="s">
        <v>19</v>
      </c>
      <c r="H438" s="675">
        <v>3.956</v>
      </c>
      <c r="I438" s="674">
        <v>14.02</v>
      </c>
      <c r="J438" s="674">
        <v>55.46</v>
      </c>
    </row>
    <row r="439" spans="1:10" ht="25.5">
      <c r="A439" s="668"/>
      <c r="B439" s="668"/>
      <c r="C439" s="668"/>
      <c r="D439" s="668"/>
      <c r="E439" s="668" t="s">
        <v>13463</v>
      </c>
      <c r="F439" s="667">
        <v>22.177550798652614</v>
      </c>
      <c r="G439" s="668" t="s">
        <v>13462</v>
      </c>
      <c r="H439" s="667">
        <v>18.64</v>
      </c>
      <c r="I439" s="668" t="s">
        <v>13461</v>
      </c>
      <c r="J439" s="667">
        <v>40.82</v>
      </c>
    </row>
    <row r="440" spans="1:10" ht="15" thickBot="1">
      <c r="A440" s="668"/>
      <c r="B440" s="668"/>
      <c r="C440" s="668"/>
      <c r="D440" s="668"/>
      <c r="E440" s="668" t="s">
        <v>13460</v>
      </c>
      <c r="F440" s="667">
        <v>15.66</v>
      </c>
      <c r="G440" s="668"/>
      <c r="H440" s="925" t="s">
        <v>13459</v>
      </c>
      <c r="I440" s="925"/>
      <c r="J440" s="667">
        <v>71.12</v>
      </c>
    </row>
    <row r="441" spans="1:10" ht="0.95" customHeight="1" thickTop="1">
      <c r="A441" s="666"/>
      <c r="B441" s="666"/>
      <c r="C441" s="666"/>
      <c r="D441" s="666"/>
      <c r="E441" s="666"/>
      <c r="F441" s="666"/>
      <c r="G441" s="666"/>
      <c r="H441" s="666"/>
      <c r="I441" s="666"/>
      <c r="J441" s="666"/>
    </row>
    <row r="442" spans="1:10" ht="18" customHeight="1">
      <c r="A442" s="686" t="s">
        <v>15428</v>
      </c>
      <c r="B442" s="684" t="s">
        <v>13484</v>
      </c>
      <c r="C442" s="686" t="s">
        <v>13483</v>
      </c>
      <c r="D442" s="686" t="s">
        <v>13482</v>
      </c>
      <c r="E442" s="924" t="s">
        <v>13481</v>
      </c>
      <c r="F442" s="924"/>
      <c r="G442" s="685" t="s">
        <v>13480</v>
      </c>
      <c r="H442" s="684" t="s">
        <v>13479</v>
      </c>
      <c r="I442" s="684" t="s">
        <v>13478</v>
      </c>
      <c r="J442" s="684" t="s">
        <v>13477</v>
      </c>
    </row>
    <row r="443" spans="1:10" ht="36" customHeight="1">
      <c r="A443" s="682" t="s">
        <v>13476</v>
      </c>
      <c r="B443" s="683" t="s">
        <v>15427</v>
      </c>
      <c r="C443" s="682" t="s">
        <v>7</v>
      </c>
      <c r="D443" s="682" t="s">
        <v>6602</v>
      </c>
      <c r="E443" s="917" t="s">
        <v>13474</v>
      </c>
      <c r="F443" s="917"/>
      <c r="G443" s="681" t="s">
        <v>34</v>
      </c>
      <c r="H443" s="680">
        <v>1</v>
      </c>
      <c r="I443" s="679">
        <v>724.68</v>
      </c>
      <c r="J443" s="679">
        <v>724.68</v>
      </c>
    </row>
    <row r="444" spans="1:10" ht="60" customHeight="1">
      <c r="A444" s="677" t="s">
        <v>13472</v>
      </c>
      <c r="B444" s="678" t="s">
        <v>13604</v>
      </c>
      <c r="C444" s="677" t="s">
        <v>7</v>
      </c>
      <c r="D444" s="677" t="s">
        <v>702</v>
      </c>
      <c r="E444" s="918" t="s">
        <v>13491</v>
      </c>
      <c r="F444" s="918"/>
      <c r="G444" s="676" t="s">
        <v>38</v>
      </c>
      <c r="H444" s="675">
        <v>7.3800000000000004E-2</v>
      </c>
      <c r="I444" s="674">
        <v>101.95</v>
      </c>
      <c r="J444" s="674">
        <v>7.52</v>
      </c>
    </row>
    <row r="445" spans="1:10" ht="60" customHeight="1">
      <c r="A445" s="677" t="s">
        <v>13472</v>
      </c>
      <c r="B445" s="678" t="s">
        <v>13602</v>
      </c>
      <c r="C445" s="677" t="s">
        <v>7</v>
      </c>
      <c r="D445" s="677" t="s">
        <v>703</v>
      </c>
      <c r="E445" s="918" t="s">
        <v>13491</v>
      </c>
      <c r="F445" s="918"/>
      <c r="G445" s="676" t="s">
        <v>53</v>
      </c>
      <c r="H445" s="675">
        <v>0.2482</v>
      </c>
      <c r="I445" s="674">
        <v>36.340000000000003</v>
      </c>
      <c r="J445" s="674">
        <v>9.01</v>
      </c>
    </row>
    <row r="446" spans="1:10" ht="36" customHeight="1">
      <c r="A446" s="677" t="s">
        <v>13472</v>
      </c>
      <c r="B446" s="678" t="s">
        <v>13653</v>
      </c>
      <c r="C446" s="677" t="s">
        <v>7</v>
      </c>
      <c r="D446" s="677" t="s">
        <v>3771</v>
      </c>
      <c r="E446" s="918" t="s">
        <v>13646</v>
      </c>
      <c r="F446" s="918"/>
      <c r="G446" s="676" t="s">
        <v>13515</v>
      </c>
      <c r="H446" s="675">
        <v>5.67E-2</v>
      </c>
      <c r="I446" s="674">
        <v>1971.46</v>
      </c>
      <c r="J446" s="674">
        <v>111.78</v>
      </c>
    </row>
    <row r="447" spans="1:10" ht="36" customHeight="1">
      <c r="A447" s="677" t="s">
        <v>13472</v>
      </c>
      <c r="B447" s="678" t="s">
        <v>14172</v>
      </c>
      <c r="C447" s="677" t="s">
        <v>7</v>
      </c>
      <c r="D447" s="677" t="s">
        <v>5324</v>
      </c>
      <c r="E447" s="918" t="s">
        <v>13516</v>
      </c>
      <c r="F447" s="918"/>
      <c r="G447" s="676" t="s">
        <v>13515</v>
      </c>
      <c r="H447" s="675">
        <v>6.0499999999999998E-2</v>
      </c>
      <c r="I447" s="674">
        <v>117.8</v>
      </c>
      <c r="J447" s="674">
        <v>7.12</v>
      </c>
    </row>
    <row r="448" spans="1:10" ht="24" customHeight="1">
      <c r="A448" s="677" t="s">
        <v>13472</v>
      </c>
      <c r="B448" s="678" t="s">
        <v>13471</v>
      </c>
      <c r="C448" s="677" t="s">
        <v>7</v>
      </c>
      <c r="D448" s="677" t="s">
        <v>21</v>
      </c>
      <c r="E448" s="918" t="s">
        <v>13470</v>
      </c>
      <c r="F448" s="918"/>
      <c r="G448" s="676" t="s">
        <v>19</v>
      </c>
      <c r="H448" s="675">
        <v>0.17780000000000001</v>
      </c>
      <c r="I448" s="674">
        <v>14.02</v>
      </c>
      <c r="J448" s="674">
        <v>2.4900000000000002</v>
      </c>
    </row>
    <row r="449" spans="1:10" ht="24" customHeight="1">
      <c r="A449" s="677" t="s">
        <v>13472</v>
      </c>
      <c r="B449" s="678" t="s">
        <v>13600</v>
      </c>
      <c r="C449" s="677" t="s">
        <v>7</v>
      </c>
      <c r="D449" s="677" t="s">
        <v>41</v>
      </c>
      <c r="E449" s="918" t="s">
        <v>13470</v>
      </c>
      <c r="F449" s="918"/>
      <c r="G449" s="676" t="s">
        <v>19</v>
      </c>
      <c r="H449" s="675">
        <v>0.17780000000000001</v>
      </c>
      <c r="I449" s="674">
        <v>17.670000000000002</v>
      </c>
      <c r="J449" s="674">
        <v>3.14</v>
      </c>
    </row>
    <row r="450" spans="1:10" ht="24" customHeight="1">
      <c r="A450" s="672" t="s">
        <v>13467</v>
      </c>
      <c r="B450" s="673" t="s">
        <v>15426</v>
      </c>
      <c r="C450" s="672" t="s">
        <v>7</v>
      </c>
      <c r="D450" s="672" t="s">
        <v>15425</v>
      </c>
      <c r="E450" s="919" t="s">
        <v>13464</v>
      </c>
      <c r="F450" s="919"/>
      <c r="G450" s="671" t="s">
        <v>34</v>
      </c>
      <c r="H450" s="670">
        <v>1</v>
      </c>
      <c r="I450" s="669">
        <v>583.62</v>
      </c>
      <c r="J450" s="669">
        <v>583.62</v>
      </c>
    </row>
    <row r="451" spans="1:10" ht="25.5">
      <c r="A451" s="668"/>
      <c r="B451" s="668"/>
      <c r="C451" s="668"/>
      <c r="D451" s="668"/>
      <c r="E451" s="668" t="s">
        <v>13463</v>
      </c>
      <c r="F451" s="667">
        <v>29.609909812017822</v>
      </c>
      <c r="G451" s="668" t="s">
        <v>13462</v>
      </c>
      <c r="H451" s="667">
        <v>24.89</v>
      </c>
      <c r="I451" s="668" t="s">
        <v>13461</v>
      </c>
      <c r="J451" s="667">
        <v>54.5</v>
      </c>
    </row>
    <row r="452" spans="1:10" ht="15" thickBot="1">
      <c r="A452" s="668"/>
      <c r="B452" s="668"/>
      <c r="C452" s="668"/>
      <c r="D452" s="668"/>
      <c r="E452" s="668" t="s">
        <v>13460</v>
      </c>
      <c r="F452" s="667">
        <v>204.64</v>
      </c>
      <c r="G452" s="668"/>
      <c r="H452" s="925" t="s">
        <v>13459</v>
      </c>
      <c r="I452" s="925"/>
      <c r="J452" s="667">
        <v>929.32</v>
      </c>
    </row>
    <row r="453" spans="1:10" ht="0.95" customHeight="1" thickTop="1">
      <c r="A453" s="666"/>
      <c r="B453" s="666"/>
      <c r="C453" s="666"/>
      <c r="D453" s="666"/>
      <c r="E453" s="666"/>
      <c r="F453" s="666"/>
      <c r="G453" s="666"/>
      <c r="H453" s="666"/>
      <c r="I453" s="666"/>
      <c r="J453" s="666"/>
    </row>
    <row r="454" spans="1:10" ht="18" customHeight="1">
      <c r="A454" s="686" t="s">
        <v>15424</v>
      </c>
      <c r="B454" s="684" t="s">
        <v>13484</v>
      </c>
      <c r="C454" s="686" t="s">
        <v>13483</v>
      </c>
      <c r="D454" s="686" t="s">
        <v>13482</v>
      </c>
      <c r="E454" s="924" t="s">
        <v>13481</v>
      </c>
      <c r="F454" s="924"/>
      <c r="G454" s="685" t="s">
        <v>13480</v>
      </c>
      <c r="H454" s="684" t="s">
        <v>13479</v>
      </c>
      <c r="I454" s="684" t="s">
        <v>13478</v>
      </c>
      <c r="J454" s="684" t="s">
        <v>13477</v>
      </c>
    </row>
    <row r="455" spans="1:10" ht="36" customHeight="1">
      <c r="A455" s="682" t="s">
        <v>13476</v>
      </c>
      <c r="B455" s="683" t="s">
        <v>15423</v>
      </c>
      <c r="C455" s="682" t="s">
        <v>7</v>
      </c>
      <c r="D455" s="682" t="s">
        <v>6624</v>
      </c>
      <c r="E455" s="917" t="s">
        <v>13474</v>
      </c>
      <c r="F455" s="917"/>
      <c r="G455" s="681" t="s">
        <v>34</v>
      </c>
      <c r="H455" s="680">
        <v>1</v>
      </c>
      <c r="I455" s="679">
        <v>335.65</v>
      </c>
      <c r="J455" s="679">
        <v>335.65</v>
      </c>
    </row>
    <row r="456" spans="1:10" ht="60" customHeight="1">
      <c r="A456" s="677" t="s">
        <v>13472</v>
      </c>
      <c r="B456" s="678" t="s">
        <v>13604</v>
      </c>
      <c r="C456" s="677" t="s">
        <v>7</v>
      </c>
      <c r="D456" s="677" t="s">
        <v>702</v>
      </c>
      <c r="E456" s="918" t="s">
        <v>13491</v>
      </c>
      <c r="F456" s="918"/>
      <c r="G456" s="676" t="s">
        <v>38</v>
      </c>
      <c r="H456" s="675">
        <v>8.6999999999999994E-3</v>
      </c>
      <c r="I456" s="674">
        <v>101.95</v>
      </c>
      <c r="J456" s="674">
        <v>0.88</v>
      </c>
    </row>
    <row r="457" spans="1:10" ht="60" customHeight="1">
      <c r="A457" s="677" t="s">
        <v>13472</v>
      </c>
      <c r="B457" s="678" t="s">
        <v>13602</v>
      </c>
      <c r="C457" s="677" t="s">
        <v>7</v>
      </c>
      <c r="D457" s="677" t="s">
        <v>703</v>
      </c>
      <c r="E457" s="918" t="s">
        <v>13491</v>
      </c>
      <c r="F457" s="918"/>
      <c r="G457" s="676" t="s">
        <v>53</v>
      </c>
      <c r="H457" s="675">
        <v>2.9399999999999999E-2</v>
      </c>
      <c r="I457" s="674">
        <v>36.340000000000003</v>
      </c>
      <c r="J457" s="674">
        <v>1.06</v>
      </c>
    </row>
    <row r="458" spans="1:10" ht="36" customHeight="1">
      <c r="A458" s="677" t="s">
        <v>13472</v>
      </c>
      <c r="B458" s="678" t="s">
        <v>14002</v>
      </c>
      <c r="C458" s="677" t="s">
        <v>7</v>
      </c>
      <c r="D458" s="677" t="s">
        <v>7010</v>
      </c>
      <c r="E458" s="918" t="s">
        <v>13646</v>
      </c>
      <c r="F458" s="918"/>
      <c r="G458" s="676" t="s">
        <v>13515</v>
      </c>
      <c r="H458" s="675">
        <v>7.4399999999999994E-2</v>
      </c>
      <c r="I458" s="674">
        <v>360.42</v>
      </c>
      <c r="J458" s="674">
        <v>26.81</v>
      </c>
    </row>
    <row r="459" spans="1:10" ht="36" customHeight="1">
      <c r="A459" s="677" t="s">
        <v>13472</v>
      </c>
      <c r="B459" s="678" t="s">
        <v>13653</v>
      </c>
      <c r="C459" s="677" t="s">
        <v>7</v>
      </c>
      <c r="D459" s="677" t="s">
        <v>3771</v>
      </c>
      <c r="E459" s="918" t="s">
        <v>13646</v>
      </c>
      <c r="F459" s="918"/>
      <c r="G459" s="676" t="s">
        <v>13515</v>
      </c>
      <c r="H459" s="675">
        <v>4.48E-2</v>
      </c>
      <c r="I459" s="674">
        <v>1971.46</v>
      </c>
      <c r="J459" s="674">
        <v>88.32</v>
      </c>
    </row>
    <row r="460" spans="1:10" ht="24" customHeight="1">
      <c r="A460" s="677" t="s">
        <v>13472</v>
      </c>
      <c r="B460" s="678" t="s">
        <v>13611</v>
      </c>
      <c r="C460" s="677" t="s">
        <v>7</v>
      </c>
      <c r="D460" s="677" t="s">
        <v>5315</v>
      </c>
      <c r="E460" s="918" t="s">
        <v>13516</v>
      </c>
      <c r="F460" s="918"/>
      <c r="G460" s="676" t="s">
        <v>13610</v>
      </c>
      <c r="H460" s="675">
        <v>0.81</v>
      </c>
      <c r="I460" s="674">
        <v>4.0599999999999996</v>
      </c>
      <c r="J460" s="674">
        <v>3.28</v>
      </c>
    </row>
    <row r="461" spans="1:10" ht="36" customHeight="1">
      <c r="A461" s="677" t="s">
        <v>13472</v>
      </c>
      <c r="B461" s="678" t="s">
        <v>14345</v>
      </c>
      <c r="C461" s="677" t="s">
        <v>7</v>
      </c>
      <c r="D461" s="677" t="s">
        <v>4334</v>
      </c>
      <c r="E461" s="918" t="s">
        <v>13470</v>
      </c>
      <c r="F461" s="918"/>
      <c r="G461" s="676" t="s">
        <v>13515</v>
      </c>
      <c r="H461" s="675">
        <v>1.4E-3</v>
      </c>
      <c r="I461" s="674">
        <v>359.96</v>
      </c>
      <c r="J461" s="674">
        <v>0.5</v>
      </c>
    </row>
    <row r="462" spans="1:10" ht="36" customHeight="1">
      <c r="A462" s="677" t="s">
        <v>13472</v>
      </c>
      <c r="B462" s="678" t="s">
        <v>14117</v>
      </c>
      <c r="C462" s="677" t="s">
        <v>7</v>
      </c>
      <c r="D462" s="677" t="s">
        <v>4421</v>
      </c>
      <c r="E462" s="918" t="s">
        <v>13470</v>
      </c>
      <c r="F462" s="918"/>
      <c r="G462" s="676" t="s">
        <v>13515</v>
      </c>
      <c r="H462" s="675">
        <v>7.2800000000000004E-2</v>
      </c>
      <c r="I462" s="674">
        <v>435.13</v>
      </c>
      <c r="J462" s="674">
        <v>31.67</v>
      </c>
    </row>
    <row r="463" spans="1:10" ht="24" customHeight="1">
      <c r="A463" s="677" t="s">
        <v>13472</v>
      </c>
      <c r="B463" s="678" t="s">
        <v>13471</v>
      </c>
      <c r="C463" s="677" t="s">
        <v>7</v>
      </c>
      <c r="D463" s="677" t="s">
        <v>21</v>
      </c>
      <c r="E463" s="918" t="s">
        <v>13470</v>
      </c>
      <c r="F463" s="918"/>
      <c r="G463" s="676" t="s">
        <v>19</v>
      </c>
      <c r="H463" s="675">
        <v>4.2229999999999999</v>
      </c>
      <c r="I463" s="674">
        <v>14.02</v>
      </c>
      <c r="J463" s="674">
        <v>59.2</v>
      </c>
    </row>
    <row r="464" spans="1:10" ht="24" customHeight="1">
      <c r="A464" s="677" t="s">
        <v>13472</v>
      </c>
      <c r="B464" s="678" t="s">
        <v>13600</v>
      </c>
      <c r="C464" s="677" t="s">
        <v>7</v>
      </c>
      <c r="D464" s="677" t="s">
        <v>41</v>
      </c>
      <c r="E464" s="918" t="s">
        <v>13470</v>
      </c>
      <c r="F464" s="918"/>
      <c r="G464" s="676" t="s">
        <v>19</v>
      </c>
      <c r="H464" s="675">
        <v>4.2229999999999999</v>
      </c>
      <c r="I464" s="674">
        <v>17.670000000000002</v>
      </c>
      <c r="J464" s="674">
        <v>74.62</v>
      </c>
    </row>
    <row r="465" spans="1:10" ht="24" customHeight="1">
      <c r="A465" s="672" t="s">
        <v>13467</v>
      </c>
      <c r="B465" s="673" t="s">
        <v>14161</v>
      </c>
      <c r="C465" s="672" t="s">
        <v>7</v>
      </c>
      <c r="D465" s="672" t="s">
        <v>14160</v>
      </c>
      <c r="E465" s="919" t="s">
        <v>13464</v>
      </c>
      <c r="F465" s="919"/>
      <c r="G465" s="671" t="s">
        <v>34</v>
      </c>
      <c r="H465" s="670">
        <v>22.4145</v>
      </c>
      <c r="I465" s="669">
        <v>2.2000000000000002</v>
      </c>
      <c r="J465" s="669">
        <v>49.31</v>
      </c>
    </row>
    <row r="466" spans="1:10" ht="25.5">
      <c r="A466" s="668"/>
      <c r="B466" s="668"/>
      <c r="C466" s="668"/>
      <c r="D466" s="668"/>
      <c r="E466" s="668" t="s">
        <v>13463</v>
      </c>
      <c r="F466" s="667">
        <v>78.968814517005328</v>
      </c>
      <c r="G466" s="668" t="s">
        <v>13462</v>
      </c>
      <c r="H466" s="667">
        <v>66.38</v>
      </c>
      <c r="I466" s="668" t="s">
        <v>13461</v>
      </c>
      <c r="J466" s="667">
        <v>145.35</v>
      </c>
    </row>
    <row r="467" spans="1:10" ht="15" thickBot="1">
      <c r="A467" s="668"/>
      <c r="B467" s="668"/>
      <c r="C467" s="668"/>
      <c r="D467" s="668"/>
      <c r="E467" s="668" t="s">
        <v>13460</v>
      </c>
      <c r="F467" s="667">
        <v>94.78</v>
      </c>
      <c r="G467" s="668"/>
      <c r="H467" s="925" t="s">
        <v>13459</v>
      </c>
      <c r="I467" s="925"/>
      <c r="J467" s="667">
        <v>430.43</v>
      </c>
    </row>
    <row r="468" spans="1:10" ht="0.95" customHeight="1" thickTop="1">
      <c r="A468" s="666"/>
      <c r="B468" s="666"/>
      <c r="C468" s="666"/>
      <c r="D468" s="666"/>
      <c r="E468" s="666"/>
      <c r="F468" s="666"/>
      <c r="G468" s="666"/>
      <c r="H468" s="666"/>
      <c r="I468" s="666"/>
      <c r="J468" s="666"/>
    </row>
    <row r="469" spans="1:10" ht="18" customHeight="1">
      <c r="A469" s="686" t="s">
        <v>15422</v>
      </c>
      <c r="B469" s="684" t="s">
        <v>13484</v>
      </c>
      <c r="C469" s="686" t="s">
        <v>13483</v>
      </c>
      <c r="D469" s="686" t="s">
        <v>13482</v>
      </c>
      <c r="E469" s="924" t="s">
        <v>13481</v>
      </c>
      <c r="F469" s="924"/>
      <c r="G469" s="685" t="s">
        <v>13480</v>
      </c>
      <c r="H469" s="684" t="s">
        <v>13479</v>
      </c>
      <c r="I469" s="684" t="s">
        <v>13478</v>
      </c>
      <c r="J469" s="684" t="s">
        <v>13477</v>
      </c>
    </row>
    <row r="470" spans="1:10" ht="36" customHeight="1">
      <c r="A470" s="682" t="s">
        <v>13476</v>
      </c>
      <c r="B470" s="683" t="s">
        <v>15421</v>
      </c>
      <c r="C470" s="682" t="s">
        <v>7</v>
      </c>
      <c r="D470" s="682" t="s">
        <v>3627</v>
      </c>
      <c r="E470" s="917" t="s">
        <v>13770</v>
      </c>
      <c r="F470" s="917"/>
      <c r="G470" s="681" t="s">
        <v>14</v>
      </c>
      <c r="H470" s="680">
        <v>1</v>
      </c>
      <c r="I470" s="679">
        <v>77.260000000000005</v>
      </c>
      <c r="J470" s="679">
        <v>77.260000000000005</v>
      </c>
    </row>
    <row r="471" spans="1:10" ht="36" customHeight="1">
      <c r="A471" s="677" t="s">
        <v>13472</v>
      </c>
      <c r="B471" s="678" t="s">
        <v>13823</v>
      </c>
      <c r="C471" s="677" t="s">
        <v>7</v>
      </c>
      <c r="D471" s="677" t="s">
        <v>2393</v>
      </c>
      <c r="E471" s="918" t="s">
        <v>13491</v>
      </c>
      <c r="F471" s="918"/>
      <c r="G471" s="676" t="s">
        <v>38</v>
      </c>
      <c r="H471" s="675">
        <v>1.32E-2</v>
      </c>
      <c r="I471" s="674">
        <v>14.17</v>
      </c>
      <c r="J471" s="674">
        <v>0.18</v>
      </c>
    </row>
    <row r="472" spans="1:10" ht="36" customHeight="1">
      <c r="A472" s="677" t="s">
        <v>13472</v>
      </c>
      <c r="B472" s="678" t="s">
        <v>13824</v>
      </c>
      <c r="C472" s="677" t="s">
        <v>7</v>
      </c>
      <c r="D472" s="677" t="s">
        <v>2394</v>
      </c>
      <c r="E472" s="918" t="s">
        <v>13491</v>
      </c>
      <c r="F472" s="918"/>
      <c r="G472" s="676" t="s">
        <v>53</v>
      </c>
      <c r="H472" s="675">
        <v>1.83E-2</v>
      </c>
      <c r="I472" s="674">
        <v>13.21</v>
      </c>
      <c r="J472" s="674">
        <v>0.24</v>
      </c>
    </row>
    <row r="473" spans="1:10" ht="24" customHeight="1">
      <c r="A473" s="677" t="s">
        <v>13472</v>
      </c>
      <c r="B473" s="678" t="s">
        <v>13564</v>
      </c>
      <c r="C473" s="677" t="s">
        <v>7</v>
      </c>
      <c r="D473" s="677" t="s">
        <v>178</v>
      </c>
      <c r="E473" s="918" t="s">
        <v>13470</v>
      </c>
      <c r="F473" s="918"/>
      <c r="G473" s="676" t="s">
        <v>19</v>
      </c>
      <c r="H473" s="675">
        <v>0.27700000000000002</v>
      </c>
      <c r="I473" s="674">
        <v>18.739999999999998</v>
      </c>
      <c r="J473" s="674">
        <v>5.19</v>
      </c>
    </row>
    <row r="474" spans="1:10" ht="24" customHeight="1">
      <c r="A474" s="677" t="s">
        <v>13472</v>
      </c>
      <c r="B474" s="678" t="s">
        <v>13471</v>
      </c>
      <c r="C474" s="677" t="s">
        <v>7</v>
      </c>
      <c r="D474" s="677" t="s">
        <v>21</v>
      </c>
      <c r="E474" s="918" t="s">
        <v>13470</v>
      </c>
      <c r="F474" s="918"/>
      <c r="G474" s="676" t="s">
        <v>19</v>
      </c>
      <c r="H474" s="675">
        <v>0.371</v>
      </c>
      <c r="I474" s="674">
        <v>14.02</v>
      </c>
      <c r="J474" s="674">
        <v>5.2</v>
      </c>
    </row>
    <row r="475" spans="1:10" ht="24" customHeight="1">
      <c r="A475" s="672" t="s">
        <v>13467</v>
      </c>
      <c r="B475" s="673" t="s">
        <v>15420</v>
      </c>
      <c r="C475" s="672" t="s">
        <v>7</v>
      </c>
      <c r="D475" s="672" t="s">
        <v>15419</v>
      </c>
      <c r="E475" s="919" t="s">
        <v>13464</v>
      </c>
      <c r="F475" s="919"/>
      <c r="G475" s="671" t="s">
        <v>14</v>
      </c>
      <c r="H475" s="670">
        <v>1.05</v>
      </c>
      <c r="I475" s="669">
        <v>51.76</v>
      </c>
      <c r="J475" s="669">
        <v>54.34</v>
      </c>
    </row>
    <row r="476" spans="1:10" ht="24" customHeight="1">
      <c r="A476" s="672" t="s">
        <v>13467</v>
      </c>
      <c r="B476" s="673" t="s">
        <v>14403</v>
      </c>
      <c r="C476" s="672" t="s">
        <v>7</v>
      </c>
      <c r="D476" s="672" t="s">
        <v>14402</v>
      </c>
      <c r="E476" s="919" t="s">
        <v>13464</v>
      </c>
      <c r="F476" s="919"/>
      <c r="G476" s="671" t="s">
        <v>17</v>
      </c>
      <c r="H476" s="670">
        <v>2.3999999999999998E-3</v>
      </c>
      <c r="I476" s="669">
        <v>65.8</v>
      </c>
      <c r="J476" s="669">
        <v>0.15</v>
      </c>
    </row>
    <row r="477" spans="1:10" ht="24" customHeight="1">
      <c r="A477" s="672" t="s">
        <v>13467</v>
      </c>
      <c r="B477" s="673" t="s">
        <v>13846</v>
      </c>
      <c r="C477" s="672" t="s">
        <v>7</v>
      </c>
      <c r="D477" s="672" t="s">
        <v>13845</v>
      </c>
      <c r="E477" s="919" t="s">
        <v>13464</v>
      </c>
      <c r="F477" s="919"/>
      <c r="G477" s="671" t="s">
        <v>17</v>
      </c>
      <c r="H477" s="670">
        <v>1.2999999999999999E-2</v>
      </c>
      <c r="I477" s="669">
        <v>18</v>
      </c>
      <c r="J477" s="669">
        <v>0.23</v>
      </c>
    </row>
    <row r="478" spans="1:10" ht="24" customHeight="1">
      <c r="A478" s="672" t="s">
        <v>13467</v>
      </c>
      <c r="B478" s="673" t="s">
        <v>15262</v>
      </c>
      <c r="C478" s="672" t="s">
        <v>7</v>
      </c>
      <c r="D478" s="672" t="s">
        <v>15261</v>
      </c>
      <c r="E478" s="919" t="s">
        <v>13464</v>
      </c>
      <c r="F478" s="919"/>
      <c r="G478" s="671" t="s">
        <v>15260</v>
      </c>
      <c r="H478" s="670">
        <v>8.1000000000000003E-2</v>
      </c>
      <c r="I478" s="669">
        <v>26.04</v>
      </c>
      <c r="J478" s="669">
        <v>2.1</v>
      </c>
    </row>
    <row r="479" spans="1:10" ht="24" customHeight="1">
      <c r="A479" s="672" t="s">
        <v>13467</v>
      </c>
      <c r="B479" s="673" t="s">
        <v>15414</v>
      </c>
      <c r="C479" s="672" t="s">
        <v>7</v>
      </c>
      <c r="D479" s="672" t="s">
        <v>15413</v>
      </c>
      <c r="E479" s="919" t="s">
        <v>13464</v>
      </c>
      <c r="F479" s="919"/>
      <c r="G479" s="671" t="s">
        <v>17</v>
      </c>
      <c r="H479" s="670">
        <v>0.09</v>
      </c>
      <c r="I479" s="669">
        <v>107.06</v>
      </c>
      <c r="J479" s="669">
        <v>9.6300000000000008</v>
      </c>
    </row>
    <row r="480" spans="1:10" ht="25.5">
      <c r="A480" s="668"/>
      <c r="B480" s="668"/>
      <c r="C480" s="668"/>
      <c r="D480" s="668"/>
      <c r="E480" s="668" t="s">
        <v>13463</v>
      </c>
      <c r="F480" s="667">
        <v>4.5039660980115181</v>
      </c>
      <c r="G480" s="668" t="s">
        <v>13462</v>
      </c>
      <c r="H480" s="667">
        <v>3.79</v>
      </c>
      <c r="I480" s="668" t="s">
        <v>13461</v>
      </c>
      <c r="J480" s="667">
        <v>8.2899999999999991</v>
      </c>
    </row>
    <row r="481" spans="1:10" ht="15" thickBot="1">
      <c r="A481" s="668"/>
      <c r="B481" s="668"/>
      <c r="C481" s="668"/>
      <c r="D481" s="668"/>
      <c r="E481" s="668" t="s">
        <v>13460</v>
      </c>
      <c r="F481" s="667">
        <v>21.81</v>
      </c>
      <c r="G481" s="668"/>
      <c r="H481" s="925" t="s">
        <v>13459</v>
      </c>
      <c r="I481" s="925"/>
      <c r="J481" s="667">
        <v>99.07</v>
      </c>
    </row>
    <row r="482" spans="1:10" ht="0.95" customHeight="1" thickTop="1">
      <c r="A482" s="666"/>
      <c r="B482" s="666"/>
      <c r="C482" s="666"/>
      <c r="D482" s="666"/>
      <c r="E482" s="666"/>
      <c r="F482" s="666"/>
      <c r="G482" s="666"/>
      <c r="H482" s="666"/>
      <c r="I482" s="666"/>
      <c r="J482" s="666"/>
    </row>
    <row r="483" spans="1:10" ht="18" customHeight="1">
      <c r="A483" s="686" t="s">
        <v>15418</v>
      </c>
      <c r="B483" s="684" t="s">
        <v>13484</v>
      </c>
      <c r="C483" s="686" t="s">
        <v>13483</v>
      </c>
      <c r="D483" s="686" t="s">
        <v>13482</v>
      </c>
      <c r="E483" s="924" t="s">
        <v>13481</v>
      </c>
      <c r="F483" s="924"/>
      <c r="G483" s="685" t="s">
        <v>13480</v>
      </c>
      <c r="H483" s="684" t="s">
        <v>13479</v>
      </c>
      <c r="I483" s="684" t="s">
        <v>13478</v>
      </c>
      <c r="J483" s="684" t="s">
        <v>13477</v>
      </c>
    </row>
    <row r="484" spans="1:10" ht="36" customHeight="1">
      <c r="A484" s="682" t="s">
        <v>13476</v>
      </c>
      <c r="B484" s="683" t="s">
        <v>15417</v>
      </c>
      <c r="C484" s="682" t="s">
        <v>7</v>
      </c>
      <c r="D484" s="682" t="s">
        <v>3621</v>
      </c>
      <c r="E484" s="917" t="s">
        <v>13770</v>
      </c>
      <c r="F484" s="917"/>
      <c r="G484" s="681" t="s">
        <v>14</v>
      </c>
      <c r="H484" s="680">
        <v>1</v>
      </c>
      <c r="I484" s="679">
        <v>50.88</v>
      </c>
      <c r="J484" s="679">
        <v>50.88</v>
      </c>
    </row>
    <row r="485" spans="1:10" ht="36" customHeight="1">
      <c r="A485" s="677" t="s">
        <v>13472</v>
      </c>
      <c r="B485" s="678" t="s">
        <v>13823</v>
      </c>
      <c r="C485" s="677" t="s">
        <v>7</v>
      </c>
      <c r="D485" s="677" t="s">
        <v>2393</v>
      </c>
      <c r="E485" s="918" t="s">
        <v>13491</v>
      </c>
      <c r="F485" s="918"/>
      <c r="G485" s="676" t="s">
        <v>38</v>
      </c>
      <c r="H485" s="675">
        <v>1.32E-2</v>
      </c>
      <c r="I485" s="674">
        <v>14.17</v>
      </c>
      <c r="J485" s="674">
        <v>0.18</v>
      </c>
    </row>
    <row r="486" spans="1:10" ht="36" customHeight="1">
      <c r="A486" s="677" t="s">
        <v>13472</v>
      </c>
      <c r="B486" s="678" t="s">
        <v>13824</v>
      </c>
      <c r="C486" s="677" t="s">
        <v>7</v>
      </c>
      <c r="D486" s="677" t="s">
        <v>2394</v>
      </c>
      <c r="E486" s="918" t="s">
        <v>13491</v>
      </c>
      <c r="F486" s="918"/>
      <c r="G486" s="676" t="s">
        <v>53</v>
      </c>
      <c r="H486" s="675">
        <v>1.83E-2</v>
      </c>
      <c r="I486" s="674">
        <v>13.21</v>
      </c>
      <c r="J486" s="674">
        <v>0.24</v>
      </c>
    </row>
    <row r="487" spans="1:10" ht="24" customHeight="1">
      <c r="A487" s="677" t="s">
        <v>13472</v>
      </c>
      <c r="B487" s="678" t="s">
        <v>13471</v>
      </c>
      <c r="C487" s="677" t="s">
        <v>7</v>
      </c>
      <c r="D487" s="677" t="s">
        <v>21</v>
      </c>
      <c r="E487" s="918" t="s">
        <v>13470</v>
      </c>
      <c r="F487" s="918"/>
      <c r="G487" s="676" t="s">
        <v>19</v>
      </c>
      <c r="H487" s="675">
        <v>0.23899999999999999</v>
      </c>
      <c r="I487" s="674">
        <v>14.02</v>
      </c>
      <c r="J487" s="674">
        <v>3.35</v>
      </c>
    </row>
    <row r="488" spans="1:10" ht="24" customHeight="1">
      <c r="A488" s="677" t="s">
        <v>13472</v>
      </c>
      <c r="B488" s="678" t="s">
        <v>13564</v>
      </c>
      <c r="C488" s="677" t="s">
        <v>7</v>
      </c>
      <c r="D488" s="677" t="s">
        <v>178</v>
      </c>
      <c r="E488" s="918" t="s">
        <v>13470</v>
      </c>
      <c r="F488" s="918"/>
      <c r="G488" s="676" t="s">
        <v>19</v>
      </c>
      <c r="H488" s="675">
        <v>0.14499999999999999</v>
      </c>
      <c r="I488" s="674">
        <v>18.739999999999998</v>
      </c>
      <c r="J488" s="674">
        <v>2.71</v>
      </c>
    </row>
    <row r="489" spans="1:10" ht="24" customHeight="1">
      <c r="A489" s="672" t="s">
        <v>13467</v>
      </c>
      <c r="B489" s="673" t="s">
        <v>13846</v>
      </c>
      <c r="C489" s="672" t="s">
        <v>7</v>
      </c>
      <c r="D489" s="672" t="s">
        <v>13845</v>
      </c>
      <c r="E489" s="919" t="s">
        <v>13464</v>
      </c>
      <c r="F489" s="919"/>
      <c r="G489" s="671" t="s">
        <v>17</v>
      </c>
      <c r="H489" s="670">
        <v>8.0000000000000002E-3</v>
      </c>
      <c r="I489" s="669">
        <v>18</v>
      </c>
      <c r="J489" s="669">
        <v>0.14000000000000001</v>
      </c>
    </row>
    <row r="490" spans="1:10" ht="24" customHeight="1">
      <c r="A490" s="672" t="s">
        <v>13467</v>
      </c>
      <c r="B490" s="673" t="s">
        <v>14403</v>
      </c>
      <c r="C490" s="672" t="s">
        <v>7</v>
      </c>
      <c r="D490" s="672" t="s">
        <v>14402</v>
      </c>
      <c r="E490" s="919" t="s">
        <v>13464</v>
      </c>
      <c r="F490" s="919"/>
      <c r="G490" s="671" t="s">
        <v>17</v>
      </c>
      <c r="H490" s="670">
        <v>1.6000000000000001E-3</v>
      </c>
      <c r="I490" s="669">
        <v>65.8</v>
      </c>
      <c r="J490" s="669">
        <v>0.1</v>
      </c>
    </row>
    <row r="491" spans="1:10" ht="24" customHeight="1">
      <c r="A491" s="672" t="s">
        <v>13467</v>
      </c>
      <c r="B491" s="673" t="s">
        <v>15262</v>
      </c>
      <c r="C491" s="672" t="s">
        <v>7</v>
      </c>
      <c r="D491" s="672" t="s">
        <v>15261</v>
      </c>
      <c r="E491" s="919" t="s">
        <v>13464</v>
      </c>
      <c r="F491" s="919"/>
      <c r="G491" s="671" t="s">
        <v>15260</v>
      </c>
      <c r="H491" s="670">
        <v>0.21099999999999999</v>
      </c>
      <c r="I491" s="669">
        <v>26.04</v>
      </c>
      <c r="J491" s="669">
        <v>5.49</v>
      </c>
    </row>
    <row r="492" spans="1:10" ht="24" customHeight="1">
      <c r="A492" s="672" t="s">
        <v>13467</v>
      </c>
      <c r="B492" s="673" t="s">
        <v>15416</v>
      </c>
      <c r="C492" s="672" t="s">
        <v>7</v>
      </c>
      <c r="D492" s="672" t="s">
        <v>15415</v>
      </c>
      <c r="E492" s="919" t="s">
        <v>13464</v>
      </c>
      <c r="F492" s="919"/>
      <c r="G492" s="671" t="s">
        <v>14</v>
      </c>
      <c r="H492" s="670">
        <v>1.05</v>
      </c>
      <c r="I492" s="669">
        <v>30.82</v>
      </c>
      <c r="J492" s="669">
        <v>32.36</v>
      </c>
    </row>
    <row r="493" spans="1:10" ht="24" customHeight="1">
      <c r="A493" s="672" t="s">
        <v>13467</v>
      </c>
      <c r="B493" s="673" t="s">
        <v>15414</v>
      </c>
      <c r="C493" s="672" t="s">
        <v>7</v>
      </c>
      <c r="D493" s="672" t="s">
        <v>15413</v>
      </c>
      <c r="E493" s="919" t="s">
        <v>13464</v>
      </c>
      <c r="F493" s="919"/>
      <c r="G493" s="671" t="s">
        <v>17</v>
      </c>
      <c r="H493" s="670">
        <v>5.8999999999999997E-2</v>
      </c>
      <c r="I493" s="669">
        <v>107.06</v>
      </c>
      <c r="J493" s="669">
        <v>6.31</v>
      </c>
    </row>
    <row r="494" spans="1:10" ht="25.5">
      <c r="A494" s="668"/>
      <c r="B494" s="668"/>
      <c r="C494" s="668"/>
      <c r="D494" s="668"/>
      <c r="E494" s="668" t="s">
        <v>13463</v>
      </c>
      <c r="F494" s="667">
        <v>2.6839074214929912</v>
      </c>
      <c r="G494" s="668" t="s">
        <v>13462</v>
      </c>
      <c r="H494" s="667">
        <v>2.2599999999999998</v>
      </c>
      <c r="I494" s="668" t="s">
        <v>13461</v>
      </c>
      <c r="J494" s="667">
        <v>4.9400000000000004</v>
      </c>
    </row>
    <row r="495" spans="1:10" ht="15" thickBot="1">
      <c r="A495" s="668"/>
      <c r="B495" s="668"/>
      <c r="C495" s="668"/>
      <c r="D495" s="668"/>
      <c r="E495" s="668" t="s">
        <v>13460</v>
      </c>
      <c r="F495" s="667">
        <v>14.36</v>
      </c>
      <c r="G495" s="668"/>
      <c r="H495" s="925" t="s">
        <v>13459</v>
      </c>
      <c r="I495" s="925"/>
      <c r="J495" s="667">
        <v>65.239999999999995</v>
      </c>
    </row>
    <row r="496" spans="1:10" ht="0.95" customHeight="1" thickTop="1">
      <c r="A496" s="666"/>
      <c r="B496" s="666"/>
      <c r="C496" s="666"/>
      <c r="D496" s="666"/>
      <c r="E496" s="666"/>
      <c r="F496" s="666"/>
      <c r="G496" s="666"/>
      <c r="H496" s="666"/>
      <c r="I496" s="666"/>
      <c r="J496" s="666"/>
    </row>
    <row r="497" spans="1:10" ht="18" customHeight="1">
      <c r="A497" s="686" t="s">
        <v>15412</v>
      </c>
      <c r="B497" s="684" t="s">
        <v>13484</v>
      </c>
      <c r="C497" s="686" t="s">
        <v>13483</v>
      </c>
      <c r="D497" s="686" t="s">
        <v>13482</v>
      </c>
      <c r="E497" s="924" t="s">
        <v>13481</v>
      </c>
      <c r="F497" s="924"/>
      <c r="G497" s="685" t="s">
        <v>13480</v>
      </c>
      <c r="H497" s="684" t="s">
        <v>13479</v>
      </c>
      <c r="I497" s="684" t="s">
        <v>13478</v>
      </c>
      <c r="J497" s="684" t="s">
        <v>13477</v>
      </c>
    </row>
    <row r="498" spans="1:10" ht="36" customHeight="1">
      <c r="A498" s="682" t="s">
        <v>13476</v>
      </c>
      <c r="B498" s="683" t="s">
        <v>15411</v>
      </c>
      <c r="C498" s="682" t="s">
        <v>7</v>
      </c>
      <c r="D498" s="682" t="s">
        <v>1436</v>
      </c>
      <c r="E498" s="917" t="s">
        <v>13474</v>
      </c>
      <c r="F498" s="917"/>
      <c r="G498" s="681" t="s">
        <v>14</v>
      </c>
      <c r="H498" s="680">
        <v>1</v>
      </c>
      <c r="I498" s="679">
        <v>38.65</v>
      </c>
      <c r="J498" s="679">
        <v>38.65</v>
      </c>
    </row>
    <row r="499" spans="1:10" ht="24" customHeight="1">
      <c r="A499" s="677" t="s">
        <v>13472</v>
      </c>
      <c r="B499" s="678" t="s">
        <v>13526</v>
      </c>
      <c r="C499" s="677" t="s">
        <v>7</v>
      </c>
      <c r="D499" s="677" t="s">
        <v>1093</v>
      </c>
      <c r="E499" s="918" t="s">
        <v>13470</v>
      </c>
      <c r="F499" s="918"/>
      <c r="G499" s="676" t="s">
        <v>19</v>
      </c>
      <c r="H499" s="675">
        <v>0.11</v>
      </c>
      <c r="I499" s="674">
        <v>13.48</v>
      </c>
      <c r="J499" s="674">
        <v>1.48</v>
      </c>
    </row>
    <row r="500" spans="1:10" ht="24" customHeight="1">
      <c r="A500" s="677" t="s">
        <v>13472</v>
      </c>
      <c r="B500" s="678" t="s">
        <v>13473</v>
      </c>
      <c r="C500" s="677" t="s">
        <v>7</v>
      </c>
      <c r="D500" s="677" t="s">
        <v>44</v>
      </c>
      <c r="E500" s="918" t="s">
        <v>13470</v>
      </c>
      <c r="F500" s="918"/>
      <c r="G500" s="676" t="s">
        <v>19</v>
      </c>
      <c r="H500" s="675">
        <v>0.11</v>
      </c>
      <c r="I500" s="674">
        <v>17.66</v>
      </c>
      <c r="J500" s="674">
        <v>1.94</v>
      </c>
    </row>
    <row r="501" spans="1:10" ht="24" customHeight="1">
      <c r="A501" s="672" t="s">
        <v>13467</v>
      </c>
      <c r="B501" s="673" t="s">
        <v>14762</v>
      </c>
      <c r="C501" s="672" t="s">
        <v>7</v>
      </c>
      <c r="D501" s="672" t="s">
        <v>14761</v>
      </c>
      <c r="E501" s="919" t="s">
        <v>13464</v>
      </c>
      <c r="F501" s="919"/>
      <c r="G501" s="671" t="s">
        <v>34</v>
      </c>
      <c r="H501" s="670">
        <v>5.0000000000000001E-3</v>
      </c>
      <c r="I501" s="669">
        <v>83.11</v>
      </c>
      <c r="J501" s="669">
        <v>0.41</v>
      </c>
    </row>
    <row r="502" spans="1:10" ht="24" customHeight="1">
      <c r="A502" s="672" t="s">
        <v>13467</v>
      </c>
      <c r="B502" s="673" t="s">
        <v>13523</v>
      </c>
      <c r="C502" s="672" t="s">
        <v>7</v>
      </c>
      <c r="D502" s="672" t="s">
        <v>13522</v>
      </c>
      <c r="E502" s="919" t="s">
        <v>13464</v>
      </c>
      <c r="F502" s="919"/>
      <c r="G502" s="671" t="s">
        <v>34</v>
      </c>
      <c r="H502" s="670">
        <v>2.3E-2</v>
      </c>
      <c r="I502" s="669">
        <v>2.2000000000000002</v>
      </c>
      <c r="J502" s="669">
        <v>0.05</v>
      </c>
    </row>
    <row r="503" spans="1:10" ht="24" customHeight="1">
      <c r="A503" s="672" t="s">
        <v>13467</v>
      </c>
      <c r="B503" s="673" t="s">
        <v>13521</v>
      </c>
      <c r="C503" s="672" t="s">
        <v>7</v>
      </c>
      <c r="D503" s="672" t="s">
        <v>13520</v>
      </c>
      <c r="E503" s="919" t="s">
        <v>13464</v>
      </c>
      <c r="F503" s="919"/>
      <c r="G503" s="671" t="s">
        <v>34</v>
      </c>
      <c r="H503" s="670">
        <v>8.2000000000000007E-3</v>
      </c>
      <c r="I503" s="669">
        <v>72.17</v>
      </c>
      <c r="J503" s="669">
        <v>0.59</v>
      </c>
    </row>
    <row r="504" spans="1:10" ht="24" customHeight="1">
      <c r="A504" s="672" t="s">
        <v>13467</v>
      </c>
      <c r="B504" s="673" t="s">
        <v>15410</v>
      </c>
      <c r="C504" s="672" t="s">
        <v>7</v>
      </c>
      <c r="D504" s="672" t="s">
        <v>15409</v>
      </c>
      <c r="E504" s="919" t="s">
        <v>13464</v>
      </c>
      <c r="F504" s="919"/>
      <c r="G504" s="671" t="s">
        <v>14</v>
      </c>
      <c r="H504" s="670">
        <v>1.04</v>
      </c>
      <c r="I504" s="669">
        <v>32.869999999999997</v>
      </c>
      <c r="J504" s="669">
        <v>34.18</v>
      </c>
    </row>
    <row r="505" spans="1:10" ht="25.5">
      <c r="A505" s="668"/>
      <c r="B505" s="668"/>
      <c r="C505" s="668"/>
      <c r="D505" s="668"/>
      <c r="E505" s="668" t="s">
        <v>13463</v>
      </c>
      <c r="F505" s="667">
        <v>1.4560469412148211</v>
      </c>
      <c r="G505" s="668" t="s">
        <v>13462</v>
      </c>
      <c r="H505" s="667">
        <v>1.22</v>
      </c>
      <c r="I505" s="668" t="s">
        <v>13461</v>
      </c>
      <c r="J505" s="667">
        <v>2.68</v>
      </c>
    </row>
    <row r="506" spans="1:10" ht="15" thickBot="1">
      <c r="A506" s="668"/>
      <c r="B506" s="668"/>
      <c r="C506" s="668"/>
      <c r="D506" s="668"/>
      <c r="E506" s="668" t="s">
        <v>13460</v>
      </c>
      <c r="F506" s="667">
        <v>10.91</v>
      </c>
      <c r="G506" s="668"/>
      <c r="H506" s="925" t="s">
        <v>13459</v>
      </c>
      <c r="I506" s="925"/>
      <c r="J506" s="667">
        <v>49.56</v>
      </c>
    </row>
    <row r="507" spans="1:10" ht="0.95" customHeight="1" thickTop="1">
      <c r="A507" s="666"/>
      <c r="B507" s="666"/>
      <c r="C507" s="666"/>
      <c r="D507" s="666"/>
      <c r="E507" s="666"/>
      <c r="F507" s="666"/>
      <c r="G507" s="666"/>
      <c r="H507" s="666"/>
      <c r="I507" s="666"/>
      <c r="J507" s="666"/>
    </row>
    <row r="508" spans="1:10" ht="18" customHeight="1">
      <c r="A508" s="686" t="s">
        <v>15408</v>
      </c>
      <c r="B508" s="684" t="s">
        <v>13484</v>
      </c>
      <c r="C508" s="686" t="s">
        <v>13483</v>
      </c>
      <c r="D508" s="686" t="s">
        <v>13482</v>
      </c>
      <c r="E508" s="924" t="s">
        <v>13481</v>
      </c>
      <c r="F508" s="924"/>
      <c r="G508" s="685" t="s">
        <v>13480</v>
      </c>
      <c r="H508" s="684" t="s">
        <v>13479</v>
      </c>
      <c r="I508" s="684" t="s">
        <v>13478</v>
      </c>
      <c r="J508" s="684" t="s">
        <v>13477</v>
      </c>
    </row>
    <row r="509" spans="1:10" ht="36" customHeight="1">
      <c r="A509" s="682" t="s">
        <v>13476</v>
      </c>
      <c r="B509" s="683" t="s">
        <v>15407</v>
      </c>
      <c r="C509" s="682" t="s">
        <v>7</v>
      </c>
      <c r="D509" s="682" t="s">
        <v>1443</v>
      </c>
      <c r="E509" s="917" t="s">
        <v>13474</v>
      </c>
      <c r="F509" s="917"/>
      <c r="G509" s="681" t="s">
        <v>34</v>
      </c>
      <c r="H509" s="680">
        <v>1</v>
      </c>
      <c r="I509" s="679">
        <v>30.95</v>
      </c>
      <c r="J509" s="679">
        <v>30.95</v>
      </c>
    </row>
    <row r="510" spans="1:10" ht="24" customHeight="1">
      <c r="A510" s="677" t="s">
        <v>13472</v>
      </c>
      <c r="B510" s="678" t="s">
        <v>13526</v>
      </c>
      <c r="C510" s="677" t="s">
        <v>7</v>
      </c>
      <c r="D510" s="677" t="s">
        <v>1093</v>
      </c>
      <c r="E510" s="918" t="s">
        <v>13470</v>
      </c>
      <c r="F510" s="918"/>
      <c r="G510" s="676" t="s">
        <v>19</v>
      </c>
      <c r="H510" s="675">
        <v>0.1</v>
      </c>
      <c r="I510" s="674">
        <v>13.48</v>
      </c>
      <c r="J510" s="674">
        <v>1.34</v>
      </c>
    </row>
    <row r="511" spans="1:10" ht="24" customHeight="1">
      <c r="A511" s="677" t="s">
        <v>13472</v>
      </c>
      <c r="B511" s="678" t="s">
        <v>13473</v>
      </c>
      <c r="C511" s="677" t="s">
        <v>7</v>
      </c>
      <c r="D511" s="677" t="s">
        <v>44</v>
      </c>
      <c r="E511" s="918" t="s">
        <v>13470</v>
      </c>
      <c r="F511" s="918"/>
      <c r="G511" s="676" t="s">
        <v>19</v>
      </c>
      <c r="H511" s="675">
        <v>0.1</v>
      </c>
      <c r="I511" s="674">
        <v>17.66</v>
      </c>
      <c r="J511" s="674">
        <v>1.76</v>
      </c>
    </row>
    <row r="512" spans="1:10" ht="24" customHeight="1">
      <c r="A512" s="672" t="s">
        <v>13467</v>
      </c>
      <c r="B512" s="673" t="s">
        <v>15042</v>
      </c>
      <c r="C512" s="672" t="s">
        <v>7</v>
      </c>
      <c r="D512" s="672" t="s">
        <v>15041</v>
      </c>
      <c r="E512" s="919" t="s">
        <v>13464</v>
      </c>
      <c r="F512" s="919"/>
      <c r="G512" s="671" t="s">
        <v>34</v>
      </c>
      <c r="H512" s="670">
        <v>1</v>
      </c>
      <c r="I512" s="669">
        <v>5.45</v>
      </c>
      <c r="J512" s="669">
        <v>5.45</v>
      </c>
    </row>
    <row r="513" spans="1:10" ht="24" customHeight="1">
      <c r="A513" s="672" t="s">
        <v>13467</v>
      </c>
      <c r="B513" s="673" t="s">
        <v>15406</v>
      </c>
      <c r="C513" s="672" t="s">
        <v>7</v>
      </c>
      <c r="D513" s="672" t="s">
        <v>15405</v>
      </c>
      <c r="E513" s="919" t="s">
        <v>13464</v>
      </c>
      <c r="F513" s="919"/>
      <c r="G513" s="671" t="s">
        <v>34</v>
      </c>
      <c r="H513" s="670">
        <v>1</v>
      </c>
      <c r="I513" s="669">
        <v>21.01</v>
      </c>
      <c r="J513" s="669">
        <v>21.01</v>
      </c>
    </row>
    <row r="514" spans="1:10" ht="36" customHeight="1">
      <c r="A514" s="672" t="s">
        <v>13467</v>
      </c>
      <c r="B514" s="673" t="s">
        <v>15018</v>
      </c>
      <c r="C514" s="672" t="s">
        <v>7</v>
      </c>
      <c r="D514" s="672" t="s">
        <v>15017</v>
      </c>
      <c r="E514" s="919" t="s">
        <v>13464</v>
      </c>
      <c r="F514" s="919"/>
      <c r="G514" s="671" t="s">
        <v>34</v>
      </c>
      <c r="H514" s="670">
        <v>4.5999999999999999E-2</v>
      </c>
      <c r="I514" s="669">
        <v>30.43</v>
      </c>
      <c r="J514" s="669">
        <v>1.39</v>
      </c>
    </row>
    <row r="515" spans="1:10" ht="25.5">
      <c r="A515" s="668"/>
      <c r="B515" s="668"/>
      <c r="C515" s="668"/>
      <c r="D515" s="668"/>
      <c r="E515" s="668" t="s">
        <v>13463</v>
      </c>
      <c r="F515" s="667">
        <v>1.3256546778224492</v>
      </c>
      <c r="G515" s="668" t="s">
        <v>13462</v>
      </c>
      <c r="H515" s="667">
        <v>1.1100000000000001</v>
      </c>
      <c r="I515" s="668" t="s">
        <v>13461</v>
      </c>
      <c r="J515" s="667">
        <v>2.44</v>
      </c>
    </row>
    <row r="516" spans="1:10" ht="15" thickBot="1">
      <c r="A516" s="668"/>
      <c r="B516" s="668"/>
      <c r="C516" s="668"/>
      <c r="D516" s="668"/>
      <c r="E516" s="668" t="s">
        <v>13460</v>
      </c>
      <c r="F516" s="667">
        <v>8.74</v>
      </c>
      <c r="G516" s="668"/>
      <c r="H516" s="925" t="s">
        <v>13459</v>
      </c>
      <c r="I516" s="925"/>
      <c r="J516" s="667">
        <v>39.69</v>
      </c>
    </row>
    <row r="517" spans="1:10" ht="0.95" customHeight="1" thickTop="1">
      <c r="A517" s="666"/>
      <c r="B517" s="666"/>
      <c r="C517" s="666"/>
      <c r="D517" s="666"/>
      <c r="E517" s="666"/>
      <c r="F517" s="666"/>
      <c r="G517" s="666"/>
      <c r="H517" s="666"/>
      <c r="I517" s="666"/>
      <c r="J517" s="666"/>
    </row>
    <row r="518" spans="1:10" ht="18" customHeight="1">
      <c r="A518" s="686" t="s">
        <v>15404</v>
      </c>
      <c r="B518" s="684" t="s">
        <v>13484</v>
      </c>
      <c r="C518" s="686" t="s">
        <v>13483</v>
      </c>
      <c r="D518" s="686" t="s">
        <v>13482</v>
      </c>
      <c r="E518" s="924" t="s">
        <v>13481</v>
      </c>
      <c r="F518" s="924"/>
      <c r="G518" s="685" t="s">
        <v>13480</v>
      </c>
      <c r="H518" s="684" t="s">
        <v>13479</v>
      </c>
      <c r="I518" s="684" t="s">
        <v>13478</v>
      </c>
      <c r="J518" s="684" t="s">
        <v>13477</v>
      </c>
    </row>
    <row r="519" spans="1:10" ht="36" customHeight="1">
      <c r="A519" s="682" t="s">
        <v>13476</v>
      </c>
      <c r="B519" s="683" t="s">
        <v>15403</v>
      </c>
      <c r="C519" s="682" t="s">
        <v>7</v>
      </c>
      <c r="D519" s="682" t="s">
        <v>1442</v>
      </c>
      <c r="E519" s="917" t="s">
        <v>13474</v>
      </c>
      <c r="F519" s="917"/>
      <c r="G519" s="681" t="s">
        <v>34</v>
      </c>
      <c r="H519" s="680">
        <v>1</v>
      </c>
      <c r="I519" s="679">
        <v>38.29</v>
      </c>
      <c r="J519" s="679">
        <v>38.29</v>
      </c>
    </row>
    <row r="520" spans="1:10" ht="24" customHeight="1">
      <c r="A520" s="677" t="s">
        <v>13472</v>
      </c>
      <c r="B520" s="678" t="s">
        <v>13526</v>
      </c>
      <c r="C520" s="677" t="s">
        <v>7</v>
      </c>
      <c r="D520" s="677" t="s">
        <v>1093</v>
      </c>
      <c r="E520" s="918" t="s">
        <v>13470</v>
      </c>
      <c r="F520" s="918"/>
      <c r="G520" s="676" t="s">
        <v>19</v>
      </c>
      <c r="H520" s="675">
        <v>0.1</v>
      </c>
      <c r="I520" s="674">
        <v>13.48</v>
      </c>
      <c r="J520" s="674">
        <v>1.34</v>
      </c>
    </row>
    <row r="521" spans="1:10" ht="24" customHeight="1">
      <c r="A521" s="677" t="s">
        <v>13472</v>
      </c>
      <c r="B521" s="678" t="s">
        <v>13473</v>
      </c>
      <c r="C521" s="677" t="s">
        <v>7</v>
      </c>
      <c r="D521" s="677" t="s">
        <v>44</v>
      </c>
      <c r="E521" s="918" t="s">
        <v>13470</v>
      </c>
      <c r="F521" s="918"/>
      <c r="G521" s="676" t="s">
        <v>19</v>
      </c>
      <c r="H521" s="675">
        <v>0.1</v>
      </c>
      <c r="I521" s="674">
        <v>17.66</v>
      </c>
      <c r="J521" s="674">
        <v>1.76</v>
      </c>
    </row>
    <row r="522" spans="1:10" ht="24" customHeight="1">
      <c r="A522" s="672" t="s">
        <v>13467</v>
      </c>
      <c r="B522" s="673" t="s">
        <v>15042</v>
      </c>
      <c r="C522" s="672" t="s">
        <v>7</v>
      </c>
      <c r="D522" s="672" t="s">
        <v>15041</v>
      </c>
      <c r="E522" s="919" t="s">
        <v>13464</v>
      </c>
      <c r="F522" s="919"/>
      <c r="G522" s="671" t="s">
        <v>34</v>
      </c>
      <c r="H522" s="670">
        <v>1</v>
      </c>
      <c r="I522" s="669">
        <v>5.45</v>
      </c>
      <c r="J522" s="669">
        <v>5.45</v>
      </c>
    </row>
    <row r="523" spans="1:10" ht="24" customHeight="1">
      <c r="A523" s="672" t="s">
        <v>13467</v>
      </c>
      <c r="B523" s="673" t="s">
        <v>15402</v>
      </c>
      <c r="C523" s="672" t="s">
        <v>7</v>
      </c>
      <c r="D523" s="672" t="s">
        <v>15401</v>
      </c>
      <c r="E523" s="919" t="s">
        <v>13464</v>
      </c>
      <c r="F523" s="919"/>
      <c r="G523" s="671" t="s">
        <v>34</v>
      </c>
      <c r="H523" s="670">
        <v>1</v>
      </c>
      <c r="I523" s="669">
        <v>28.35</v>
      </c>
      <c r="J523" s="669">
        <v>28.35</v>
      </c>
    </row>
    <row r="524" spans="1:10" ht="36" customHeight="1">
      <c r="A524" s="672" t="s">
        <v>13467</v>
      </c>
      <c r="B524" s="673" t="s">
        <v>15018</v>
      </c>
      <c r="C524" s="672" t="s">
        <v>7</v>
      </c>
      <c r="D524" s="672" t="s">
        <v>15017</v>
      </c>
      <c r="E524" s="919" t="s">
        <v>13464</v>
      </c>
      <c r="F524" s="919"/>
      <c r="G524" s="671" t="s">
        <v>34</v>
      </c>
      <c r="H524" s="670">
        <v>4.5999999999999999E-2</v>
      </c>
      <c r="I524" s="669">
        <v>30.43</v>
      </c>
      <c r="J524" s="669">
        <v>1.39</v>
      </c>
    </row>
    <row r="525" spans="1:10" ht="25.5">
      <c r="A525" s="668"/>
      <c r="B525" s="668"/>
      <c r="C525" s="668"/>
      <c r="D525" s="668"/>
      <c r="E525" s="668" t="s">
        <v>13463</v>
      </c>
      <c r="F525" s="667">
        <v>1.3256546778224492</v>
      </c>
      <c r="G525" s="668" t="s">
        <v>13462</v>
      </c>
      <c r="H525" s="667">
        <v>1.1100000000000001</v>
      </c>
      <c r="I525" s="668" t="s">
        <v>13461</v>
      </c>
      <c r="J525" s="667">
        <v>2.44</v>
      </c>
    </row>
    <row r="526" spans="1:10" ht="15" thickBot="1">
      <c r="A526" s="668"/>
      <c r="B526" s="668"/>
      <c r="C526" s="668"/>
      <c r="D526" s="668"/>
      <c r="E526" s="668" t="s">
        <v>13460</v>
      </c>
      <c r="F526" s="667">
        <v>10.81</v>
      </c>
      <c r="G526" s="668"/>
      <c r="H526" s="925" t="s">
        <v>13459</v>
      </c>
      <c r="I526" s="925"/>
      <c r="J526" s="667">
        <v>49.1</v>
      </c>
    </row>
    <row r="527" spans="1:10" ht="0.95" customHeight="1" thickTop="1">
      <c r="A527" s="666"/>
      <c r="B527" s="666"/>
      <c r="C527" s="666"/>
      <c r="D527" s="666"/>
      <c r="E527" s="666"/>
      <c r="F527" s="666"/>
      <c r="G527" s="666"/>
      <c r="H527" s="666"/>
      <c r="I527" s="666"/>
      <c r="J527" s="666"/>
    </row>
    <row r="528" spans="1:10" ht="18" customHeight="1">
      <c r="A528" s="686" t="s">
        <v>15400</v>
      </c>
      <c r="B528" s="684" t="s">
        <v>13484</v>
      </c>
      <c r="C528" s="686" t="s">
        <v>13483</v>
      </c>
      <c r="D528" s="686" t="s">
        <v>13482</v>
      </c>
      <c r="E528" s="924" t="s">
        <v>13481</v>
      </c>
      <c r="F528" s="924"/>
      <c r="G528" s="685" t="s">
        <v>13480</v>
      </c>
      <c r="H528" s="684" t="s">
        <v>13479</v>
      </c>
      <c r="I528" s="684" t="s">
        <v>13478</v>
      </c>
      <c r="J528" s="684" t="s">
        <v>13477</v>
      </c>
    </row>
    <row r="529" spans="1:10" ht="36" customHeight="1">
      <c r="A529" s="682" t="s">
        <v>13476</v>
      </c>
      <c r="B529" s="683" t="s">
        <v>15399</v>
      </c>
      <c r="C529" s="682" t="s">
        <v>7</v>
      </c>
      <c r="D529" s="682" t="s">
        <v>6311</v>
      </c>
      <c r="E529" s="917" t="s">
        <v>14326</v>
      </c>
      <c r="F529" s="917"/>
      <c r="G529" s="681" t="s">
        <v>14</v>
      </c>
      <c r="H529" s="680">
        <v>1</v>
      </c>
      <c r="I529" s="679">
        <v>120</v>
      </c>
      <c r="J529" s="679">
        <v>120</v>
      </c>
    </row>
    <row r="530" spans="1:10" ht="24" customHeight="1">
      <c r="A530" s="677" t="s">
        <v>13472</v>
      </c>
      <c r="B530" s="678" t="s">
        <v>14067</v>
      </c>
      <c r="C530" s="677" t="s">
        <v>7</v>
      </c>
      <c r="D530" s="677" t="s">
        <v>126</v>
      </c>
      <c r="E530" s="918" t="s">
        <v>13470</v>
      </c>
      <c r="F530" s="918"/>
      <c r="G530" s="676" t="s">
        <v>19</v>
      </c>
      <c r="H530" s="675">
        <v>0.1132</v>
      </c>
      <c r="I530" s="674">
        <v>14.9</v>
      </c>
      <c r="J530" s="674">
        <v>1.68</v>
      </c>
    </row>
    <row r="531" spans="1:10" ht="24" customHeight="1">
      <c r="A531" s="677" t="s">
        <v>13472</v>
      </c>
      <c r="B531" s="678" t="s">
        <v>13471</v>
      </c>
      <c r="C531" s="677" t="s">
        <v>7</v>
      </c>
      <c r="D531" s="677" t="s">
        <v>21</v>
      </c>
      <c r="E531" s="918" t="s">
        <v>13470</v>
      </c>
      <c r="F531" s="918"/>
      <c r="G531" s="676" t="s">
        <v>19</v>
      </c>
      <c r="H531" s="675">
        <v>0.1132</v>
      </c>
      <c r="I531" s="674">
        <v>14.02</v>
      </c>
      <c r="J531" s="674">
        <v>1.58</v>
      </c>
    </row>
    <row r="532" spans="1:10" ht="24" customHeight="1">
      <c r="A532" s="672" t="s">
        <v>13467</v>
      </c>
      <c r="B532" s="673" t="s">
        <v>15398</v>
      </c>
      <c r="C532" s="672" t="s">
        <v>7</v>
      </c>
      <c r="D532" s="672" t="s">
        <v>15397</v>
      </c>
      <c r="E532" s="919" t="s">
        <v>13464</v>
      </c>
      <c r="F532" s="919"/>
      <c r="G532" s="671" t="s">
        <v>34</v>
      </c>
      <c r="H532" s="670">
        <v>0.16669999999999999</v>
      </c>
      <c r="I532" s="669">
        <v>23.28</v>
      </c>
      <c r="J532" s="669">
        <v>3.88</v>
      </c>
    </row>
    <row r="533" spans="1:10" ht="36" customHeight="1">
      <c r="A533" s="672" t="s">
        <v>13467</v>
      </c>
      <c r="B533" s="673" t="s">
        <v>15018</v>
      </c>
      <c r="C533" s="672" t="s">
        <v>7</v>
      </c>
      <c r="D533" s="672" t="s">
        <v>15017</v>
      </c>
      <c r="E533" s="919" t="s">
        <v>13464</v>
      </c>
      <c r="F533" s="919"/>
      <c r="G533" s="671" t="s">
        <v>34</v>
      </c>
      <c r="H533" s="670">
        <v>1.67E-2</v>
      </c>
      <c r="I533" s="669">
        <v>30.43</v>
      </c>
      <c r="J533" s="669">
        <v>0.5</v>
      </c>
    </row>
    <row r="534" spans="1:10" ht="24" customHeight="1">
      <c r="A534" s="672" t="s">
        <v>13467</v>
      </c>
      <c r="B534" s="673" t="s">
        <v>15396</v>
      </c>
      <c r="C534" s="672" t="s">
        <v>7</v>
      </c>
      <c r="D534" s="672" t="s">
        <v>15395</v>
      </c>
      <c r="E534" s="919" t="s">
        <v>13464</v>
      </c>
      <c r="F534" s="919"/>
      <c r="G534" s="671" t="s">
        <v>14</v>
      </c>
      <c r="H534" s="670">
        <v>1.05</v>
      </c>
      <c r="I534" s="669">
        <v>107.01</v>
      </c>
      <c r="J534" s="669">
        <v>112.36</v>
      </c>
    </row>
    <row r="535" spans="1:10" ht="25.5">
      <c r="A535" s="668"/>
      <c r="B535" s="668"/>
      <c r="C535" s="668"/>
      <c r="D535" s="668"/>
      <c r="E535" s="668" t="s">
        <v>13463</v>
      </c>
      <c r="F535" s="667">
        <v>1.3636857546452243</v>
      </c>
      <c r="G535" s="668" t="s">
        <v>13462</v>
      </c>
      <c r="H535" s="667">
        <v>1.1499999999999999</v>
      </c>
      <c r="I535" s="668" t="s">
        <v>13461</v>
      </c>
      <c r="J535" s="667">
        <v>2.5099999999999998</v>
      </c>
    </row>
    <row r="536" spans="1:10" ht="15" thickBot="1">
      <c r="A536" s="668"/>
      <c r="B536" s="668"/>
      <c r="C536" s="668"/>
      <c r="D536" s="668"/>
      <c r="E536" s="668" t="s">
        <v>13460</v>
      </c>
      <c r="F536" s="667">
        <v>33.880000000000003</v>
      </c>
      <c r="G536" s="668"/>
      <c r="H536" s="925" t="s">
        <v>13459</v>
      </c>
      <c r="I536" s="925"/>
      <c r="J536" s="667">
        <v>153.88</v>
      </c>
    </row>
    <row r="537" spans="1:10" ht="0.95" customHeight="1" thickTop="1">
      <c r="A537" s="666"/>
      <c r="B537" s="666"/>
      <c r="C537" s="666"/>
      <c r="D537" s="666"/>
      <c r="E537" s="666"/>
      <c r="F537" s="666"/>
      <c r="G537" s="666"/>
      <c r="H537" s="666"/>
      <c r="I537" s="666"/>
      <c r="J537" s="666"/>
    </row>
    <row r="538" spans="1:10" ht="18" customHeight="1">
      <c r="A538" s="686" t="s">
        <v>15394</v>
      </c>
      <c r="B538" s="684" t="s">
        <v>13484</v>
      </c>
      <c r="C538" s="686" t="s">
        <v>13483</v>
      </c>
      <c r="D538" s="686" t="s">
        <v>13482</v>
      </c>
      <c r="E538" s="924" t="s">
        <v>13481</v>
      </c>
      <c r="F538" s="924"/>
      <c r="G538" s="685" t="s">
        <v>13480</v>
      </c>
      <c r="H538" s="684" t="s">
        <v>13479</v>
      </c>
      <c r="I538" s="684" t="s">
        <v>13478</v>
      </c>
      <c r="J538" s="684" t="s">
        <v>13477</v>
      </c>
    </row>
    <row r="539" spans="1:10" ht="36" customHeight="1">
      <c r="A539" s="682" t="s">
        <v>13476</v>
      </c>
      <c r="B539" s="683" t="s">
        <v>15393</v>
      </c>
      <c r="C539" s="682" t="s">
        <v>7</v>
      </c>
      <c r="D539" s="682" t="s">
        <v>6578</v>
      </c>
      <c r="E539" s="917" t="s">
        <v>13540</v>
      </c>
      <c r="F539" s="917"/>
      <c r="G539" s="681" t="s">
        <v>34</v>
      </c>
      <c r="H539" s="680">
        <v>1</v>
      </c>
      <c r="I539" s="679">
        <v>146.86000000000001</v>
      </c>
      <c r="J539" s="679">
        <v>146.86000000000001</v>
      </c>
    </row>
    <row r="540" spans="1:10" ht="36" customHeight="1">
      <c r="A540" s="677" t="s">
        <v>13472</v>
      </c>
      <c r="B540" s="678" t="s">
        <v>13654</v>
      </c>
      <c r="C540" s="677" t="s">
        <v>7</v>
      </c>
      <c r="D540" s="677" t="s">
        <v>3770</v>
      </c>
      <c r="E540" s="918" t="s">
        <v>13646</v>
      </c>
      <c r="F540" s="918"/>
      <c r="G540" s="676" t="s">
        <v>13515</v>
      </c>
      <c r="H540" s="675">
        <v>1.7500000000000002E-2</v>
      </c>
      <c r="I540" s="674">
        <v>2300.73</v>
      </c>
      <c r="J540" s="674">
        <v>40.26</v>
      </c>
    </row>
    <row r="541" spans="1:10" ht="36" customHeight="1">
      <c r="A541" s="677" t="s">
        <v>13472</v>
      </c>
      <c r="B541" s="678" t="s">
        <v>13606</v>
      </c>
      <c r="C541" s="677" t="s">
        <v>7</v>
      </c>
      <c r="D541" s="677" t="s">
        <v>5318</v>
      </c>
      <c r="E541" s="918" t="s">
        <v>13516</v>
      </c>
      <c r="F541" s="918"/>
      <c r="G541" s="676" t="s">
        <v>13515</v>
      </c>
      <c r="H541" s="675">
        <v>3.5999999999999997E-2</v>
      </c>
      <c r="I541" s="674">
        <v>199.82</v>
      </c>
      <c r="J541" s="674">
        <v>7.19</v>
      </c>
    </row>
    <row r="542" spans="1:10" ht="36" customHeight="1">
      <c r="A542" s="677" t="s">
        <v>13472</v>
      </c>
      <c r="B542" s="678" t="s">
        <v>14345</v>
      </c>
      <c r="C542" s="677" t="s">
        <v>7</v>
      </c>
      <c r="D542" s="677" t="s">
        <v>4334</v>
      </c>
      <c r="E542" s="918" t="s">
        <v>13470</v>
      </c>
      <c r="F542" s="918"/>
      <c r="G542" s="676" t="s">
        <v>13515</v>
      </c>
      <c r="H542" s="675">
        <v>4.0000000000000002E-4</v>
      </c>
      <c r="I542" s="674">
        <v>359.96</v>
      </c>
      <c r="J542" s="674">
        <v>0.14000000000000001</v>
      </c>
    </row>
    <row r="543" spans="1:10" ht="36" customHeight="1">
      <c r="A543" s="677" t="s">
        <v>13472</v>
      </c>
      <c r="B543" s="678" t="s">
        <v>14117</v>
      </c>
      <c r="C543" s="677" t="s">
        <v>7</v>
      </c>
      <c r="D543" s="677" t="s">
        <v>4421</v>
      </c>
      <c r="E543" s="918" t="s">
        <v>13470</v>
      </c>
      <c r="F543" s="918"/>
      <c r="G543" s="676" t="s">
        <v>13515</v>
      </c>
      <c r="H543" s="675">
        <v>2.7799999999999998E-2</v>
      </c>
      <c r="I543" s="674">
        <v>435.13</v>
      </c>
      <c r="J543" s="674">
        <v>12.09</v>
      </c>
    </row>
    <row r="544" spans="1:10" ht="24" customHeight="1">
      <c r="A544" s="677" t="s">
        <v>13472</v>
      </c>
      <c r="B544" s="678" t="s">
        <v>13600</v>
      </c>
      <c r="C544" s="677" t="s">
        <v>7</v>
      </c>
      <c r="D544" s="677" t="s">
        <v>41</v>
      </c>
      <c r="E544" s="918" t="s">
        <v>13470</v>
      </c>
      <c r="F544" s="918"/>
      <c r="G544" s="676" t="s">
        <v>19</v>
      </c>
      <c r="H544" s="675">
        <v>1.5362</v>
      </c>
      <c r="I544" s="674">
        <v>17.670000000000002</v>
      </c>
      <c r="J544" s="674">
        <v>27.14</v>
      </c>
    </row>
    <row r="545" spans="1:10" ht="24" customHeight="1">
      <c r="A545" s="677" t="s">
        <v>13472</v>
      </c>
      <c r="B545" s="678" t="s">
        <v>13471</v>
      </c>
      <c r="C545" s="677" t="s">
        <v>7</v>
      </c>
      <c r="D545" s="677" t="s">
        <v>21</v>
      </c>
      <c r="E545" s="918" t="s">
        <v>13470</v>
      </c>
      <c r="F545" s="918"/>
      <c r="G545" s="676" t="s">
        <v>19</v>
      </c>
      <c r="H545" s="675">
        <v>1.5362</v>
      </c>
      <c r="I545" s="674">
        <v>14.02</v>
      </c>
      <c r="J545" s="674">
        <v>21.53</v>
      </c>
    </row>
    <row r="546" spans="1:10" ht="24" customHeight="1">
      <c r="A546" s="672" t="s">
        <v>13467</v>
      </c>
      <c r="B546" s="673" t="s">
        <v>15140</v>
      </c>
      <c r="C546" s="672" t="s">
        <v>7</v>
      </c>
      <c r="D546" s="672" t="s">
        <v>15139</v>
      </c>
      <c r="E546" s="919" t="s">
        <v>13464</v>
      </c>
      <c r="F546" s="919"/>
      <c r="G546" s="671" t="s">
        <v>34</v>
      </c>
      <c r="H546" s="670">
        <v>48.750700000000002</v>
      </c>
      <c r="I546" s="669">
        <v>0.79</v>
      </c>
      <c r="J546" s="669">
        <v>38.51</v>
      </c>
    </row>
    <row r="547" spans="1:10" ht="25.5">
      <c r="A547" s="668"/>
      <c r="B547" s="668"/>
      <c r="C547" s="668"/>
      <c r="D547" s="668"/>
      <c r="E547" s="668" t="s">
        <v>13463</v>
      </c>
      <c r="F547" s="667">
        <v>32.000434640877977</v>
      </c>
      <c r="G547" s="668" t="s">
        <v>13462</v>
      </c>
      <c r="H547" s="667">
        <v>26.9</v>
      </c>
      <c r="I547" s="668" t="s">
        <v>13461</v>
      </c>
      <c r="J547" s="667">
        <v>58.9</v>
      </c>
    </row>
    <row r="548" spans="1:10" ht="15" thickBot="1">
      <c r="A548" s="668"/>
      <c r="B548" s="668"/>
      <c r="C548" s="668"/>
      <c r="D548" s="668"/>
      <c r="E548" s="668" t="s">
        <v>13460</v>
      </c>
      <c r="F548" s="667">
        <v>41.47</v>
      </c>
      <c r="G548" s="668"/>
      <c r="H548" s="925" t="s">
        <v>13459</v>
      </c>
      <c r="I548" s="925"/>
      <c r="J548" s="667">
        <v>188.33</v>
      </c>
    </row>
    <row r="549" spans="1:10" ht="0.95" customHeight="1" thickTop="1">
      <c r="A549" s="666"/>
      <c r="B549" s="666"/>
      <c r="C549" s="666"/>
      <c r="D549" s="666"/>
      <c r="E549" s="666"/>
      <c r="F549" s="666"/>
      <c r="G549" s="666"/>
      <c r="H549" s="666"/>
      <c r="I549" s="666"/>
      <c r="J549" s="666"/>
    </row>
    <row r="550" spans="1:10" ht="18" customHeight="1">
      <c r="A550" s="686" t="s">
        <v>15392</v>
      </c>
      <c r="B550" s="684" t="s">
        <v>13484</v>
      </c>
      <c r="C550" s="686" t="s">
        <v>13483</v>
      </c>
      <c r="D550" s="686" t="s">
        <v>13482</v>
      </c>
      <c r="E550" s="924" t="s">
        <v>13481</v>
      </c>
      <c r="F550" s="924"/>
      <c r="G550" s="685" t="s">
        <v>13480</v>
      </c>
      <c r="H550" s="684" t="s">
        <v>13479</v>
      </c>
      <c r="I550" s="684" t="s">
        <v>13478</v>
      </c>
      <c r="J550" s="684" t="s">
        <v>13477</v>
      </c>
    </row>
    <row r="551" spans="1:10" ht="36" customHeight="1">
      <c r="A551" s="682" t="s">
        <v>13476</v>
      </c>
      <c r="B551" s="683" t="s">
        <v>15391</v>
      </c>
      <c r="C551" s="682" t="s">
        <v>7</v>
      </c>
      <c r="D551" s="682" t="s">
        <v>1435</v>
      </c>
      <c r="E551" s="917" t="s">
        <v>13474</v>
      </c>
      <c r="F551" s="917"/>
      <c r="G551" s="681" t="s">
        <v>14</v>
      </c>
      <c r="H551" s="680">
        <v>1</v>
      </c>
      <c r="I551" s="679">
        <v>22.36</v>
      </c>
      <c r="J551" s="679">
        <v>22.36</v>
      </c>
    </row>
    <row r="552" spans="1:10" ht="24" customHeight="1">
      <c r="A552" s="677" t="s">
        <v>13472</v>
      </c>
      <c r="B552" s="678" t="s">
        <v>13526</v>
      </c>
      <c r="C552" s="677" t="s">
        <v>7</v>
      </c>
      <c r="D552" s="677" t="s">
        <v>1093</v>
      </c>
      <c r="E552" s="918" t="s">
        <v>13470</v>
      </c>
      <c r="F552" s="918"/>
      <c r="G552" s="676" t="s">
        <v>19</v>
      </c>
      <c r="H552" s="675">
        <v>7.0000000000000007E-2</v>
      </c>
      <c r="I552" s="674">
        <v>13.48</v>
      </c>
      <c r="J552" s="674">
        <v>0.94</v>
      </c>
    </row>
    <row r="553" spans="1:10" ht="24" customHeight="1">
      <c r="A553" s="677" t="s">
        <v>13472</v>
      </c>
      <c r="B553" s="678" t="s">
        <v>13473</v>
      </c>
      <c r="C553" s="677" t="s">
        <v>7</v>
      </c>
      <c r="D553" s="677" t="s">
        <v>44</v>
      </c>
      <c r="E553" s="918" t="s">
        <v>13470</v>
      </c>
      <c r="F553" s="918"/>
      <c r="G553" s="676" t="s">
        <v>19</v>
      </c>
      <c r="H553" s="675">
        <v>7.0000000000000007E-2</v>
      </c>
      <c r="I553" s="674">
        <v>17.66</v>
      </c>
      <c r="J553" s="674">
        <v>1.23</v>
      </c>
    </row>
    <row r="554" spans="1:10" ht="24" customHeight="1">
      <c r="A554" s="672" t="s">
        <v>13467</v>
      </c>
      <c r="B554" s="673" t="s">
        <v>14762</v>
      </c>
      <c r="C554" s="672" t="s">
        <v>7</v>
      </c>
      <c r="D554" s="672" t="s">
        <v>14761</v>
      </c>
      <c r="E554" s="919" t="s">
        <v>13464</v>
      </c>
      <c r="F554" s="919"/>
      <c r="G554" s="671" t="s">
        <v>34</v>
      </c>
      <c r="H554" s="670">
        <v>3.3999999999999998E-3</v>
      </c>
      <c r="I554" s="669">
        <v>83.11</v>
      </c>
      <c r="J554" s="669">
        <v>0.28000000000000003</v>
      </c>
    </row>
    <row r="555" spans="1:10" ht="24" customHeight="1">
      <c r="A555" s="672" t="s">
        <v>13467</v>
      </c>
      <c r="B555" s="673" t="s">
        <v>13523</v>
      </c>
      <c r="C555" s="672" t="s">
        <v>7</v>
      </c>
      <c r="D555" s="672" t="s">
        <v>13522</v>
      </c>
      <c r="E555" s="919" t="s">
        <v>13464</v>
      </c>
      <c r="F555" s="919"/>
      <c r="G555" s="671" t="s">
        <v>34</v>
      </c>
      <c r="H555" s="670">
        <v>1.2999999999999999E-2</v>
      </c>
      <c r="I555" s="669">
        <v>2.2000000000000002</v>
      </c>
      <c r="J555" s="669">
        <v>0.02</v>
      </c>
    </row>
    <row r="556" spans="1:10" ht="24" customHeight="1">
      <c r="A556" s="672" t="s">
        <v>13467</v>
      </c>
      <c r="B556" s="673" t="s">
        <v>13521</v>
      </c>
      <c r="C556" s="672" t="s">
        <v>7</v>
      </c>
      <c r="D556" s="672" t="s">
        <v>13520</v>
      </c>
      <c r="E556" s="919" t="s">
        <v>13464</v>
      </c>
      <c r="F556" s="919"/>
      <c r="G556" s="671" t="s">
        <v>34</v>
      </c>
      <c r="H556" s="670">
        <v>5.3E-3</v>
      </c>
      <c r="I556" s="669">
        <v>72.17</v>
      </c>
      <c r="J556" s="669">
        <v>0.38</v>
      </c>
    </row>
    <row r="557" spans="1:10" ht="24" customHeight="1">
      <c r="A557" s="672" t="s">
        <v>13467</v>
      </c>
      <c r="B557" s="673" t="s">
        <v>15390</v>
      </c>
      <c r="C557" s="672" t="s">
        <v>7</v>
      </c>
      <c r="D557" s="672" t="s">
        <v>15389</v>
      </c>
      <c r="E557" s="919" t="s">
        <v>13464</v>
      </c>
      <c r="F557" s="919"/>
      <c r="G557" s="671" t="s">
        <v>14</v>
      </c>
      <c r="H557" s="670">
        <v>1.04</v>
      </c>
      <c r="I557" s="669">
        <v>18.760000000000002</v>
      </c>
      <c r="J557" s="669">
        <v>19.510000000000002</v>
      </c>
    </row>
    <row r="558" spans="1:10" ht="25.5">
      <c r="A558" s="668"/>
      <c r="B558" s="668"/>
      <c r="C558" s="668"/>
      <c r="D558" s="668"/>
      <c r="E558" s="668" t="s">
        <v>13463</v>
      </c>
      <c r="F558" s="667">
        <v>0.92361186569596876</v>
      </c>
      <c r="G558" s="668" t="s">
        <v>13462</v>
      </c>
      <c r="H558" s="667">
        <v>0.78</v>
      </c>
      <c r="I558" s="668" t="s">
        <v>13461</v>
      </c>
      <c r="J558" s="667">
        <v>1.7</v>
      </c>
    </row>
    <row r="559" spans="1:10" ht="15" thickBot="1">
      <c r="A559" s="668"/>
      <c r="B559" s="668"/>
      <c r="C559" s="668"/>
      <c r="D559" s="668"/>
      <c r="E559" s="668" t="s">
        <v>13460</v>
      </c>
      <c r="F559" s="667">
        <v>6.31</v>
      </c>
      <c r="G559" s="668"/>
      <c r="H559" s="925" t="s">
        <v>13459</v>
      </c>
      <c r="I559" s="925"/>
      <c r="J559" s="667">
        <v>28.67</v>
      </c>
    </row>
    <row r="560" spans="1:10" ht="0.95" customHeight="1" thickTop="1">
      <c r="A560" s="666"/>
      <c r="B560" s="666"/>
      <c r="C560" s="666"/>
      <c r="D560" s="666"/>
      <c r="E560" s="666"/>
      <c r="F560" s="666"/>
      <c r="G560" s="666"/>
      <c r="H560" s="666"/>
      <c r="I560" s="666"/>
      <c r="J560" s="666"/>
    </row>
    <row r="561" spans="1:10" ht="18" customHeight="1">
      <c r="A561" s="686" t="s">
        <v>15388</v>
      </c>
      <c r="B561" s="684" t="s">
        <v>13484</v>
      </c>
      <c r="C561" s="686" t="s">
        <v>13483</v>
      </c>
      <c r="D561" s="686" t="s">
        <v>13482</v>
      </c>
      <c r="E561" s="924" t="s">
        <v>13481</v>
      </c>
      <c r="F561" s="924"/>
      <c r="G561" s="685" t="s">
        <v>13480</v>
      </c>
      <c r="H561" s="684" t="s">
        <v>13479</v>
      </c>
      <c r="I561" s="684" t="s">
        <v>13478</v>
      </c>
      <c r="J561" s="684" t="s">
        <v>13477</v>
      </c>
    </row>
    <row r="562" spans="1:10" ht="36" customHeight="1">
      <c r="A562" s="682" t="s">
        <v>13476</v>
      </c>
      <c r="B562" s="683" t="s">
        <v>15387</v>
      </c>
      <c r="C562" s="682" t="s">
        <v>7</v>
      </c>
      <c r="D562" s="682" t="s">
        <v>1455</v>
      </c>
      <c r="E562" s="917" t="s">
        <v>13474</v>
      </c>
      <c r="F562" s="917"/>
      <c r="G562" s="681" t="s">
        <v>34</v>
      </c>
      <c r="H562" s="680">
        <v>1</v>
      </c>
      <c r="I562" s="679">
        <v>18.02</v>
      </c>
      <c r="J562" s="679">
        <v>18.02</v>
      </c>
    </row>
    <row r="563" spans="1:10" ht="24" customHeight="1">
      <c r="A563" s="677" t="s">
        <v>13472</v>
      </c>
      <c r="B563" s="678" t="s">
        <v>13526</v>
      </c>
      <c r="C563" s="677" t="s">
        <v>7</v>
      </c>
      <c r="D563" s="677" t="s">
        <v>1093</v>
      </c>
      <c r="E563" s="918" t="s">
        <v>13470</v>
      </c>
      <c r="F563" s="918"/>
      <c r="G563" s="676" t="s">
        <v>19</v>
      </c>
      <c r="H563" s="675">
        <v>0.04</v>
      </c>
      <c r="I563" s="674">
        <v>13.48</v>
      </c>
      <c r="J563" s="674">
        <v>0.53</v>
      </c>
    </row>
    <row r="564" spans="1:10" ht="24" customHeight="1">
      <c r="A564" s="677" t="s">
        <v>13472</v>
      </c>
      <c r="B564" s="678" t="s">
        <v>13473</v>
      </c>
      <c r="C564" s="677" t="s">
        <v>7</v>
      </c>
      <c r="D564" s="677" t="s">
        <v>44</v>
      </c>
      <c r="E564" s="918" t="s">
        <v>13470</v>
      </c>
      <c r="F564" s="918"/>
      <c r="G564" s="676" t="s">
        <v>19</v>
      </c>
      <c r="H564" s="675">
        <v>0.04</v>
      </c>
      <c r="I564" s="674">
        <v>17.66</v>
      </c>
      <c r="J564" s="674">
        <v>0.7</v>
      </c>
    </row>
    <row r="565" spans="1:10" ht="24" customHeight="1">
      <c r="A565" s="672" t="s">
        <v>13467</v>
      </c>
      <c r="B565" s="673" t="s">
        <v>15382</v>
      </c>
      <c r="C565" s="672" t="s">
        <v>7</v>
      </c>
      <c r="D565" s="672" t="s">
        <v>15381</v>
      </c>
      <c r="E565" s="919" t="s">
        <v>13464</v>
      </c>
      <c r="F565" s="919"/>
      <c r="G565" s="671" t="s">
        <v>34</v>
      </c>
      <c r="H565" s="670">
        <v>1</v>
      </c>
      <c r="I565" s="669">
        <v>4.9800000000000004</v>
      </c>
      <c r="J565" s="669">
        <v>4.9800000000000004</v>
      </c>
    </row>
    <row r="566" spans="1:10" ht="24" customHeight="1">
      <c r="A566" s="672" t="s">
        <v>13467</v>
      </c>
      <c r="B566" s="673" t="s">
        <v>15386</v>
      </c>
      <c r="C566" s="672" t="s">
        <v>7</v>
      </c>
      <c r="D566" s="672" t="s">
        <v>15385</v>
      </c>
      <c r="E566" s="919" t="s">
        <v>13464</v>
      </c>
      <c r="F566" s="919"/>
      <c r="G566" s="671" t="s">
        <v>34</v>
      </c>
      <c r="H566" s="670">
        <v>1</v>
      </c>
      <c r="I566" s="669">
        <v>10.9</v>
      </c>
      <c r="J566" s="669">
        <v>10.9</v>
      </c>
    </row>
    <row r="567" spans="1:10" ht="36" customHeight="1">
      <c r="A567" s="672" t="s">
        <v>13467</v>
      </c>
      <c r="B567" s="673" t="s">
        <v>15018</v>
      </c>
      <c r="C567" s="672" t="s">
        <v>7</v>
      </c>
      <c r="D567" s="672" t="s">
        <v>15017</v>
      </c>
      <c r="E567" s="919" t="s">
        <v>13464</v>
      </c>
      <c r="F567" s="919"/>
      <c r="G567" s="671" t="s">
        <v>34</v>
      </c>
      <c r="H567" s="670">
        <v>0.03</v>
      </c>
      <c r="I567" s="669">
        <v>30.43</v>
      </c>
      <c r="J567" s="669">
        <v>0.91</v>
      </c>
    </row>
    <row r="568" spans="1:10" ht="25.5">
      <c r="A568" s="668"/>
      <c r="B568" s="668"/>
      <c r="C568" s="668"/>
      <c r="D568" s="668"/>
      <c r="E568" s="668" t="s">
        <v>13463</v>
      </c>
      <c r="F568" s="667">
        <v>0.52700206454417042</v>
      </c>
      <c r="G568" s="668" t="s">
        <v>13462</v>
      </c>
      <c r="H568" s="667">
        <v>0.44</v>
      </c>
      <c r="I568" s="668" t="s">
        <v>13461</v>
      </c>
      <c r="J568" s="667">
        <v>0.97</v>
      </c>
    </row>
    <row r="569" spans="1:10" ht="15" thickBot="1">
      <c r="A569" s="668"/>
      <c r="B569" s="668"/>
      <c r="C569" s="668"/>
      <c r="D569" s="668"/>
      <c r="E569" s="668" t="s">
        <v>13460</v>
      </c>
      <c r="F569" s="667">
        <v>5.08</v>
      </c>
      <c r="G569" s="668"/>
      <c r="H569" s="925" t="s">
        <v>13459</v>
      </c>
      <c r="I569" s="925"/>
      <c r="J569" s="667">
        <v>23.1</v>
      </c>
    </row>
    <row r="570" spans="1:10" ht="0.95" customHeight="1" thickTop="1">
      <c r="A570" s="666"/>
      <c r="B570" s="666"/>
      <c r="C570" s="666"/>
      <c r="D570" s="666"/>
      <c r="E570" s="666"/>
      <c r="F570" s="666"/>
      <c r="G570" s="666"/>
      <c r="H570" s="666"/>
      <c r="I570" s="666"/>
      <c r="J570" s="666"/>
    </row>
    <row r="571" spans="1:10" ht="18" customHeight="1">
      <c r="A571" s="686" t="s">
        <v>15384</v>
      </c>
      <c r="B571" s="684" t="s">
        <v>13484</v>
      </c>
      <c r="C571" s="686" t="s">
        <v>13483</v>
      </c>
      <c r="D571" s="686" t="s">
        <v>13482</v>
      </c>
      <c r="E571" s="924" t="s">
        <v>13481</v>
      </c>
      <c r="F571" s="924"/>
      <c r="G571" s="685" t="s">
        <v>13480</v>
      </c>
      <c r="H571" s="684" t="s">
        <v>13479</v>
      </c>
      <c r="I571" s="684" t="s">
        <v>13478</v>
      </c>
      <c r="J571" s="684" t="s">
        <v>13477</v>
      </c>
    </row>
    <row r="572" spans="1:10" ht="36" customHeight="1">
      <c r="A572" s="682" t="s">
        <v>13476</v>
      </c>
      <c r="B572" s="683" t="s">
        <v>15383</v>
      </c>
      <c r="C572" s="682" t="s">
        <v>7</v>
      </c>
      <c r="D572" s="682" t="s">
        <v>1440</v>
      </c>
      <c r="E572" s="917" t="s">
        <v>13474</v>
      </c>
      <c r="F572" s="917"/>
      <c r="G572" s="681" t="s">
        <v>34</v>
      </c>
      <c r="H572" s="680">
        <v>1</v>
      </c>
      <c r="I572" s="679">
        <v>22.82</v>
      </c>
      <c r="J572" s="679">
        <v>22.82</v>
      </c>
    </row>
    <row r="573" spans="1:10" ht="24" customHeight="1">
      <c r="A573" s="677" t="s">
        <v>13472</v>
      </c>
      <c r="B573" s="678" t="s">
        <v>13526</v>
      </c>
      <c r="C573" s="677" t="s">
        <v>7</v>
      </c>
      <c r="D573" s="677" t="s">
        <v>1093</v>
      </c>
      <c r="E573" s="918" t="s">
        <v>13470</v>
      </c>
      <c r="F573" s="918"/>
      <c r="G573" s="676" t="s">
        <v>19</v>
      </c>
      <c r="H573" s="675">
        <v>0.06</v>
      </c>
      <c r="I573" s="674">
        <v>13.48</v>
      </c>
      <c r="J573" s="674">
        <v>0.8</v>
      </c>
    </row>
    <row r="574" spans="1:10" ht="24" customHeight="1">
      <c r="A574" s="677" t="s">
        <v>13472</v>
      </c>
      <c r="B574" s="678" t="s">
        <v>13473</v>
      </c>
      <c r="C574" s="677" t="s">
        <v>7</v>
      </c>
      <c r="D574" s="677" t="s">
        <v>44</v>
      </c>
      <c r="E574" s="918" t="s">
        <v>13470</v>
      </c>
      <c r="F574" s="918"/>
      <c r="G574" s="676" t="s">
        <v>19</v>
      </c>
      <c r="H574" s="675">
        <v>0.06</v>
      </c>
      <c r="I574" s="674">
        <v>17.66</v>
      </c>
      <c r="J574" s="674">
        <v>1.05</v>
      </c>
    </row>
    <row r="575" spans="1:10" ht="24" customHeight="1">
      <c r="A575" s="672" t="s">
        <v>13467</v>
      </c>
      <c r="B575" s="673" t="s">
        <v>15382</v>
      </c>
      <c r="C575" s="672" t="s">
        <v>7</v>
      </c>
      <c r="D575" s="672" t="s">
        <v>15381</v>
      </c>
      <c r="E575" s="919" t="s">
        <v>13464</v>
      </c>
      <c r="F575" s="919"/>
      <c r="G575" s="671" t="s">
        <v>34</v>
      </c>
      <c r="H575" s="670">
        <v>1</v>
      </c>
      <c r="I575" s="669">
        <v>4.9800000000000004</v>
      </c>
      <c r="J575" s="669">
        <v>4.9800000000000004</v>
      </c>
    </row>
    <row r="576" spans="1:10" ht="24" customHeight="1">
      <c r="A576" s="672" t="s">
        <v>13467</v>
      </c>
      <c r="B576" s="673" t="s">
        <v>15380</v>
      </c>
      <c r="C576" s="672" t="s">
        <v>7</v>
      </c>
      <c r="D576" s="672" t="s">
        <v>15379</v>
      </c>
      <c r="E576" s="919" t="s">
        <v>13464</v>
      </c>
      <c r="F576" s="919"/>
      <c r="G576" s="671" t="s">
        <v>34</v>
      </c>
      <c r="H576" s="670">
        <v>1</v>
      </c>
      <c r="I576" s="669">
        <v>15.08</v>
      </c>
      <c r="J576" s="669">
        <v>15.08</v>
      </c>
    </row>
    <row r="577" spans="1:10" ht="36" customHeight="1">
      <c r="A577" s="672" t="s">
        <v>13467</v>
      </c>
      <c r="B577" s="673" t="s">
        <v>15018</v>
      </c>
      <c r="C577" s="672" t="s">
        <v>7</v>
      </c>
      <c r="D577" s="672" t="s">
        <v>15017</v>
      </c>
      <c r="E577" s="919" t="s">
        <v>13464</v>
      </c>
      <c r="F577" s="919"/>
      <c r="G577" s="671" t="s">
        <v>34</v>
      </c>
      <c r="H577" s="670">
        <v>0.03</v>
      </c>
      <c r="I577" s="669">
        <v>30.43</v>
      </c>
      <c r="J577" s="669">
        <v>0.91</v>
      </c>
    </row>
    <row r="578" spans="1:10" ht="25.5">
      <c r="A578" s="668"/>
      <c r="B578" s="668"/>
      <c r="C578" s="668"/>
      <c r="D578" s="668"/>
      <c r="E578" s="668" t="s">
        <v>13463</v>
      </c>
      <c r="F578" s="667">
        <v>0.78778659132891449</v>
      </c>
      <c r="G578" s="668" t="s">
        <v>13462</v>
      </c>
      <c r="H578" s="667">
        <v>0.66</v>
      </c>
      <c r="I578" s="668" t="s">
        <v>13461</v>
      </c>
      <c r="J578" s="667">
        <v>1.45</v>
      </c>
    </row>
    <row r="579" spans="1:10" ht="15" thickBot="1">
      <c r="A579" s="668"/>
      <c r="B579" s="668"/>
      <c r="C579" s="668"/>
      <c r="D579" s="668"/>
      <c r="E579" s="668" t="s">
        <v>13460</v>
      </c>
      <c r="F579" s="667">
        <v>6.44</v>
      </c>
      <c r="G579" s="668"/>
      <c r="H579" s="925" t="s">
        <v>13459</v>
      </c>
      <c r="I579" s="925"/>
      <c r="J579" s="667">
        <v>29.26</v>
      </c>
    </row>
    <row r="580" spans="1:10" ht="0.95" customHeight="1" thickTop="1">
      <c r="A580" s="666"/>
      <c r="B580" s="666"/>
      <c r="C580" s="666"/>
      <c r="D580" s="666"/>
      <c r="E580" s="666"/>
      <c r="F580" s="666"/>
      <c r="G580" s="666"/>
      <c r="H580" s="666"/>
      <c r="I580" s="666"/>
      <c r="J580" s="666"/>
    </row>
    <row r="581" spans="1:10" ht="18" customHeight="1">
      <c r="A581" s="686" t="s">
        <v>15378</v>
      </c>
      <c r="B581" s="684" t="s">
        <v>13484</v>
      </c>
      <c r="C581" s="686" t="s">
        <v>13483</v>
      </c>
      <c r="D581" s="686" t="s">
        <v>13482</v>
      </c>
      <c r="E581" s="924" t="s">
        <v>13481</v>
      </c>
      <c r="F581" s="924"/>
      <c r="G581" s="685" t="s">
        <v>13480</v>
      </c>
      <c r="H581" s="684" t="s">
        <v>13479</v>
      </c>
      <c r="I581" s="684" t="s">
        <v>13478</v>
      </c>
      <c r="J581" s="684" t="s">
        <v>13477</v>
      </c>
    </row>
    <row r="582" spans="1:10" ht="36" customHeight="1">
      <c r="A582" s="682" t="s">
        <v>13476</v>
      </c>
      <c r="B582" s="683" t="s">
        <v>15377</v>
      </c>
      <c r="C582" s="682" t="s">
        <v>7</v>
      </c>
      <c r="D582" s="682" t="s">
        <v>320</v>
      </c>
      <c r="E582" s="917" t="s">
        <v>13474</v>
      </c>
      <c r="F582" s="917"/>
      <c r="G582" s="681" t="s">
        <v>14</v>
      </c>
      <c r="H582" s="680">
        <v>1</v>
      </c>
      <c r="I582" s="679">
        <v>9.8699999999999992</v>
      </c>
      <c r="J582" s="679">
        <v>9.8699999999999992</v>
      </c>
    </row>
    <row r="583" spans="1:10" ht="24" customHeight="1">
      <c r="A583" s="677" t="s">
        <v>13472</v>
      </c>
      <c r="B583" s="678" t="s">
        <v>13526</v>
      </c>
      <c r="C583" s="677" t="s">
        <v>7</v>
      </c>
      <c r="D583" s="677" t="s">
        <v>1093</v>
      </c>
      <c r="E583" s="918" t="s">
        <v>13470</v>
      </c>
      <c r="F583" s="918"/>
      <c r="G583" s="676" t="s">
        <v>19</v>
      </c>
      <c r="H583" s="675">
        <v>0.19</v>
      </c>
      <c r="I583" s="674">
        <v>13.48</v>
      </c>
      <c r="J583" s="674">
        <v>2.56</v>
      </c>
    </row>
    <row r="584" spans="1:10" ht="24" customHeight="1">
      <c r="A584" s="677" t="s">
        <v>13472</v>
      </c>
      <c r="B584" s="678" t="s">
        <v>13473</v>
      </c>
      <c r="C584" s="677" t="s">
        <v>7</v>
      </c>
      <c r="D584" s="677" t="s">
        <v>44</v>
      </c>
      <c r="E584" s="918" t="s">
        <v>13470</v>
      </c>
      <c r="F584" s="918"/>
      <c r="G584" s="676" t="s">
        <v>19</v>
      </c>
      <c r="H584" s="675">
        <v>0.19</v>
      </c>
      <c r="I584" s="674">
        <v>17.66</v>
      </c>
      <c r="J584" s="674">
        <v>3.35</v>
      </c>
    </row>
    <row r="585" spans="1:10" ht="24" customHeight="1">
      <c r="A585" s="672" t="s">
        <v>13467</v>
      </c>
      <c r="B585" s="673" t="s">
        <v>13523</v>
      </c>
      <c r="C585" s="672" t="s">
        <v>7</v>
      </c>
      <c r="D585" s="672" t="s">
        <v>13522</v>
      </c>
      <c r="E585" s="919" t="s">
        <v>13464</v>
      </c>
      <c r="F585" s="919"/>
      <c r="G585" s="671" t="s">
        <v>34</v>
      </c>
      <c r="H585" s="670">
        <v>6.3E-2</v>
      </c>
      <c r="I585" s="669">
        <v>2.2000000000000002</v>
      </c>
      <c r="J585" s="669">
        <v>0.13</v>
      </c>
    </row>
    <row r="586" spans="1:10" ht="24" customHeight="1">
      <c r="A586" s="672" t="s">
        <v>13467</v>
      </c>
      <c r="B586" s="673" t="s">
        <v>13529</v>
      </c>
      <c r="C586" s="672" t="s">
        <v>7</v>
      </c>
      <c r="D586" s="672" t="s">
        <v>13528</v>
      </c>
      <c r="E586" s="919" t="s">
        <v>13464</v>
      </c>
      <c r="F586" s="919"/>
      <c r="G586" s="671" t="s">
        <v>14</v>
      </c>
      <c r="H586" s="670">
        <v>1.05</v>
      </c>
      <c r="I586" s="669">
        <v>3.65</v>
      </c>
      <c r="J586" s="669">
        <v>3.83</v>
      </c>
    </row>
    <row r="587" spans="1:10" ht="25.5">
      <c r="A587" s="668"/>
      <c r="B587" s="668"/>
      <c r="C587" s="668"/>
      <c r="D587" s="668"/>
      <c r="E587" s="668" t="s">
        <v>13463</v>
      </c>
      <c r="F587" s="667">
        <v>2.5154840812778443</v>
      </c>
      <c r="G587" s="668" t="s">
        <v>13462</v>
      </c>
      <c r="H587" s="667">
        <v>2.11</v>
      </c>
      <c r="I587" s="668" t="s">
        <v>13461</v>
      </c>
      <c r="J587" s="667">
        <v>4.63</v>
      </c>
    </row>
    <row r="588" spans="1:10" ht="15" thickBot="1">
      <c r="A588" s="668"/>
      <c r="B588" s="668"/>
      <c r="C588" s="668"/>
      <c r="D588" s="668"/>
      <c r="E588" s="668" t="s">
        <v>13460</v>
      </c>
      <c r="F588" s="667">
        <v>2.78</v>
      </c>
      <c r="G588" s="668"/>
      <c r="H588" s="925" t="s">
        <v>13459</v>
      </c>
      <c r="I588" s="925"/>
      <c r="J588" s="667">
        <v>12.65</v>
      </c>
    </row>
    <row r="589" spans="1:10" ht="0.95" customHeight="1" thickTop="1">
      <c r="A589" s="666"/>
      <c r="B589" s="666"/>
      <c r="C589" s="666"/>
      <c r="D589" s="666"/>
      <c r="E589" s="666"/>
      <c r="F589" s="666"/>
      <c r="G589" s="666"/>
      <c r="H589" s="666"/>
      <c r="I589" s="666"/>
      <c r="J589" s="666"/>
    </row>
    <row r="590" spans="1:10" ht="18" customHeight="1">
      <c r="A590" s="686" t="s">
        <v>15376</v>
      </c>
      <c r="B590" s="684" t="s">
        <v>13484</v>
      </c>
      <c r="C590" s="686" t="s">
        <v>13483</v>
      </c>
      <c r="D590" s="686" t="s">
        <v>13482</v>
      </c>
      <c r="E590" s="924" t="s">
        <v>13481</v>
      </c>
      <c r="F590" s="924"/>
      <c r="G590" s="685" t="s">
        <v>13480</v>
      </c>
      <c r="H590" s="684" t="s">
        <v>13479</v>
      </c>
      <c r="I590" s="684" t="s">
        <v>13478</v>
      </c>
      <c r="J590" s="684" t="s">
        <v>13477</v>
      </c>
    </row>
    <row r="591" spans="1:10" ht="36" customHeight="1">
      <c r="A591" s="682" t="s">
        <v>13476</v>
      </c>
      <c r="B591" s="683" t="s">
        <v>15375</v>
      </c>
      <c r="C591" s="682" t="s">
        <v>7</v>
      </c>
      <c r="D591" s="682" t="s">
        <v>1681</v>
      </c>
      <c r="E591" s="917" t="s">
        <v>13474</v>
      </c>
      <c r="F591" s="917"/>
      <c r="G591" s="681" t="s">
        <v>34</v>
      </c>
      <c r="H591" s="680">
        <v>1</v>
      </c>
      <c r="I591" s="679">
        <v>4.09</v>
      </c>
      <c r="J591" s="679">
        <v>4.09</v>
      </c>
    </row>
    <row r="592" spans="1:10" ht="24" customHeight="1">
      <c r="A592" s="677" t="s">
        <v>13472</v>
      </c>
      <c r="B592" s="678" t="s">
        <v>13526</v>
      </c>
      <c r="C592" s="677" t="s">
        <v>7</v>
      </c>
      <c r="D592" s="677" t="s">
        <v>1093</v>
      </c>
      <c r="E592" s="918" t="s">
        <v>13470</v>
      </c>
      <c r="F592" s="918"/>
      <c r="G592" s="676" t="s">
        <v>19</v>
      </c>
      <c r="H592" s="675">
        <v>7.0000000000000007E-2</v>
      </c>
      <c r="I592" s="674">
        <v>13.48</v>
      </c>
      <c r="J592" s="674">
        <v>0.94</v>
      </c>
    </row>
    <row r="593" spans="1:10" ht="24" customHeight="1">
      <c r="A593" s="677" t="s">
        <v>13472</v>
      </c>
      <c r="B593" s="678" t="s">
        <v>13473</v>
      </c>
      <c r="C593" s="677" t="s">
        <v>7</v>
      </c>
      <c r="D593" s="677" t="s">
        <v>44</v>
      </c>
      <c r="E593" s="918" t="s">
        <v>13470</v>
      </c>
      <c r="F593" s="918"/>
      <c r="G593" s="676" t="s">
        <v>19</v>
      </c>
      <c r="H593" s="675">
        <v>7.0000000000000007E-2</v>
      </c>
      <c r="I593" s="674">
        <v>17.66</v>
      </c>
      <c r="J593" s="674">
        <v>1.23</v>
      </c>
    </row>
    <row r="594" spans="1:10" ht="24" customHeight="1">
      <c r="A594" s="672" t="s">
        <v>13467</v>
      </c>
      <c r="B594" s="673" t="s">
        <v>14762</v>
      </c>
      <c r="C594" s="672" t="s">
        <v>7</v>
      </c>
      <c r="D594" s="672" t="s">
        <v>14761</v>
      </c>
      <c r="E594" s="919" t="s">
        <v>13464</v>
      </c>
      <c r="F594" s="919"/>
      <c r="G594" s="671" t="s">
        <v>34</v>
      </c>
      <c r="H594" s="670">
        <v>7.1000000000000004E-3</v>
      </c>
      <c r="I594" s="669">
        <v>83.11</v>
      </c>
      <c r="J594" s="669">
        <v>0.59</v>
      </c>
    </row>
    <row r="595" spans="1:10" ht="24" customHeight="1">
      <c r="A595" s="672" t="s">
        <v>13467</v>
      </c>
      <c r="B595" s="673" t="s">
        <v>14906</v>
      </c>
      <c r="C595" s="672" t="s">
        <v>7</v>
      </c>
      <c r="D595" s="672" t="s">
        <v>14905</v>
      </c>
      <c r="E595" s="919" t="s">
        <v>13464</v>
      </c>
      <c r="F595" s="919"/>
      <c r="G595" s="671" t="s">
        <v>34</v>
      </c>
      <c r="H595" s="670">
        <v>1</v>
      </c>
      <c r="I595" s="669">
        <v>0.72</v>
      </c>
      <c r="J595" s="669">
        <v>0.72</v>
      </c>
    </row>
    <row r="596" spans="1:10" ht="24" customHeight="1">
      <c r="A596" s="672" t="s">
        <v>13467</v>
      </c>
      <c r="B596" s="673" t="s">
        <v>13523</v>
      </c>
      <c r="C596" s="672" t="s">
        <v>7</v>
      </c>
      <c r="D596" s="672" t="s">
        <v>13522</v>
      </c>
      <c r="E596" s="919" t="s">
        <v>13464</v>
      </c>
      <c r="F596" s="919"/>
      <c r="G596" s="671" t="s">
        <v>34</v>
      </c>
      <c r="H596" s="670">
        <v>2.1000000000000001E-2</v>
      </c>
      <c r="I596" s="669">
        <v>2.2000000000000002</v>
      </c>
      <c r="J596" s="669">
        <v>0.04</v>
      </c>
    </row>
    <row r="597" spans="1:10" ht="24" customHeight="1">
      <c r="A597" s="672" t="s">
        <v>13467</v>
      </c>
      <c r="B597" s="673" t="s">
        <v>13521</v>
      </c>
      <c r="C597" s="672" t="s">
        <v>7</v>
      </c>
      <c r="D597" s="672" t="s">
        <v>13520</v>
      </c>
      <c r="E597" s="919" t="s">
        <v>13464</v>
      </c>
      <c r="F597" s="919"/>
      <c r="G597" s="671" t="s">
        <v>34</v>
      </c>
      <c r="H597" s="670">
        <v>8.0000000000000002E-3</v>
      </c>
      <c r="I597" s="669">
        <v>72.17</v>
      </c>
      <c r="J597" s="669">
        <v>0.56999999999999995</v>
      </c>
    </row>
    <row r="598" spans="1:10" ht="25.5">
      <c r="A598" s="668"/>
      <c r="B598" s="668"/>
      <c r="C598" s="668"/>
      <c r="D598" s="668"/>
      <c r="E598" s="668" t="s">
        <v>13463</v>
      </c>
      <c r="F598" s="667">
        <v>0.92361186569596876</v>
      </c>
      <c r="G598" s="668" t="s">
        <v>13462</v>
      </c>
      <c r="H598" s="667">
        <v>0.78</v>
      </c>
      <c r="I598" s="668" t="s">
        <v>13461</v>
      </c>
      <c r="J598" s="667">
        <v>1.7</v>
      </c>
    </row>
    <row r="599" spans="1:10" ht="15" thickBot="1">
      <c r="A599" s="668"/>
      <c r="B599" s="668"/>
      <c r="C599" s="668"/>
      <c r="D599" s="668"/>
      <c r="E599" s="668" t="s">
        <v>13460</v>
      </c>
      <c r="F599" s="667">
        <v>1.1499999999999999</v>
      </c>
      <c r="G599" s="668"/>
      <c r="H599" s="925" t="s">
        <v>13459</v>
      </c>
      <c r="I599" s="925"/>
      <c r="J599" s="667">
        <v>5.24</v>
      </c>
    </row>
    <row r="600" spans="1:10" ht="0.95" customHeight="1" thickTop="1">
      <c r="A600" s="666"/>
      <c r="B600" s="666"/>
      <c r="C600" s="666"/>
      <c r="D600" s="666"/>
      <c r="E600" s="666"/>
      <c r="F600" s="666"/>
      <c r="G600" s="666"/>
      <c r="H600" s="666"/>
      <c r="I600" s="666"/>
      <c r="J600" s="666"/>
    </row>
    <row r="601" spans="1:10" ht="18" customHeight="1">
      <c r="A601" s="686" t="s">
        <v>15374</v>
      </c>
      <c r="B601" s="684" t="s">
        <v>13484</v>
      </c>
      <c r="C601" s="686" t="s">
        <v>13483</v>
      </c>
      <c r="D601" s="686" t="s">
        <v>13482</v>
      </c>
      <c r="E601" s="924" t="s">
        <v>13481</v>
      </c>
      <c r="F601" s="924"/>
      <c r="G601" s="685" t="s">
        <v>13480</v>
      </c>
      <c r="H601" s="684" t="s">
        <v>13479</v>
      </c>
      <c r="I601" s="684" t="s">
        <v>13478</v>
      </c>
      <c r="J601" s="684" t="s">
        <v>13477</v>
      </c>
    </row>
    <row r="602" spans="1:10" ht="36" customHeight="1">
      <c r="A602" s="682" t="s">
        <v>13476</v>
      </c>
      <c r="B602" s="683" t="s">
        <v>15373</v>
      </c>
      <c r="C602" s="682" t="s">
        <v>7</v>
      </c>
      <c r="D602" s="682" t="s">
        <v>1683</v>
      </c>
      <c r="E602" s="917" t="s">
        <v>13474</v>
      </c>
      <c r="F602" s="917"/>
      <c r="G602" s="681" t="s">
        <v>34</v>
      </c>
      <c r="H602" s="680">
        <v>1</v>
      </c>
      <c r="I602" s="679">
        <v>6.93</v>
      </c>
      <c r="J602" s="679">
        <v>6.93</v>
      </c>
    </row>
    <row r="603" spans="1:10" ht="24" customHeight="1">
      <c r="A603" s="677" t="s">
        <v>13472</v>
      </c>
      <c r="B603" s="678" t="s">
        <v>13526</v>
      </c>
      <c r="C603" s="677" t="s">
        <v>7</v>
      </c>
      <c r="D603" s="677" t="s">
        <v>1093</v>
      </c>
      <c r="E603" s="918" t="s">
        <v>13470</v>
      </c>
      <c r="F603" s="918"/>
      <c r="G603" s="676" t="s">
        <v>19</v>
      </c>
      <c r="H603" s="675">
        <v>0.09</v>
      </c>
      <c r="I603" s="674">
        <v>13.48</v>
      </c>
      <c r="J603" s="674">
        <v>1.21</v>
      </c>
    </row>
    <row r="604" spans="1:10" ht="24" customHeight="1">
      <c r="A604" s="677" t="s">
        <v>13472</v>
      </c>
      <c r="B604" s="678" t="s">
        <v>13473</v>
      </c>
      <c r="C604" s="677" t="s">
        <v>7</v>
      </c>
      <c r="D604" s="677" t="s">
        <v>44</v>
      </c>
      <c r="E604" s="918" t="s">
        <v>13470</v>
      </c>
      <c r="F604" s="918"/>
      <c r="G604" s="676" t="s">
        <v>19</v>
      </c>
      <c r="H604" s="675">
        <v>0.09</v>
      </c>
      <c r="I604" s="674">
        <v>17.66</v>
      </c>
      <c r="J604" s="674">
        <v>1.58</v>
      </c>
    </row>
    <row r="605" spans="1:10" ht="24" customHeight="1">
      <c r="A605" s="672" t="s">
        <v>13467</v>
      </c>
      <c r="B605" s="673" t="s">
        <v>14762</v>
      </c>
      <c r="C605" s="672" t="s">
        <v>7</v>
      </c>
      <c r="D605" s="672" t="s">
        <v>14761</v>
      </c>
      <c r="E605" s="919" t="s">
        <v>13464</v>
      </c>
      <c r="F605" s="919"/>
      <c r="G605" s="671" t="s">
        <v>34</v>
      </c>
      <c r="H605" s="670">
        <v>1.4800000000000001E-2</v>
      </c>
      <c r="I605" s="669">
        <v>83.11</v>
      </c>
      <c r="J605" s="669">
        <v>1.23</v>
      </c>
    </row>
    <row r="606" spans="1:10" ht="24" customHeight="1">
      <c r="A606" s="672" t="s">
        <v>13467</v>
      </c>
      <c r="B606" s="673" t="s">
        <v>13523</v>
      </c>
      <c r="C606" s="672" t="s">
        <v>7</v>
      </c>
      <c r="D606" s="672" t="s">
        <v>13522</v>
      </c>
      <c r="E606" s="919" t="s">
        <v>13464</v>
      </c>
      <c r="F606" s="919"/>
      <c r="G606" s="671" t="s">
        <v>34</v>
      </c>
      <c r="H606" s="670">
        <v>3.2000000000000001E-2</v>
      </c>
      <c r="I606" s="669">
        <v>2.2000000000000002</v>
      </c>
      <c r="J606" s="669">
        <v>7.0000000000000007E-2</v>
      </c>
    </row>
    <row r="607" spans="1:10" ht="24" customHeight="1">
      <c r="A607" s="672" t="s">
        <v>13467</v>
      </c>
      <c r="B607" s="673" t="s">
        <v>13521</v>
      </c>
      <c r="C607" s="672" t="s">
        <v>7</v>
      </c>
      <c r="D607" s="672" t="s">
        <v>13520</v>
      </c>
      <c r="E607" s="919" t="s">
        <v>13464</v>
      </c>
      <c r="F607" s="919"/>
      <c r="G607" s="671" t="s">
        <v>34</v>
      </c>
      <c r="H607" s="670">
        <v>2.2499999999999999E-2</v>
      </c>
      <c r="I607" s="669">
        <v>72.17</v>
      </c>
      <c r="J607" s="669">
        <v>1.62</v>
      </c>
    </row>
    <row r="608" spans="1:10" ht="24" customHeight="1">
      <c r="A608" s="672" t="s">
        <v>13467</v>
      </c>
      <c r="B608" s="673" t="s">
        <v>13519</v>
      </c>
      <c r="C608" s="672" t="s">
        <v>7</v>
      </c>
      <c r="D608" s="672" t="s">
        <v>13518</v>
      </c>
      <c r="E608" s="919" t="s">
        <v>13464</v>
      </c>
      <c r="F608" s="919"/>
      <c r="G608" s="671" t="s">
        <v>34</v>
      </c>
      <c r="H608" s="670">
        <v>1</v>
      </c>
      <c r="I608" s="669">
        <v>1.22</v>
      </c>
      <c r="J608" s="669">
        <v>1.22</v>
      </c>
    </row>
    <row r="609" spans="1:10" ht="25.5">
      <c r="A609" s="668"/>
      <c r="B609" s="668"/>
      <c r="C609" s="668"/>
      <c r="D609" s="668"/>
      <c r="E609" s="668" t="s">
        <v>13463</v>
      </c>
      <c r="F609" s="667">
        <v>1.1898294034553949</v>
      </c>
      <c r="G609" s="668" t="s">
        <v>13462</v>
      </c>
      <c r="H609" s="667">
        <v>1</v>
      </c>
      <c r="I609" s="668" t="s">
        <v>13461</v>
      </c>
      <c r="J609" s="667">
        <v>2.19</v>
      </c>
    </row>
    <row r="610" spans="1:10" ht="15" thickBot="1">
      <c r="A610" s="668"/>
      <c r="B610" s="668"/>
      <c r="C610" s="668"/>
      <c r="D610" s="668"/>
      <c r="E610" s="668" t="s">
        <v>13460</v>
      </c>
      <c r="F610" s="667">
        <v>1.95</v>
      </c>
      <c r="G610" s="668"/>
      <c r="H610" s="925" t="s">
        <v>13459</v>
      </c>
      <c r="I610" s="925"/>
      <c r="J610" s="667">
        <v>8.8800000000000008</v>
      </c>
    </row>
    <row r="611" spans="1:10" ht="0.95" customHeight="1" thickTop="1">
      <c r="A611" s="666"/>
      <c r="B611" s="666"/>
      <c r="C611" s="666"/>
      <c r="D611" s="666"/>
      <c r="E611" s="666"/>
      <c r="F611" s="666"/>
      <c r="G611" s="666"/>
      <c r="H611" s="666"/>
      <c r="I611" s="666"/>
      <c r="J611" s="666"/>
    </row>
    <row r="612" spans="1:10" ht="18" customHeight="1">
      <c r="A612" s="686" t="s">
        <v>15372</v>
      </c>
      <c r="B612" s="684" t="s">
        <v>13484</v>
      </c>
      <c r="C612" s="686" t="s">
        <v>13483</v>
      </c>
      <c r="D612" s="686" t="s">
        <v>13482</v>
      </c>
      <c r="E612" s="924" t="s">
        <v>13481</v>
      </c>
      <c r="F612" s="924"/>
      <c r="G612" s="685" t="s">
        <v>13480</v>
      </c>
      <c r="H612" s="684" t="s">
        <v>13479</v>
      </c>
      <c r="I612" s="684" t="s">
        <v>13478</v>
      </c>
      <c r="J612" s="684" t="s">
        <v>13477</v>
      </c>
    </row>
    <row r="613" spans="1:10" ht="36" customHeight="1">
      <c r="A613" s="682" t="s">
        <v>13476</v>
      </c>
      <c r="B613" s="683" t="s">
        <v>15371</v>
      </c>
      <c r="C613" s="682" t="s">
        <v>7</v>
      </c>
      <c r="D613" s="682" t="s">
        <v>321</v>
      </c>
      <c r="E613" s="917" t="s">
        <v>13474</v>
      </c>
      <c r="F613" s="917"/>
      <c r="G613" s="681" t="s">
        <v>34</v>
      </c>
      <c r="H613" s="680">
        <v>1</v>
      </c>
      <c r="I613" s="679">
        <v>3.2</v>
      </c>
      <c r="J613" s="679">
        <v>3.2</v>
      </c>
    </row>
    <row r="614" spans="1:10" ht="24" customHeight="1">
      <c r="A614" s="677" t="s">
        <v>13472</v>
      </c>
      <c r="B614" s="678" t="s">
        <v>13526</v>
      </c>
      <c r="C614" s="677" t="s">
        <v>7</v>
      </c>
      <c r="D614" s="677" t="s">
        <v>1093</v>
      </c>
      <c r="E614" s="918" t="s">
        <v>13470</v>
      </c>
      <c r="F614" s="918"/>
      <c r="G614" s="676" t="s">
        <v>19</v>
      </c>
      <c r="H614" s="675">
        <v>0.04</v>
      </c>
      <c r="I614" s="674">
        <v>13.48</v>
      </c>
      <c r="J614" s="674">
        <v>0.53</v>
      </c>
    </row>
    <row r="615" spans="1:10" ht="24" customHeight="1">
      <c r="A615" s="677" t="s">
        <v>13472</v>
      </c>
      <c r="B615" s="678" t="s">
        <v>13473</v>
      </c>
      <c r="C615" s="677" t="s">
        <v>7</v>
      </c>
      <c r="D615" s="677" t="s">
        <v>44</v>
      </c>
      <c r="E615" s="918" t="s">
        <v>13470</v>
      </c>
      <c r="F615" s="918"/>
      <c r="G615" s="676" t="s">
        <v>19</v>
      </c>
      <c r="H615" s="675">
        <v>0.04</v>
      </c>
      <c r="I615" s="674">
        <v>17.66</v>
      </c>
      <c r="J615" s="674">
        <v>0.7</v>
      </c>
    </row>
    <row r="616" spans="1:10" ht="24" customHeight="1">
      <c r="A616" s="672" t="s">
        <v>13467</v>
      </c>
      <c r="B616" s="673" t="s">
        <v>14762</v>
      </c>
      <c r="C616" s="672" t="s">
        <v>7</v>
      </c>
      <c r="D616" s="672" t="s">
        <v>14761</v>
      </c>
      <c r="E616" s="919" t="s">
        <v>13464</v>
      </c>
      <c r="F616" s="919"/>
      <c r="G616" s="671" t="s">
        <v>34</v>
      </c>
      <c r="H616" s="670">
        <v>7.1000000000000004E-3</v>
      </c>
      <c r="I616" s="669">
        <v>83.11</v>
      </c>
      <c r="J616" s="669">
        <v>0.59</v>
      </c>
    </row>
    <row r="617" spans="1:10" ht="24" customHeight="1">
      <c r="A617" s="672" t="s">
        <v>13467</v>
      </c>
      <c r="B617" s="673" t="s">
        <v>13523</v>
      </c>
      <c r="C617" s="672" t="s">
        <v>7</v>
      </c>
      <c r="D617" s="672" t="s">
        <v>13522</v>
      </c>
      <c r="E617" s="919" t="s">
        <v>13464</v>
      </c>
      <c r="F617" s="919"/>
      <c r="G617" s="671" t="s">
        <v>34</v>
      </c>
      <c r="H617" s="670">
        <v>2.1000000000000001E-2</v>
      </c>
      <c r="I617" s="669">
        <v>2.2000000000000002</v>
      </c>
      <c r="J617" s="669">
        <v>0.04</v>
      </c>
    </row>
    <row r="618" spans="1:10" ht="24" customHeight="1">
      <c r="A618" s="672" t="s">
        <v>13467</v>
      </c>
      <c r="B618" s="673" t="s">
        <v>14959</v>
      </c>
      <c r="C618" s="672" t="s">
        <v>7</v>
      </c>
      <c r="D618" s="672" t="s">
        <v>14958</v>
      </c>
      <c r="E618" s="919" t="s">
        <v>13464</v>
      </c>
      <c r="F618" s="919"/>
      <c r="G618" s="671" t="s">
        <v>34</v>
      </c>
      <c r="H618" s="670">
        <v>1</v>
      </c>
      <c r="I618" s="669">
        <v>0.77</v>
      </c>
      <c r="J618" s="669">
        <v>0.77</v>
      </c>
    </row>
    <row r="619" spans="1:10" ht="24" customHeight="1">
      <c r="A619" s="672" t="s">
        <v>13467</v>
      </c>
      <c r="B619" s="673" t="s">
        <v>13521</v>
      </c>
      <c r="C619" s="672" t="s">
        <v>7</v>
      </c>
      <c r="D619" s="672" t="s">
        <v>13520</v>
      </c>
      <c r="E619" s="919" t="s">
        <v>13464</v>
      </c>
      <c r="F619" s="919"/>
      <c r="G619" s="671" t="s">
        <v>34</v>
      </c>
      <c r="H619" s="670">
        <v>8.0000000000000002E-3</v>
      </c>
      <c r="I619" s="669">
        <v>72.17</v>
      </c>
      <c r="J619" s="669">
        <v>0.56999999999999995</v>
      </c>
    </row>
    <row r="620" spans="1:10" ht="25.5">
      <c r="A620" s="668"/>
      <c r="B620" s="668"/>
      <c r="C620" s="668"/>
      <c r="D620" s="668"/>
      <c r="E620" s="668" t="s">
        <v>13463</v>
      </c>
      <c r="F620" s="667">
        <v>0.52700206454417042</v>
      </c>
      <c r="G620" s="668" t="s">
        <v>13462</v>
      </c>
      <c r="H620" s="667">
        <v>0.44</v>
      </c>
      <c r="I620" s="668" t="s">
        <v>13461</v>
      </c>
      <c r="J620" s="667">
        <v>0.97</v>
      </c>
    </row>
    <row r="621" spans="1:10" ht="15" thickBot="1">
      <c r="A621" s="668"/>
      <c r="B621" s="668"/>
      <c r="C621" s="668"/>
      <c r="D621" s="668"/>
      <c r="E621" s="668" t="s">
        <v>13460</v>
      </c>
      <c r="F621" s="667">
        <v>0.9</v>
      </c>
      <c r="G621" s="668"/>
      <c r="H621" s="925" t="s">
        <v>13459</v>
      </c>
      <c r="I621" s="925"/>
      <c r="J621" s="667">
        <v>4.0999999999999996</v>
      </c>
    </row>
    <row r="622" spans="1:10" ht="0.95" customHeight="1" thickTop="1">
      <c r="A622" s="666"/>
      <c r="B622" s="666"/>
      <c r="C622" s="666"/>
      <c r="D622" s="666"/>
      <c r="E622" s="666"/>
      <c r="F622" s="666"/>
      <c r="G622" s="666"/>
      <c r="H622" s="666"/>
      <c r="I622" s="666"/>
      <c r="J622" s="666"/>
    </row>
    <row r="623" spans="1:10" ht="18" customHeight="1">
      <c r="A623" s="686" t="s">
        <v>15370</v>
      </c>
      <c r="B623" s="684" t="s">
        <v>13484</v>
      </c>
      <c r="C623" s="686" t="s">
        <v>13483</v>
      </c>
      <c r="D623" s="686" t="s">
        <v>13482</v>
      </c>
      <c r="E623" s="924" t="s">
        <v>13481</v>
      </c>
      <c r="F623" s="924"/>
      <c r="G623" s="685" t="s">
        <v>13480</v>
      </c>
      <c r="H623" s="684" t="s">
        <v>13479</v>
      </c>
      <c r="I623" s="684" t="s">
        <v>13478</v>
      </c>
      <c r="J623" s="684" t="s">
        <v>13477</v>
      </c>
    </row>
    <row r="624" spans="1:10" ht="60" customHeight="1">
      <c r="A624" s="682" t="s">
        <v>13476</v>
      </c>
      <c r="B624" s="683" t="s">
        <v>15369</v>
      </c>
      <c r="C624" s="682" t="s">
        <v>7</v>
      </c>
      <c r="D624" s="682" t="s">
        <v>935</v>
      </c>
      <c r="E624" s="917" t="s">
        <v>14156</v>
      </c>
      <c r="F624" s="917"/>
      <c r="G624" s="681" t="s">
        <v>13610</v>
      </c>
      <c r="H624" s="680">
        <v>1</v>
      </c>
      <c r="I624" s="679">
        <v>68.03</v>
      </c>
      <c r="J624" s="679">
        <v>68.03</v>
      </c>
    </row>
    <row r="625" spans="1:10" ht="48" customHeight="1">
      <c r="A625" s="677" t="s">
        <v>13472</v>
      </c>
      <c r="B625" s="678" t="s">
        <v>14090</v>
      </c>
      <c r="C625" s="677" t="s">
        <v>7</v>
      </c>
      <c r="D625" s="677" t="s">
        <v>4384</v>
      </c>
      <c r="E625" s="918" t="s">
        <v>13470</v>
      </c>
      <c r="F625" s="918"/>
      <c r="G625" s="676" t="s">
        <v>13515</v>
      </c>
      <c r="H625" s="675">
        <v>1.18E-2</v>
      </c>
      <c r="I625" s="674">
        <v>500.76</v>
      </c>
      <c r="J625" s="674">
        <v>5.9</v>
      </c>
    </row>
    <row r="626" spans="1:10" ht="24" customHeight="1">
      <c r="A626" s="677" t="s">
        <v>13472</v>
      </c>
      <c r="B626" s="678" t="s">
        <v>13471</v>
      </c>
      <c r="C626" s="677" t="s">
        <v>7</v>
      </c>
      <c r="D626" s="677" t="s">
        <v>21</v>
      </c>
      <c r="E626" s="918" t="s">
        <v>13470</v>
      </c>
      <c r="F626" s="918"/>
      <c r="G626" s="676" t="s">
        <v>19</v>
      </c>
      <c r="H626" s="675">
        <v>0.375</v>
      </c>
      <c r="I626" s="674">
        <v>14.02</v>
      </c>
      <c r="J626" s="674">
        <v>5.25</v>
      </c>
    </row>
    <row r="627" spans="1:10" ht="24" customHeight="1">
      <c r="A627" s="677" t="s">
        <v>13472</v>
      </c>
      <c r="B627" s="678" t="s">
        <v>13600</v>
      </c>
      <c r="C627" s="677" t="s">
        <v>7</v>
      </c>
      <c r="D627" s="677" t="s">
        <v>41</v>
      </c>
      <c r="E627" s="918" t="s">
        <v>13470</v>
      </c>
      <c r="F627" s="918"/>
      <c r="G627" s="676" t="s">
        <v>19</v>
      </c>
      <c r="H627" s="675">
        <v>0.75</v>
      </c>
      <c r="I627" s="674">
        <v>17.670000000000002</v>
      </c>
      <c r="J627" s="674">
        <v>13.25</v>
      </c>
    </row>
    <row r="628" spans="1:10" ht="24" customHeight="1">
      <c r="A628" s="672" t="s">
        <v>13467</v>
      </c>
      <c r="B628" s="673" t="s">
        <v>15368</v>
      </c>
      <c r="C628" s="672" t="s">
        <v>7</v>
      </c>
      <c r="D628" s="672" t="s">
        <v>15367</v>
      </c>
      <c r="E628" s="919" t="s">
        <v>13464</v>
      </c>
      <c r="F628" s="919"/>
      <c r="G628" s="671" t="s">
        <v>34</v>
      </c>
      <c r="H628" s="670">
        <v>13.35</v>
      </c>
      <c r="I628" s="669">
        <v>3.02</v>
      </c>
      <c r="J628" s="669">
        <v>40.31</v>
      </c>
    </row>
    <row r="629" spans="1:10" ht="24" customHeight="1">
      <c r="A629" s="672" t="s">
        <v>13467</v>
      </c>
      <c r="B629" s="673" t="s">
        <v>14153</v>
      </c>
      <c r="C629" s="672" t="s">
        <v>7</v>
      </c>
      <c r="D629" s="672" t="s">
        <v>14152</v>
      </c>
      <c r="E629" s="919" t="s">
        <v>13464</v>
      </c>
      <c r="F629" s="919"/>
      <c r="G629" s="671" t="s">
        <v>14151</v>
      </c>
      <c r="H629" s="670">
        <v>0.01</v>
      </c>
      <c r="I629" s="669">
        <v>38.56</v>
      </c>
      <c r="J629" s="669">
        <v>0.38</v>
      </c>
    </row>
    <row r="630" spans="1:10" ht="36" customHeight="1">
      <c r="A630" s="672" t="s">
        <v>13467</v>
      </c>
      <c r="B630" s="673" t="s">
        <v>14164</v>
      </c>
      <c r="C630" s="672" t="s">
        <v>7</v>
      </c>
      <c r="D630" s="672" t="s">
        <v>14163</v>
      </c>
      <c r="E630" s="919" t="s">
        <v>13464</v>
      </c>
      <c r="F630" s="919"/>
      <c r="G630" s="671" t="s">
        <v>14</v>
      </c>
      <c r="H630" s="670">
        <v>0.42</v>
      </c>
      <c r="I630" s="669">
        <v>7.01</v>
      </c>
      <c r="J630" s="669">
        <v>2.94</v>
      </c>
    </row>
    <row r="631" spans="1:10" ht="25.5">
      <c r="A631" s="668"/>
      <c r="B631" s="668"/>
      <c r="C631" s="668"/>
      <c r="D631" s="668"/>
      <c r="E631" s="668" t="s">
        <v>13463</v>
      </c>
      <c r="F631" s="667">
        <v>8.4809301314788659</v>
      </c>
      <c r="G631" s="668" t="s">
        <v>13462</v>
      </c>
      <c r="H631" s="667">
        <v>7.13</v>
      </c>
      <c r="I631" s="668" t="s">
        <v>13461</v>
      </c>
      <c r="J631" s="667">
        <v>15.61</v>
      </c>
    </row>
    <row r="632" spans="1:10" ht="15" thickBot="1">
      <c r="A632" s="668"/>
      <c r="B632" s="668"/>
      <c r="C632" s="668"/>
      <c r="D632" s="668"/>
      <c r="E632" s="668" t="s">
        <v>13460</v>
      </c>
      <c r="F632" s="667">
        <v>19.21</v>
      </c>
      <c r="G632" s="668"/>
      <c r="H632" s="925" t="s">
        <v>13459</v>
      </c>
      <c r="I632" s="925"/>
      <c r="J632" s="667">
        <v>87.24</v>
      </c>
    </row>
    <row r="633" spans="1:10" ht="0.95" customHeight="1" thickTop="1">
      <c r="A633" s="666"/>
      <c r="B633" s="666"/>
      <c r="C633" s="666"/>
      <c r="D633" s="666"/>
      <c r="E633" s="666"/>
      <c r="F633" s="666"/>
      <c r="G633" s="666"/>
      <c r="H633" s="666"/>
      <c r="I633" s="666"/>
      <c r="J633" s="666"/>
    </row>
    <row r="634" spans="1:10" ht="18" customHeight="1">
      <c r="A634" s="686" t="s">
        <v>15366</v>
      </c>
      <c r="B634" s="684" t="s">
        <v>13484</v>
      </c>
      <c r="C634" s="686" t="s">
        <v>13483</v>
      </c>
      <c r="D634" s="686" t="s">
        <v>13482</v>
      </c>
      <c r="E634" s="924" t="s">
        <v>13481</v>
      </c>
      <c r="F634" s="924"/>
      <c r="G634" s="685" t="s">
        <v>13480</v>
      </c>
      <c r="H634" s="684" t="s">
        <v>13479</v>
      </c>
      <c r="I634" s="684" t="s">
        <v>13478</v>
      </c>
      <c r="J634" s="684" t="s">
        <v>13477</v>
      </c>
    </row>
    <row r="635" spans="1:10" ht="48" customHeight="1">
      <c r="A635" s="682" t="s">
        <v>13476</v>
      </c>
      <c r="B635" s="683" t="s">
        <v>15365</v>
      </c>
      <c r="C635" s="682" t="s">
        <v>7</v>
      </c>
      <c r="D635" s="682" t="s">
        <v>1367</v>
      </c>
      <c r="E635" s="917" t="s">
        <v>14156</v>
      </c>
      <c r="F635" s="917"/>
      <c r="G635" s="681" t="s">
        <v>13610</v>
      </c>
      <c r="H635" s="680">
        <v>1</v>
      </c>
      <c r="I635" s="679">
        <v>76.739999999999995</v>
      </c>
      <c r="J635" s="679">
        <v>76.739999999999995</v>
      </c>
    </row>
    <row r="636" spans="1:10" ht="36" customHeight="1">
      <c r="A636" s="677" t="s">
        <v>13472</v>
      </c>
      <c r="B636" s="678" t="s">
        <v>14093</v>
      </c>
      <c r="C636" s="677" t="s">
        <v>7</v>
      </c>
      <c r="D636" s="677" t="s">
        <v>4419</v>
      </c>
      <c r="E636" s="918" t="s">
        <v>13470</v>
      </c>
      <c r="F636" s="918"/>
      <c r="G636" s="676" t="s">
        <v>13515</v>
      </c>
      <c r="H636" s="675">
        <v>1.04E-2</v>
      </c>
      <c r="I636" s="674">
        <v>413.9</v>
      </c>
      <c r="J636" s="674">
        <v>4.3</v>
      </c>
    </row>
    <row r="637" spans="1:10" ht="24" customHeight="1">
      <c r="A637" s="677" t="s">
        <v>13472</v>
      </c>
      <c r="B637" s="678" t="s">
        <v>13600</v>
      </c>
      <c r="C637" s="677" t="s">
        <v>7</v>
      </c>
      <c r="D637" s="677" t="s">
        <v>41</v>
      </c>
      <c r="E637" s="918" t="s">
        <v>13470</v>
      </c>
      <c r="F637" s="918"/>
      <c r="G637" s="676" t="s">
        <v>19</v>
      </c>
      <c r="H637" s="675">
        <v>0.56000000000000005</v>
      </c>
      <c r="I637" s="674">
        <v>17.670000000000002</v>
      </c>
      <c r="J637" s="674">
        <v>9.89</v>
      </c>
    </row>
    <row r="638" spans="1:10" ht="24" customHeight="1">
      <c r="A638" s="677" t="s">
        <v>13472</v>
      </c>
      <c r="B638" s="678" t="s">
        <v>13471</v>
      </c>
      <c r="C638" s="677" t="s">
        <v>7</v>
      </c>
      <c r="D638" s="677" t="s">
        <v>21</v>
      </c>
      <c r="E638" s="918" t="s">
        <v>13470</v>
      </c>
      <c r="F638" s="918"/>
      <c r="G638" s="676" t="s">
        <v>19</v>
      </c>
      <c r="H638" s="675">
        <v>0.42</v>
      </c>
      <c r="I638" s="674">
        <v>14.02</v>
      </c>
      <c r="J638" s="674">
        <v>5.88</v>
      </c>
    </row>
    <row r="639" spans="1:10" ht="24" customHeight="1">
      <c r="A639" s="672" t="s">
        <v>13467</v>
      </c>
      <c r="B639" s="673" t="s">
        <v>15364</v>
      </c>
      <c r="C639" s="672" t="s">
        <v>7</v>
      </c>
      <c r="D639" s="672" t="s">
        <v>15363</v>
      </c>
      <c r="E639" s="919" t="s">
        <v>13464</v>
      </c>
      <c r="F639" s="919"/>
      <c r="G639" s="671" t="s">
        <v>34</v>
      </c>
      <c r="H639" s="670">
        <v>10.9</v>
      </c>
      <c r="I639" s="669">
        <v>4.17</v>
      </c>
      <c r="J639" s="669">
        <v>45.45</v>
      </c>
    </row>
    <row r="640" spans="1:10" ht="24" customHeight="1">
      <c r="A640" s="672" t="s">
        <v>13467</v>
      </c>
      <c r="B640" s="673" t="s">
        <v>15362</v>
      </c>
      <c r="C640" s="672" t="s">
        <v>7</v>
      </c>
      <c r="D640" s="672" t="s">
        <v>15361</v>
      </c>
      <c r="E640" s="919" t="s">
        <v>13464</v>
      </c>
      <c r="F640" s="919"/>
      <c r="G640" s="671" t="s">
        <v>34</v>
      </c>
      <c r="H640" s="670">
        <v>0.91</v>
      </c>
      <c r="I640" s="669">
        <v>4.4800000000000004</v>
      </c>
      <c r="J640" s="669">
        <v>4.07</v>
      </c>
    </row>
    <row r="641" spans="1:10" ht="24" customHeight="1">
      <c r="A641" s="672" t="s">
        <v>13467</v>
      </c>
      <c r="B641" s="673" t="s">
        <v>15360</v>
      </c>
      <c r="C641" s="672" t="s">
        <v>7</v>
      </c>
      <c r="D641" s="672" t="s">
        <v>15359</v>
      </c>
      <c r="E641" s="919" t="s">
        <v>13464</v>
      </c>
      <c r="F641" s="919"/>
      <c r="G641" s="671" t="s">
        <v>34</v>
      </c>
      <c r="H641" s="670">
        <v>0.68</v>
      </c>
      <c r="I641" s="669">
        <v>2.36</v>
      </c>
      <c r="J641" s="669">
        <v>1.6</v>
      </c>
    </row>
    <row r="642" spans="1:10" ht="24" customHeight="1">
      <c r="A642" s="672" t="s">
        <v>13467</v>
      </c>
      <c r="B642" s="673" t="s">
        <v>15358</v>
      </c>
      <c r="C642" s="672" t="s">
        <v>7</v>
      </c>
      <c r="D642" s="672" t="s">
        <v>15357</v>
      </c>
      <c r="E642" s="919" t="s">
        <v>13464</v>
      </c>
      <c r="F642" s="919"/>
      <c r="G642" s="671" t="s">
        <v>34</v>
      </c>
      <c r="H642" s="670">
        <v>0.11</v>
      </c>
      <c r="I642" s="669">
        <v>2.4900000000000002</v>
      </c>
      <c r="J642" s="669">
        <v>0.27</v>
      </c>
    </row>
    <row r="643" spans="1:10" ht="24" customHeight="1">
      <c r="A643" s="672" t="s">
        <v>13467</v>
      </c>
      <c r="B643" s="673" t="s">
        <v>15356</v>
      </c>
      <c r="C643" s="672" t="s">
        <v>7</v>
      </c>
      <c r="D643" s="672" t="s">
        <v>15355</v>
      </c>
      <c r="E643" s="919" t="s">
        <v>13464</v>
      </c>
      <c r="F643" s="919"/>
      <c r="G643" s="671" t="s">
        <v>34</v>
      </c>
      <c r="H643" s="670">
        <v>0.68</v>
      </c>
      <c r="I643" s="669">
        <v>3.72</v>
      </c>
      <c r="J643" s="669">
        <v>2.52</v>
      </c>
    </row>
    <row r="644" spans="1:10" ht="36" customHeight="1">
      <c r="A644" s="672" t="s">
        <v>13467</v>
      </c>
      <c r="B644" s="673" t="s">
        <v>14164</v>
      </c>
      <c r="C644" s="672" t="s">
        <v>7</v>
      </c>
      <c r="D644" s="672" t="s">
        <v>14163</v>
      </c>
      <c r="E644" s="919" t="s">
        <v>13464</v>
      </c>
      <c r="F644" s="919"/>
      <c r="G644" s="671" t="s">
        <v>14</v>
      </c>
      <c r="H644" s="670">
        <v>0.39500000000000002</v>
      </c>
      <c r="I644" s="669">
        <v>7.01</v>
      </c>
      <c r="J644" s="669">
        <v>2.76</v>
      </c>
    </row>
    <row r="645" spans="1:10" ht="25.5">
      <c r="A645" s="668"/>
      <c r="B645" s="668"/>
      <c r="C645" s="668"/>
      <c r="D645" s="668"/>
      <c r="E645" s="668" t="s">
        <v>13463</v>
      </c>
      <c r="F645" s="667">
        <v>6.7803976964033463</v>
      </c>
      <c r="G645" s="668" t="s">
        <v>13462</v>
      </c>
      <c r="H645" s="667">
        <v>5.7</v>
      </c>
      <c r="I645" s="668" t="s">
        <v>13461</v>
      </c>
      <c r="J645" s="667">
        <v>12.48</v>
      </c>
    </row>
    <row r="646" spans="1:10" ht="15" thickBot="1">
      <c r="A646" s="668"/>
      <c r="B646" s="668"/>
      <c r="C646" s="668"/>
      <c r="D646" s="668"/>
      <c r="E646" s="668" t="s">
        <v>13460</v>
      </c>
      <c r="F646" s="667">
        <v>21.67</v>
      </c>
      <c r="G646" s="668"/>
      <c r="H646" s="925" t="s">
        <v>13459</v>
      </c>
      <c r="I646" s="925"/>
      <c r="J646" s="667">
        <v>98.41</v>
      </c>
    </row>
    <row r="647" spans="1:10" ht="0.95" customHeight="1" thickTop="1">
      <c r="A647" s="666"/>
      <c r="B647" s="666"/>
      <c r="C647" s="666"/>
      <c r="D647" s="666"/>
      <c r="E647" s="666"/>
      <c r="F647" s="666"/>
      <c r="G647" s="666"/>
      <c r="H647" s="666"/>
      <c r="I647" s="666"/>
      <c r="J647" s="666"/>
    </row>
    <row r="648" spans="1:10" ht="18" customHeight="1">
      <c r="A648" s="686" t="s">
        <v>15354</v>
      </c>
      <c r="B648" s="684" t="s">
        <v>13484</v>
      </c>
      <c r="C648" s="686" t="s">
        <v>13483</v>
      </c>
      <c r="D648" s="686" t="s">
        <v>13482</v>
      </c>
      <c r="E648" s="924" t="s">
        <v>13481</v>
      </c>
      <c r="F648" s="924"/>
      <c r="G648" s="685" t="s">
        <v>13480</v>
      </c>
      <c r="H648" s="684" t="s">
        <v>13479</v>
      </c>
      <c r="I648" s="684" t="s">
        <v>13478</v>
      </c>
      <c r="J648" s="684" t="s">
        <v>13477</v>
      </c>
    </row>
    <row r="649" spans="1:10" ht="60" customHeight="1">
      <c r="A649" s="682" t="s">
        <v>13476</v>
      </c>
      <c r="B649" s="683" t="s">
        <v>15353</v>
      </c>
      <c r="C649" s="682" t="s">
        <v>7</v>
      </c>
      <c r="D649" s="682" t="s">
        <v>910</v>
      </c>
      <c r="E649" s="917" t="s">
        <v>14156</v>
      </c>
      <c r="F649" s="917"/>
      <c r="G649" s="681" t="s">
        <v>13610</v>
      </c>
      <c r="H649" s="680">
        <v>1</v>
      </c>
      <c r="I649" s="679">
        <v>66.209999999999994</v>
      </c>
      <c r="J649" s="679">
        <v>66.209999999999994</v>
      </c>
    </row>
    <row r="650" spans="1:10" ht="48" customHeight="1">
      <c r="A650" s="677" t="s">
        <v>13472</v>
      </c>
      <c r="B650" s="678" t="s">
        <v>14089</v>
      </c>
      <c r="C650" s="677" t="s">
        <v>7</v>
      </c>
      <c r="D650" s="677" t="s">
        <v>4318</v>
      </c>
      <c r="E650" s="918" t="s">
        <v>13470</v>
      </c>
      <c r="F650" s="918"/>
      <c r="G650" s="676" t="s">
        <v>13515</v>
      </c>
      <c r="H650" s="675">
        <v>1.03E-2</v>
      </c>
      <c r="I650" s="674">
        <v>411.36</v>
      </c>
      <c r="J650" s="674">
        <v>4.2300000000000004</v>
      </c>
    </row>
    <row r="651" spans="1:10" ht="24" customHeight="1">
      <c r="A651" s="677" t="s">
        <v>13472</v>
      </c>
      <c r="B651" s="678" t="s">
        <v>13471</v>
      </c>
      <c r="C651" s="677" t="s">
        <v>7</v>
      </c>
      <c r="D651" s="677" t="s">
        <v>21</v>
      </c>
      <c r="E651" s="918" t="s">
        <v>13470</v>
      </c>
      <c r="F651" s="918"/>
      <c r="G651" s="676" t="s">
        <v>19</v>
      </c>
      <c r="H651" s="675">
        <v>0.44500000000000001</v>
      </c>
      <c r="I651" s="674">
        <v>14.02</v>
      </c>
      <c r="J651" s="674">
        <v>6.23</v>
      </c>
    </row>
    <row r="652" spans="1:10" ht="24" customHeight="1">
      <c r="A652" s="677" t="s">
        <v>13472</v>
      </c>
      <c r="B652" s="678" t="s">
        <v>13600</v>
      </c>
      <c r="C652" s="677" t="s">
        <v>7</v>
      </c>
      <c r="D652" s="677" t="s">
        <v>41</v>
      </c>
      <c r="E652" s="918" t="s">
        <v>13470</v>
      </c>
      <c r="F652" s="918"/>
      <c r="G652" s="676" t="s">
        <v>19</v>
      </c>
      <c r="H652" s="675">
        <v>0.89</v>
      </c>
      <c r="I652" s="674">
        <v>17.670000000000002</v>
      </c>
      <c r="J652" s="674">
        <v>15.72</v>
      </c>
    </row>
    <row r="653" spans="1:10" ht="24" customHeight="1">
      <c r="A653" s="672" t="s">
        <v>13467</v>
      </c>
      <c r="B653" s="673" t="s">
        <v>15352</v>
      </c>
      <c r="C653" s="672" t="s">
        <v>7</v>
      </c>
      <c r="D653" s="672" t="s">
        <v>15351</v>
      </c>
      <c r="E653" s="919" t="s">
        <v>13464</v>
      </c>
      <c r="F653" s="919"/>
      <c r="G653" s="671" t="s">
        <v>34</v>
      </c>
      <c r="H653" s="670">
        <v>13.35</v>
      </c>
      <c r="I653" s="669">
        <v>2.75</v>
      </c>
      <c r="J653" s="669">
        <v>36.71</v>
      </c>
    </row>
    <row r="654" spans="1:10" ht="24" customHeight="1">
      <c r="A654" s="672" t="s">
        <v>13467</v>
      </c>
      <c r="B654" s="673" t="s">
        <v>14153</v>
      </c>
      <c r="C654" s="672" t="s">
        <v>7</v>
      </c>
      <c r="D654" s="672" t="s">
        <v>14152</v>
      </c>
      <c r="E654" s="919" t="s">
        <v>13464</v>
      </c>
      <c r="F654" s="919"/>
      <c r="G654" s="671" t="s">
        <v>14151</v>
      </c>
      <c r="H654" s="670">
        <v>0.01</v>
      </c>
      <c r="I654" s="669">
        <v>38.56</v>
      </c>
      <c r="J654" s="669">
        <v>0.38</v>
      </c>
    </row>
    <row r="655" spans="1:10" ht="36" customHeight="1">
      <c r="A655" s="672" t="s">
        <v>13467</v>
      </c>
      <c r="B655" s="673" t="s">
        <v>14164</v>
      </c>
      <c r="C655" s="672" t="s">
        <v>7</v>
      </c>
      <c r="D655" s="672" t="s">
        <v>14163</v>
      </c>
      <c r="E655" s="919" t="s">
        <v>13464</v>
      </c>
      <c r="F655" s="919"/>
      <c r="G655" s="671" t="s">
        <v>14</v>
      </c>
      <c r="H655" s="670">
        <v>0.42</v>
      </c>
      <c r="I655" s="669">
        <v>7.01</v>
      </c>
      <c r="J655" s="669">
        <v>2.94</v>
      </c>
    </row>
    <row r="656" spans="1:10" ht="25.5">
      <c r="A656" s="668"/>
      <c r="B656" s="668"/>
      <c r="C656" s="668"/>
      <c r="D656" s="668"/>
      <c r="E656" s="668" t="s">
        <v>13463</v>
      </c>
      <c r="F656" s="667">
        <v>9.4371400630229267</v>
      </c>
      <c r="G656" s="668" t="s">
        <v>13462</v>
      </c>
      <c r="H656" s="667">
        <v>7.93</v>
      </c>
      <c r="I656" s="668" t="s">
        <v>13461</v>
      </c>
      <c r="J656" s="667">
        <v>17.37</v>
      </c>
    </row>
    <row r="657" spans="1:10" ht="15" thickBot="1">
      <c r="A657" s="668"/>
      <c r="B657" s="668"/>
      <c r="C657" s="668"/>
      <c r="D657" s="668"/>
      <c r="E657" s="668" t="s">
        <v>13460</v>
      </c>
      <c r="F657" s="667">
        <v>18.690000000000001</v>
      </c>
      <c r="G657" s="668"/>
      <c r="H657" s="925" t="s">
        <v>13459</v>
      </c>
      <c r="I657" s="925"/>
      <c r="J657" s="667">
        <v>84.9</v>
      </c>
    </row>
    <row r="658" spans="1:10" ht="0.95" customHeight="1" thickTop="1">
      <c r="A658" s="666"/>
      <c r="B658" s="666"/>
      <c r="C658" s="666"/>
      <c r="D658" s="666"/>
      <c r="E658" s="666"/>
      <c r="F658" s="666"/>
      <c r="G658" s="666"/>
      <c r="H658" s="666"/>
      <c r="I658" s="666"/>
      <c r="J658" s="666"/>
    </row>
    <row r="659" spans="1:10" ht="18" customHeight="1">
      <c r="A659" s="686" t="s">
        <v>15350</v>
      </c>
      <c r="B659" s="684" t="s">
        <v>13484</v>
      </c>
      <c r="C659" s="686" t="s">
        <v>13483</v>
      </c>
      <c r="D659" s="686" t="s">
        <v>13482</v>
      </c>
      <c r="E659" s="924" t="s">
        <v>13481</v>
      </c>
      <c r="F659" s="924"/>
      <c r="G659" s="685" t="s">
        <v>13480</v>
      </c>
      <c r="H659" s="684" t="s">
        <v>13479</v>
      </c>
      <c r="I659" s="684" t="s">
        <v>13478</v>
      </c>
      <c r="J659" s="684" t="s">
        <v>13477</v>
      </c>
    </row>
    <row r="660" spans="1:10" ht="36" customHeight="1">
      <c r="A660" s="682" t="s">
        <v>13476</v>
      </c>
      <c r="B660" s="683" t="s">
        <v>15349</v>
      </c>
      <c r="C660" s="682" t="s">
        <v>7</v>
      </c>
      <c r="D660" s="682" t="s">
        <v>5327</v>
      </c>
      <c r="E660" s="917" t="s">
        <v>14156</v>
      </c>
      <c r="F660" s="917"/>
      <c r="G660" s="681" t="s">
        <v>13610</v>
      </c>
      <c r="H660" s="680">
        <v>1</v>
      </c>
      <c r="I660" s="679">
        <v>157.02000000000001</v>
      </c>
      <c r="J660" s="679">
        <v>157.02000000000001</v>
      </c>
    </row>
    <row r="661" spans="1:10" ht="36" customHeight="1">
      <c r="A661" s="677" t="s">
        <v>13472</v>
      </c>
      <c r="B661" s="678" t="s">
        <v>14080</v>
      </c>
      <c r="C661" s="677" t="s">
        <v>7</v>
      </c>
      <c r="D661" s="677" t="s">
        <v>4446</v>
      </c>
      <c r="E661" s="918" t="s">
        <v>13470</v>
      </c>
      <c r="F661" s="918"/>
      <c r="G661" s="676" t="s">
        <v>13515</v>
      </c>
      <c r="H661" s="675">
        <v>0.01</v>
      </c>
      <c r="I661" s="674">
        <v>436.29</v>
      </c>
      <c r="J661" s="674">
        <v>4.3600000000000003</v>
      </c>
    </row>
    <row r="662" spans="1:10" ht="24" customHeight="1">
      <c r="A662" s="677" t="s">
        <v>13472</v>
      </c>
      <c r="B662" s="678" t="s">
        <v>13600</v>
      </c>
      <c r="C662" s="677" t="s">
        <v>7</v>
      </c>
      <c r="D662" s="677" t="s">
        <v>41</v>
      </c>
      <c r="E662" s="918" t="s">
        <v>13470</v>
      </c>
      <c r="F662" s="918"/>
      <c r="G662" s="676" t="s">
        <v>19</v>
      </c>
      <c r="H662" s="675">
        <v>2.0550000000000002</v>
      </c>
      <c r="I662" s="674">
        <v>17.670000000000002</v>
      </c>
      <c r="J662" s="674">
        <v>36.31</v>
      </c>
    </row>
    <row r="663" spans="1:10" ht="24" customHeight="1">
      <c r="A663" s="677" t="s">
        <v>13472</v>
      </c>
      <c r="B663" s="678" t="s">
        <v>13471</v>
      </c>
      <c r="C663" s="677" t="s">
        <v>7</v>
      </c>
      <c r="D663" s="677" t="s">
        <v>21</v>
      </c>
      <c r="E663" s="918" t="s">
        <v>13470</v>
      </c>
      <c r="F663" s="918"/>
      <c r="G663" s="676" t="s">
        <v>19</v>
      </c>
      <c r="H663" s="675">
        <v>1.028</v>
      </c>
      <c r="I663" s="674">
        <v>14.02</v>
      </c>
      <c r="J663" s="674">
        <v>14.41</v>
      </c>
    </row>
    <row r="664" spans="1:10" ht="24" customHeight="1">
      <c r="A664" s="672" t="s">
        <v>13467</v>
      </c>
      <c r="B664" s="673" t="s">
        <v>15348</v>
      </c>
      <c r="C664" s="672" t="s">
        <v>7</v>
      </c>
      <c r="D664" s="672" t="s">
        <v>15347</v>
      </c>
      <c r="E664" s="919" t="s">
        <v>13464</v>
      </c>
      <c r="F664" s="919"/>
      <c r="G664" s="671" t="s">
        <v>34</v>
      </c>
      <c r="H664" s="670">
        <v>3.95</v>
      </c>
      <c r="I664" s="669">
        <v>25.81</v>
      </c>
      <c r="J664" s="669">
        <v>101.94</v>
      </c>
    </row>
    <row r="665" spans="1:10" ht="25.5">
      <c r="A665" s="668"/>
      <c r="B665" s="668"/>
      <c r="C665" s="668"/>
      <c r="D665" s="668"/>
      <c r="E665" s="668" t="s">
        <v>13463</v>
      </c>
      <c r="F665" s="667">
        <v>21.400630229273062</v>
      </c>
      <c r="G665" s="668" t="s">
        <v>13462</v>
      </c>
      <c r="H665" s="667">
        <v>17.989999999999998</v>
      </c>
      <c r="I665" s="668" t="s">
        <v>13461</v>
      </c>
      <c r="J665" s="667">
        <v>39.39</v>
      </c>
    </row>
    <row r="666" spans="1:10" ht="15" thickBot="1">
      <c r="A666" s="668"/>
      <c r="B666" s="668"/>
      <c r="C666" s="668"/>
      <c r="D666" s="668"/>
      <c r="E666" s="668" t="s">
        <v>13460</v>
      </c>
      <c r="F666" s="667">
        <v>44.34</v>
      </c>
      <c r="G666" s="668"/>
      <c r="H666" s="925" t="s">
        <v>13459</v>
      </c>
      <c r="I666" s="925"/>
      <c r="J666" s="667">
        <v>201.36</v>
      </c>
    </row>
    <row r="667" spans="1:10" ht="0.95" customHeight="1" thickTop="1">
      <c r="A667" s="666"/>
      <c r="B667" s="666"/>
      <c r="C667" s="666"/>
      <c r="D667" s="666"/>
      <c r="E667" s="666"/>
      <c r="F667" s="666"/>
      <c r="G667" s="666"/>
      <c r="H667" s="666"/>
      <c r="I667" s="666"/>
      <c r="J667" s="666"/>
    </row>
    <row r="668" spans="1:10" ht="18" customHeight="1">
      <c r="A668" s="686" t="s">
        <v>15346</v>
      </c>
      <c r="B668" s="684" t="s">
        <v>13484</v>
      </c>
      <c r="C668" s="686" t="s">
        <v>13483</v>
      </c>
      <c r="D668" s="686" t="s">
        <v>13482</v>
      </c>
      <c r="E668" s="924" t="s">
        <v>13481</v>
      </c>
      <c r="F668" s="924"/>
      <c r="G668" s="685" t="s">
        <v>13480</v>
      </c>
      <c r="H668" s="684" t="s">
        <v>13479</v>
      </c>
      <c r="I668" s="684" t="s">
        <v>13478</v>
      </c>
      <c r="J668" s="684" t="s">
        <v>13477</v>
      </c>
    </row>
    <row r="669" spans="1:10" ht="24" customHeight="1">
      <c r="A669" s="682" t="s">
        <v>13476</v>
      </c>
      <c r="B669" s="683" t="s">
        <v>15345</v>
      </c>
      <c r="C669" s="682" t="s">
        <v>7</v>
      </c>
      <c r="D669" s="682" t="s">
        <v>494</v>
      </c>
      <c r="E669" s="917" t="s">
        <v>13646</v>
      </c>
      <c r="F669" s="917"/>
      <c r="G669" s="681" t="s">
        <v>14</v>
      </c>
      <c r="H669" s="680">
        <v>1</v>
      </c>
      <c r="I669" s="679">
        <v>48.92</v>
      </c>
      <c r="J669" s="679">
        <v>48.92</v>
      </c>
    </row>
    <row r="670" spans="1:10" ht="24" customHeight="1">
      <c r="A670" s="677" t="s">
        <v>13472</v>
      </c>
      <c r="B670" s="678" t="s">
        <v>13834</v>
      </c>
      <c r="C670" s="677" t="s">
        <v>7</v>
      </c>
      <c r="D670" s="677" t="s">
        <v>4722</v>
      </c>
      <c r="E670" s="918" t="s">
        <v>13646</v>
      </c>
      <c r="F670" s="918"/>
      <c r="G670" s="676" t="s">
        <v>13610</v>
      </c>
      <c r="H670" s="675">
        <v>0.217</v>
      </c>
      <c r="I670" s="674">
        <v>104.4</v>
      </c>
      <c r="J670" s="674">
        <v>22.65</v>
      </c>
    </row>
    <row r="671" spans="1:10" ht="36" customHeight="1">
      <c r="A671" s="677" t="s">
        <v>13472</v>
      </c>
      <c r="B671" s="678" t="s">
        <v>13977</v>
      </c>
      <c r="C671" s="677" t="s">
        <v>7</v>
      </c>
      <c r="D671" s="677" t="s">
        <v>2207</v>
      </c>
      <c r="E671" s="918" t="s">
        <v>13646</v>
      </c>
      <c r="F671" s="918"/>
      <c r="G671" s="676" t="s">
        <v>17</v>
      </c>
      <c r="H671" s="675">
        <v>0.79</v>
      </c>
      <c r="I671" s="674">
        <v>16.559999999999999</v>
      </c>
      <c r="J671" s="674">
        <v>13.08</v>
      </c>
    </row>
    <row r="672" spans="1:10" ht="36" customHeight="1">
      <c r="A672" s="677" t="s">
        <v>13472</v>
      </c>
      <c r="B672" s="678" t="s">
        <v>14002</v>
      </c>
      <c r="C672" s="677" t="s">
        <v>7</v>
      </c>
      <c r="D672" s="677" t="s">
        <v>7010</v>
      </c>
      <c r="E672" s="918" t="s">
        <v>13646</v>
      </c>
      <c r="F672" s="918"/>
      <c r="G672" s="676" t="s">
        <v>13515</v>
      </c>
      <c r="H672" s="675">
        <v>2.4E-2</v>
      </c>
      <c r="I672" s="674">
        <v>360.42</v>
      </c>
      <c r="J672" s="674">
        <v>8.65</v>
      </c>
    </row>
    <row r="673" spans="1:10" ht="48" customHeight="1">
      <c r="A673" s="677" t="s">
        <v>13472</v>
      </c>
      <c r="B673" s="678" t="s">
        <v>14088</v>
      </c>
      <c r="C673" s="677" t="s">
        <v>7</v>
      </c>
      <c r="D673" s="677" t="s">
        <v>4319</v>
      </c>
      <c r="E673" s="918" t="s">
        <v>13470</v>
      </c>
      <c r="F673" s="918"/>
      <c r="G673" s="676" t="s">
        <v>13515</v>
      </c>
      <c r="H673" s="675">
        <v>1.9E-3</v>
      </c>
      <c r="I673" s="674">
        <v>392.81</v>
      </c>
      <c r="J673" s="674">
        <v>0.74</v>
      </c>
    </row>
    <row r="674" spans="1:10" ht="24" customHeight="1">
      <c r="A674" s="677" t="s">
        <v>13472</v>
      </c>
      <c r="B674" s="678" t="s">
        <v>13600</v>
      </c>
      <c r="C674" s="677" t="s">
        <v>7</v>
      </c>
      <c r="D674" s="677" t="s">
        <v>41</v>
      </c>
      <c r="E674" s="918" t="s">
        <v>13470</v>
      </c>
      <c r="F674" s="918"/>
      <c r="G674" s="676" t="s">
        <v>19</v>
      </c>
      <c r="H674" s="675">
        <v>6.8000000000000005E-2</v>
      </c>
      <c r="I674" s="674">
        <v>17.670000000000002</v>
      </c>
      <c r="J674" s="674">
        <v>1.2</v>
      </c>
    </row>
    <row r="675" spans="1:10" ht="24" customHeight="1">
      <c r="A675" s="677" t="s">
        <v>13472</v>
      </c>
      <c r="B675" s="678" t="s">
        <v>13471</v>
      </c>
      <c r="C675" s="677" t="s">
        <v>7</v>
      </c>
      <c r="D675" s="677" t="s">
        <v>21</v>
      </c>
      <c r="E675" s="918" t="s">
        <v>13470</v>
      </c>
      <c r="F675" s="918"/>
      <c r="G675" s="676" t="s">
        <v>19</v>
      </c>
      <c r="H675" s="675">
        <v>9.4E-2</v>
      </c>
      <c r="I675" s="674">
        <v>14.02</v>
      </c>
      <c r="J675" s="674">
        <v>1.31</v>
      </c>
    </row>
    <row r="676" spans="1:10" ht="24" customHeight="1">
      <c r="A676" s="672" t="s">
        <v>13467</v>
      </c>
      <c r="B676" s="673" t="s">
        <v>13641</v>
      </c>
      <c r="C676" s="672" t="s">
        <v>7</v>
      </c>
      <c r="D676" s="672" t="s">
        <v>13640</v>
      </c>
      <c r="E676" s="919" t="s">
        <v>13464</v>
      </c>
      <c r="F676" s="919"/>
      <c r="G676" s="671" t="s">
        <v>50</v>
      </c>
      <c r="H676" s="670">
        <v>7.0000000000000001E-3</v>
      </c>
      <c r="I676" s="669">
        <v>5.22</v>
      </c>
      <c r="J676" s="669">
        <v>0.03</v>
      </c>
    </row>
    <row r="677" spans="1:10" ht="36" customHeight="1">
      <c r="A677" s="672" t="s">
        <v>13467</v>
      </c>
      <c r="B677" s="673" t="s">
        <v>14074</v>
      </c>
      <c r="C677" s="672" t="s">
        <v>7</v>
      </c>
      <c r="D677" s="672" t="s">
        <v>14073</v>
      </c>
      <c r="E677" s="919" t="s">
        <v>13464</v>
      </c>
      <c r="F677" s="919"/>
      <c r="G677" s="671" t="s">
        <v>34</v>
      </c>
      <c r="H677" s="670">
        <v>6</v>
      </c>
      <c r="I677" s="669">
        <v>0.21</v>
      </c>
      <c r="J677" s="669">
        <v>1.26</v>
      </c>
    </row>
    <row r="678" spans="1:10" ht="25.5">
      <c r="A678" s="668"/>
      <c r="B678" s="668"/>
      <c r="C678" s="668"/>
      <c r="D678" s="668"/>
      <c r="E678" s="668" t="s">
        <v>13463</v>
      </c>
      <c r="F678" s="667">
        <v>3.5531891774421385</v>
      </c>
      <c r="G678" s="668" t="s">
        <v>13462</v>
      </c>
      <c r="H678" s="667">
        <v>2.99</v>
      </c>
      <c r="I678" s="668" t="s">
        <v>13461</v>
      </c>
      <c r="J678" s="667">
        <v>6.54</v>
      </c>
    </row>
    <row r="679" spans="1:10" ht="15" thickBot="1">
      <c r="A679" s="668"/>
      <c r="B679" s="668"/>
      <c r="C679" s="668"/>
      <c r="D679" s="668"/>
      <c r="E679" s="668" t="s">
        <v>13460</v>
      </c>
      <c r="F679" s="667">
        <v>13.81</v>
      </c>
      <c r="G679" s="668"/>
      <c r="H679" s="925" t="s">
        <v>13459</v>
      </c>
      <c r="I679" s="925"/>
      <c r="J679" s="667">
        <v>62.73</v>
      </c>
    </row>
    <row r="680" spans="1:10" ht="0.95" customHeight="1" thickTop="1">
      <c r="A680" s="666"/>
      <c r="B680" s="666"/>
      <c r="C680" s="666"/>
      <c r="D680" s="666"/>
      <c r="E680" s="666"/>
      <c r="F680" s="666"/>
      <c r="G680" s="666"/>
      <c r="H680" s="666"/>
      <c r="I680" s="666"/>
      <c r="J680" s="666"/>
    </row>
    <row r="681" spans="1:10" ht="18" customHeight="1">
      <c r="A681" s="686" t="s">
        <v>15344</v>
      </c>
      <c r="B681" s="684" t="s">
        <v>13484</v>
      </c>
      <c r="C681" s="686" t="s">
        <v>13483</v>
      </c>
      <c r="D681" s="686" t="s">
        <v>13482</v>
      </c>
      <c r="E681" s="924" t="s">
        <v>13481</v>
      </c>
      <c r="F681" s="924"/>
      <c r="G681" s="685" t="s">
        <v>13480</v>
      </c>
      <c r="H681" s="684" t="s">
        <v>13479</v>
      </c>
      <c r="I681" s="684" t="s">
        <v>13478</v>
      </c>
      <c r="J681" s="684" t="s">
        <v>13477</v>
      </c>
    </row>
    <row r="682" spans="1:10" ht="24" customHeight="1">
      <c r="A682" s="682" t="s">
        <v>13476</v>
      </c>
      <c r="B682" s="683" t="s">
        <v>15343</v>
      </c>
      <c r="C682" s="682" t="s">
        <v>7</v>
      </c>
      <c r="D682" s="682" t="s">
        <v>495</v>
      </c>
      <c r="E682" s="917" t="s">
        <v>13646</v>
      </c>
      <c r="F682" s="917"/>
      <c r="G682" s="681" t="s">
        <v>14</v>
      </c>
      <c r="H682" s="680">
        <v>1</v>
      </c>
      <c r="I682" s="679">
        <v>26.96</v>
      </c>
      <c r="J682" s="679">
        <v>26.96</v>
      </c>
    </row>
    <row r="683" spans="1:10" ht="24" customHeight="1">
      <c r="A683" s="677" t="s">
        <v>13472</v>
      </c>
      <c r="B683" s="678" t="s">
        <v>13834</v>
      </c>
      <c r="C683" s="677" t="s">
        <v>7</v>
      </c>
      <c r="D683" s="677" t="s">
        <v>4722</v>
      </c>
      <c r="E683" s="918" t="s">
        <v>13646</v>
      </c>
      <c r="F683" s="918"/>
      <c r="G683" s="676" t="s">
        <v>13610</v>
      </c>
      <c r="H683" s="675">
        <v>0.122</v>
      </c>
      <c r="I683" s="674">
        <v>104.4</v>
      </c>
      <c r="J683" s="674">
        <v>12.73</v>
      </c>
    </row>
    <row r="684" spans="1:10" ht="36" customHeight="1">
      <c r="A684" s="677" t="s">
        <v>13472</v>
      </c>
      <c r="B684" s="678" t="s">
        <v>13973</v>
      </c>
      <c r="C684" s="677" t="s">
        <v>7</v>
      </c>
      <c r="D684" s="677" t="s">
        <v>2205</v>
      </c>
      <c r="E684" s="918" t="s">
        <v>13646</v>
      </c>
      <c r="F684" s="918"/>
      <c r="G684" s="676" t="s">
        <v>17</v>
      </c>
      <c r="H684" s="675">
        <v>0.308</v>
      </c>
      <c r="I684" s="674">
        <v>15.36</v>
      </c>
      <c r="J684" s="674">
        <v>4.7300000000000004</v>
      </c>
    </row>
    <row r="685" spans="1:10" ht="36" customHeight="1">
      <c r="A685" s="677" t="s">
        <v>13472</v>
      </c>
      <c r="B685" s="678" t="s">
        <v>14002</v>
      </c>
      <c r="C685" s="677" t="s">
        <v>7</v>
      </c>
      <c r="D685" s="677" t="s">
        <v>7010</v>
      </c>
      <c r="E685" s="918" t="s">
        <v>13646</v>
      </c>
      <c r="F685" s="918"/>
      <c r="G685" s="676" t="s">
        <v>13515</v>
      </c>
      <c r="H685" s="675">
        <v>1.2E-2</v>
      </c>
      <c r="I685" s="674">
        <v>360.42</v>
      </c>
      <c r="J685" s="674">
        <v>4.32</v>
      </c>
    </row>
    <row r="686" spans="1:10" ht="48" customHeight="1">
      <c r="A686" s="677" t="s">
        <v>13472</v>
      </c>
      <c r="B686" s="678" t="s">
        <v>14088</v>
      </c>
      <c r="C686" s="677" t="s">
        <v>7</v>
      </c>
      <c r="D686" s="677" t="s">
        <v>4319</v>
      </c>
      <c r="E686" s="918" t="s">
        <v>13470</v>
      </c>
      <c r="F686" s="918"/>
      <c r="G686" s="676" t="s">
        <v>13515</v>
      </c>
      <c r="H686" s="675">
        <v>1.9E-3</v>
      </c>
      <c r="I686" s="674">
        <v>392.81</v>
      </c>
      <c r="J686" s="674">
        <v>0.74</v>
      </c>
    </row>
    <row r="687" spans="1:10" ht="24" customHeight="1">
      <c r="A687" s="677" t="s">
        <v>13472</v>
      </c>
      <c r="B687" s="678" t="s">
        <v>13600</v>
      </c>
      <c r="C687" s="677" t="s">
        <v>7</v>
      </c>
      <c r="D687" s="677" t="s">
        <v>41</v>
      </c>
      <c r="E687" s="918" t="s">
        <v>13470</v>
      </c>
      <c r="F687" s="918"/>
      <c r="G687" s="676" t="s">
        <v>19</v>
      </c>
      <c r="H687" s="675">
        <v>9.4E-2</v>
      </c>
      <c r="I687" s="674">
        <v>17.670000000000002</v>
      </c>
      <c r="J687" s="674">
        <v>1.66</v>
      </c>
    </row>
    <row r="688" spans="1:10" ht="24" customHeight="1">
      <c r="A688" s="677" t="s">
        <v>13472</v>
      </c>
      <c r="B688" s="678" t="s">
        <v>13471</v>
      </c>
      <c r="C688" s="677" t="s">
        <v>7</v>
      </c>
      <c r="D688" s="677" t="s">
        <v>21</v>
      </c>
      <c r="E688" s="918" t="s">
        <v>13470</v>
      </c>
      <c r="F688" s="918"/>
      <c r="G688" s="676" t="s">
        <v>19</v>
      </c>
      <c r="H688" s="675">
        <v>0.107</v>
      </c>
      <c r="I688" s="674">
        <v>14.02</v>
      </c>
      <c r="J688" s="674">
        <v>1.5</v>
      </c>
    </row>
    <row r="689" spans="1:10" ht="24" customHeight="1">
      <c r="A689" s="672" t="s">
        <v>13467</v>
      </c>
      <c r="B689" s="673" t="s">
        <v>13641</v>
      </c>
      <c r="C689" s="672" t="s">
        <v>7</v>
      </c>
      <c r="D689" s="672" t="s">
        <v>13640</v>
      </c>
      <c r="E689" s="919" t="s">
        <v>13464</v>
      </c>
      <c r="F689" s="919"/>
      <c r="G689" s="671" t="s">
        <v>50</v>
      </c>
      <c r="H689" s="670">
        <v>5.0000000000000001E-3</v>
      </c>
      <c r="I689" s="669">
        <v>5.22</v>
      </c>
      <c r="J689" s="669">
        <v>0.02</v>
      </c>
    </row>
    <row r="690" spans="1:10" ht="36" customHeight="1">
      <c r="A690" s="672" t="s">
        <v>13467</v>
      </c>
      <c r="B690" s="673" t="s">
        <v>14074</v>
      </c>
      <c r="C690" s="672" t="s">
        <v>7</v>
      </c>
      <c r="D690" s="672" t="s">
        <v>14073</v>
      </c>
      <c r="E690" s="919" t="s">
        <v>13464</v>
      </c>
      <c r="F690" s="919"/>
      <c r="G690" s="671" t="s">
        <v>34</v>
      </c>
      <c r="H690" s="670">
        <v>6</v>
      </c>
      <c r="I690" s="669">
        <v>0.21</v>
      </c>
      <c r="J690" s="669">
        <v>1.26</v>
      </c>
    </row>
    <row r="691" spans="1:10" ht="25.5">
      <c r="A691" s="668"/>
      <c r="B691" s="668"/>
      <c r="C691" s="668"/>
      <c r="D691" s="668"/>
      <c r="E691" s="668" t="s">
        <v>13463</v>
      </c>
      <c r="F691" s="667">
        <v>2.8197326958600457</v>
      </c>
      <c r="G691" s="668" t="s">
        <v>13462</v>
      </c>
      <c r="H691" s="667">
        <v>2.37</v>
      </c>
      <c r="I691" s="668" t="s">
        <v>13461</v>
      </c>
      <c r="J691" s="667">
        <v>5.19</v>
      </c>
    </row>
    <row r="692" spans="1:10" ht="15" thickBot="1">
      <c r="A692" s="668"/>
      <c r="B692" s="668"/>
      <c r="C692" s="668"/>
      <c r="D692" s="668"/>
      <c r="E692" s="668" t="s">
        <v>13460</v>
      </c>
      <c r="F692" s="667">
        <v>7.61</v>
      </c>
      <c r="G692" s="668"/>
      <c r="H692" s="925" t="s">
        <v>13459</v>
      </c>
      <c r="I692" s="925"/>
      <c r="J692" s="667">
        <v>34.57</v>
      </c>
    </row>
    <row r="693" spans="1:10" ht="0.95" customHeight="1" thickTop="1">
      <c r="A693" s="666"/>
      <c r="B693" s="666"/>
      <c r="C693" s="666"/>
      <c r="D693" s="666"/>
      <c r="E693" s="666"/>
      <c r="F693" s="666"/>
      <c r="G693" s="666"/>
      <c r="H693" s="666"/>
      <c r="I693" s="666"/>
      <c r="J693" s="666"/>
    </row>
    <row r="694" spans="1:10" ht="18" customHeight="1">
      <c r="A694" s="686" t="s">
        <v>15342</v>
      </c>
      <c r="B694" s="684" t="s">
        <v>13484</v>
      </c>
      <c r="C694" s="686" t="s">
        <v>13483</v>
      </c>
      <c r="D694" s="686" t="s">
        <v>13482</v>
      </c>
      <c r="E694" s="924" t="s">
        <v>13481</v>
      </c>
      <c r="F694" s="924"/>
      <c r="G694" s="685" t="s">
        <v>13480</v>
      </c>
      <c r="H694" s="684" t="s">
        <v>13479</v>
      </c>
      <c r="I694" s="684" t="s">
        <v>13478</v>
      </c>
      <c r="J694" s="684" t="s">
        <v>13477</v>
      </c>
    </row>
    <row r="695" spans="1:10" ht="24" customHeight="1">
      <c r="A695" s="682" t="s">
        <v>13476</v>
      </c>
      <c r="B695" s="683" t="s">
        <v>15341</v>
      </c>
      <c r="C695" s="682" t="s">
        <v>7</v>
      </c>
      <c r="D695" s="682" t="s">
        <v>2358</v>
      </c>
      <c r="E695" s="917" t="s">
        <v>13646</v>
      </c>
      <c r="F695" s="917"/>
      <c r="G695" s="681" t="s">
        <v>14</v>
      </c>
      <c r="H695" s="680">
        <v>1</v>
      </c>
      <c r="I695" s="679">
        <v>43.39</v>
      </c>
      <c r="J695" s="679">
        <v>43.39</v>
      </c>
    </row>
    <row r="696" spans="1:10" ht="24" customHeight="1">
      <c r="A696" s="677" t="s">
        <v>13472</v>
      </c>
      <c r="B696" s="678" t="s">
        <v>13834</v>
      </c>
      <c r="C696" s="677" t="s">
        <v>7</v>
      </c>
      <c r="D696" s="677" t="s">
        <v>4722</v>
      </c>
      <c r="E696" s="918" t="s">
        <v>13646</v>
      </c>
      <c r="F696" s="918"/>
      <c r="G696" s="676" t="s">
        <v>13610</v>
      </c>
      <c r="H696" s="675">
        <v>0.21299999999999999</v>
      </c>
      <c r="I696" s="674">
        <v>104.4</v>
      </c>
      <c r="J696" s="674">
        <v>22.23</v>
      </c>
    </row>
    <row r="697" spans="1:10" ht="36" customHeight="1">
      <c r="A697" s="677" t="s">
        <v>13472</v>
      </c>
      <c r="B697" s="678" t="s">
        <v>14303</v>
      </c>
      <c r="C697" s="677" t="s">
        <v>7</v>
      </c>
      <c r="D697" s="677" t="s">
        <v>2206</v>
      </c>
      <c r="E697" s="918" t="s">
        <v>13646</v>
      </c>
      <c r="F697" s="918"/>
      <c r="G697" s="676" t="s">
        <v>17</v>
      </c>
      <c r="H697" s="675">
        <v>0.49</v>
      </c>
      <c r="I697" s="674">
        <v>16.27</v>
      </c>
      <c r="J697" s="674">
        <v>7.97</v>
      </c>
    </row>
    <row r="698" spans="1:10" ht="36" customHeight="1">
      <c r="A698" s="677" t="s">
        <v>13472</v>
      </c>
      <c r="B698" s="678" t="s">
        <v>14002</v>
      </c>
      <c r="C698" s="677" t="s">
        <v>7</v>
      </c>
      <c r="D698" s="677" t="s">
        <v>7010</v>
      </c>
      <c r="E698" s="918" t="s">
        <v>13646</v>
      </c>
      <c r="F698" s="918"/>
      <c r="G698" s="676" t="s">
        <v>13515</v>
      </c>
      <c r="H698" s="675">
        <v>2.4E-2</v>
      </c>
      <c r="I698" s="674">
        <v>360.42</v>
      </c>
      <c r="J698" s="674">
        <v>8.65</v>
      </c>
    </row>
    <row r="699" spans="1:10" ht="48" customHeight="1">
      <c r="A699" s="677" t="s">
        <v>13472</v>
      </c>
      <c r="B699" s="678" t="s">
        <v>14088</v>
      </c>
      <c r="C699" s="677" t="s">
        <v>7</v>
      </c>
      <c r="D699" s="677" t="s">
        <v>4319</v>
      </c>
      <c r="E699" s="918" t="s">
        <v>13470</v>
      </c>
      <c r="F699" s="918"/>
      <c r="G699" s="676" t="s">
        <v>13515</v>
      </c>
      <c r="H699" s="675">
        <v>1.9E-3</v>
      </c>
      <c r="I699" s="674">
        <v>392.81</v>
      </c>
      <c r="J699" s="674">
        <v>0.74</v>
      </c>
    </row>
    <row r="700" spans="1:10" ht="24" customHeight="1">
      <c r="A700" s="677" t="s">
        <v>13472</v>
      </c>
      <c r="B700" s="678" t="s">
        <v>13600</v>
      </c>
      <c r="C700" s="677" t="s">
        <v>7</v>
      </c>
      <c r="D700" s="677" t="s">
        <v>41</v>
      </c>
      <c r="E700" s="918" t="s">
        <v>13470</v>
      </c>
      <c r="F700" s="918"/>
      <c r="G700" s="676" t="s">
        <v>19</v>
      </c>
      <c r="H700" s="675">
        <v>6.8000000000000005E-2</v>
      </c>
      <c r="I700" s="674">
        <v>17.670000000000002</v>
      </c>
      <c r="J700" s="674">
        <v>1.2</v>
      </c>
    </row>
    <row r="701" spans="1:10" ht="24" customHeight="1">
      <c r="A701" s="677" t="s">
        <v>13472</v>
      </c>
      <c r="B701" s="678" t="s">
        <v>13471</v>
      </c>
      <c r="C701" s="677" t="s">
        <v>7</v>
      </c>
      <c r="D701" s="677" t="s">
        <v>21</v>
      </c>
      <c r="E701" s="918" t="s">
        <v>13470</v>
      </c>
      <c r="F701" s="918"/>
      <c r="G701" s="676" t="s">
        <v>19</v>
      </c>
      <c r="H701" s="675">
        <v>9.4E-2</v>
      </c>
      <c r="I701" s="674">
        <v>14.02</v>
      </c>
      <c r="J701" s="674">
        <v>1.31</v>
      </c>
    </row>
    <row r="702" spans="1:10" ht="24" customHeight="1">
      <c r="A702" s="672" t="s">
        <v>13467</v>
      </c>
      <c r="B702" s="673" t="s">
        <v>13641</v>
      </c>
      <c r="C702" s="672" t="s">
        <v>7</v>
      </c>
      <c r="D702" s="672" t="s">
        <v>13640</v>
      </c>
      <c r="E702" s="919" t="s">
        <v>13464</v>
      </c>
      <c r="F702" s="919"/>
      <c r="G702" s="671" t="s">
        <v>50</v>
      </c>
      <c r="H702" s="670">
        <v>7.0000000000000001E-3</v>
      </c>
      <c r="I702" s="669">
        <v>5.22</v>
      </c>
      <c r="J702" s="669">
        <v>0.03</v>
      </c>
    </row>
    <row r="703" spans="1:10" ht="36" customHeight="1">
      <c r="A703" s="672" t="s">
        <v>13467</v>
      </c>
      <c r="B703" s="673" t="s">
        <v>14074</v>
      </c>
      <c r="C703" s="672" t="s">
        <v>7</v>
      </c>
      <c r="D703" s="672" t="s">
        <v>14073</v>
      </c>
      <c r="E703" s="919" t="s">
        <v>13464</v>
      </c>
      <c r="F703" s="919"/>
      <c r="G703" s="671" t="s">
        <v>34</v>
      </c>
      <c r="H703" s="670">
        <v>6</v>
      </c>
      <c r="I703" s="669">
        <v>0.21</v>
      </c>
      <c r="J703" s="669">
        <v>1.26</v>
      </c>
    </row>
    <row r="704" spans="1:10" ht="25.5">
      <c r="A704" s="668"/>
      <c r="B704" s="668"/>
      <c r="C704" s="668"/>
      <c r="D704" s="668"/>
      <c r="E704" s="668" t="s">
        <v>13463</v>
      </c>
      <c r="F704" s="667">
        <v>3.5368901445180918</v>
      </c>
      <c r="G704" s="668" t="s">
        <v>13462</v>
      </c>
      <c r="H704" s="667">
        <v>2.97</v>
      </c>
      <c r="I704" s="668" t="s">
        <v>13461</v>
      </c>
      <c r="J704" s="667">
        <v>6.51</v>
      </c>
    </row>
    <row r="705" spans="1:10" ht="15" thickBot="1">
      <c r="A705" s="668"/>
      <c r="B705" s="668"/>
      <c r="C705" s="668"/>
      <c r="D705" s="668"/>
      <c r="E705" s="668" t="s">
        <v>13460</v>
      </c>
      <c r="F705" s="667">
        <v>12.25</v>
      </c>
      <c r="G705" s="668"/>
      <c r="H705" s="925" t="s">
        <v>13459</v>
      </c>
      <c r="I705" s="925"/>
      <c r="J705" s="667">
        <v>55.64</v>
      </c>
    </row>
    <row r="706" spans="1:10" ht="0.95" customHeight="1" thickTop="1">
      <c r="A706" s="666"/>
      <c r="B706" s="666"/>
      <c r="C706" s="666"/>
      <c r="D706" s="666"/>
      <c r="E706" s="666"/>
      <c r="F706" s="666"/>
      <c r="G706" s="666"/>
      <c r="H706" s="666"/>
      <c r="I706" s="666"/>
      <c r="J706" s="666"/>
    </row>
    <row r="707" spans="1:10" ht="18" customHeight="1">
      <c r="A707" s="686" t="s">
        <v>15340</v>
      </c>
      <c r="B707" s="684" t="s">
        <v>13484</v>
      </c>
      <c r="C707" s="686" t="s">
        <v>13483</v>
      </c>
      <c r="D707" s="686" t="s">
        <v>13482</v>
      </c>
      <c r="E707" s="924" t="s">
        <v>13481</v>
      </c>
      <c r="F707" s="924"/>
      <c r="G707" s="685" t="s">
        <v>13480</v>
      </c>
      <c r="H707" s="684" t="s">
        <v>13479</v>
      </c>
      <c r="I707" s="684" t="s">
        <v>13478</v>
      </c>
      <c r="J707" s="684" t="s">
        <v>13477</v>
      </c>
    </row>
    <row r="708" spans="1:10" ht="24" customHeight="1">
      <c r="A708" s="682" t="s">
        <v>13476</v>
      </c>
      <c r="B708" s="683" t="s">
        <v>15339</v>
      </c>
      <c r="C708" s="682" t="s">
        <v>7</v>
      </c>
      <c r="D708" s="682" t="s">
        <v>498</v>
      </c>
      <c r="E708" s="917" t="s">
        <v>13646</v>
      </c>
      <c r="F708" s="917"/>
      <c r="G708" s="681" t="s">
        <v>14</v>
      </c>
      <c r="H708" s="680">
        <v>1</v>
      </c>
      <c r="I708" s="679">
        <v>2.2400000000000002</v>
      </c>
      <c r="J708" s="679">
        <v>2.2400000000000002</v>
      </c>
    </row>
    <row r="709" spans="1:10" ht="48" customHeight="1">
      <c r="A709" s="677" t="s">
        <v>13472</v>
      </c>
      <c r="B709" s="678" t="s">
        <v>14088</v>
      </c>
      <c r="C709" s="677" t="s">
        <v>7</v>
      </c>
      <c r="D709" s="677" t="s">
        <v>4319</v>
      </c>
      <c r="E709" s="918" t="s">
        <v>13470</v>
      </c>
      <c r="F709" s="918"/>
      <c r="G709" s="676" t="s">
        <v>13515</v>
      </c>
      <c r="H709" s="675">
        <v>3.5000000000000001E-3</v>
      </c>
      <c r="I709" s="674">
        <v>392.81</v>
      </c>
      <c r="J709" s="674">
        <v>1.37</v>
      </c>
    </row>
    <row r="710" spans="1:10" ht="24" customHeight="1">
      <c r="A710" s="677" t="s">
        <v>13472</v>
      </c>
      <c r="B710" s="678" t="s">
        <v>13471</v>
      </c>
      <c r="C710" s="677" t="s">
        <v>7</v>
      </c>
      <c r="D710" s="677" t="s">
        <v>21</v>
      </c>
      <c r="E710" s="918" t="s">
        <v>13470</v>
      </c>
      <c r="F710" s="918"/>
      <c r="G710" s="676" t="s">
        <v>19</v>
      </c>
      <c r="H710" s="675">
        <v>8.9999999999999993E-3</v>
      </c>
      <c r="I710" s="674">
        <v>14.02</v>
      </c>
      <c r="J710" s="674">
        <v>0.12</v>
      </c>
    </row>
    <row r="711" spans="1:10" ht="24" customHeight="1">
      <c r="A711" s="677" t="s">
        <v>13472</v>
      </c>
      <c r="B711" s="678" t="s">
        <v>13600</v>
      </c>
      <c r="C711" s="677" t="s">
        <v>7</v>
      </c>
      <c r="D711" s="677" t="s">
        <v>41</v>
      </c>
      <c r="E711" s="918" t="s">
        <v>13470</v>
      </c>
      <c r="F711" s="918"/>
      <c r="G711" s="676" t="s">
        <v>19</v>
      </c>
      <c r="H711" s="675">
        <v>4.2999999999999997E-2</v>
      </c>
      <c r="I711" s="674">
        <v>17.670000000000002</v>
      </c>
      <c r="J711" s="674">
        <v>0.75</v>
      </c>
    </row>
    <row r="712" spans="1:10" ht="25.5">
      <c r="A712" s="668"/>
      <c r="B712" s="668"/>
      <c r="C712" s="668"/>
      <c r="D712" s="668"/>
      <c r="E712" s="668" t="s">
        <v>13463</v>
      </c>
      <c r="F712" s="667">
        <v>0.45093991089862001</v>
      </c>
      <c r="G712" s="668" t="s">
        <v>13462</v>
      </c>
      <c r="H712" s="667">
        <v>0.38</v>
      </c>
      <c r="I712" s="668" t="s">
        <v>13461</v>
      </c>
      <c r="J712" s="667">
        <v>0.83</v>
      </c>
    </row>
    <row r="713" spans="1:10" ht="15" thickBot="1">
      <c r="A713" s="668"/>
      <c r="B713" s="668"/>
      <c r="C713" s="668"/>
      <c r="D713" s="668"/>
      <c r="E713" s="668" t="s">
        <v>13460</v>
      </c>
      <c r="F713" s="667">
        <v>0.63</v>
      </c>
      <c r="G713" s="668"/>
      <c r="H713" s="925" t="s">
        <v>13459</v>
      </c>
      <c r="I713" s="925"/>
      <c r="J713" s="667">
        <v>2.87</v>
      </c>
    </row>
    <row r="714" spans="1:10" ht="0.95" customHeight="1" thickTop="1">
      <c r="A714" s="666"/>
      <c r="B714" s="666"/>
      <c r="C714" s="666"/>
      <c r="D714" s="666"/>
      <c r="E714" s="666"/>
      <c r="F714" s="666"/>
      <c r="G714" s="666"/>
      <c r="H714" s="666"/>
      <c r="I714" s="666"/>
      <c r="J714" s="666"/>
    </row>
    <row r="715" spans="1:10" ht="18" customHeight="1">
      <c r="A715" s="686" t="s">
        <v>15338</v>
      </c>
      <c r="B715" s="684" t="s">
        <v>13484</v>
      </c>
      <c r="C715" s="686" t="s">
        <v>13483</v>
      </c>
      <c r="D715" s="686" t="s">
        <v>13482</v>
      </c>
      <c r="E715" s="924" t="s">
        <v>13481</v>
      </c>
      <c r="F715" s="924"/>
      <c r="G715" s="685" t="s">
        <v>13480</v>
      </c>
      <c r="H715" s="684" t="s">
        <v>13479</v>
      </c>
      <c r="I715" s="684" t="s">
        <v>13478</v>
      </c>
      <c r="J715" s="684" t="s">
        <v>13477</v>
      </c>
    </row>
    <row r="716" spans="1:10" ht="48" customHeight="1">
      <c r="A716" s="682" t="s">
        <v>13476</v>
      </c>
      <c r="B716" s="683" t="s">
        <v>15337</v>
      </c>
      <c r="C716" s="682" t="s">
        <v>7</v>
      </c>
      <c r="D716" s="682" t="s">
        <v>2140</v>
      </c>
      <c r="E716" s="917" t="s">
        <v>13770</v>
      </c>
      <c r="F716" s="917"/>
      <c r="G716" s="681" t="s">
        <v>34</v>
      </c>
      <c r="H716" s="680">
        <v>1</v>
      </c>
      <c r="I716" s="679">
        <v>2147.66</v>
      </c>
      <c r="J716" s="679">
        <v>2147.66</v>
      </c>
    </row>
    <row r="717" spans="1:10" ht="36" customHeight="1">
      <c r="A717" s="677" t="s">
        <v>13472</v>
      </c>
      <c r="B717" s="678" t="s">
        <v>13774</v>
      </c>
      <c r="C717" s="677" t="s">
        <v>7</v>
      </c>
      <c r="D717" s="677" t="s">
        <v>3634</v>
      </c>
      <c r="E717" s="918" t="s">
        <v>13770</v>
      </c>
      <c r="F717" s="918"/>
      <c r="G717" s="676" t="s">
        <v>34</v>
      </c>
      <c r="H717" s="675">
        <v>1</v>
      </c>
      <c r="I717" s="674">
        <v>223.6</v>
      </c>
      <c r="J717" s="674">
        <v>223.6</v>
      </c>
    </row>
    <row r="718" spans="1:10" ht="24" customHeight="1">
      <c r="A718" s="677" t="s">
        <v>13472</v>
      </c>
      <c r="B718" s="678" t="s">
        <v>13767</v>
      </c>
      <c r="C718" s="677" t="s">
        <v>7</v>
      </c>
      <c r="D718" s="677" t="s">
        <v>144</v>
      </c>
      <c r="E718" s="918" t="s">
        <v>13470</v>
      </c>
      <c r="F718" s="918"/>
      <c r="G718" s="676" t="s">
        <v>19</v>
      </c>
      <c r="H718" s="675">
        <v>2.8439999999999999</v>
      </c>
      <c r="I718" s="674">
        <v>12.66</v>
      </c>
      <c r="J718" s="674">
        <v>36</v>
      </c>
    </row>
    <row r="719" spans="1:10" ht="24" customHeight="1">
      <c r="A719" s="677" t="s">
        <v>13472</v>
      </c>
      <c r="B719" s="678" t="s">
        <v>13471</v>
      </c>
      <c r="C719" s="677" t="s">
        <v>7</v>
      </c>
      <c r="D719" s="677" t="s">
        <v>21</v>
      </c>
      <c r="E719" s="918" t="s">
        <v>13470</v>
      </c>
      <c r="F719" s="918"/>
      <c r="G719" s="676" t="s">
        <v>19</v>
      </c>
      <c r="H719" s="675">
        <v>0.65600000000000003</v>
      </c>
      <c r="I719" s="674">
        <v>14.02</v>
      </c>
      <c r="J719" s="674">
        <v>9.19</v>
      </c>
    </row>
    <row r="720" spans="1:10" ht="24" customHeight="1">
      <c r="A720" s="672" t="s">
        <v>13467</v>
      </c>
      <c r="B720" s="673" t="s">
        <v>15320</v>
      </c>
      <c r="C720" s="672" t="s">
        <v>7</v>
      </c>
      <c r="D720" s="672" t="s">
        <v>15319</v>
      </c>
      <c r="E720" s="919" t="s">
        <v>13464</v>
      </c>
      <c r="F720" s="919"/>
      <c r="G720" s="671" t="s">
        <v>17</v>
      </c>
      <c r="H720" s="670">
        <v>53.86</v>
      </c>
      <c r="I720" s="669">
        <v>9.61</v>
      </c>
      <c r="J720" s="669">
        <v>517.59</v>
      </c>
    </row>
    <row r="721" spans="1:10" ht="24" customHeight="1">
      <c r="A721" s="672" t="s">
        <v>13467</v>
      </c>
      <c r="B721" s="673" t="s">
        <v>15318</v>
      </c>
      <c r="C721" s="672" t="s">
        <v>7</v>
      </c>
      <c r="D721" s="672" t="s">
        <v>15317</v>
      </c>
      <c r="E721" s="919" t="s">
        <v>13464</v>
      </c>
      <c r="F721" s="919"/>
      <c r="G721" s="671" t="s">
        <v>17</v>
      </c>
      <c r="H721" s="670">
        <v>0.52200000000000002</v>
      </c>
      <c r="I721" s="669">
        <v>22</v>
      </c>
      <c r="J721" s="669">
        <v>11.48</v>
      </c>
    </row>
    <row r="722" spans="1:10" ht="36" customHeight="1">
      <c r="A722" s="672" t="s">
        <v>13467</v>
      </c>
      <c r="B722" s="673" t="s">
        <v>15316</v>
      </c>
      <c r="C722" s="672" t="s">
        <v>7</v>
      </c>
      <c r="D722" s="672" t="s">
        <v>15315</v>
      </c>
      <c r="E722" s="919" t="s">
        <v>13464</v>
      </c>
      <c r="F722" s="919"/>
      <c r="G722" s="671" t="s">
        <v>17</v>
      </c>
      <c r="H722" s="670">
        <v>133.38</v>
      </c>
      <c r="I722" s="669">
        <v>10.119999999999999</v>
      </c>
      <c r="J722" s="669">
        <v>1349.8</v>
      </c>
    </row>
    <row r="723" spans="1:10" ht="25.5">
      <c r="A723" s="668"/>
      <c r="B723" s="668"/>
      <c r="C723" s="668"/>
      <c r="D723" s="668"/>
      <c r="E723" s="668" t="s">
        <v>13463</v>
      </c>
      <c r="F723" s="667">
        <v>77.012930566119749</v>
      </c>
      <c r="G723" s="668" t="s">
        <v>13462</v>
      </c>
      <c r="H723" s="667">
        <v>64.739999999999995</v>
      </c>
      <c r="I723" s="668" t="s">
        <v>13461</v>
      </c>
      <c r="J723" s="667">
        <v>141.75</v>
      </c>
    </row>
    <row r="724" spans="1:10" ht="15" thickBot="1">
      <c r="A724" s="668"/>
      <c r="B724" s="668"/>
      <c r="C724" s="668"/>
      <c r="D724" s="668"/>
      <c r="E724" s="668" t="s">
        <v>13460</v>
      </c>
      <c r="F724" s="667">
        <v>606.49</v>
      </c>
      <c r="G724" s="668"/>
      <c r="H724" s="925" t="s">
        <v>13459</v>
      </c>
      <c r="I724" s="925"/>
      <c r="J724" s="667">
        <v>2754.15</v>
      </c>
    </row>
    <row r="725" spans="1:10" ht="0.95" customHeight="1" thickTop="1">
      <c r="A725" s="666"/>
      <c r="B725" s="666"/>
      <c r="C725" s="666"/>
      <c r="D725" s="666"/>
      <c r="E725" s="666"/>
      <c r="F725" s="666"/>
      <c r="G725" s="666"/>
      <c r="H725" s="666"/>
      <c r="I725" s="666"/>
      <c r="J725" s="666"/>
    </row>
    <row r="726" spans="1:10" ht="18" customHeight="1">
      <c r="A726" s="686" t="s">
        <v>15336</v>
      </c>
      <c r="B726" s="684" t="s">
        <v>13484</v>
      </c>
      <c r="C726" s="686" t="s">
        <v>13483</v>
      </c>
      <c r="D726" s="686" t="s">
        <v>13482</v>
      </c>
      <c r="E726" s="924" t="s">
        <v>13481</v>
      </c>
      <c r="F726" s="924"/>
      <c r="G726" s="685" t="s">
        <v>13480</v>
      </c>
      <c r="H726" s="684" t="s">
        <v>13479</v>
      </c>
      <c r="I726" s="684" t="s">
        <v>13478</v>
      </c>
      <c r="J726" s="684" t="s">
        <v>13477</v>
      </c>
    </row>
    <row r="727" spans="1:10" ht="48" customHeight="1">
      <c r="A727" s="682" t="s">
        <v>13476</v>
      </c>
      <c r="B727" s="683" t="s">
        <v>15335</v>
      </c>
      <c r="C727" s="682" t="s">
        <v>7</v>
      </c>
      <c r="D727" s="682" t="s">
        <v>2138</v>
      </c>
      <c r="E727" s="917" t="s">
        <v>13770</v>
      </c>
      <c r="F727" s="917"/>
      <c r="G727" s="681" t="s">
        <v>34</v>
      </c>
      <c r="H727" s="680">
        <v>1</v>
      </c>
      <c r="I727" s="679">
        <v>1869.65</v>
      </c>
      <c r="J727" s="679">
        <v>1869.65</v>
      </c>
    </row>
    <row r="728" spans="1:10" ht="36" customHeight="1">
      <c r="A728" s="677" t="s">
        <v>13472</v>
      </c>
      <c r="B728" s="678" t="s">
        <v>13774</v>
      </c>
      <c r="C728" s="677" t="s">
        <v>7</v>
      </c>
      <c r="D728" s="677" t="s">
        <v>3634</v>
      </c>
      <c r="E728" s="918" t="s">
        <v>13770</v>
      </c>
      <c r="F728" s="918"/>
      <c r="G728" s="676" t="s">
        <v>34</v>
      </c>
      <c r="H728" s="675">
        <v>1</v>
      </c>
      <c r="I728" s="674">
        <v>223.6</v>
      </c>
      <c r="J728" s="674">
        <v>223.6</v>
      </c>
    </row>
    <row r="729" spans="1:10" ht="24" customHeight="1">
      <c r="A729" s="677" t="s">
        <v>13472</v>
      </c>
      <c r="B729" s="678" t="s">
        <v>13767</v>
      </c>
      <c r="C729" s="677" t="s">
        <v>7</v>
      </c>
      <c r="D729" s="677" t="s">
        <v>144</v>
      </c>
      <c r="E729" s="918" t="s">
        <v>13470</v>
      </c>
      <c r="F729" s="918"/>
      <c r="G729" s="676" t="s">
        <v>19</v>
      </c>
      <c r="H729" s="675">
        <v>2.8439999999999999</v>
      </c>
      <c r="I729" s="674">
        <v>12.66</v>
      </c>
      <c r="J729" s="674">
        <v>36</v>
      </c>
    </row>
    <row r="730" spans="1:10" ht="24" customHeight="1">
      <c r="A730" s="677" t="s">
        <v>13472</v>
      </c>
      <c r="B730" s="678" t="s">
        <v>13471</v>
      </c>
      <c r="C730" s="677" t="s">
        <v>7</v>
      </c>
      <c r="D730" s="677" t="s">
        <v>21</v>
      </c>
      <c r="E730" s="918" t="s">
        <v>13470</v>
      </c>
      <c r="F730" s="918"/>
      <c r="G730" s="676" t="s">
        <v>19</v>
      </c>
      <c r="H730" s="675">
        <v>0.65600000000000003</v>
      </c>
      <c r="I730" s="674">
        <v>14.02</v>
      </c>
      <c r="J730" s="674">
        <v>9.19</v>
      </c>
    </row>
    <row r="731" spans="1:10" ht="24" customHeight="1">
      <c r="A731" s="672" t="s">
        <v>13467</v>
      </c>
      <c r="B731" s="673" t="s">
        <v>15320</v>
      </c>
      <c r="C731" s="672" t="s">
        <v>7</v>
      </c>
      <c r="D731" s="672" t="s">
        <v>15319</v>
      </c>
      <c r="E731" s="919" t="s">
        <v>13464</v>
      </c>
      <c r="F731" s="919"/>
      <c r="G731" s="671" t="s">
        <v>17</v>
      </c>
      <c r="H731" s="670">
        <v>46.54</v>
      </c>
      <c r="I731" s="669">
        <v>9.61</v>
      </c>
      <c r="J731" s="669">
        <v>447.24</v>
      </c>
    </row>
    <row r="732" spans="1:10" ht="24" customHeight="1">
      <c r="A732" s="672" t="s">
        <v>13467</v>
      </c>
      <c r="B732" s="673" t="s">
        <v>15318</v>
      </c>
      <c r="C732" s="672" t="s">
        <v>7</v>
      </c>
      <c r="D732" s="672" t="s">
        <v>15317</v>
      </c>
      <c r="E732" s="919" t="s">
        <v>13464</v>
      </c>
      <c r="F732" s="919"/>
      <c r="G732" s="671" t="s">
        <v>17</v>
      </c>
      <c r="H732" s="670">
        <v>0.52200000000000002</v>
      </c>
      <c r="I732" s="669">
        <v>22</v>
      </c>
      <c r="J732" s="669">
        <v>11.48</v>
      </c>
    </row>
    <row r="733" spans="1:10" ht="36" customHeight="1">
      <c r="A733" s="672" t="s">
        <v>13467</v>
      </c>
      <c r="B733" s="673" t="s">
        <v>15316</v>
      </c>
      <c r="C733" s="672" t="s">
        <v>7</v>
      </c>
      <c r="D733" s="672" t="s">
        <v>15315</v>
      </c>
      <c r="E733" s="919" t="s">
        <v>13464</v>
      </c>
      <c r="F733" s="919"/>
      <c r="G733" s="671" t="s">
        <v>17</v>
      </c>
      <c r="H733" s="670">
        <v>112.86</v>
      </c>
      <c r="I733" s="669">
        <v>10.119999999999999</v>
      </c>
      <c r="J733" s="669">
        <v>1142.1400000000001</v>
      </c>
    </row>
    <row r="734" spans="1:10" ht="25.5">
      <c r="A734" s="668"/>
      <c r="B734" s="668"/>
      <c r="C734" s="668"/>
      <c r="D734" s="668"/>
      <c r="E734" s="668" t="s">
        <v>13463</v>
      </c>
      <c r="F734" s="667">
        <v>77.012930566119749</v>
      </c>
      <c r="G734" s="668" t="s">
        <v>13462</v>
      </c>
      <c r="H734" s="667">
        <v>64.739999999999995</v>
      </c>
      <c r="I734" s="668" t="s">
        <v>13461</v>
      </c>
      <c r="J734" s="667">
        <v>141.75</v>
      </c>
    </row>
    <row r="735" spans="1:10" ht="15" thickBot="1">
      <c r="A735" s="668"/>
      <c r="B735" s="668"/>
      <c r="C735" s="668"/>
      <c r="D735" s="668"/>
      <c r="E735" s="668" t="s">
        <v>13460</v>
      </c>
      <c r="F735" s="667">
        <v>527.98</v>
      </c>
      <c r="G735" s="668"/>
      <c r="H735" s="925" t="s">
        <v>13459</v>
      </c>
      <c r="I735" s="925"/>
      <c r="J735" s="667">
        <v>2397.63</v>
      </c>
    </row>
    <row r="736" spans="1:10" ht="0.95" customHeight="1" thickTop="1">
      <c r="A736" s="666"/>
      <c r="B736" s="666"/>
      <c r="C736" s="666"/>
      <c r="D736" s="666"/>
      <c r="E736" s="666"/>
      <c r="F736" s="666"/>
      <c r="G736" s="666"/>
      <c r="H736" s="666"/>
      <c r="I736" s="666"/>
      <c r="J736" s="666"/>
    </row>
    <row r="737" spans="1:10" ht="18" customHeight="1">
      <c r="A737" s="686" t="s">
        <v>15334</v>
      </c>
      <c r="B737" s="684" t="s">
        <v>13484</v>
      </c>
      <c r="C737" s="686" t="s">
        <v>13483</v>
      </c>
      <c r="D737" s="686" t="s">
        <v>13482</v>
      </c>
      <c r="E737" s="924" t="s">
        <v>13481</v>
      </c>
      <c r="F737" s="924"/>
      <c r="G737" s="685" t="s">
        <v>13480</v>
      </c>
      <c r="H737" s="684" t="s">
        <v>13479</v>
      </c>
      <c r="I737" s="684" t="s">
        <v>13478</v>
      </c>
      <c r="J737" s="684" t="s">
        <v>13477</v>
      </c>
    </row>
    <row r="738" spans="1:10" ht="48" customHeight="1">
      <c r="A738" s="682" t="s">
        <v>13476</v>
      </c>
      <c r="B738" s="683" t="s">
        <v>15333</v>
      </c>
      <c r="C738" s="682" t="s">
        <v>7</v>
      </c>
      <c r="D738" s="682" t="s">
        <v>2137</v>
      </c>
      <c r="E738" s="917" t="s">
        <v>13770</v>
      </c>
      <c r="F738" s="917"/>
      <c r="G738" s="681" t="s">
        <v>34</v>
      </c>
      <c r="H738" s="680">
        <v>1</v>
      </c>
      <c r="I738" s="679">
        <v>1651.67</v>
      </c>
      <c r="J738" s="679">
        <v>1651.67</v>
      </c>
    </row>
    <row r="739" spans="1:10" ht="36" customHeight="1">
      <c r="A739" s="677" t="s">
        <v>13472</v>
      </c>
      <c r="B739" s="678" t="s">
        <v>13771</v>
      </c>
      <c r="C739" s="677" t="s">
        <v>7</v>
      </c>
      <c r="D739" s="677" t="s">
        <v>3633</v>
      </c>
      <c r="E739" s="918" t="s">
        <v>13770</v>
      </c>
      <c r="F739" s="918"/>
      <c r="G739" s="676" t="s">
        <v>34</v>
      </c>
      <c r="H739" s="675">
        <v>1</v>
      </c>
      <c r="I739" s="674">
        <v>185.75</v>
      </c>
      <c r="J739" s="674">
        <v>185.75</v>
      </c>
    </row>
    <row r="740" spans="1:10" ht="24" customHeight="1">
      <c r="A740" s="677" t="s">
        <v>13472</v>
      </c>
      <c r="B740" s="678" t="s">
        <v>13767</v>
      </c>
      <c r="C740" s="677" t="s">
        <v>7</v>
      </c>
      <c r="D740" s="677" t="s">
        <v>144</v>
      </c>
      <c r="E740" s="918" t="s">
        <v>13470</v>
      </c>
      <c r="F740" s="918"/>
      <c r="G740" s="676" t="s">
        <v>19</v>
      </c>
      <c r="H740" s="675">
        <v>2.8439999999999999</v>
      </c>
      <c r="I740" s="674">
        <v>12.66</v>
      </c>
      <c r="J740" s="674">
        <v>36</v>
      </c>
    </row>
    <row r="741" spans="1:10" ht="24" customHeight="1">
      <c r="A741" s="677" t="s">
        <v>13472</v>
      </c>
      <c r="B741" s="678" t="s">
        <v>13471</v>
      </c>
      <c r="C741" s="677" t="s">
        <v>7</v>
      </c>
      <c r="D741" s="677" t="s">
        <v>21</v>
      </c>
      <c r="E741" s="918" t="s">
        <v>13470</v>
      </c>
      <c r="F741" s="918"/>
      <c r="G741" s="676" t="s">
        <v>19</v>
      </c>
      <c r="H741" s="675">
        <v>0.65600000000000003</v>
      </c>
      <c r="I741" s="674">
        <v>14.02</v>
      </c>
      <c r="J741" s="674">
        <v>9.19</v>
      </c>
    </row>
    <row r="742" spans="1:10" ht="24" customHeight="1">
      <c r="A742" s="672" t="s">
        <v>13467</v>
      </c>
      <c r="B742" s="673" t="s">
        <v>15320</v>
      </c>
      <c r="C742" s="672" t="s">
        <v>7</v>
      </c>
      <c r="D742" s="672" t="s">
        <v>15319</v>
      </c>
      <c r="E742" s="919" t="s">
        <v>13464</v>
      </c>
      <c r="F742" s="919"/>
      <c r="G742" s="671" t="s">
        <v>17</v>
      </c>
      <c r="H742" s="670">
        <v>38.6</v>
      </c>
      <c r="I742" s="669">
        <v>9.61</v>
      </c>
      <c r="J742" s="669">
        <v>370.94</v>
      </c>
    </row>
    <row r="743" spans="1:10" ht="24" customHeight="1">
      <c r="A743" s="672" t="s">
        <v>13467</v>
      </c>
      <c r="B743" s="673" t="s">
        <v>15318</v>
      </c>
      <c r="C743" s="672" t="s">
        <v>7</v>
      </c>
      <c r="D743" s="672" t="s">
        <v>15317</v>
      </c>
      <c r="E743" s="919" t="s">
        <v>13464</v>
      </c>
      <c r="F743" s="919"/>
      <c r="G743" s="671" t="s">
        <v>17</v>
      </c>
      <c r="H743" s="670">
        <v>0.52200000000000002</v>
      </c>
      <c r="I743" s="669">
        <v>22</v>
      </c>
      <c r="J743" s="669">
        <v>11.48</v>
      </c>
    </row>
    <row r="744" spans="1:10" ht="36" customHeight="1">
      <c r="A744" s="672" t="s">
        <v>13467</v>
      </c>
      <c r="B744" s="673" t="s">
        <v>15316</v>
      </c>
      <c r="C744" s="672" t="s">
        <v>7</v>
      </c>
      <c r="D744" s="672" t="s">
        <v>15315</v>
      </c>
      <c r="E744" s="919" t="s">
        <v>13464</v>
      </c>
      <c r="F744" s="919"/>
      <c r="G744" s="671" t="s">
        <v>17</v>
      </c>
      <c r="H744" s="670">
        <v>102.6</v>
      </c>
      <c r="I744" s="669">
        <v>10.119999999999999</v>
      </c>
      <c r="J744" s="669">
        <v>1038.31</v>
      </c>
    </row>
    <row r="745" spans="1:10" ht="25.5">
      <c r="A745" s="668"/>
      <c r="B745" s="668"/>
      <c r="C745" s="668"/>
      <c r="D745" s="668"/>
      <c r="E745" s="668" t="s">
        <v>13463</v>
      </c>
      <c r="F745" s="667">
        <v>61.338693904161687</v>
      </c>
      <c r="G745" s="668" t="s">
        <v>13462</v>
      </c>
      <c r="H745" s="667">
        <v>51.56</v>
      </c>
      <c r="I745" s="668" t="s">
        <v>13461</v>
      </c>
      <c r="J745" s="667">
        <v>112.9</v>
      </c>
    </row>
    <row r="746" spans="1:10" ht="15" thickBot="1">
      <c r="A746" s="668"/>
      <c r="B746" s="668"/>
      <c r="C746" s="668"/>
      <c r="D746" s="668"/>
      <c r="E746" s="668" t="s">
        <v>13460</v>
      </c>
      <c r="F746" s="667">
        <v>466.43</v>
      </c>
      <c r="G746" s="668"/>
      <c r="H746" s="925" t="s">
        <v>13459</v>
      </c>
      <c r="I746" s="925"/>
      <c r="J746" s="667">
        <v>2118.1</v>
      </c>
    </row>
    <row r="747" spans="1:10" ht="0.95" customHeight="1" thickTop="1">
      <c r="A747" s="666"/>
      <c r="B747" s="666"/>
      <c r="C747" s="666"/>
      <c r="D747" s="666"/>
      <c r="E747" s="666"/>
      <c r="F747" s="666"/>
      <c r="G747" s="666"/>
      <c r="H747" s="666"/>
      <c r="I747" s="666"/>
      <c r="J747" s="666"/>
    </row>
    <row r="748" spans="1:10" ht="18" customHeight="1">
      <c r="A748" s="686" t="s">
        <v>15332</v>
      </c>
      <c r="B748" s="684" t="s">
        <v>13484</v>
      </c>
      <c r="C748" s="686" t="s">
        <v>13483</v>
      </c>
      <c r="D748" s="686" t="s">
        <v>13482</v>
      </c>
      <c r="E748" s="924" t="s">
        <v>13481</v>
      </c>
      <c r="F748" s="924"/>
      <c r="G748" s="685" t="s">
        <v>13480</v>
      </c>
      <c r="H748" s="684" t="s">
        <v>13479</v>
      </c>
      <c r="I748" s="684" t="s">
        <v>13478</v>
      </c>
      <c r="J748" s="684" t="s">
        <v>13477</v>
      </c>
    </row>
    <row r="749" spans="1:10" ht="48" customHeight="1">
      <c r="A749" s="682" t="s">
        <v>13476</v>
      </c>
      <c r="B749" s="683" t="s">
        <v>15331</v>
      </c>
      <c r="C749" s="682" t="s">
        <v>7</v>
      </c>
      <c r="D749" s="682" t="s">
        <v>2136</v>
      </c>
      <c r="E749" s="917" t="s">
        <v>13770</v>
      </c>
      <c r="F749" s="917"/>
      <c r="G749" s="681" t="s">
        <v>34</v>
      </c>
      <c r="H749" s="680">
        <v>1</v>
      </c>
      <c r="I749" s="679">
        <v>1463.03</v>
      </c>
      <c r="J749" s="679">
        <v>1463.03</v>
      </c>
    </row>
    <row r="750" spans="1:10" ht="36" customHeight="1">
      <c r="A750" s="677" t="s">
        <v>13472</v>
      </c>
      <c r="B750" s="678" t="s">
        <v>13771</v>
      </c>
      <c r="C750" s="677" t="s">
        <v>7</v>
      </c>
      <c r="D750" s="677" t="s">
        <v>3633</v>
      </c>
      <c r="E750" s="918" t="s">
        <v>13770</v>
      </c>
      <c r="F750" s="918"/>
      <c r="G750" s="676" t="s">
        <v>34</v>
      </c>
      <c r="H750" s="675">
        <v>1</v>
      </c>
      <c r="I750" s="674">
        <v>185.75</v>
      </c>
      <c r="J750" s="674">
        <v>185.75</v>
      </c>
    </row>
    <row r="751" spans="1:10" ht="24" customHeight="1">
      <c r="A751" s="677" t="s">
        <v>13472</v>
      </c>
      <c r="B751" s="678" t="s">
        <v>13767</v>
      </c>
      <c r="C751" s="677" t="s">
        <v>7</v>
      </c>
      <c r="D751" s="677" t="s">
        <v>144</v>
      </c>
      <c r="E751" s="918" t="s">
        <v>13470</v>
      </c>
      <c r="F751" s="918"/>
      <c r="G751" s="676" t="s">
        <v>19</v>
      </c>
      <c r="H751" s="675">
        <v>2.133</v>
      </c>
      <c r="I751" s="674">
        <v>12.66</v>
      </c>
      <c r="J751" s="674">
        <v>27</v>
      </c>
    </row>
    <row r="752" spans="1:10" ht="24" customHeight="1">
      <c r="A752" s="677" t="s">
        <v>13472</v>
      </c>
      <c r="B752" s="678" t="s">
        <v>13471</v>
      </c>
      <c r="C752" s="677" t="s">
        <v>7</v>
      </c>
      <c r="D752" s="677" t="s">
        <v>21</v>
      </c>
      <c r="E752" s="918" t="s">
        <v>13470</v>
      </c>
      <c r="F752" s="918"/>
      <c r="G752" s="676" t="s">
        <v>19</v>
      </c>
      <c r="H752" s="675">
        <v>0.49199999999999999</v>
      </c>
      <c r="I752" s="674">
        <v>14.02</v>
      </c>
      <c r="J752" s="674">
        <v>6.89</v>
      </c>
    </row>
    <row r="753" spans="1:10" ht="24" customHeight="1">
      <c r="A753" s="672" t="s">
        <v>13467</v>
      </c>
      <c r="B753" s="673" t="s">
        <v>15320</v>
      </c>
      <c r="C753" s="672" t="s">
        <v>7</v>
      </c>
      <c r="D753" s="672" t="s">
        <v>15319</v>
      </c>
      <c r="E753" s="919" t="s">
        <v>13464</v>
      </c>
      <c r="F753" s="919"/>
      <c r="G753" s="671" t="s">
        <v>17</v>
      </c>
      <c r="H753" s="670">
        <v>31.28</v>
      </c>
      <c r="I753" s="669">
        <v>9.61</v>
      </c>
      <c r="J753" s="669">
        <v>300.60000000000002</v>
      </c>
    </row>
    <row r="754" spans="1:10" ht="24" customHeight="1">
      <c r="A754" s="672" t="s">
        <v>13467</v>
      </c>
      <c r="B754" s="673" t="s">
        <v>15318</v>
      </c>
      <c r="C754" s="672" t="s">
        <v>7</v>
      </c>
      <c r="D754" s="672" t="s">
        <v>15317</v>
      </c>
      <c r="E754" s="919" t="s">
        <v>13464</v>
      </c>
      <c r="F754" s="919"/>
      <c r="G754" s="671" t="s">
        <v>17</v>
      </c>
      <c r="H754" s="670">
        <v>0.378</v>
      </c>
      <c r="I754" s="669">
        <v>22</v>
      </c>
      <c r="J754" s="669">
        <v>8.31</v>
      </c>
    </row>
    <row r="755" spans="1:10" ht="36" customHeight="1">
      <c r="A755" s="672" t="s">
        <v>13467</v>
      </c>
      <c r="B755" s="673" t="s">
        <v>15316</v>
      </c>
      <c r="C755" s="672" t="s">
        <v>7</v>
      </c>
      <c r="D755" s="672" t="s">
        <v>15315</v>
      </c>
      <c r="E755" s="919" t="s">
        <v>13464</v>
      </c>
      <c r="F755" s="919"/>
      <c r="G755" s="671" t="s">
        <v>17</v>
      </c>
      <c r="H755" s="670">
        <v>92.34</v>
      </c>
      <c r="I755" s="669">
        <v>10.119999999999999</v>
      </c>
      <c r="J755" s="669">
        <v>934.48</v>
      </c>
    </row>
    <row r="756" spans="1:10" ht="25.5">
      <c r="A756" s="668"/>
      <c r="B756" s="668"/>
      <c r="C756" s="668"/>
      <c r="D756" s="668"/>
      <c r="E756" s="668" t="s">
        <v>13463</v>
      </c>
      <c r="F756" s="667">
        <v>56.655438443985659</v>
      </c>
      <c r="G756" s="668" t="s">
        <v>13462</v>
      </c>
      <c r="H756" s="667">
        <v>47.62</v>
      </c>
      <c r="I756" s="668" t="s">
        <v>13461</v>
      </c>
      <c r="J756" s="667">
        <v>104.28</v>
      </c>
    </row>
    <row r="757" spans="1:10" ht="15" thickBot="1">
      <c r="A757" s="668"/>
      <c r="B757" s="668"/>
      <c r="C757" s="668"/>
      <c r="D757" s="668"/>
      <c r="E757" s="668" t="s">
        <v>13460</v>
      </c>
      <c r="F757" s="667">
        <v>413.15</v>
      </c>
      <c r="G757" s="668"/>
      <c r="H757" s="925" t="s">
        <v>13459</v>
      </c>
      <c r="I757" s="925"/>
      <c r="J757" s="667">
        <v>1876.18</v>
      </c>
    </row>
    <row r="758" spans="1:10" ht="0.95" customHeight="1" thickTop="1">
      <c r="A758" s="666"/>
      <c r="B758" s="666"/>
      <c r="C758" s="666"/>
      <c r="D758" s="666"/>
      <c r="E758" s="666"/>
      <c r="F758" s="666"/>
      <c r="G758" s="666"/>
      <c r="H758" s="666"/>
      <c r="I758" s="666"/>
      <c r="J758" s="666"/>
    </row>
    <row r="759" spans="1:10" ht="18" customHeight="1">
      <c r="A759" s="686" t="s">
        <v>15330</v>
      </c>
      <c r="B759" s="684" t="s">
        <v>13484</v>
      </c>
      <c r="C759" s="686" t="s">
        <v>13483</v>
      </c>
      <c r="D759" s="686" t="s">
        <v>13482</v>
      </c>
      <c r="E759" s="924" t="s">
        <v>13481</v>
      </c>
      <c r="F759" s="924"/>
      <c r="G759" s="685" t="s">
        <v>13480</v>
      </c>
      <c r="H759" s="684" t="s">
        <v>13479</v>
      </c>
      <c r="I759" s="684" t="s">
        <v>13478</v>
      </c>
      <c r="J759" s="684" t="s">
        <v>13477</v>
      </c>
    </row>
    <row r="760" spans="1:10" ht="48" customHeight="1">
      <c r="A760" s="682" t="s">
        <v>13476</v>
      </c>
      <c r="B760" s="683" t="s">
        <v>15329</v>
      </c>
      <c r="C760" s="682" t="s">
        <v>7</v>
      </c>
      <c r="D760" s="682" t="s">
        <v>2135</v>
      </c>
      <c r="E760" s="917" t="s">
        <v>13770</v>
      </c>
      <c r="F760" s="917"/>
      <c r="G760" s="681" t="s">
        <v>34</v>
      </c>
      <c r="H760" s="680">
        <v>1</v>
      </c>
      <c r="I760" s="679">
        <v>1300.49</v>
      </c>
      <c r="J760" s="679">
        <v>1300.49</v>
      </c>
    </row>
    <row r="761" spans="1:10" ht="36" customHeight="1">
      <c r="A761" s="677" t="s">
        <v>13472</v>
      </c>
      <c r="B761" s="678" t="s">
        <v>13772</v>
      </c>
      <c r="C761" s="677" t="s">
        <v>7</v>
      </c>
      <c r="D761" s="677" t="s">
        <v>3632</v>
      </c>
      <c r="E761" s="918" t="s">
        <v>13770</v>
      </c>
      <c r="F761" s="918"/>
      <c r="G761" s="676" t="s">
        <v>34</v>
      </c>
      <c r="H761" s="675">
        <v>1</v>
      </c>
      <c r="I761" s="674">
        <v>162.22999999999999</v>
      </c>
      <c r="J761" s="674">
        <v>162.22999999999999</v>
      </c>
    </row>
    <row r="762" spans="1:10" ht="24" customHeight="1">
      <c r="A762" s="677" t="s">
        <v>13472</v>
      </c>
      <c r="B762" s="678" t="s">
        <v>13767</v>
      </c>
      <c r="C762" s="677" t="s">
        <v>7</v>
      </c>
      <c r="D762" s="677" t="s">
        <v>144</v>
      </c>
      <c r="E762" s="918" t="s">
        <v>13470</v>
      </c>
      <c r="F762" s="918"/>
      <c r="G762" s="676" t="s">
        <v>19</v>
      </c>
      <c r="H762" s="675">
        <v>2.133</v>
      </c>
      <c r="I762" s="674">
        <v>12.66</v>
      </c>
      <c r="J762" s="674">
        <v>27</v>
      </c>
    </row>
    <row r="763" spans="1:10" ht="24" customHeight="1">
      <c r="A763" s="677" t="s">
        <v>13472</v>
      </c>
      <c r="B763" s="678" t="s">
        <v>13471</v>
      </c>
      <c r="C763" s="677" t="s">
        <v>7</v>
      </c>
      <c r="D763" s="677" t="s">
        <v>21</v>
      </c>
      <c r="E763" s="918" t="s">
        <v>13470</v>
      </c>
      <c r="F763" s="918"/>
      <c r="G763" s="676" t="s">
        <v>19</v>
      </c>
      <c r="H763" s="675">
        <v>0.49199999999999999</v>
      </c>
      <c r="I763" s="674">
        <v>14.02</v>
      </c>
      <c r="J763" s="674">
        <v>6.89</v>
      </c>
    </row>
    <row r="764" spans="1:10" ht="24" customHeight="1">
      <c r="A764" s="672" t="s">
        <v>13467</v>
      </c>
      <c r="B764" s="673" t="s">
        <v>15320</v>
      </c>
      <c r="C764" s="672" t="s">
        <v>7</v>
      </c>
      <c r="D764" s="672" t="s">
        <v>15319</v>
      </c>
      <c r="E764" s="919" t="s">
        <v>13464</v>
      </c>
      <c r="F764" s="919"/>
      <c r="G764" s="671" t="s">
        <v>17</v>
      </c>
      <c r="H764" s="670">
        <v>27.62</v>
      </c>
      <c r="I764" s="669">
        <v>9.61</v>
      </c>
      <c r="J764" s="669">
        <v>265.42</v>
      </c>
    </row>
    <row r="765" spans="1:10" ht="24" customHeight="1">
      <c r="A765" s="672" t="s">
        <v>13467</v>
      </c>
      <c r="B765" s="673" t="s">
        <v>15318</v>
      </c>
      <c r="C765" s="672" t="s">
        <v>7</v>
      </c>
      <c r="D765" s="672" t="s">
        <v>15317</v>
      </c>
      <c r="E765" s="919" t="s">
        <v>13464</v>
      </c>
      <c r="F765" s="919"/>
      <c r="G765" s="671" t="s">
        <v>17</v>
      </c>
      <c r="H765" s="670">
        <v>0.378</v>
      </c>
      <c r="I765" s="669">
        <v>22</v>
      </c>
      <c r="J765" s="669">
        <v>8.31</v>
      </c>
    </row>
    <row r="766" spans="1:10" ht="36" customHeight="1">
      <c r="A766" s="672" t="s">
        <v>13467</v>
      </c>
      <c r="B766" s="673" t="s">
        <v>15316</v>
      </c>
      <c r="C766" s="672" t="s">
        <v>7</v>
      </c>
      <c r="D766" s="672" t="s">
        <v>15315</v>
      </c>
      <c r="E766" s="919" t="s">
        <v>13464</v>
      </c>
      <c r="F766" s="919"/>
      <c r="G766" s="671" t="s">
        <v>17</v>
      </c>
      <c r="H766" s="670">
        <v>82.08</v>
      </c>
      <c r="I766" s="669">
        <v>10.119999999999999</v>
      </c>
      <c r="J766" s="669">
        <v>830.64</v>
      </c>
    </row>
    <row r="767" spans="1:10" ht="25.5">
      <c r="A767" s="668"/>
      <c r="B767" s="668"/>
      <c r="C767" s="668"/>
      <c r="D767" s="668"/>
      <c r="E767" s="668" t="s">
        <v>13463</v>
      </c>
      <c r="F767" s="667">
        <v>46.903183744431161</v>
      </c>
      <c r="G767" s="668" t="s">
        <v>13462</v>
      </c>
      <c r="H767" s="667">
        <v>39.43</v>
      </c>
      <c r="I767" s="668" t="s">
        <v>13461</v>
      </c>
      <c r="J767" s="667">
        <v>86.33</v>
      </c>
    </row>
    <row r="768" spans="1:10" ht="15" thickBot="1">
      <c r="A768" s="668"/>
      <c r="B768" s="668"/>
      <c r="C768" s="668"/>
      <c r="D768" s="668"/>
      <c r="E768" s="668" t="s">
        <v>13460</v>
      </c>
      <c r="F768" s="667">
        <v>367.25</v>
      </c>
      <c r="G768" s="668"/>
      <c r="H768" s="925" t="s">
        <v>13459</v>
      </c>
      <c r="I768" s="925"/>
      <c r="J768" s="667">
        <v>1667.74</v>
      </c>
    </row>
    <row r="769" spans="1:10" ht="0.95" customHeight="1" thickTop="1">
      <c r="A769" s="666"/>
      <c r="B769" s="666"/>
      <c r="C769" s="666"/>
      <c r="D769" s="666"/>
      <c r="E769" s="666"/>
      <c r="F769" s="666"/>
      <c r="G769" s="666"/>
      <c r="H769" s="666"/>
      <c r="I769" s="666"/>
      <c r="J769" s="666"/>
    </row>
    <row r="770" spans="1:10" ht="18" customHeight="1">
      <c r="A770" s="686" t="s">
        <v>15328</v>
      </c>
      <c r="B770" s="684" t="s">
        <v>13484</v>
      </c>
      <c r="C770" s="686" t="s">
        <v>13483</v>
      </c>
      <c r="D770" s="686" t="s">
        <v>13482</v>
      </c>
      <c r="E770" s="924" t="s">
        <v>13481</v>
      </c>
      <c r="F770" s="924"/>
      <c r="G770" s="685" t="s">
        <v>13480</v>
      </c>
      <c r="H770" s="684" t="s">
        <v>13479</v>
      </c>
      <c r="I770" s="684" t="s">
        <v>13478</v>
      </c>
      <c r="J770" s="684" t="s">
        <v>13477</v>
      </c>
    </row>
    <row r="771" spans="1:10" ht="48" customHeight="1">
      <c r="A771" s="682" t="s">
        <v>13476</v>
      </c>
      <c r="B771" s="683" t="s">
        <v>15327</v>
      </c>
      <c r="C771" s="682" t="s">
        <v>7</v>
      </c>
      <c r="D771" s="682" t="s">
        <v>2134</v>
      </c>
      <c r="E771" s="917" t="s">
        <v>13770</v>
      </c>
      <c r="F771" s="917"/>
      <c r="G771" s="681" t="s">
        <v>34</v>
      </c>
      <c r="H771" s="680">
        <v>1</v>
      </c>
      <c r="I771" s="679">
        <v>1161.49</v>
      </c>
      <c r="J771" s="679">
        <v>1161.49</v>
      </c>
    </row>
    <row r="772" spans="1:10" ht="36" customHeight="1">
      <c r="A772" s="677" t="s">
        <v>13472</v>
      </c>
      <c r="B772" s="678" t="s">
        <v>13772</v>
      </c>
      <c r="C772" s="677" t="s">
        <v>7</v>
      </c>
      <c r="D772" s="677" t="s">
        <v>3632</v>
      </c>
      <c r="E772" s="918" t="s">
        <v>13770</v>
      </c>
      <c r="F772" s="918"/>
      <c r="G772" s="676" t="s">
        <v>34</v>
      </c>
      <c r="H772" s="675">
        <v>1</v>
      </c>
      <c r="I772" s="674">
        <v>162.22999999999999</v>
      </c>
      <c r="J772" s="674">
        <v>162.22999999999999</v>
      </c>
    </row>
    <row r="773" spans="1:10" ht="24" customHeight="1">
      <c r="A773" s="677" t="s">
        <v>13472</v>
      </c>
      <c r="B773" s="678" t="s">
        <v>13767</v>
      </c>
      <c r="C773" s="677" t="s">
        <v>7</v>
      </c>
      <c r="D773" s="677" t="s">
        <v>144</v>
      </c>
      <c r="E773" s="918" t="s">
        <v>13470</v>
      </c>
      <c r="F773" s="918"/>
      <c r="G773" s="676" t="s">
        <v>19</v>
      </c>
      <c r="H773" s="675">
        <v>2.133</v>
      </c>
      <c r="I773" s="674">
        <v>12.66</v>
      </c>
      <c r="J773" s="674">
        <v>27</v>
      </c>
    </row>
    <row r="774" spans="1:10" ht="24" customHeight="1">
      <c r="A774" s="677" t="s">
        <v>13472</v>
      </c>
      <c r="B774" s="678" t="s">
        <v>13471</v>
      </c>
      <c r="C774" s="677" t="s">
        <v>7</v>
      </c>
      <c r="D774" s="677" t="s">
        <v>21</v>
      </c>
      <c r="E774" s="918" t="s">
        <v>13470</v>
      </c>
      <c r="F774" s="918"/>
      <c r="G774" s="676" t="s">
        <v>19</v>
      </c>
      <c r="H774" s="675">
        <v>0.49199999999999999</v>
      </c>
      <c r="I774" s="674">
        <v>14.02</v>
      </c>
      <c r="J774" s="674">
        <v>6.89</v>
      </c>
    </row>
    <row r="775" spans="1:10" ht="24" customHeight="1">
      <c r="A775" s="672" t="s">
        <v>13467</v>
      </c>
      <c r="B775" s="673" t="s">
        <v>15320</v>
      </c>
      <c r="C775" s="672" t="s">
        <v>7</v>
      </c>
      <c r="D775" s="672" t="s">
        <v>15319</v>
      </c>
      <c r="E775" s="919" t="s">
        <v>13464</v>
      </c>
      <c r="F775" s="919"/>
      <c r="G775" s="671" t="s">
        <v>17</v>
      </c>
      <c r="H775" s="670">
        <v>23.96</v>
      </c>
      <c r="I775" s="669">
        <v>9.61</v>
      </c>
      <c r="J775" s="669">
        <v>230.25</v>
      </c>
    </row>
    <row r="776" spans="1:10" ht="24" customHeight="1">
      <c r="A776" s="672" t="s">
        <v>13467</v>
      </c>
      <c r="B776" s="673" t="s">
        <v>15318</v>
      </c>
      <c r="C776" s="672" t="s">
        <v>7</v>
      </c>
      <c r="D776" s="672" t="s">
        <v>15317</v>
      </c>
      <c r="E776" s="919" t="s">
        <v>13464</v>
      </c>
      <c r="F776" s="919"/>
      <c r="G776" s="671" t="s">
        <v>17</v>
      </c>
      <c r="H776" s="670">
        <v>0.378</v>
      </c>
      <c r="I776" s="669">
        <v>22</v>
      </c>
      <c r="J776" s="669">
        <v>8.31</v>
      </c>
    </row>
    <row r="777" spans="1:10" ht="36" customHeight="1">
      <c r="A777" s="672" t="s">
        <v>13467</v>
      </c>
      <c r="B777" s="673" t="s">
        <v>15316</v>
      </c>
      <c r="C777" s="672" t="s">
        <v>7</v>
      </c>
      <c r="D777" s="672" t="s">
        <v>15315</v>
      </c>
      <c r="E777" s="919" t="s">
        <v>13464</v>
      </c>
      <c r="F777" s="919"/>
      <c r="G777" s="671" t="s">
        <v>17</v>
      </c>
      <c r="H777" s="670">
        <v>71.819999999999993</v>
      </c>
      <c r="I777" s="669">
        <v>10.119999999999999</v>
      </c>
      <c r="J777" s="669">
        <v>726.81</v>
      </c>
    </row>
    <row r="778" spans="1:10" ht="25.5">
      <c r="A778" s="668"/>
      <c r="B778" s="668"/>
      <c r="C778" s="668"/>
      <c r="D778" s="668"/>
      <c r="E778" s="668" t="s">
        <v>13463</v>
      </c>
      <c r="F778" s="667">
        <v>46.903183744431161</v>
      </c>
      <c r="G778" s="668" t="s">
        <v>13462</v>
      </c>
      <c r="H778" s="667">
        <v>39.43</v>
      </c>
      <c r="I778" s="668" t="s">
        <v>13461</v>
      </c>
      <c r="J778" s="667">
        <v>86.33</v>
      </c>
    </row>
    <row r="779" spans="1:10" ht="15" thickBot="1">
      <c r="A779" s="668"/>
      <c r="B779" s="668"/>
      <c r="C779" s="668"/>
      <c r="D779" s="668"/>
      <c r="E779" s="668" t="s">
        <v>13460</v>
      </c>
      <c r="F779" s="667">
        <v>328</v>
      </c>
      <c r="G779" s="668"/>
      <c r="H779" s="925" t="s">
        <v>13459</v>
      </c>
      <c r="I779" s="925"/>
      <c r="J779" s="667">
        <v>1489.49</v>
      </c>
    </row>
    <row r="780" spans="1:10" ht="0.95" customHeight="1" thickTop="1">
      <c r="A780" s="666"/>
      <c r="B780" s="666"/>
      <c r="C780" s="666"/>
      <c r="D780" s="666"/>
      <c r="E780" s="666"/>
      <c r="F780" s="666"/>
      <c r="G780" s="666"/>
      <c r="H780" s="666"/>
      <c r="I780" s="666"/>
      <c r="J780" s="666"/>
    </row>
    <row r="781" spans="1:10" ht="18" customHeight="1">
      <c r="A781" s="686" t="s">
        <v>15326</v>
      </c>
      <c r="B781" s="684" t="s">
        <v>13484</v>
      </c>
      <c r="C781" s="686" t="s">
        <v>13483</v>
      </c>
      <c r="D781" s="686" t="s">
        <v>13482</v>
      </c>
      <c r="E781" s="924" t="s">
        <v>13481</v>
      </c>
      <c r="F781" s="924"/>
      <c r="G781" s="685" t="s">
        <v>13480</v>
      </c>
      <c r="H781" s="684" t="s">
        <v>13479</v>
      </c>
      <c r="I781" s="684" t="s">
        <v>13478</v>
      </c>
      <c r="J781" s="684" t="s">
        <v>13477</v>
      </c>
    </row>
    <row r="782" spans="1:10" ht="48" customHeight="1">
      <c r="A782" s="682" t="s">
        <v>13476</v>
      </c>
      <c r="B782" s="683" t="s">
        <v>15325</v>
      </c>
      <c r="C782" s="682" t="s">
        <v>7</v>
      </c>
      <c r="D782" s="682" t="s">
        <v>2133</v>
      </c>
      <c r="E782" s="917" t="s">
        <v>13770</v>
      </c>
      <c r="F782" s="917"/>
      <c r="G782" s="681" t="s">
        <v>34</v>
      </c>
      <c r="H782" s="680">
        <v>1</v>
      </c>
      <c r="I782" s="679">
        <v>949.15</v>
      </c>
      <c r="J782" s="679">
        <v>949.15</v>
      </c>
    </row>
    <row r="783" spans="1:10" ht="36" customHeight="1">
      <c r="A783" s="677" t="s">
        <v>13472</v>
      </c>
      <c r="B783" s="678" t="s">
        <v>13773</v>
      </c>
      <c r="C783" s="677" t="s">
        <v>7</v>
      </c>
      <c r="D783" s="677" t="s">
        <v>3631</v>
      </c>
      <c r="E783" s="918" t="s">
        <v>13770</v>
      </c>
      <c r="F783" s="918"/>
      <c r="G783" s="676" t="s">
        <v>34</v>
      </c>
      <c r="H783" s="675">
        <v>1</v>
      </c>
      <c r="I783" s="674">
        <v>138.53</v>
      </c>
      <c r="J783" s="674">
        <v>138.53</v>
      </c>
    </row>
    <row r="784" spans="1:10" ht="24" customHeight="1">
      <c r="A784" s="677" t="s">
        <v>13472</v>
      </c>
      <c r="B784" s="678" t="s">
        <v>13767</v>
      </c>
      <c r="C784" s="677" t="s">
        <v>7</v>
      </c>
      <c r="D784" s="677" t="s">
        <v>144</v>
      </c>
      <c r="E784" s="918" t="s">
        <v>13470</v>
      </c>
      <c r="F784" s="918"/>
      <c r="G784" s="676" t="s">
        <v>19</v>
      </c>
      <c r="H784" s="675">
        <v>1.4219999999999999</v>
      </c>
      <c r="I784" s="674">
        <v>12.66</v>
      </c>
      <c r="J784" s="674">
        <v>18</v>
      </c>
    </row>
    <row r="785" spans="1:10" ht="24" customHeight="1">
      <c r="A785" s="677" t="s">
        <v>13472</v>
      </c>
      <c r="B785" s="678" t="s">
        <v>13471</v>
      </c>
      <c r="C785" s="677" t="s">
        <v>7</v>
      </c>
      <c r="D785" s="677" t="s">
        <v>21</v>
      </c>
      <c r="E785" s="918" t="s">
        <v>13470</v>
      </c>
      <c r="F785" s="918"/>
      <c r="G785" s="676" t="s">
        <v>19</v>
      </c>
      <c r="H785" s="675">
        <v>0.32800000000000001</v>
      </c>
      <c r="I785" s="674">
        <v>14.02</v>
      </c>
      <c r="J785" s="674">
        <v>4.59</v>
      </c>
    </row>
    <row r="786" spans="1:10" ht="24" customHeight="1">
      <c r="A786" s="672" t="s">
        <v>13467</v>
      </c>
      <c r="B786" s="673" t="s">
        <v>15320</v>
      </c>
      <c r="C786" s="672" t="s">
        <v>7</v>
      </c>
      <c r="D786" s="672" t="s">
        <v>15319</v>
      </c>
      <c r="E786" s="919" t="s">
        <v>13464</v>
      </c>
      <c r="F786" s="919"/>
      <c r="G786" s="671" t="s">
        <v>17</v>
      </c>
      <c r="H786" s="670">
        <v>16.64</v>
      </c>
      <c r="I786" s="669">
        <v>9.61</v>
      </c>
      <c r="J786" s="669">
        <v>159.91</v>
      </c>
    </row>
    <row r="787" spans="1:10" ht="24" customHeight="1">
      <c r="A787" s="672" t="s">
        <v>13467</v>
      </c>
      <c r="B787" s="673" t="s">
        <v>15318</v>
      </c>
      <c r="C787" s="672" t="s">
        <v>7</v>
      </c>
      <c r="D787" s="672" t="s">
        <v>15317</v>
      </c>
      <c r="E787" s="919" t="s">
        <v>13464</v>
      </c>
      <c r="F787" s="919"/>
      <c r="G787" s="671" t="s">
        <v>17</v>
      </c>
      <c r="H787" s="670">
        <v>0.23400000000000001</v>
      </c>
      <c r="I787" s="669">
        <v>22</v>
      </c>
      <c r="J787" s="669">
        <v>5.14</v>
      </c>
    </row>
    <row r="788" spans="1:10" ht="36" customHeight="1">
      <c r="A788" s="672" t="s">
        <v>13467</v>
      </c>
      <c r="B788" s="673" t="s">
        <v>15316</v>
      </c>
      <c r="C788" s="672" t="s">
        <v>7</v>
      </c>
      <c r="D788" s="672" t="s">
        <v>15315</v>
      </c>
      <c r="E788" s="919" t="s">
        <v>13464</v>
      </c>
      <c r="F788" s="919"/>
      <c r="G788" s="671" t="s">
        <v>17</v>
      </c>
      <c r="H788" s="670">
        <v>61.56</v>
      </c>
      <c r="I788" s="669">
        <v>10.119999999999999</v>
      </c>
      <c r="J788" s="669">
        <v>622.98</v>
      </c>
    </row>
    <row r="789" spans="1:10" ht="25.5">
      <c r="A789" s="668"/>
      <c r="B789" s="668"/>
      <c r="C789" s="668"/>
      <c r="D789" s="668"/>
      <c r="E789" s="668" t="s">
        <v>13463</v>
      </c>
      <c r="F789" s="667">
        <v>32.402477453004458</v>
      </c>
      <c r="G789" s="668" t="s">
        <v>13462</v>
      </c>
      <c r="H789" s="667">
        <v>27.24</v>
      </c>
      <c r="I789" s="668" t="s">
        <v>13461</v>
      </c>
      <c r="J789" s="667">
        <v>59.64</v>
      </c>
    </row>
    <row r="790" spans="1:10" ht="15" thickBot="1">
      <c r="A790" s="668"/>
      <c r="B790" s="668"/>
      <c r="C790" s="668"/>
      <c r="D790" s="668"/>
      <c r="E790" s="668" t="s">
        <v>13460</v>
      </c>
      <c r="F790" s="667">
        <v>268.02999999999997</v>
      </c>
      <c r="G790" s="668"/>
      <c r="H790" s="925" t="s">
        <v>13459</v>
      </c>
      <c r="I790" s="925"/>
      <c r="J790" s="667">
        <v>1217.18</v>
      </c>
    </row>
    <row r="791" spans="1:10" ht="0.95" customHeight="1" thickTop="1">
      <c r="A791" s="666"/>
      <c r="B791" s="666"/>
      <c r="C791" s="666"/>
      <c r="D791" s="666"/>
      <c r="E791" s="666"/>
      <c r="F791" s="666"/>
      <c r="G791" s="666"/>
      <c r="H791" s="666"/>
      <c r="I791" s="666"/>
      <c r="J791" s="666"/>
    </row>
    <row r="792" spans="1:10" ht="18" customHeight="1">
      <c r="A792" s="686" t="s">
        <v>15324</v>
      </c>
      <c r="B792" s="684" t="s">
        <v>13484</v>
      </c>
      <c r="C792" s="686" t="s">
        <v>13483</v>
      </c>
      <c r="D792" s="686" t="s">
        <v>13482</v>
      </c>
      <c r="E792" s="924" t="s">
        <v>13481</v>
      </c>
      <c r="F792" s="924"/>
      <c r="G792" s="685" t="s">
        <v>13480</v>
      </c>
      <c r="H792" s="684" t="s">
        <v>13479</v>
      </c>
      <c r="I792" s="684" t="s">
        <v>13478</v>
      </c>
      <c r="J792" s="684" t="s">
        <v>13477</v>
      </c>
    </row>
    <row r="793" spans="1:10" ht="48" customHeight="1">
      <c r="A793" s="682" t="s">
        <v>13476</v>
      </c>
      <c r="B793" s="683" t="s">
        <v>15323</v>
      </c>
      <c r="C793" s="682" t="s">
        <v>7</v>
      </c>
      <c r="D793" s="682" t="s">
        <v>2132</v>
      </c>
      <c r="E793" s="917" t="s">
        <v>13770</v>
      </c>
      <c r="F793" s="917"/>
      <c r="G793" s="681" t="s">
        <v>34</v>
      </c>
      <c r="H793" s="680">
        <v>1</v>
      </c>
      <c r="I793" s="679">
        <v>810.14</v>
      </c>
      <c r="J793" s="679">
        <v>810.14</v>
      </c>
    </row>
    <row r="794" spans="1:10" ht="36" customHeight="1">
      <c r="A794" s="677" t="s">
        <v>13472</v>
      </c>
      <c r="B794" s="678" t="s">
        <v>13773</v>
      </c>
      <c r="C794" s="677" t="s">
        <v>7</v>
      </c>
      <c r="D794" s="677" t="s">
        <v>3631</v>
      </c>
      <c r="E794" s="918" t="s">
        <v>13770</v>
      </c>
      <c r="F794" s="918"/>
      <c r="G794" s="676" t="s">
        <v>34</v>
      </c>
      <c r="H794" s="675">
        <v>1</v>
      </c>
      <c r="I794" s="674">
        <v>138.53</v>
      </c>
      <c r="J794" s="674">
        <v>138.53</v>
      </c>
    </row>
    <row r="795" spans="1:10" ht="24" customHeight="1">
      <c r="A795" s="677" t="s">
        <v>13472</v>
      </c>
      <c r="B795" s="678" t="s">
        <v>13767</v>
      </c>
      <c r="C795" s="677" t="s">
        <v>7</v>
      </c>
      <c r="D795" s="677" t="s">
        <v>144</v>
      </c>
      <c r="E795" s="918" t="s">
        <v>13470</v>
      </c>
      <c r="F795" s="918"/>
      <c r="G795" s="676" t="s">
        <v>19</v>
      </c>
      <c r="H795" s="675">
        <v>1.4219999999999999</v>
      </c>
      <c r="I795" s="674">
        <v>12.66</v>
      </c>
      <c r="J795" s="674">
        <v>18</v>
      </c>
    </row>
    <row r="796" spans="1:10" ht="24" customHeight="1">
      <c r="A796" s="677" t="s">
        <v>13472</v>
      </c>
      <c r="B796" s="678" t="s">
        <v>13471</v>
      </c>
      <c r="C796" s="677" t="s">
        <v>7</v>
      </c>
      <c r="D796" s="677" t="s">
        <v>21</v>
      </c>
      <c r="E796" s="918" t="s">
        <v>13470</v>
      </c>
      <c r="F796" s="918"/>
      <c r="G796" s="676" t="s">
        <v>19</v>
      </c>
      <c r="H796" s="675">
        <v>0.32800000000000001</v>
      </c>
      <c r="I796" s="674">
        <v>14.02</v>
      </c>
      <c r="J796" s="674">
        <v>4.59</v>
      </c>
    </row>
    <row r="797" spans="1:10" ht="24" customHeight="1">
      <c r="A797" s="672" t="s">
        <v>13467</v>
      </c>
      <c r="B797" s="673" t="s">
        <v>15320</v>
      </c>
      <c r="C797" s="672" t="s">
        <v>7</v>
      </c>
      <c r="D797" s="672" t="s">
        <v>15319</v>
      </c>
      <c r="E797" s="919" t="s">
        <v>13464</v>
      </c>
      <c r="F797" s="919"/>
      <c r="G797" s="671" t="s">
        <v>17</v>
      </c>
      <c r="H797" s="670">
        <v>12.98</v>
      </c>
      <c r="I797" s="669">
        <v>9.61</v>
      </c>
      <c r="J797" s="669">
        <v>124.73</v>
      </c>
    </row>
    <row r="798" spans="1:10" ht="24" customHeight="1">
      <c r="A798" s="672" t="s">
        <v>13467</v>
      </c>
      <c r="B798" s="673" t="s">
        <v>15318</v>
      </c>
      <c r="C798" s="672" t="s">
        <v>7</v>
      </c>
      <c r="D798" s="672" t="s">
        <v>15317</v>
      </c>
      <c r="E798" s="919" t="s">
        <v>13464</v>
      </c>
      <c r="F798" s="919"/>
      <c r="G798" s="671" t="s">
        <v>17</v>
      </c>
      <c r="H798" s="670">
        <v>0.23400000000000001</v>
      </c>
      <c r="I798" s="669">
        <v>22</v>
      </c>
      <c r="J798" s="669">
        <v>5.14</v>
      </c>
    </row>
    <row r="799" spans="1:10" ht="36" customHeight="1">
      <c r="A799" s="672" t="s">
        <v>13467</v>
      </c>
      <c r="B799" s="673" t="s">
        <v>15316</v>
      </c>
      <c r="C799" s="672" t="s">
        <v>7</v>
      </c>
      <c r="D799" s="672" t="s">
        <v>15315</v>
      </c>
      <c r="E799" s="919" t="s">
        <v>13464</v>
      </c>
      <c r="F799" s="919"/>
      <c r="G799" s="671" t="s">
        <v>17</v>
      </c>
      <c r="H799" s="670">
        <v>51.3</v>
      </c>
      <c r="I799" s="669">
        <v>10.119999999999999</v>
      </c>
      <c r="J799" s="669">
        <v>519.15</v>
      </c>
    </row>
    <row r="800" spans="1:10" ht="25.5">
      <c r="A800" s="668"/>
      <c r="B800" s="668"/>
      <c r="C800" s="668"/>
      <c r="D800" s="668"/>
      <c r="E800" s="668" t="s">
        <v>13463</v>
      </c>
      <c r="F800" s="667">
        <v>32.402477453004458</v>
      </c>
      <c r="G800" s="668" t="s">
        <v>13462</v>
      </c>
      <c r="H800" s="667">
        <v>27.24</v>
      </c>
      <c r="I800" s="668" t="s">
        <v>13461</v>
      </c>
      <c r="J800" s="667">
        <v>59.64</v>
      </c>
    </row>
    <row r="801" spans="1:10" ht="15" thickBot="1">
      <c r="A801" s="668"/>
      <c r="B801" s="668"/>
      <c r="C801" s="668"/>
      <c r="D801" s="668"/>
      <c r="E801" s="668" t="s">
        <v>13460</v>
      </c>
      <c r="F801" s="667">
        <v>228.78</v>
      </c>
      <c r="G801" s="668"/>
      <c r="H801" s="925" t="s">
        <v>13459</v>
      </c>
      <c r="I801" s="925"/>
      <c r="J801" s="667">
        <v>1038.92</v>
      </c>
    </row>
    <row r="802" spans="1:10" ht="0.95" customHeight="1" thickTop="1">
      <c r="A802" s="666"/>
      <c r="B802" s="666"/>
      <c r="C802" s="666"/>
      <c r="D802" s="666"/>
      <c r="E802" s="666"/>
      <c r="F802" s="666"/>
      <c r="G802" s="666"/>
      <c r="H802" s="666"/>
      <c r="I802" s="666"/>
      <c r="J802" s="666"/>
    </row>
    <row r="803" spans="1:10" ht="18" customHeight="1">
      <c r="A803" s="686" t="s">
        <v>15322</v>
      </c>
      <c r="B803" s="684" t="s">
        <v>13484</v>
      </c>
      <c r="C803" s="686" t="s">
        <v>13483</v>
      </c>
      <c r="D803" s="686" t="s">
        <v>13482</v>
      </c>
      <c r="E803" s="924" t="s">
        <v>13481</v>
      </c>
      <c r="F803" s="924"/>
      <c r="G803" s="685" t="s">
        <v>13480</v>
      </c>
      <c r="H803" s="684" t="s">
        <v>13479</v>
      </c>
      <c r="I803" s="684" t="s">
        <v>13478</v>
      </c>
      <c r="J803" s="684" t="s">
        <v>13477</v>
      </c>
    </row>
    <row r="804" spans="1:10" ht="48" customHeight="1">
      <c r="A804" s="682" t="s">
        <v>13476</v>
      </c>
      <c r="B804" s="683" t="s">
        <v>15321</v>
      </c>
      <c r="C804" s="682" t="s">
        <v>7</v>
      </c>
      <c r="D804" s="682" t="s">
        <v>2131</v>
      </c>
      <c r="E804" s="917" t="s">
        <v>13770</v>
      </c>
      <c r="F804" s="917"/>
      <c r="G804" s="681" t="s">
        <v>34</v>
      </c>
      <c r="H804" s="680">
        <v>1</v>
      </c>
      <c r="I804" s="679">
        <v>706.31</v>
      </c>
      <c r="J804" s="679">
        <v>706.31</v>
      </c>
    </row>
    <row r="805" spans="1:10" ht="36" customHeight="1">
      <c r="A805" s="677" t="s">
        <v>13472</v>
      </c>
      <c r="B805" s="678" t="s">
        <v>13773</v>
      </c>
      <c r="C805" s="677" t="s">
        <v>7</v>
      </c>
      <c r="D805" s="677" t="s">
        <v>3631</v>
      </c>
      <c r="E805" s="918" t="s">
        <v>13770</v>
      </c>
      <c r="F805" s="918"/>
      <c r="G805" s="676" t="s">
        <v>34</v>
      </c>
      <c r="H805" s="675">
        <v>1</v>
      </c>
      <c r="I805" s="674">
        <v>138.53</v>
      </c>
      <c r="J805" s="674">
        <v>138.53</v>
      </c>
    </row>
    <row r="806" spans="1:10" ht="24" customHeight="1">
      <c r="A806" s="677" t="s">
        <v>13472</v>
      </c>
      <c r="B806" s="678" t="s">
        <v>13767</v>
      </c>
      <c r="C806" s="677" t="s">
        <v>7</v>
      </c>
      <c r="D806" s="677" t="s">
        <v>144</v>
      </c>
      <c r="E806" s="918" t="s">
        <v>13470</v>
      </c>
      <c r="F806" s="918"/>
      <c r="G806" s="676" t="s">
        <v>19</v>
      </c>
      <c r="H806" s="675">
        <v>1.4219999999999999</v>
      </c>
      <c r="I806" s="674">
        <v>12.66</v>
      </c>
      <c r="J806" s="674">
        <v>18</v>
      </c>
    </row>
    <row r="807" spans="1:10" ht="24" customHeight="1">
      <c r="A807" s="677" t="s">
        <v>13472</v>
      </c>
      <c r="B807" s="678" t="s">
        <v>13471</v>
      </c>
      <c r="C807" s="677" t="s">
        <v>7</v>
      </c>
      <c r="D807" s="677" t="s">
        <v>21</v>
      </c>
      <c r="E807" s="918" t="s">
        <v>13470</v>
      </c>
      <c r="F807" s="918"/>
      <c r="G807" s="676" t="s">
        <v>19</v>
      </c>
      <c r="H807" s="675">
        <v>0.32800000000000001</v>
      </c>
      <c r="I807" s="674">
        <v>14.02</v>
      </c>
      <c r="J807" s="674">
        <v>4.59</v>
      </c>
    </row>
    <row r="808" spans="1:10" ht="24" customHeight="1">
      <c r="A808" s="672" t="s">
        <v>13467</v>
      </c>
      <c r="B808" s="673" t="s">
        <v>15320</v>
      </c>
      <c r="C808" s="672" t="s">
        <v>7</v>
      </c>
      <c r="D808" s="672" t="s">
        <v>15319</v>
      </c>
      <c r="E808" s="919" t="s">
        <v>13464</v>
      </c>
      <c r="F808" s="919"/>
      <c r="G808" s="671" t="s">
        <v>17</v>
      </c>
      <c r="H808" s="670">
        <v>12.98</v>
      </c>
      <c r="I808" s="669">
        <v>9.61</v>
      </c>
      <c r="J808" s="669">
        <v>124.73</v>
      </c>
    </row>
    <row r="809" spans="1:10" ht="24" customHeight="1">
      <c r="A809" s="672" t="s">
        <v>13467</v>
      </c>
      <c r="B809" s="673" t="s">
        <v>15318</v>
      </c>
      <c r="C809" s="672" t="s">
        <v>7</v>
      </c>
      <c r="D809" s="672" t="s">
        <v>15317</v>
      </c>
      <c r="E809" s="919" t="s">
        <v>13464</v>
      </c>
      <c r="F809" s="919"/>
      <c r="G809" s="671" t="s">
        <v>17</v>
      </c>
      <c r="H809" s="670">
        <v>0.23400000000000001</v>
      </c>
      <c r="I809" s="669">
        <v>22</v>
      </c>
      <c r="J809" s="669">
        <v>5.14</v>
      </c>
    </row>
    <row r="810" spans="1:10" ht="36" customHeight="1">
      <c r="A810" s="672" t="s">
        <v>13467</v>
      </c>
      <c r="B810" s="673" t="s">
        <v>15316</v>
      </c>
      <c r="C810" s="672" t="s">
        <v>7</v>
      </c>
      <c r="D810" s="672" t="s">
        <v>15315</v>
      </c>
      <c r="E810" s="919" t="s">
        <v>13464</v>
      </c>
      <c r="F810" s="919"/>
      <c r="G810" s="671" t="s">
        <v>17</v>
      </c>
      <c r="H810" s="670">
        <v>41.04</v>
      </c>
      <c r="I810" s="669">
        <v>10.119999999999999</v>
      </c>
      <c r="J810" s="669">
        <v>415.32</v>
      </c>
    </row>
    <row r="811" spans="1:10" ht="25.5">
      <c r="A811" s="668"/>
      <c r="B811" s="668"/>
      <c r="C811" s="668"/>
      <c r="D811" s="668"/>
      <c r="E811" s="668" t="s">
        <v>13463</v>
      </c>
      <c r="F811" s="667">
        <v>32.402477453004458</v>
      </c>
      <c r="G811" s="668" t="s">
        <v>13462</v>
      </c>
      <c r="H811" s="667">
        <v>27.24</v>
      </c>
      <c r="I811" s="668" t="s">
        <v>13461</v>
      </c>
      <c r="J811" s="667">
        <v>59.64</v>
      </c>
    </row>
    <row r="812" spans="1:10" ht="15" thickBot="1">
      <c r="A812" s="668"/>
      <c r="B812" s="668"/>
      <c r="C812" s="668"/>
      <c r="D812" s="668"/>
      <c r="E812" s="668" t="s">
        <v>13460</v>
      </c>
      <c r="F812" s="667">
        <v>199.46</v>
      </c>
      <c r="G812" s="668"/>
      <c r="H812" s="925" t="s">
        <v>13459</v>
      </c>
      <c r="I812" s="925"/>
      <c r="J812" s="667">
        <v>905.77</v>
      </c>
    </row>
    <row r="813" spans="1:10" ht="0.95" customHeight="1" thickTop="1">
      <c r="A813" s="666"/>
      <c r="B813" s="666"/>
      <c r="C813" s="666"/>
      <c r="D813" s="666"/>
      <c r="E813" s="666"/>
      <c r="F813" s="666"/>
      <c r="G813" s="666"/>
      <c r="H813" s="666"/>
      <c r="I813" s="666"/>
      <c r="J813" s="666"/>
    </row>
    <row r="814" spans="1:10" ht="18" customHeight="1">
      <c r="A814" s="686" t="s">
        <v>15314</v>
      </c>
      <c r="B814" s="684" t="s">
        <v>13484</v>
      </c>
      <c r="C814" s="686" t="s">
        <v>13483</v>
      </c>
      <c r="D814" s="686" t="s">
        <v>13482</v>
      </c>
      <c r="E814" s="924" t="s">
        <v>13481</v>
      </c>
      <c r="F814" s="924"/>
      <c r="G814" s="685" t="s">
        <v>13480</v>
      </c>
      <c r="H814" s="684" t="s">
        <v>13479</v>
      </c>
      <c r="I814" s="684" t="s">
        <v>13478</v>
      </c>
      <c r="J814" s="684" t="s">
        <v>13477</v>
      </c>
    </row>
    <row r="815" spans="1:10" ht="48" customHeight="1">
      <c r="A815" s="682" t="s">
        <v>13476</v>
      </c>
      <c r="B815" s="683" t="s">
        <v>15313</v>
      </c>
      <c r="C815" s="682" t="s">
        <v>7</v>
      </c>
      <c r="D815" s="682" t="s">
        <v>3637</v>
      </c>
      <c r="E815" s="917" t="s">
        <v>13770</v>
      </c>
      <c r="F815" s="917"/>
      <c r="G815" s="681" t="s">
        <v>13610</v>
      </c>
      <c r="H815" s="680">
        <v>1</v>
      </c>
      <c r="I815" s="679">
        <v>49.5</v>
      </c>
      <c r="J815" s="679">
        <v>49.5</v>
      </c>
    </row>
    <row r="816" spans="1:10" ht="36" customHeight="1">
      <c r="A816" s="677" t="s">
        <v>13472</v>
      </c>
      <c r="B816" s="678" t="s">
        <v>13823</v>
      </c>
      <c r="C816" s="677" t="s">
        <v>7</v>
      </c>
      <c r="D816" s="677" t="s">
        <v>2393</v>
      </c>
      <c r="E816" s="918" t="s">
        <v>13491</v>
      </c>
      <c r="F816" s="918"/>
      <c r="G816" s="676" t="s">
        <v>38</v>
      </c>
      <c r="H816" s="675">
        <v>3.3999999999999998E-3</v>
      </c>
      <c r="I816" s="674">
        <v>14.17</v>
      </c>
      <c r="J816" s="674">
        <v>0.04</v>
      </c>
    </row>
    <row r="817" spans="1:10" ht="36" customHeight="1">
      <c r="A817" s="677" t="s">
        <v>13472</v>
      </c>
      <c r="B817" s="678" t="s">
        <v>13824</v>
      </c>
      <c r="C817" s="677" t="s">
        <v>7</v>
      </c>
      <c r="D817" s="677" t="s">
        <v>2394</v>
      </c>
      <c r="E817" s="918" t="s">
        <v>13491</v>
      </c>
      <c r="F817" s="918"/>
      <c r="G817" s="676" t="s">
        <v>53</v>
      </c>
      <c r="H817" s="675">
        <v>4.7999999999999996E-3</v>
      </c>
      <c r="I817" s="674">
        <v>13.21</v>
      </c>
      <c r="J817" s="674">
        <v>0.06</v>
      </c>
    </row>
    <row r="818" spans="1:10" ht="24" customHeight="1">
      <c r="A818" s="677" t="s">
        <v>13472</v>
      </c>
      <c r="B818" s="678" t="s">
        <v>13767</v>
      </c>
      <c r="C818" s="677" t="s">
        <v>7</v>
      </c>
      <c r="D818" s="677" t="s">
        <v>144</v>
      </c>
      <c r="E818" s="918" t="s">
        <v>13470</v>
      </c>
      <c r="F818" s="918"/>
      <c r="G818" s="676" t="s">
        <v>19</v>
      </c>
      <c r="H818" s="675">
        <v>6.7000000000000004E-2</v>
      </c>
      <c r="I818" s="674">
        <v>12.66</v>
      </c>
      <c r="J818" s="674">
        <v>0.84</v>
      </c>
    </row>
    <row r="819" spans="1:10" ht="24" customHeight="1">
      <c r="A819" s="677" t="s">
        <v>13472</v>
      </c>
      <c r="B819" s="678" t="s">
        <v>13471</v>
      </c>
      <c r="C819" s="677" t="s">
        <v>7</v>
      </c>
      <c r="D819" s="677" t="s">
        <v>21</v>
      </c>
      <c r="E819" s="918" t="s">
        <v>13470</v>
      </c>
      <c r="F819" s="918"/>
      <c r="G819" s="676" t="s">
        <v>19</v>
      </c>
      <c r="H819" s="675">
        <v>4.2999999999999997E-2</v>
      </c>
      <c r="I819" s="674">
        <v>14.02</v>
      </c>
      <c r="J819" s="674">
        <v>0.6</v>
      </c>
    </row>
    <row r="820" spans="1:10" ht="24" customHeight="1">
      <c r="A820" s="672" t="s">
        <v>13467</v>
      </c>
      <c r="B820" s="673" t="s">
        <v>15312</v>
      </c>
      <c r="C820" s="672" t="s">
        <v>7</v>
      </c>
      <c r="D820" s="672" t="s">
        <v>15311</v>
      </c>
      <c r="E820" s="919" t="s">
        <v>13464</v>
      </c>
      <c r="F820" s="919"/>
      <c r="G820" s="671" t="s">
        <v>17</v>
      </c>
      <c r="H820" s="670">
        <v>2.202</v>
      </c>
      <c r="I820" s="669">
        <v>21.29</v>
      </c>
      <c r="J820" s="669">
        <v>46.88</v>
      </c>
    </row>
    <row r="821" spans="1:10" ht="24" customHeight="1">
      <c r="A821" s="672" t="s">
        <v>13467</v>
      </c>
      <c r="B821" s="673" t="s">
        <v>15213</v>
      </c>
      <c r="C821" s="672" t="s">
        <v>7</v>
      </c>
      <c r="D821" s="672" t="s">
        <v>15212</v>
      </c>
      <c r="E821" s="919" t="s">
        <v>13464</v>
      </c>
      <c r="F821" s="919"/>
      <c r="G821" s="671" t="s">
        <v>14151</v>
      </c>
      <c r="H821" s="670">
        <v>0.06</v>
      </c>
      <c r="I821" s="669">
        <v>18.05</v>
      </c>
      <c r="J821" s="669">
        <v>1.08</v>
      </c>
    </row>
    <row r="822" spans="1:10" ht="25.5">
      <c r="A822" s="668"/>
      <c r="B822" s="668"/>
      <c r="C822" s="668"/>
      <c r="D822" s="668"/>
      <c r="E822" s="668" t="s">
        <v>13463</v>
      </c>
      <c r="F822" s="667">
        <v>0.63022927306313159</v>
      </c>
      <c r="G822" s="668" t="s">
        <v>13462</v>
      </c>
      <c r="H822" s="667">
        <v>0.53</v>
      </c>
      <c r="I822" s="668" t="s">
        <v>13461</v>
      </c>
      <c r="J822" s="667">
        <v>1.1599999999999999</v>
      </c>
    </row>
    <row r="823" spans="1:10" ht="15" thickBot="1">
      <c r="A823" s="668"/>
      <c r="B823" s="668"/>
      <c r="C823" s="668"/>
      <c r="D823" s="668"/>
      <c r="E823" s="668" t="s">
        <v>13460</v>
      </c>
      <c r="F823" s="667">
        <v>13.97</v>
      </c>
      <c r="G823" s="668"/>
      <c r="H823" s="925" t="s">
        <v>13459</v>
      </c>
      <c r="I823" s="925"/>
      <c r="J823" s="667">
        <v>63.47</v>
      </c>
    </row>
    <row r="824" spans="1:10" ht="0.95" customHeight="1" thickTop="1">
      <c r="A824" s="666"/>
      <c r="B824" s="666"/>
      <c r="C824" s="666"/>
      <c r="D824" s="666"/>
      <c r="E824" s="666"/>
      <c r="F824" s="666"/>
      <c r="G824" s="666"/>
      <c r="H824" s="666"/>
      <c r="I824" s="666"/>
      <c r="J824" s="666"/>
    </row>
    <row r="825" spans="1:10" ht="18" customHeight="1">
      <c r="A825" s="686" t="s">
        <v>15310</v>
      </c>
      <c r="B825" s="684" t="s">
        <v>13484</v>
      </c>
      <c r="C825" s="686" t="s">
        <v>13483</v>
      </c>
      <c r="D825" s="686" t="s">
        <v>13482</v>
      </c>
      <c r="E825" s="924" t="s">
        <v>13481</v>
      </c>
      <c r="F825" s="924"/>
      <c r="G825" s="685" t="s">
        <v>13480</v>
      </c>
      <c r="H825" s="684" t="s">
        <v>13479</v>
      </c>
      <c r="I825" s="684" t="s">
        <v>13478</v>
      </c>
      <c r="J825" s="684" t="s">
        <v>13477</v>
      </c>
    </row>
    <row r="826" spans="1:10" ht="36" customHeight="1">
      <c r="A826" s="682" t="s">
        <v>13476</v>
      </c>
      <c r="B826" s="683" t="s">
        <v>15309</v>
      </c>
      <c r="C826" s="682" t="s">
        <v>7</v>
      </c>
      <c r="D826" s="682" t="s">
        <v>3613</v>
      </c>
      <c r="E826" s="917" t="s">
        <v>13770</v>
      </c>
      <c r="F826" s="917"/>
      <c r="G826" s="681" t="s">
        <v>13610</v>
      </c>
      <c r="H826" s="680">
        <v>1</v>
      </c>
      <c r="I826" s="679">
        <v>259.32</v>
      </c>
      <c r="J826" s="679">
        <v>259.32</v>
      </c>
    </row>
    <row r="827" spans="1:10" ht="36" customHeight="1">
      <c r="A827" s="677" t="s">
        <v>13472</v>
      </c>
      <c r="B827" s="678" t="s">
        <v>13823</v>
      </c>
      <c r="C827" s="677" t="s">
        <v>7</v>
      </c>
      <c r="D827" s="677" t="s">
        <v>2393</v>
      </c>
      <c r="E827" s="918" t="s">
        <v>13491</v>
      </c>
      <c r="F827" s="918"/>
      <c r="G827" s="676" t="s">
        <v>38</v>
      </c>
      <c r="H827" s="675">
        <v>8.9999999999999998E-4</v>
      </c>
      <c r="I827" s="674">
        <v>14.17</v>
      </c>
      <c r="J827" s="674">
        <v>0.01</v>
      </c>
    </row>
    <row r="828" spans="1:10" ht="36" customHeight="1">
      <c r="A828" s="677" t="s">
        <v>13472</v>
      </c>
      <c r="B828" s="678" t="s">
        <v>13824</v>
      </c>
      <c r="C828" s="677" t="s">
        <v>7</v>
      </c>
      <c r="D828" s="677" t="s">
        <v>2394</v>
      </c>
      <c r="E828" s="918" t="s">
        <v>13491</v>
      </c>
      <c r="F828" s="918"/>
      <c r="G828" s="676" t="s">
        <v>53</v>
      </c>
      <c r="H828" s="675">
        <v>1.1999999999999999E-3</v>
      </c>
      <c r="I828" s="674">
        <v>13.21</v>
      </c>
      <c r="J828" s="674">
        <v>0.01</v>
      </c>
    </row>
    <row r="829" spans="1:10" ht="24" customHeight="1">
      <c r="A829" s="677" t="s">
        <v>13472</v>
      </c>
      <c r="B829" s="678" t="s">
        <v>13471</v>
      </c>
      <c r="C829" s="677" t="s">
        <v>7</v>
      </c>
      <c r="D829" s="677" t="s">
        <v>21</v>
      </c>
      <c r="E829" s="918" t="s">
        <v>13470</v>
      </c>
      <c r="F829" s="918"/>
      <c r="G829" s="676" t="s">
        <v>19</v>
      </c>
      <c r="H829" s="675">
        <v>6.2E-2</v>
      </c>
      <c r="I829" s="674">
        <v>14.02</v>
      </c>
      <c r="J829" s="674">
        <v>0.86</v>
      </c>
    </row>
    <row r="830" spans="1:10" ht="24" customHeight="1">
      <c r="A830" s="677" t="s">
        <v>13472</v>
      </c>
      <c r="B830" s="678" t="s">
        <v>13564</v>
      </c>
      <c r="C830" s="677" t="s">
        <v>7</v>
      </c>
      <c r="D830" s="677" t="s">
        <v>178</v>
      </c>
      <c r="E830" s="918" t="s">
        <v>13470</v>
      </c>
      <c r="F830" s="918"/>
      <c r="G830" s="676" t="s">
        <v>19</v>
      </c>
      <c r="H830" s="675">
        <v>5.6000000000000001E-2</v>
      </c>
      <c r="I830" s="674">
        <v>18.739999999999998</v>
      </c>
      <c r="J830" s="674">
        <v>1.04</v>
      </c>
    </row>
    <row r="831" spans="1:10" ht="36" customHeight="1">
      <c r="A831" s="672" t="s">
        <v>13467</v>
      </c>
      <c r="B831" s="673" t="s">
        <v>15296</v>
      </c>
      <c r="C831" s="672" t="s">
        <v>7</v>
      </c>
      <c r="D831" s="672" t="s">
        <v>15295</v>
      </c>
      <c r="E831" s="919" t="s">
        <v>13464</v>
      </c>
      <c r="F831" s="919"/>
      <c r="G831" s="671" t="s">
        <v>6987</v>
      </c>
      <c r="H831" s="670">
        <v>4.1500000000000004</v>
      </c>
      <c r="I831" s="669">
        <v>1.76</v>
      </c>
      <c r="J831" s="669">
        <v>7.3</v>
      </c>
    </row>
    <row r="832" spans="1:10" ht="60" customHeight="1">
      <c r="A832" s="672" t="s">
        <v>13467</v>
      </c>
      <c r="B832" s="673" t="s">
        <v>15308</v>
      </c>
      <c r="C832" s="672" t="s">
        <v>7</v>
      </c>
      <c r="D832" s="672" t="s">
        <v>15307</v>
      </c>
      <c r="E832" s="919" t="s">
        <v>13464</v>
      </c>
      <c r="F832" s="919"/>
      <c r="G832" s="671" t="s">
        <v>13610</v>
      </c>
      <c r="H832" s="670">
        <v>1.1459999999999999</v>
      </c>
      <c r="I832" s="669">
        <v>218.24</v>
      </c>
      <c r="J832" s="669">
        <v>250.1</v>
      </c>
    </row>
    <row r="833" spans="1:10" ht="25.5">
      <c r="A833" s="668"/>
      <c r="B833" s="668"/>
      <c r="C833" s="668"/>
      <c r="D833" s="668"/>
      <c r="E833" s="668" t="s">
        <v>13463</v>
      </c>
      <c r="F833" s="667">
        <v>0.80408562425296104</v>
      </c>
      <c r="G833" s="668" t="s">
        <v>13462</v>
      </c>
      <c r="H833" s="667">
        <v>0.68</v>
      </c>
      <c r="I833" s="668" t="s">
        <v>13461</v>
      </c>
      <c r="J833" s="667">
        <v>1.48</v>
      </c>
    </row>
    <row r="834" spans="1:10" ht="15" thickBot="1">
      <c r="A834" s="668"/>
      <c r="B834" s="668"/>
      <c r="C834" s="668"/>
      <c r="D834" s="668"/>
      <c r="E834" s="668" t="s">
        <v>13460</v>
      </c>
      <c r="F834" s="667">
        <v>73.23</v>
      </c>
      <c r="G834" s="668"/>
      <c r="H834" s="925" t="s">
        <v>13459</v>
      </c>
      <c r="I834" s="925"/>
      <c r="J834" s="667">
        <v>332.55</v>
      </c>
    </row>
    <row r="835" spans="1:10" ht="0.95" customHeight="1" thickTop="1">
      <c r="A835" s="666"/>
      <c r="B835" s="666"/>
      <c r="C835" s="666"/>
      <c r="D835" s="666"/>
      <c r="E835" s="666"/>
      <c r="F835" s="666"/>
      <c r="G835" s="666"/>
      <c r="H835" s="666"/>
      <c r="I835" s="666"/>
      <c r="J835" s="666"/>
    </row>
    <row r="836" spans="1:10" ht="18" customHeight="1">
      <c r="A836" s="686" t="s">
        <v>15306</v>
      </c>
      <c r="B836" s="684" t="s">
        <v>13484</v>
      </c>
      <c r="C836" s="686" t="s">
        <v>13483</v>
      </c>
      <c r="D836" s="686" t="s">
        <v>13482</v>
      </c>
      <c r="E836" s="924" t="s">
        <v>13481</v>
      </c>
      <c r="F836" s="924"/>
      <c r="G836" s="685" t="s">
        <v>13480</v>
      </c>
      <c r="H836" s="684" t="s">
        <v>13479</v>
      </c>
      <c r="I836" s="684" t="s">
        <v>13478</v>
      </c>
      <c r="J836" s="684" t="s">
        <v>13477</v>
      </c>
    </row>
    <row r="837" spans="1:10" ht="36" customHeight="1">
      <c r="A837" s="682" t="s">
        <v>13476</v>
      </c>
      <c r="B837" s="683" t="s">
        <v>15305</v>
      </c>
      <c r="C837" s="682" t="s">
        <v>7</v>
      </c>
      <c r="D837" s="682" t="s">
        <v>3630</v>
      </c>
      <c r="E837" s="917" t="s">
        <v>13770</v>
      </c>
      <c r="F837" s="917"/>
      <c r="G837" s="681" t="s">
        <v>13610</v>
      </c>
      <c r="H837" s="680">
        <v>1</v>
      </c>
      <c r="I837" s="679">
        <v>53.45</v>
      </c>
      <c r="J837" s="679">
        <v>53.45</v>
      </c>
    </row>
    <row r="838" spans="1:10" ht="36" customHeight="1">
      <c r="A838" s="677" t="s">
        <v>13472</v>
      </c>
      <c r="B838" s="678" t="s">
        <v>13823</v>
      </c>
      <c r="C838" s="677" t="s">
        <v>7</v>
      </c>
      <c r="D838" s="677" t="s">
        <v>2393</v>
      </c>
      <c r="E838" s="918" t="s">
        <v>13491</v>
      </c>
      <c r="F838" s="918"/>
      <c r="G838" s="676" t="s">
        <v>38</v>
      </c>
      <c r="H838" s="675">
        <v>5.0000000000000001E-3</v>
      </c>
      <c r="I838" s="674">
        <v>14.17</v>
      </c>
      <c r="J838" s="674">
        <v>7.0000000000000007E-2</v>
      </c>
    </row>
    <row r="839" spans="1:10" ht="36" customHeight="1">
      <c r="A839" s="677" t="s">
        <v>13472</v>
      </c>
      <c r="B839" s="678" t="s">
        <v>13824</v>
      </c>
      <c r="C839" s="677" t="s">
        <v>7</v>
      </c>
      <c r="D839" s="677" t="s">
        <v>2394</v>
      </c>
      <c r="E839" s="918" t="s">
        <v>13491</v>
      </c>
      <c r="F839" s="918"/>
      <c r="G839" s="676" t="s">
        <v>53</v>
      </c>
      <c r="H839" s="675">
        <v>6.8999999999999999E-3</v>
      </c>
      <c r="I839" s="674">
        <v>13.21</v>
      </c>
      <c r="J839" s="674">
        <v>0.09</v>
      </c>
    </row>
    <row r="840" spans="1:10" ht="24" customHeight="1">
      <c r="A840" s="677" t="s">
        <v>13472</v>
      </c>
      <c r="B840" s="678" t="s">
        <v>13564</v>
      </c>
      <c r="C840" s="677" t="s">
        <v>7</v>
      </c>
      <c r="D840" s="677" t="s">
        <v>178</v>
      </c>
      <c r="E840" s="918" t="s">
        <v>13470</v>
      </c>
      <c r="F840" s="918"/>
      <c r="G840" s="676" t="s">
        <v>19</v>
      </c>
      <c r="H840" s="675">
        <v>0.115</v>
      </c>
      <c r="I840" s="674">
        <v>18.739999999999998</v>
      </c>
      <c r="J840" s="674">
        <v>2.15</v>
      </c>
    </row>
    <row r="841" spans="1:10" ht="24" customHeight="1">
      <c r="A841" s="677" t="s">
        <v>13472</v>
      </c>
      <c r="B841" s="678" t="s">
        <v>13471</v>
      </c>
      <c r="C841" s="677" t="s">
        <v>7</v>
      </c>
      <c r="D841" s="677" t="s">
        <v>21</v>
      </c>
      <c r="E841" s="918" t="s">
        <v>13470</v>
      </c>
      <c r="F841" s="918"/>
      <c r="G841" s="676" t="s">
        <v>19</v>
      </c>
      <c r="H841" s="675">
        <v>0.15</v>
      </c>
      <c r="I841" s="674">
        <v>14.02</v>
      </c>
      <c r="J841" s="674">
        <v>2.1</v>
      </c>
    </row>
    <row r="842" spans="1:10" ht="36" customHeight="1">
      <c r="A842" s="672" t="s">
        <v>13467</v>
      </c>
      <c r="B842" s="673" t="s">
        <v>15304</v>
      </c>
      <c r="C842" s="672" t="s">
        <v>7</v>
      </c>
      <c r="D842" s="672" t="s">
        <v>15303</v>
      </c>
      <c r="E842" s="919" t="s">
        <v>13464</v>
      </c>
      <c r="F842" s="919"/>
      <c r="G842" s="671" t="s">
        <v>6987</v>
      </c>
      <c r="H842" s="670">
        <v>1.27</v>
      </c>
      <c r="I842" s="669">
        <v>0.23</v>
      </c>
      <c r="J842" s="669">
        <v>0.28999999999999998</v>
      </c>
    </row>
    <row r="843" spans="1:10" ht="24" customHeight="1">
      <c r="A843" s="672" t="s">
        <v>13467</v>
      </c>
      <c r="B843" s="673" t="s">
        <v>15302</v>
      </c>
      <c r="C843" s="672" t="s">
        <v>7</v>
      </c>
      <c r="D843" s="672" t="s">
        <v>15301</v>
      </c>
      <c r="E843" s="919" t="s">
        <v>13464</v>
      </c>
      <c r="F843" s="919"/>
      <c r="G843" s="671" t="s">
        <v>34</v>
      </c>
      <c r="H843" s="670">
        <v>1.27</v>
      </c>
      <c r="I843" s="669">
        <v>3.57</v>
      </c>
      <c r="J843" s="669">
        <v>4.53</v>
      </c>
    </row>
    <row r="844" spans="1:10" ht="24" customHeight="1">
      <c r="A844" s="672" t="s">
        <v>13467</v>
      </c>
      <c r="B844" s="673" t="s">
        <v>15300</v>
      </c>
      <c r="C844" s="672" t="s">
        <v>7</v>
      </c>
      <c r="D844" s="672" t="s">
        <v>15299</v>
      </c>
      <c r="E844" s="919" t="s">
        <v>13464</v>
      </c>
      <c r="F844" s="919"/>
      <c r="G844" s="671" t="s">
        <v>13610</v>
      </c>
      <c r="H844" s="670">
        <v>1.2749999999999999</v>
      </c>
      <c r="I844" s="669">
        <v>34.69</v>
      </c>
      <c r="J844" s="669">
        <v>44.22</v>
      </c>
    </row>
    <row r="845" spans="1:10" ht="25.5">
      <c r="A845" s="668"/>
      <c r="B845" s="668"/>
      <c r="C845" s="668"/>
      <c r="D845" s="668"/>
      <c r="E845" s="668" t="s">
        <v>13463</v>
      </c>
      <c r="F845" s="667">
        <v>1.8254916874932088</v>
      </c>
      <c r="G845" s="668" t="s">
        <v>13462</v>
      </c>
      <c r="H845" s="667">
        <v>1.53</v>
      </c>
      <c r="I845" s="668" t="s">
        <v>13461</v>
      </c>
      <c r="J845" s="667">
        <v>3.36</v>
      </c>
    </row>
    <row r="846" spans="1:10" ht="15" thickBot="1">
      <c r="A846" s="668"/>
      <c r="B846" s="668"/>
      <c r="C846" s="668"/>
      <c r="D846" s="668"/>
      <c r="E846" s="668" t="s">
        <v>13460</v>
      </c>
      <c r="F846" s="667">
        <v>15.09</v>
      </c>
      <c r="G846" s="668"/>
      <c r="H846" s="925" t="s">
        <v>13459</v>
      </c>
      <c r="I846" s="925"/>
      <c r="J846" s="667">
        <v>68.540000000000006</v>
      </c>
    </row>
    <row r="847" spans="1:10" ht="0.95" customHeight="1" thickTop="1">
      <c r="A847" s="666"/>
      <c r="B847" s="666"/>
      <c r="C847" s="666"/>
      <c r="D847" s="666"/>
      <c r="E847" s="666"/>
      <c r="F847" s="666"/>
      <c r="G847" s="666"/>
      <c r="H847" s="666"/>
      <c r="I847" s="666"/>
      <c r="J847" s="666"/>
    </row>
    <row r="848" spans="1:10" ht="18" customHeight="1">
      <c r="A848" s="686" t="s">
        <v>15298</v>
      </c>
      <c r="B848" s="684" t="s">
        <v>13484</v>
      </c>
      <c r="C848" s="686" t="s">
        <v>13483</v>
      </c>
      <c r="D848" s="686" t="s">
        <v>13482</v>
      </c>
      <c r="E848" s="924" t="s">
        <v>13481</v>
      </c>
      <c r="F848" s="924"/>
      <c r="G848" s="685" t="s">
        <v>13480</v>
      </c>
      <c r="H848" s="684" t="s">
        <v>13479</v>
      </c>
      <c r="I848" s="684" t="s">
        <v>13478</v>
      </c>
      <c r="J848" s="684" t="s">
        <v>13477</v>
      </c>
    </row>
    <row r="849" spans="1:10" ht="24" customHeight="1">
      <c r="A849" s="682" t="s">
        <v>13476</v>
      </c>
      <c r="B849" s="683" t="s">
        <v>15297</v>
      </c>
      <c r="C849" s="682" t="s">
        <v>7</v>
      </c>
      <c r="D849" s="682" t="s">
        <v>3612</v>
      </c>
      <c r="E849" s="917" t="s">
        <v>13770</v>
      </c>
      <c r="F849" s="917"/>
      <c r="G849" s="681" t="s">
        <v>13610</v>
      </c>
      <c r="H849" s="680">
        <v>1</v>
      </c>
      <c r="I849" s="679">
        <v>86.46</v>
      </c>
      <c r="J849" s="679">
        <v>86.46</v>
      </c>
    </row>
    <row r="850" spans="1:10" ht="36" customHeight="1">
      <c r="A850" s="677" t="s">
        <v>13472</v>
      </c>
      <c r="B850" s="678" t="s">
        <v>13823</v>
      </c>
      <c r="C850" s="677" t="s">
        <v>7</v>
      </c>
      <c r="D850" s="677" t="s">
        <v>2393</v>
      </c>
      <c r="E850" s="918" t="s">
        <v>13491</v>
      </c>
      <c r="F850" s="918"/>
      <c r="G850" s="676" t="s">
        <v>38</v>
      </c>
      <c r="H850" s="675">
        <v>8.9999999999999998E-4</v>
      </c>
      <c r="I850" s="674">
        <v>14.17</v>
      </c>
      <c r="J850" s="674">
        <v>0.01</v>
      </c>
    </row>
    <row r="851" spans="1:10" ht="36" customHeight="1">
      <c r="A851" s="677" t="s">
        <v>13472</v>
      </c>
      <c r="B851" s="678" t="s">
        <v>13824</v>
      </c>
      <c r="C851" s="677" t="s">
        <v>7</v>
      </c>
      <c r="D851" s="677" t="s">
        <v>2394</v>
      </c>
      <c r="E851" s="918" t="s">
        <v>13491</v>
      </c>
      <c r="F851" s="918"/>
      <c r="G851" s="676" t="s">
        <v>53</v>
      </c>
      <c r="H851" s="675">
        <v>1.2999999999999999E-3</v>
      </c>
      <c r="I851" s="674">
        <v>13.21</v>
      </c>
      <c r="J851" s="674">
        <v>0.01</v>
      </c>
    </row>
    <row r="852" spans="1:10" ht="24" customHeight="1">
      <c r="A852" s="677" t="s">
        <v>13472</v>
      </c>
      <c r="B852" s="678" t="s">
        <v>13564</v>
      </c>
      <c r="C852" s="677" t="s">
        <v>7</v>
      </c>
      <c r="D852" s="677" t="s">
        <v>178</v>
      </c>
      <c r="E852" s="918" t="s">
        <v>13470</v>
      </c>
      <c r="F852" s="918"/>
      <c r="G852" s="676" t="s">
        <v>19</v>
      </c>
      <c r="H852" s="675">
        <v>9.0999999999999998E-2</v>
      </c>
      <c r="I852" s="674">
        <v>18.739999999999998</v>
      </c>
      <c r="J852" s="674">
        <v>1.7</v>
      </c>
    </row>
    <row r="853" spans="1:10" ht="24" customHeight="1">
      <c r="A853" s="677" t="s">
        <v>13472</v>
      </c>
      <c r="B853" s="678" t="s">
        <v>13471</v>
      </c>
      <c r="C853" s="677" t="s">
        <v>7</v>
      </c>
      <c r="D853" s="677" t="s">
        <v>21</v>
      </c>
      <c r="E853" s="918" t="s">
        <v>13470</v>
      </c>
      <c r="F853" s="918"/>
      <c r="G853" s="676" t="s">
        <v>19</v>
      </c>
      <c r="H853" s="675">
        <v>9.7000000000000003E-2</v>
      </c>
      <c r="I853" s="674">
        <v>14.02</v>
      </c>
      <c r="J853" s="674">
        <v>1.35</v>
      </c>
    </row>
    <row r="854" spans="1:10" ht="36" customHeight="1">
      <c r="A854" s="672" t="s">
        <v>13467</v>
      </c>
      <c r="B854" s="673" t="s">
        <v>15296</v>
      </c>
      <c r="C854" s="672" t="s">
        <v>7</v>
      </c>
      <c r="D854" s="672" t="s">
        <v>15295</v>
      </c>
      <c r="E854" s="919" t="s">
        <v>13464</v>
      </c>
      <c r="F854" s="919"/>
      <c r="G854" s="671" t="s">
        <v>6987</v>
      </c>
      <c r="H854" s="670">
        <v>4.1500000000000004</v>
      </c>
      <c r="I854" s="669">
        <v>1.76</v>
      </c>
      <c r="J854" s="669">
        <v>7.3</v>
      </c>
    </row>
    <row r="855" spans="1:10" ht="36" customHeight="1">
      <c r="A855" s="672" t="s">
        <v>13467</v>
      </c>
      <c r="B855" s="673" t="s">
        <v>15294</v>
      </c>
      <c r="C855" s="672" t="s">
        <v>7</v>
      </c>
      <c r="D855" s="672" t="s">
        <v>15293</v>
      </c>
      <c r="E855" s="919" t="s">
        <v>13464</v>
      </c>
      <c r="F855" s="919"/>
      <c r="G855" s="671" t="s">
        <v>13610</v>
      </c>
      <c r="H855" s="670">
        <v>1.1659999999999999</v>
      </c>
      <c r="I855" s="669">
        <v>65.260000000000005</v>
      </c>
      <c r="J855" s="669">
        <v>76.09</v>
      </c>
    </row>
    <row r="856" spans="1:10" ht="25.5">
      <c r="A856" s="668"/>
      <c r="B856" s="668"/>
      <c r="C856" s="668"/>
      <c r="D856" s="668"/>
      <c r="E856" s="668" t="s">
        <v>13463</v>
      </c>
      <c r="F856" s="667">
        <v>1.287623600999674</v>
      </c>
      <c r="G856" s="668" t="s">
        <v>13462</v>
      </c>
      <c r="H856" s="667">
        <v>1.08</v>
      </c>
      <c r="I856" s="668" t="s">
        <v>13461</v>
      </c>
      <c r="J856" s="667">
        <v>2.37</v>
      </c>
    </row>
    <row r="857" spans="1:10" ht="15" thickBot="1">
      <c r="A857" s="668"/>
      <c r="B857" s="668"/>
      <c r="C857" s="668"/>
      <c r="D857" s="668"/>
      <c r="E857" s="668" t="s">
        <v>13460</v>
      </c>
      <c r="F857" s="667">
        <v>24.41</v>
      </c>
      <c r="G857" s="668"/>
      <c r="H857" s="925" t="s">
        <v>13459</v>
      </c>
      <c r="I857" s="925"/>
      <c r="J857" s="667">
        <v>110.87</v>
      </c>
    </row>
    <row r="858" spans="1:10" ht="0.95" customHeight="1" thickTop="1">
      <c r="A858" s="666"/>
      <c r="B858" s="666"/>
      <c r="C858" s="666"/>
      <c r="D858" s="666"/>
      <c r="E858" s="666"/>
      <c r="F858" s="666"/>
      <c r="G858" s="666"/>
      <c r="H858" s="666"/>
      <c r="I858" s="666"/>
      <c r="J858" s="666"/>
    </row>
    <row r="859" spans="1:10" ht="18" customHeight="1">
      <c r="A859" s="686" t="s">
        <v>15292</v>
      </c>
      <c r="B859" s="684" t="s">
        <v>13484</v>
      </c>
      <c r="C859" s="686" t="s">
        <v>13483</v>
      </c>
      <c r="D859" s="686" t="s">
        <v>13482</v>
      </c>
      <c r="E859" s="924" t="s">
        <v>13481</v>
      </c>
      <c r="F859" s="924"/>
      <c r="G859" s="685" t="s">
        <v>13480</v>
      </c>
      <c r="H859" s="684" t="s">
        <v>13479</v>
      </c>
      <c r="I859" s="684" t="s">
        <v>13478</v>
      </c>
      <c r="J859" s="684" t="s">
        <v>13477</v>
      </c>
    </row>
    <row r="860" spans="1:10" ht="36" customHeight="1">
      <c r="A860" s="682" t="s">
        <v>13476</v>
      </c>
      <c r="B860" s="683" t="s">
        <v>15291</v>
      </c>
      <c r="C860" s="682" t="s">
        <v>7</v>
      </c>
      <c r="D860" s="682" t="s">
        <v>7100</v>
      </c>
      <c r="E860" s="917" t="s">
        <v>14130</v>
      </c>
      <c r="F860" s="917"/>
      <c r="G860" s="681" t="s">
        <v>13610</v>
      </c>
      <c r="H860" s="680">
        <v>1</v>
      </c>
      <c r="I860" s="679">
        <v>7.11</v>
      </c>
      <c r="J860" s="679">
        <v>7.11</v>
      </c>
    </row>
    <row r="861" spans="1:10" ht="24" customHeight="1">
      <c r="A861" s="677" t="s">
        <v>13472</v>
      </c>
      <c r="B861" s="678" t="s">
        <v>14140</v>
      </c>
      <c r="C861" s="677" t="s">
        <v>7</v>
      </c>
      <c r="D861" s="677" t="s">
        <v>169</v>
      </c>
      <c r="E861" s="918" t="s">
        <v>13470</v>
      </c>
      <c r="F861" s="918"/>
      <c r="G861" s="676" t="s">
        <v>19</v>
      </c>
      <c r="H861" s="675">
        <v>0.3034</v>
      </c>
      <c r="I861" s="674">
        <v>18.68</v>
      </c>
      <c r="J861" s="674">
        <v>5.66</v>
      </c>
    </row>
    <row r="862" spans="1:10" ht="24" customHeight="1">
      <c r="A862" s="672" t="s">
        <v>13467</v>
      </c>
      <c r="B862" s="673" t="s">
        <v>15290</v>
      </c>
      <c r="C862" s="672" t="s">
        <v>7</v>
      </c>
      <c r="D862" s="672" t="s">
        <v>15289</v>
      </c>
      <c r="E862" s="919" t="s">
        <v>13464</v>
      </c>
      <c r="F862" s="919"/>
      <c r="G862" s="671" t="s">
        <v>50</v>
      </c>
      <c r="H862" s="670">
        <v>0.20730000000000001</v>
      </c>
      <c r="I862" s="669">
        <v>7</v>
      </c>
      <c r="J862" s="669">
        <v>1.45</v>
      </c>
    </row>
    <row r="863" spans="1:10" ht="25.5">
      <c r="A863" s="668"/>
      <c r="B863" s="668"/>
      <c r="C863" s="668"/>
      <c r="D863" s="668"/>
      <c r="E863" s="668" t="s">
        <v>13463</v>
      </c>
      <c r="F863" s="667">
        <v>2.2709985874171466</v>
      </c>
      <c r="G863" s="668" t="s">
        <v>13462</v>
      </c>
      <c r="H863" s="667">
        <v>1.91</v>
      </c>
      <c r="I863" s="668" t="s">
        <v>13461</v>
      </c>
      <c r="J863" s="667">
        <v>4.18</v>
      </c>
    </row>
    <row r="864" spans="1:10" ht="15" thickBot="1">
      <c r="A864" s="668"/>
      <c r="B864" s="668"/>
      <c r="C864" s="668"/>
      <c r="D864" s="668"/>
      <c r="E864" s="668" t="s">
        <v>13460</v>
      </c>
      <c r="F864" s="667">
        <v>2</v>
      </c>
      <c r="G864" s="668"/>
      <c r="H864" s="925" t="s">
        <v>13459</v>
      </c>
      <c r="I864" s="925"/>
      <c r="J864" s="667">
        <v>9.11</v>
      </c>
    </row>
    <row r="865" spans="1:10" ht="0.95" customHeight="1" thickTop="1">
      <c r="A865" s="666"/>
      <c r="B865" s="666"/>
      <c r="C865" s="666"/>
      <c r="D865" s="666"/>
      <c r="E865" s="666"/>
      <c r="F865" s="666"/>
      <c r="G865" s="666"/>
      <c r="H865" s="666"/>
      <c r="I865" s="666"/>
      <c r="J865" s="666"/>
    </row>
    <row r="866" spans="1:10" ht="18" customHeight="1">
      <c r="A866" s="686" t="s">
        <v>15288</v>
      </c>
      <c r="B866" s="684" t="s">
        <v>13484</v>
      </c>
      <c r="C866" s="686" t="s">
        <v>13483</v>
      </c>
      <c r="D866" s="686" t="s">
        <v>13482</v>
      </c>
      <c r="E866" s="924" t="s">
        <v>13481</v>
      </c>
      <c r="F866" s="924"/>
      <c r="G866" s="685" t="s">
        <v>13480</v>
      </c>
      <c r="H866" s="684" t="s">
        <v>13479</v>
      </c>
      <c r="I866" s="684" t="s">
        <v>13478</v>
      </c>
      <c r="J866" s="684" t="s">
        <v>13477</v>
      </c>
    </row>
    <row r="867" spans="1:10" ht="48" customHeight="1">
      <c r="A867" s="682" t="s">
        <v>13476</v>
      </c>
      <c r="B867" s="683" t="s">
        <v>15287</v>
      </c>
      <c r="C867" s="682" t="s">
        <v>7</v>
      </c>
      <c r="D867" s="682" t="s">
        <v>7097</v>
      </c>
      <c r="E867" s="917" t="s">
        <v>14130</v>
      </c>
      <c r="F867" s="917"/>
      <c r="G867" s="681" t="s">
        <v>13610</v>
      </c>
      <c r="H867" s="680">
        <v>1</v>
      </c>
      <c r="I867" s="679">
        <v>16.37</v>
      </c>
      <c r="J867" s="679">
        <v>16.37</v>
      </c>
    </row>
    <row r="868" spans="1:10" ht="24" customHeight="1">
      <c r="A868" s="677" t="s">
        <v>13472</v>
      </c>
      <c r="B868" s="678" t="s">
        <v>14140</v>
      </c>
      <c r="C868" s="677" t="s">
        <v>7</v>
      </c>
      <c r="D868" s="677" t="s">
        <v>169</v>
      </c>
      <c r="E868" s="918" t="s">
        <v>13470</v>
      </c>
      <c r="F868" s="918"/>
      <c r="G868" s="676" t="s">
        <v>19</v>
      </c>
      <c r="H868" s="675">
        <v>0.52659999999999996</v>
      </c>
      <c r="I868" s="674">
        <v>18.68</v>
      </c>
      <c r="J868" s="674">
        <v>9.83</v>
      </c>
    </row>
    <row r="869" spans="1:10" ht="24" customHeight="1">
      <c r="A869" s="672" t="s">
        <v>13467</v>
      </c>
      <c r="B869" s="673" t="s">
        <v>14139</v>
      </c>
      <c r="C869" s="672" t="s">
        <v>7</v>
      </c>
      <c r="D869" s="672" t="s">
        <v>14138</v>
      </c>
      <c r="E869" s="919" t="s">
        <v>13464</v>
      </c>
      <c r="F869" s="919"/>
      <c r="G869" s="671" t="s">
        <v>50</v>
      </c>
      <c r="H869" s="670">
        <v>6.2399999999999997E-2</v>
      </c>
      <c r="I869" s="669">
        <v>12.84</v>
      </c>
      <c r="J869" s="669">
        <v>0.8</v>
      </c>
    </row>
    <row r="870" spans="1:10" ht="24" customHeight="1">
      <c r="A870" s="672" t="s">
        <v>13467</v>
      </c>
      <c r="B870" s="673" t="s">
        <v>15286</v>
      </c>
      <c r="C870" s="672" t="s">
        <v>7</v>
      </c>
      <c r="D870" s="672" t="s">
        <v>15285</v>
      </c>
      <c r="E870" s="919" t="s">
        <v>13464</v>
      </c>
      <c r="F870" s="919"/>
      <c r="G870" s="671" t="s">
        <v>50</v>
      </c>
      <c r="H870" s="670">
        <v>0.20780000000000001</v>
      </c>
      <c r="I870" s="669">
        <v>27.65</v>
      </c>
      <c r="J870" s="669">
        <v>5.74</v>
      </c>
    </row>
    <row r="871" spans="1:10" ht="25.5">
      <c r="A871" s="668"/>
      <c r="B871" s="668"/>
      <c r="C871" s="668"/>
      <c r="D871" s="668"/>
      <c r="E871" s="668" t="s">
        <v>13463</v>
      </c>
      <c r="F871" s="667">
        <v>3.9443659676192544</v>
      </c>
      <c r="G871" s="668" t="s">
        <v>13462</v>
      </c>
      <c r="H871" s="667">
        <v>3.32</v>
      </c>
      <c r="I871" s="668" t="s">
        <v>13461</v>
      </c>
      <c r="J871" s="667">
        <v>7.26</v>
      </c>
    </row>
    <row r="872" spans="1:10" ht="15" thickBot="1">
      <c r="A872" s="668"/>
      <c r="B872" s="668"/>
      <c r="C872" s="668"/>
      <c r="D872" s="668"/>
      <c r="E872" s="668" t="s">
        <v>13460</v>
      </c>
      <c r="F872" s="667">
        <v>4.62</v>
      </c>
      <c r="G872" s="668"/>
      <c r="H872" s="925" t="s">
        <v>13459</v>
      </c>
      <c r="I872" s="925"/>
      <c r="J872" s="667">
        <v>20.99</v>
      </c>
    </row>
    <row r="873" spans="1:10" ht="0.95" customHeight="1" thickTop="1">
      <c r="A873" s="666"/>
      <c r="B873" s="666"/>
      <c r="C873" s="666"/>
      <c r="D873" s="666"/>
      <c r="E873" s="666"/>
      <c r="F873" s="666"/>
      <c r="G873" s="666"/>
      <c r="H873" s="666"/>
      <c r="I873" s="666"/>
      <c r="J873" s="666"/>
    </row>
    <row r="874" spans="1:10" ht="18" customHeight="1">
      <c r="A874" s="686" t="s">
        <v>15284</v>
      </c>
      <c r="B874" s="684" t="s">
        <v>13484</v>
      </c>
      <c r="C874" s="686" t="s">
        <v>13483</v>
      </c>
      <c r="D874" s="686" t="s">
        <v>13482</v>
      </c>
      <c r="E874" s="924" t="s">
        <v>13481</v>
      </c>
      <c r="F874" s="924"/>
      <c r="G874" s="685" t="s">
        <v>13480</v>
      </c>
      <c r="H874" s="684" t="s">
        <v>13479</v>
      </c>
      <c r="I874" s="684" t="s">
        <v>13478</v>
      </c>
      <c r="J874" s="684" t="s">
        <v>13477</v>
      </c>
    </row>
    <row r="875" spans="1:10" ht="48" customHeight="1">
      <c r="A875" s="682" t="s">
        <v>13476</v>
      </c>
      <c r="B875" s="683" t="s">
        <v>15283</v>
      </c>
      <c r="C875" s="682" t="s">
        <v>7</v>
      </c>
      <c r="D875" s="682" t="s">
        <v>4676</v>
      </c>
      <c r="E875" s="917" t="s">
        <v>14363</v>
      </c>
      <c r="F875" s="917"/>
      <c r="G875" s="681" t="s">
        <v>13610</v>
      </c>
      <c r="H875" s="680">
        <v>1</v>
      </c>
      <c r="I875" s="679">
        <v>562.99</v>
      </c>
      <c r="J875" s="679">
        <v>562.99</v>
      </c>
    </row>
    <row r="876" spans="1:10" ht="24" customHeight="1">
      <c r="A876" s="677" t="s">
        <v>13472</v>
      </c>
      <c r="B876" s="678" t="s">
        <v>13600</v>
      </c>
      <c r="C876" s="677" t="s">
        <v>7</v>
      </c>
      <c r="D876" s="677" t="s">
        <v>41</v>
      </c>
      <c r="E876" s="918" t="s">
        <v>13470</v>
      </c>
      <c r="F876" s="918"/>
      <c r="G876" s="676" t="s">
        <v>19</v>
      </c>
      <c r="H876" s="675">
        <v>0.96</v>
      </c>
      <c r="I876" s="674">
        <v>17.670000000000002</v>
      </c>
      <c r="J876" s="674">
        <v>16.96</v>
      </c>
    </row>
    <row r="877" spans="1:10" ht="24" customHeight="1">
      <c r="A877" s="677" t="s">
        <v>13472</v>
      </c>
      <c r="B877" s="678" t="s">
        <v>13471</v>
      </c>
      <c r="C877" s="677" t="s">
        <v>7</v>
      </c>
      <c r="D877" s="677" t="s">
        <v>21</v>
      </c>
      <c r="E877" s="918" t="s">
        <v>13470</v>
      </c>
      <c r="F877" s="918"/>
      <c r="G877" s="676" t="s">
        <v>19</v>
      </c>
      <c r="H877" s="675">
        <v>0.48</v>
      </c>
      <c r="I877" s="674">
        <v>14.02</v>
      </c>
      <c r="J877" s="674">
        <v>6.72</v>
      </c>
    </row>
    <row r="878" spans="1:10" ht="48" customHeight="1">
      <c r="A878" s="672" t="s">
        <v>13467</v>
      </c>
      <c r="B878" s="673" t="s">
        <v>15282</v>
      </c>
      <c r="C878" s="672" t="s">
        <v>7</v>
      </c>
      <c r="D878" s="672" t="s">
        <v>15281</v>
      </c>
      <c r="E878" s="919" t="s">
        <v>13464</v>
      </c>
      <c r="F878" s="919"/>
      <c r="G878" s="671" t="s">
        <v>34</v>
      </c>
      <c r="H878" s="670">
        <v>0.55600000000000005</v>
      </c>
      <c r="I878" s="669">
        <v>951.11</v>
      </c>
      <c r="J878" s="669">
        <v>528.80999999999995</v>
      </c>
    </row>
    <row r="879" spans="1:10" ht="36" customHeight="1">
      <c r="A879" s="672" t="s">
        <v>13467</v>
      </c>
      <c r="B879" s="673" t="s">
        <v>15272</v>
      </c>
      <c r="C879" s="672" t="s">
        <v>7</v>
      </c>
      <c r="D879" s="672" t="s">
        <v>15271</v>
      </c>
      <c r="E879" s="919" t="s">
        <v>13464</v>
      </c>
      <c r="F879" s="919"/>
      <c r="G879" s="671" t="s">
        <v>34</v>
      </c>
      <c r="H879" s="670">
        <v>7.3</v>
      </c>
      <c r="I879" s="669">
        <v>0.12</v>
      </c>
      <c r="J879" s="669">
        <v>0.87</v>
      </c>
    </row>
    <row r="880" spans="1:10" ht="24" customHeight="1">
      <c r="A880" s="672" t="s">
        <v>13467</v>
      </c>
      <c r="B880" s="673" t="s">
        <v>15270</v>
      </c>
      <c r="C880" s="672" t="s">
        <v>7</v>
      </c>
      <c r="D880" s="672" t="s">
        <v>15269</v>
      </c>
      <c r="E880" s="919" t="s">
        <v>13464</v>
      </c>
      <c r="F880" s="919"/>
      <c r="G880" s="671" t="s">
        <v>34</v>
      </c>
      <c r="H880" s="670">
        <v>0.56000000000000005</v>
      </c>
      <c r="I880" s="669">
        <v>17.2</v>
      </c>
      <c r="J880" s="669">
        <v>9.6300000000000008</v>
      </c>
    </row>
    <row r="881" spans="1:10" ht="25.5">
      <c r="A881" s="668"/>
      <c r="B881" s="668"/>
      <c r="C881" s="668"/>
      <c r="D881" s="668"/>
      <c r="E881" s="668" t="s">
        <v>13463</v>
      </c>
      <c r="F881" s="667">
        <v>9.9152450287949581</v>
      </c>
      <c r="G881" s="668" t="s">
        <v>13462</v>
      </c>
      <c r="H881" s="667">
        <v>8.33</v>
      </c>
      <c r="I881" s="668" t="s">
        <v>13461</v>
      </c>
      <c r="J881" s="667">
        <v>18.25</v>
      </c>
    </row>
    <row r="882" spans="1:10" ht="15" thickBot="1">
      <c r="A882" s="668"/>
      <c r="B882" s="668"/>
      <c r="C882" s="668"/>
      <c r="D882" s="668"/>
      <c r="E882" s="668" t="s">
        <v>13460</v>
      </c>
      <c r="F882" s="667">
        <v>158.97999999999999</v>
      </c>
      <c r="G882" s="668"/>
      <c r="H882" s="925" t="s">
        <v>13459</v>
      </c>
      <c r="I882" s="925"/>
      <c r="J882" s="667">
        <v>721.97</v>
      </c>
    </row>
    <row r="883" spans="1:10" ht="0.95" customHeight="1" thickTop="1">
      <c r="A883" s="666"/>
      <c r="B883" s="666"/>
      <c r="C883" s="666"/>
      <c r="D883" s="666"/>
      <c r="E883" s="666"/>
      <c r="F883" s="666"/>
      <c r="G883" s="666"/>
      <c r="H883" s="666"/>
      <c r="I883" s="666"/>
      <c r="J883" s="666"/>
    </row>
    <row r="884" spans="1:10" ht="18" customHeight="1">
      <c r="A884" s="686" t="s">
        <v>15280</v>
      </c>
      <c r="B884" s="684" t="s">
        <v>13484</v>
      </c>
      <c r="C884" s="686" t="s">
        <v>13483</v>
      </c>
      <c r="D884" s="686" t="s">
        <v>13482</v>
      </c>
      <c r="E884" s="924" t="s">
        <v>13481</v>
      </c>
      <c r="F884" s="924"/>
      <c r="G884" s="685" t="s">
        <v>13480</v>
      </c>
      <c r="H884" s="684" t="s">
        <v>13479</v>
      </c>
      <c r="I884" s="684" t="s">
        <v>13478</v>
      </c>
      <c r="J884" s="684" t="s">
        <v>13477</v>
      </c>
    </row>
    <row r="885" spans="1:10" ht="36" customHeight="1">
      <c r="A885" s="682" t="s">
        <v>13476</v>
      </c>
      <c r="B885" s="683" t="s">
        <v>15279</v>
      </c>
      <c r="C885" s="682" t="s">
        <v>7</v>
      </c>
      <c r="D885" s="682" t="s">
        <v>4673</v>
      </c>
      <c r="E885" s="917" t="s">
        <v>14363</v>
      </c>
      <c r="F885" s="917"/>
      <c r="G885" s="681" t="s">
        <v>13610</v>
      </c>
      <c r="H885" s="680">
        <v>1</v>
      </c>
      <c r="I885" s="679">
        <v>789.93</v>
      </c>
      <c r="J885" s="679">
        <v>789.93</v>
      </c>
    </row>
    <row r="886" spans="1:10" ht="24" customHeight="1">
      <c r="A886" s="677" t="s">
        <v>13472</v>
      </c>
      <c r="B886" s="678" t="s">
        <v>13471</v>
      </c>
      <c r="C886" s="677" t="s">
        <v>7</v>
      </c>
      <c r="D886" s="677" t="s">
        <v>21</v>
      </c>
      <c r="E886" s="918" t="s">
        <v>13470</v>
      </c>
      <c r="F886" s="918"/>
      <c r="G886" s="676" t="s">
        <v>19</v>
      </c>
      <c r="H886" s="675">
        <v>0.85299999999999998</v>
      </c>
      <c r="I886" s="674">
        <v>14.02</v>
      </c>
      <c r="J886" s="674">
        <v>11.95</v>
      </c>
    </row>
    <row r="887" spans="1:10" ht="24" customHeight="1">
      <c r="A887" s="677" t="s">
        <v>13472</v>
      </c>
      <c r="B887" s="678" t="s">
        <v>13600</v>
      </c>
      <c r="C887" s="677" t="s">
        <v>7</v>
      </c>
      <c r="D887" s="677" t="s">
        <v>41</v>
      </c>
      <c r="E887" s="918" t="s">
        <v>13470</v>
      </c>
      <c r="F887" s="918"/>
      <c r="G887" s="676" t="s">
        <v>19</v>
      </c>
      <c r="H887" s="675">
        <v>1.7070000000000001</v>
      </c>
      <c r="I887" s="674">
        <v>17.670000000000002</v>
      </c>
      <c r="J887" s="674">
        <v>30.16</v>
      </c>
    </row>
    <row r="888" spans="1:10" ht="36" customHeight="1">
      <c r="A888" s="672" t="s">
        <v>13467</v>
      </c>
      <c r="B888" s="673" t="s">
        <v>15278</v>
      </c>
      <c r="C888" s="672" t="s">
        <v>7</v>
      </c>
      <c r="D888" s="672" t="s">
        <v>15277</v>
      </c>
      <c r="E888" s="919" t="s">
        <v>13464</v>
      </c>
      <c r="F888" s="919"/>
      <c r="G888" s="671" t="s">
        <v>34</v>
      </c>
      <c r="H888" s="670">
        <v>2.0832999999999999</v>
      </c>
      <c r="I888" s="669">
        <v>347.27</v>
      </c>
      <c r="J888" s="669">
        <v>723.46</v>
      </c>
    </row>
    <row r="889" spans="1:10" ht="36" customHeight="1">
      <c r="A889" s="672" t="s">
        <v>13467</v>
      </c>
      <c r="B889" s="673" t="s">
        <v>15272</v>
      </c>
      <c r="C889" s="672" t="s">
        <v>7</v>
      </c>
      <c r="D889" s="672" t="s">
        <v>15271</v>
      </c>
      <c r="E889" s="919" t="s">
        <v>13464</v>
      </c>
      <c r="F889" s="919"/>
      <c r="G889" s="671" t="s">
        <v>34</v>
      </c>
      <c r="H889" s="670">
        <v>24.4</v>
      </c>
      <c r="I889" s="669">
        <v>0.12</v>
      </c>
      <c r="J889" s="669">
        <v>2.92</v>
      </c>
    </row>
    <row r="890" spans="1:10" ht="24" customHeight="1">
      <c r="A890" s="672" t="s">
        <v>13467</v>
      </c>
      <c r="B890" s="673" t="s">
        <v>15270</v>
      </c>
      <c r="C890" s="672" t="s">
        <v>7</v>
      </c>
      <c r="D890" s="672" t="s">
        <v>15269</v>
      </c>
      <c r="E890" s="919" t="s">
        <v>13464</v>
      </c>
      <c r="F890" s="919"/>
      <c r="G890" s="671" t="s">
        <v>34</v>
      </c>
      <c r="H890" s="670">
        <v>1.2466999999999999</v>
      </c>
      <c r="I890" s="669">
        <v>17.2</v>
      </c>
      <c r="J890" s="669">
        <v>21.44</v>
      </c>
    </row>
    <row r="891" spans="1:10" ht="25.5">
      <c r="A891" s="668"/>
      <c r="B891" s="668"/>
      <c r="C891" s="668"/>
      <c r="D891" s="668"/>
      <c r="E891" s="668" t="s">
        <v>13463</v>
      </c>
      <c r="F891" s="667">
        <v>17.630120612843637</v>
      </c>
      <c r="G891" s="668" t="s">
        <v>13462</v>
      </c>
      <c r="H891" s="667">
        <v>14.82</v>
      </c>
      <c r="I891" s="668" t="s">
        <v>13461</v>
      </c>
      <c r="J891" s="667">
        <v>32.450000000000003</v>
      </c>
    </row>
    <row r="892" spans="1:10" ht="15" thickBot="1">
      <c r="A892" s="668"/>
      <c r="B892" s="668"/>
      <c r="C892" s="668"/>
      <c r="D892" s="668"/>
      <c r="E892" s="668" t="s">
        <v>13460</v>
      </c>
      <c r="F892" s="667">
        <v>223.07</v>
      </c>
      <c r="G892" s="668"/>
      <c r="H892" s="925" t="s">
        <v>13459</v>
      </c>
      <c r="I892" s="925"/>
      <c r="J892" s="667">
        <v>1013</v>
      </c>
    </row>
    <row r="893" spans="1:10" ht="0.95" customHeight="1" thickTop="1">
      <c r="A893" s="666"/>
      <c r="B893" s="666"/>
      <c r="C893" s="666"/>
      <c r="D893" s="666"/>
      <c r="E893" s="666"/>
      <c r="F893" s="666"/>
      <c r="G893" s="666"/>
      <c r="H893" s="666"/>
      <c r="I893" s="666"/>
      <c r="J893" s="666"/>
    </row>
    <row r="894" spans="1:10" ht="18" customHeight="1">
      <c r="A894" s="686" t="s">
        <v>15276</v>
      </c>
      <c r="B894" s="684" t="s">
        <v>13484</v>
      </c>
      <c r="C894" s="686" t="s">
        <v>13483</v>
      </c>
      <c r="D894" s="686" t="s">
        <v>13482</v>
      </c>
      <c r="E894" s="924" t="s">
        <v>13481</v>
      </c>
      <c r="F894" s="924"/>
      <c r="G894" s="685" t="s">
        <v>13480</v>
      </c>
      <c r="H894" s="684" t="s">
        <v>13479</v>
      </c>
      <c r="I894" s="684" t="s">
        <v>13478</v>
      </c>
      <c r="J894" s="684" t="s">
        <v>13477</v>
      </c>
    </row>
    <row r="895" spans="1:10" ht="36" customHeight="1">
      <c r="A895" s="682" t="s">
        <v>13476</v>
      </c>
      <c r="B895" s="683" t="s">
        <v>15275</v>
      </c>
      <c r="C895" s="682" t="s">
        <v>7</v>
      </c>
      <c r="D895" s="682" t="s">
        <v>4678</v>
      </c>
      <c r="E895" s="917" t="s">
        <v>14363</v>
      </c>
      <c r="F895" s="917"/>
      <c r="G895" s="681" t="s">
        <v>13610</v>
      </c>
      <c r="H895" s="680">
        <v>1</v>
      </c>
      <c r="I895" s="679">
        <v>540.96</v>
      </c>
      <c r="J895" s="679">
        <v>540.96</v>
      </c>
    </row>
    <row r="896" spans="1:10" ht="24" customHeight="1">
      <c r="A896" s="677" t="s">
        <v>13472</v>
      </c>
      <c r="B896" s="678" t="s">
        <v>13471</v>
      </c>
      <c r="C896" s="677" t="s">
        <v>7</v>
      </c>
      <c r="D896" s="677" t="s">
        <v>21</v>
      </c>
      <c r="E896" s="918" t="s">
        <v>13470</v>
      </c>
      <c r="F896" s="918"/>
      <c r="G896" s="676" t="s">
        <v>19</v>
      </c>
      <c r="H896" s="675">
        <v>0.36</v>
      </c>
      <c r="I896" s="674">
        <v>14.02</v>
      </c>
      <c r="J896" s="674">
        <v>5.04</v>
      </c>
    </row>
    <row r="897" spans="1:10" ht="24" customHeight="1">
      <c r="A897" s="677" t="s">
        <v>13472</v>
      </c>
      <c r="B897" s="678" t="s">
        <v>13600</v>
      </c>
      <c r="C897" s="677" t="s">
        <v>7</v>
      </c>
      <c r="D897" s="677" t="s">
        <v>41</v>
      </c>
      <c r="E897" s="918" t="s">
        <v>13470</v>
      </c>
      <c r="F897" s="918"/>
      <c r="G897" s="676" t="s">
        <v>19</v>
      </c>
      <c r="H897" s="675">
        <v>0.72</v>
      </c>
      <c r="I897" s="674">
        <v>17.670000000000002</v>
      </c>
      <c r="J897" s="674">
        <v>12.72</v>
      </c>
    </row>
    <row r="898" spans="1:10" ht="36" customHeight="1">
      <c r="A898" s="672" t="s">
        <v>13467</v>
      </c>
      <c r="B898" s="673" t="s">
        <v>15274</v>
      </c>
      <c r="C898" s="672" t="s">
        <v>7</v>
      </c>
      <c r="D898" s="672" t="s">
        <v>15273</v>
      </c>
      <c r="E898" s="919" t="s">
        <v>13464</v>
      </c>
      <c r="F898" s="919"/>
      <c r="G898" s="671" t="s">
        <v>13610</v>
      </c>
      <c r="H898" s="670">
        <v>1</v>
      </c>
      <c r="I898" s="669">
        <v>513.83000000000004</v>
      </c>
      <c r="J898" s="669">
        <v>513.83000000000004</v>
      </c>
    </row>
    <row r="899" spans="1:10" ht="36" customHeight="1">
      <c r="A899" s="672" t="s">
        <v>13467</v>
      </c>
      <c r="B899" s="673" t="s">
        <v>15272</v>
      </c>
      <c r="C899" s="672" t="s">
        <v>7</v>
      </c>
      <c r="D899" s="672" t="s">
        <v>15271</v>
      </c>
      <c r="E899" s="919" t="s">
        <v>13464</v>
      </c>
      <c r="F899" s="919"/>
      <c r="G899" s="671" t="s">
        <v>34</v>
      </c>
      <c r="H899" s="670">
        <v>17.413</v>
      </c>
      <c r="I899" s="669">
        <v>0.12</v>
      </c>
      <c r="J899" s="669">
        <v>2.08</v>
      </c>
    </row>
    <row r="900" spans="1:10" ht="24" customHeight="1">
      <c r="A900" s="672" t="s">
        <v>13467</v>
      </c>
      <c r="B900" s="673" t="s">
        <v>15270</v>
      </c>
      <c r="C900" s="672" t="s">
        <v>7</v>
      </c>
      <c r="D900" s="672" t="s">
        <v>15269</v>
      </c>
      <c r="E900" s="919" t="s">
        <v>13464</v>
      </c>
      <c r="F900" s="919"/>
      <c r="G900" s="671" t="s">
        <v>34</v>
      </c>
      <c r="H900" s="670">
        <v>0.42399999999999999</v>
      </c>
      <c r="I900" s="669">
        <v>17.2</v>
      </c>
      <c r="J900" s="669">
        <v>7.29</v>
      </c>
    </row>
    <row r="901" spans="1:10" ht="25.5">
      <c r="A901" s="668"/>
      <c r="B901" s="668"/>
      <c r="C901" s="668"/>
      <c r="D901" s="668"/>
      <c r="E901" s="668" t="s">
        <v>13463</v>
      </c>
      <c r="F901" s="667">
        <v>7.4323590133652075</v>
      </c>
      <c r="G901" s="668" t="s">
        <v>13462</v>
      </c>
      <c r="H901" s="667">
        <v>6.25</v>
      </c>
      <c r="I901" s="668" t="s">
        <v>13461</v>
      </c>
      <c r="J901" s="667">
        <v>13.680000000000001</v>
      </c>
    </row>
    <row r="902" spans="1:10" ht="15" thickBot="1">
      <c r="A902" s="668"/>
      <c r="B902" s="668"/>
      <c r="C902" s="668"/>
      <c r="D902" s="668"/>
      <c r="E902" s="668" t="s">
        <v>13460</v>
      </c>
      <c r="F902" s="667">
        <v>152.76</v>
      </c>
      <c r="G902" s="668"/>
      <c r="H902" s="925" t="s">
        <v>13459</v>
      </c>
      <c r="I902" s="925"/>
      <c r="J902" s="667">
        <v>693.72</v>
      </c>
    </row>
    <row r="903" spans="1:10" ht="0.95" customHeight="1" thickTop="1">
      <c r="A903" s="666"/>
      <c r="B903" s="666"/>
      <c r="C903" s="666"/>
      <c r="D903" s="666"/>
      <c r="E903" s="666"/>
      <c r="F903" s="666"/>
      <c r="G903" s="666"/>
      <c r="H903" s="666"/>
      <c r="I903" s="666"/>
      <c r="J903" s="666"/>
    </row>
    <row r="904" spans="1:10" ht="18" customHeight="1">
      <c r="A904" s="686" t="s">
        <v>15268</v>
      </c>
      <c r="B904" s="684" t="s">
        <v>13484</v>
      </c>
      <c r="C904" s="686" t="s">
        <v>13483</v>
      </c>
      <c r="D904" s="686" t="s">
        <v>13482</v>
      </c>
      <c r="E904" s="924" t="s">
        <v>13481</v>
      </c>
      <c r="F904" s="924"/>
      <c r="G904" s="685" t="s">
        <v>13480</v>
      </c>
      <c r="H904" s="684" t="s">
        <v>13479</v>
      </c>
      <c r="I904" s="684" t="s">
        <v>13478</v>
      </c>
      <c r="J904" s="684" t="s">
        <v>13477</v>
      </c>
    </row>
    <row r="905" spans="1:10" ht="36" customHeight="1">
      <c r="A905" s="682" t="s">
        <v>13476</v>
      </c>
      <c r="B905" s="683" t="s">
        <v>15267</v>
      </c>
      <c r="C905" s="682" t="s">
        <v>7</v>
      </c>
      <c r="D905" s="682" t="s">
        <v>4660</v>
      </c>
      <c r="E905" s="917" t="s">
        <v>14363</v>
      </c>
      <c r="F905" s="917"/>
      <c r="G905" s="681" t="s">
        <v>13610</v>
      </c>
      <c r="H905" s="680">
        <v>1</v>
      </c>
      <c r="I905" s="679">
        <v>519.91</v>
      </c>
      <c r="J905" s="679">
        <v>519.91</v>
      </c>
    </row>
    <row r="906" spans="1:10" ht="24" customHeight="1">
      <c r="A906" s="677" t="s">
        <v>13472</v>
      </c>
      <c r="B906" s="678" t="s">
        <v>13600</v>
      </c>
      <c r="C906" s="677" t="s">
        <v>7</v>
      </c>
      <c r="D906" s="677" t="s">
        <v>41</v>
      </c>
      <c r="E906" s="918" t="s">
        <v>13470</v>
      </c>
      <c r="F906" s="918"/>
      <c r="G906" s="676" t="s">
        <v>19</v>
      </c>
      <c r="H906" s="675">
        <v>0.3826</v>
      </c>
      <c r="I906" s="674">
        <v>17.670000000000002</v>
      </c>
      <c r="J906" s="674">
        <v>6.76</v>
      </c>
    </row>
    <row r="907" spans="1:10" ht="24" customHeight="1">
      <c r="A907" s="677" t="s">
        <v>13472</v>
      </c>
      <c r="B907" s="678" t="s">
        <v>13471</v>
      </c>
      <c r="C907" s="677" t="s">
        <v>7</v>
      </c>
      <c r="D907" s="677" t="s">
        <v>21</v>
      </c>
      <c r="E907" s="918" t="s">
        <v>13470</v>
      </c>
      <c r="F907" s="918"/>
      <c r="G907" s="676" t="s">
        <v>19</v>
      </c>
      <c r="H907" s="675">
        <v>0.191</v>
      </c>
      <c r="I907" s="674">
        <v>14.02</v>
      </c>
      <c r="J907" s="674">
        <v>2.67</v>
      </c>
    </row>
    <row r="908" spans="1:10" ht="36" customHeight="1">
      <c r="A908" s="672" t="s">
        <v>13467</v>
      </c>
      <c r="B908" s="673" t="s">
        <v>14355</v>
      </c>
      <c r="C908" s="672" t="s">
        <v>7</v>
      </c>
      <c r="D908" s="672" t="s">
        <v>14354</v>
      </c>
      <c r="E908" s="919" t="s">
        <v>13464</v>
      </c>
      <c r="F908" s="919"/>
      <c r="G908" s="671" t="s">
        <v>34</v>
      </c>
      <c r="H908" s="670">
        <v>4.8166000000000002</v>
      </c>
      <c r="I908" s="669">
        <v>0.79</v>
      </c>
      <c r="J908" s="669">
        <v>3.8</v>
      </c>
    </row>
    <row r="909" spans="1:10" ht="24" customHeight="1">
      <c r="A909" s="672" t="s">
        <v>13467</v>
      </c>
      <c r="B909" s="673" t="s">
        <v>15266</v>
      </c>
      <c r="C909" s="672" t="s">
        <v>7</v>
      </c>
      <c r="D909" s="672" t="s">
        <v>15265</v>
      </c>
      <c r="E909" s="919" t="s">
        <v>13464</v>
      </c>
      <c r="F909" s="919"/>
      <c r="G909" s="671" t="s">
        <v>14</v>
      </c>
      <c r="H909" s="670">
        <v>6.8503999999999996</v>
      </c>
      <c r="I909" s="669">
        <v>15.02</v>
      </c>
      <c r="J909" s="669">
        <v>102.89</v>
      </c>
    </row>
    <row r="910" spans="1:10" ht="36" customHeight="1">
      <c r="A910" s="672" t="s">
        <v>13467</v>
      </c>
      <c r="B910" s="673" t="s">
        <v>15264</v>
      </c>
      <c r="C910" s="672" t="s">
        <v>7</v>
      </c>
      <c r="D910" s="672" t="s">
        <v>15263</v>
      </c>
      <c r="E910" s="919" t="s">
        <v>13464</v>
      </c>
      <c r="F910" s="919"/>
      <c r="G910" s="671" t="s">
        <v>34</v>
      </c>
      <c r="H910" s="670">
        <v>0.54730000000000001</v>
      </c>
      <c r="I910" s="669">
        <v>695.78</v>
      </c>
      <c r="J910" s="669">
        <v>380.8</v>
      </c>
    </row>
    <row r="911" spans="1:10" ht="24" customHeight="1">
      <c r="A911" s="672" t="s">
        <v>13467</v>
      </c>
      <c r="B911" s="673" t="s">
        <v>15262</v>
      </c>
      <c r="C911" s="672" t="s">
        <v>7</v>
      </c>
      <c r="D911" s="672" t="s">
        <v>15261</v>
      </c>
      <c r="E911" s="919" t="s">
        <v>13464</v>
      </c>
      <c r="F911" s="919"/>
      <c r="G911" s="671" t="s">
        <v>15260</v>
      </c>
      <c r="H911" s="670">
        <v>0.88290000000000002</v>
      </c>
      <c r="I911" s="669">
        <v>26.04</v>
      </c>
      <c r="J911" s="669">
        <v>22.99</v>
      </c>
    </row>
    <row r="912" spans="1:10" ht="25.5">
      <c r="A912" s="668"/>
      <c r="B912" s="668"/>
      <c r="C912" s="668"/>
      <c r="D912" s="668"/>
      <c r="E912" s="668" t="s">
        <v>13463</v>
      </c>
      <c r="F912" s="667">
        <v>3.9497989785939369</v>
      </c>
      <c r="G912" s="668" t="s">
        <v>13462</v>
      </c>
      <c r="H912" s="667">
        <v>3.32</v>
      </c>
      <c r="I912" s="668" t="s">
        <v>13461</v>
      </c>
      <c r="J912" s="667">
        <v>7.27</v>
      </c>
    </row>
    <row r="913" spans="1:10" ht="15" thickBot="1">
      <c r="A913" s="668"/>
      <c r="B913" s="668"/>
      <c r="C913" s="668"/>
      <c r="D913" s="668"/>
      <c r="E913" s="668" t="s">
        <v>13460</v>
      </c>
      <c r="F913" s="667">
        <v>146.82</v>
      </c>
      <c r="G913" s="668"/>
      <c r="H913" s="925" t="s">
        <v>13459</v>
      </c>
      <c r="I913" s="925"/>
      <c r="J913" s="667">
        <v>666.73</v>
      </c>
    </row>
    <row r="914" spans="1:10" ht="0.95" customHeight="1" thickTop="1">
      <c r="A914" s="666"/>
      <c r="B914" s="666"/>
      <c r="C914" s="666"/>
      <c r="D914" s="666"/>
      <c r="E914" s="666"/>
      <c r="F914" s="666"/>
      <c r="G914" s="666"/>
      <c r="H914" s="666"/>
      <c r="I914" s="666"/>
      <c r="J914" s="666"/>
    </row>
    <row r="915" spans="1:10" ht="18" customHeight="1">
      <c r="A915" s="686" t="s">
        <v>15259</v>
      </c>
      <c r="B915" s="684" t="s">
        <v>13484</v>
      </c>
      <c r="C915" s="686" t="s">
        <v>13483</v>
      </c>
      <c r="D915" s="686" t="s">
        <v>13482</v>
      </c>
      <c r="E915" s="924" t="s">
        <v>13481</v>
      </c>
      <c r="F915" s="924"/>
      <c r="G915" s="685" t="s">
        <v>13480</v>
      </c>
      <c r="H915" s="684" t="s">
        <v>13479</v>
      </c>
      <c r="I915" s="684" t="s">
        <v>13478</v>
      </c>
      <c r="J915" s="684" t="s">
        <v>13477</v>
      </c>
    </row>
    <row r="916" spans="1:10" ht="48" customHeight="1">
      <c r="A916" s="682" t="s">
        <v>13476</v>
      </c>
      <c r="B916" s="683" t="s">
        <v>15258</v>
      </c>
      <c r="C916" s="682" t="s">
        <v>7</v>
      </c>
      <c r="D916" s="682" t="s">
        <v>7112</v>
      </c>
      <c r="E916" s="917" t="s">
        <v>14130</v>
      </c>
      <c r="F916" s="917"/>
      <c r="G916" s="681" t="s">
        <v>13610</v>
      </c>
      <c r="H916" s="680">
        <v>1</v>
      </c>
      <c r="I916" s="679">
        <v>31.73</v>
      </c>
      <c r="J916" s="679">
        <v>31.73</v>
      </c>
    </row>
    <row r="917" spans="1:10" ht="24" customHeight="1">
      <c r="A917" s="677" t="s">
        <v>13472</v>
      </c>
      <c r="B917" s="678" t="s">
        <v>14140</v>
      </c>
      <c r="C917" s="677" t="s">
        <v>7</v>
      </c>
      <c r="D917" s="677" t="s">
        <v>169</v>
      </c>
      <c r="E917" s="918" t="s">
        <v>13470</v>
      </c>
      <c r="F917" s="918"/>
      <c r="G917" s="676" t="s">
        <v>19</v>
      </c>
      <c r="H917" s="675">
        <v>1.0530999999999999</v>
      </c>
      <c r="I917" s="674">
        <v>18.68</v>
      </c>
      <c r="J917" s="674">
        <v>19.670000000000002</v>
      </c>
    </row>
    <row r="918" spans="1:10" ht="24" customHeight="1">
      <c r="A918" s="672" t="s">
        <v>13467</v>
      </c>
      <c r="B918" s="673" t="s">
        <v>14139</v>
      </c>
      <c r="C918" s="672" t="s">
        <v>7</v>
      </c>
      <c r="D918" s="672" t="s">
        <v>14138</v>
      </c>
      <c r="E918" s="919" t="s">
        <v>13464</v>
      </c>
      <c r="F918" s="919"/>
      <c r="G918" s="671" t="s">
        <v>50</v>
      </c>
      <c r="H918" s="670">
        <v>0.124</v>
      </c>
      <c r="I918" s="669">
        <v>12.84</v>
      </c>
      <c r="J918" s="669">
        <v>1.59</v>
      </c>
    </row>
    <row r="919" spans="1:10" ht="24" customHeight="1">
      <c r="A919" s="672" t="s">
        <v>13467</v>
      </c>
      <c r="B919" s="673" t="s">
        <v>15257</v>
      </c>
      <c r="C919" s="672" t="s">
        <v>7</v>
      </c>
      <c r="D919" s="672" t="s">
        <v>15256</v>
      </c>
      <c r="E919" s="919" t="s">
        <v>13464</v>
      </c>
      <c r="F919" s="919"/>
      <c r="G919" s="671" t="s">
        <v>50</v>
      </c>
      <c r="H919" s="670">
        <v>0.41339999999999999</v>
      </c>
      <c r="I919" s="669">
        <v>25.34</v>
      </c>
      <c r="J919" s="669">
        <v>10.47</v>
      </c>
    </row>
    <row r="920" spans="1:10" ht="25.5">
      <c r="A920" s="668"/>
      <c r="B920" s="668"/>
      <c r="C920" s="668"/>
      <c r="D920" s="668"/>
      <c r="E920" s="668" t="s">
        <v>13463</v>
      </c>
      <c r="F920" s="667">
        <v>7.8941649462131913</v>
      </c>
      <c r="G920" s="668" t="s">
        <v>13462</v>
      </c>
      <c r="H920" s="667">
        <v>6.64</v>
      </c>
      <c r="I920" s="668" t="s">
        <v>13461</v>
      </c>
      <c r="J920" s="667">
        <v>14.53</v>
      </c>
    </row>
    <row r="921" spans="1:10" ht="15" thickBot="1">
      <c r="A921" s="668"/>
      <c r="B921" s="668"/>
      <c r="C921" s="668"/>
      <c r="D921" s="668"/>
      <c r="E921" s="668" t="s">
        <v>13460</v>
      </c>
      <c r="F921" s="667">
        <v>8.9600000000000009</v>
      </c>
      <c r="G921" s="668"/>
      <c r="H921" s="925" t="s">
        <v>13459</v>
      </c>
      <c r="I921" s="925"/>
      <c r="J921" s="667">
        <v>40.69</v>
      </c>
    </row>
    <row r="922" spans="1:10" ht="0.95" customHeight="1" thickTop="1">
      <c r="A922" s="666"/>
      <c r="B922" s="666"/>
      <c r="C922" s="666"/>
      <c r="D922" s="666"/>
      <c r="E922" s="666"/>
      <c r="F922" s="666"/>
      <c r="G922" s="666"/>
      <c r="H922" s="666"/>
      <c r="I922" s="666"/>
      <c r="J922" s="666"/>
    </row>
    <row r="923" spans="1:10" ht="18" customHeight="1">
      <c r="A923" s="686" t="s">
        <v>15255</v>
      </c>
      <c r="B923" s="684" t="s">
        <v>13484</v>
      </c>
      <c r="C923" s="686" t="s">
        <v>13483</v>
      </c>
      <c r="D923" s="686" t="s">
        <v>13482</v>
      </c>
      <c r="E923" s="924" t="s">
        <v>13481</v>
      </c>
      <c r="F923" s="924"/>
      <c r="G923" s="685" t="s">
        <v>13480</v>
      </c>
      <c r="H923" s="684" t="s">
        <v>13479</v>
      </c>
      <c r="I923" s="684" t="s">
        <v>13478</v>
      </c>
      <c r="J923" s="684" t="s">
        <v>13477</v>
      </c>
    </row>
    <row r="924" spans="1:10" ht="36" customHeight="1">
      <c r="A924" s="682" t="s">
        <v>13476</v>
      </c>
      <c r="B924" s="683" t="s">
        <v>15254</v>
      </c>
      <c r="C924" s="682" t="s">
        <v>7</v>
      </c>
      <c r="D924" s="682" t="s">
        <v>6699</v>
      </c>
      <c r="E924" s="917" t="s">
        <v>14156</v>
      </c>
      <c r="F924" s="917"/>
      <c r="G924" s="681" t="s">
        <v>13610</v>
      </c>
      <c r="H924" s="680">
        <v>1</v>
      </c>
      <c r="I924" s="679">
        <v>566.95000000000005</v>
      </c>
      <c r="J924" s="679">
        <v>566.95000000000005</v>
      </c>
    </row>
    <row r="925" spans="1:10" ht="36" customHeight="1">
      <c r="A925" s="677" t="s">
        <v>13472</v>
      </c>
      <c r="B925" s="678" t="s">
        <v>13577</v>
      </c>
      <c r="C925" s="677" t="s">
        <v>7</v>
      </c>
      <c r="D925" s="677" t="s">
        <v>1932</v>
      </c>
      <c r="E925" s="918" t="s">
        <v>13491</v>
      </c>
      <c r="F925" s="918"/>
      <c r="G925" s="676" t="s">
        <v>38</v>
      </c>
      <c r="H925" s="675">
        <v>8.8999999999999996E-2</v>
      </c>
      <c r="I925" s="674">
        <v>16.260000000000002</v>
      </c>
      <c r="J925" s="674">
        <v>1.44</v>
      </c>
    </row>
    <row r="926" spans="1:10" ht="36" customHeight="1">
      <c r="A926" s="677" t="s">
        <v>13472</v>
      </c>
      <c r="B926" s="678" t="s">
        <v>13578</v>
      </c>
      <c r="C926" s="677" t="s">
        <v>7</v>
      </c>
      <c r="D926" s="677" t="s">
        <v>1933</v>
      </c>
      <c r="E926" s="918" t="s">
        <v>13491</v>
      </c>
      <c r="F926" s="918"/>
      <c r="G926" s="676" t="s">
        <v>53</v>
      </c>
      <c r="H926" s="675">
        <v>1.3160000000000001</v>
      </c>
      <c r="I926" s="674">
        <v>13.53</v>
      </c>
      <c r="J926" s="674">
        <v>17.8</v>
      </c>
    </row>
    <row r="927" spans="1:10" ht="24" customHeight="1">
      <c r="A927" s="677" t="s">
        <v>13472</v>
      </c>
      <c r="B927" s="678" t="s">
        <v>13965</v>
      </c>
      <c r="C927" s="677" t="s">
        <v>7</v>
      </c>
      <c r="D927" s="677" t="s">
        <v>141</v>
      </c>
      <c r="E927" s="918" t="s">
        <v>13470</v>
      </c>
      <c r="F927" s="918"/>
      <c r="G927" s="676" t="s">
        <v>19</v>
      </c>
      <c r="H927" s="675">
        <v>1.405</v>
      </c>
      <c r="I927" s="674">
        <v>17.899999999999999</v>
      </c>
      <c r="J927" s="674">
        <v>25.14</v>
      </c>
    </row>
    <row r="928" spans="1:10" ht="24" customHeight="1">
      <c r="A928" s="677" t="s">
        <v>13472</v>
      </c>
      <c r="B928" s="678" t="s">
        <v>13471</v>
      </c>
      <c r="C928" s="677" t="s">
        <v>7</v>
      </c>
      <c r="D928" s="677" t="s">
        <v>21</v>
      </c>
      <c r="E928" s="918" t="s">
        <v>13470</v>
      </c>
      <c r="F928" s="918"/>
      <c r="G928" s="676" t="s">
        <v>19</v>
      </c>
      <c r="H928" s="675">
        <v>0.70199999999999996</v>
      </c>
      <c r="I928" s="674">
        <v>14.02</v>
      </c>
      <c r="J928" s="674">
        <v>9.84</v>
      </c>
    </row>
    <row r="929" spans="1:10" ht="24" customHeight="1">
      <c r="A929" s="672" t="s">
        <v>13467</v>
      </c>
      <c r="B929" s="673" t="s">
        <v>15253</v>
      </c>
      <c r="C929" s="672" t="s">
        <v>7</v>
      </c>
      <c r="D929" s="672" t="s">
        <v>15252</v>
      </c>
      <c r="E929" s="919" t="s">
        <v>13464</v>
      </c>
      <c r="F929" s="919"/>
      <c r="G929" s="671" t="s">
        <v>17</v>
      </c>
      <c r="H929" s="670">
        <v>0.53</v>
      </c>
      <c r="I929" s="669">
        <v>34.409999999999997</v>
      </c>
      <c r="J929" s="669">
        <v>18.23</v>
      </c>
    </row>
    <row r="930" spans="1:10" ht="24" customHeight="1">
      <c r="A930" s="672" t="s">
        <v>13467</v>
      </c>
      <c r="B930" s="673" t="s">
        <v>15229</v>
      </c>
      <c r="C930" s="672" t="s">
        <v>7</v>
      </c>
      <c r="D930" s="672" t="s">
        <v>15228</v>
      </c>
      <c r="E930" s="919" t="s">
        <v>13464</v>
      </c>
      <c r="F930" s="919"/>
      <c r="G930" s="671" t="s">
        <v>17</v>
      </c>
      <c r="H930" s="670">
        <v>0.97</v>
      </c>
      <c r="I930" s="669">
        <v>2.75</v>
      </c>
      <c r="J930" s="669">
        <v>2.66</v>
      </c>
    </row>
    <row r="931" spans="1:10" ht="36" customHeight="1">
      <c r="A931" s="672" t="s">
        <v>13467</v>
      </c>
      <c r="B931" s="673" t="s">
        <v>15251</v>
      </c>
      <c r="C931" s="672" t="s">
        <v>7</v>
      </c>
      <c r="D931" s="672" t="s">
        <v>15250</v>
      </c>
      <c r="E931" s="919" t="s">
        <v>13464</v>
      </c>
      <c r="F931" s="919"/>
      <c r="G931" s="671" t="s">
        <v>13610</v>
      </c>
      <c r="H931" s="670">
        <v>1.05</v>
      </c>
      <c r="I931" s="669">
        <v>468.42</v>
      </c>
      <c r="J931" s="669">
        <v>491.84</v>
      </c>
    </row>
    <row r="932" spans="1:10" ht="25.5">
      <c r="A932" s="668"/>
      <c r="B932" s="668"/>
      <c r="C932" s="668"/>
      <c r="D932" s="668"/>
      <c r="E932" s="668" t="s">
        <v>13463</v>
      </c>
      <c r="F932" s="667">
        <v>22.682820819298055</v>
      </c>
      <c r="G932" s="668" t="s">
        <v>13462</v>
      </c>
      <c r="H932" s="667">
        <v>19.07</v>
      </c>
      <c r="I932" s="668" t="s">
        <v>13461</v>
      </c>
      <c r="J932" s="667">
        <v>41.75</v>
      </c>
    </row>
    <row r="933" spans="1:10" ht="15" thickBot="1">
      <c r="A933" s="668"/>
      <c r="B933" s="668"/>
      <c r="C933" s="668"/>
      <c r="D933" s="668"/>
      <c r="E933" s="668" t="s">
        <v>13460</v>
      </c>
      <c r="F933" s="667">
        <v>160.1</v>
      </c>
      <c r="G933" s="668"/>
      <c r="H933" s="925" t="s">
        <v>13459</v>
      </c>
      <c r="I933" s="925"/>
      <c r="J933" s="667">
        <v>727.05</v>
      </c>
    </row>
    <row r="934" spans="1:10" ht="0.95" customHeight="1" thickTop="1">
      <c r="A934" s="666"/>
      <c r="B934" s="666"/>
      <c r="C934" s="666"/>
      <c r="D934" s="666"/>
      <c r="E934" s="666"/>
      <c r="F934" s="666"/>
      <c r="G934" s="666"/>
      <c r="H934" s="666"/>
      <c r="I934" s="666"/>
      <c r="J934" s="666"/>
    </row>
    <row r="935" spans="1:10" ht="18" customHeight="1">
      <c r="A935" s="686" t="s">
        <v>15249</v>
      </c>
      <c r="B935" s="684" t="s">
        <v>13484</v>
      </c>
      <c r="C935" s="686" t="s">
        <v>13483</v>
      </c>
      <c r="D935" s="686" t="s">
        <v>13482</v>
      </c>
      <c r="E935" s="924" t="s">
        <v>13481</v>
      </c>
      <c r="F935" s="924"/>
      <c r="G935" s="685" t="s">
        <v>13480</v>
      </c>
      <c r="H935" s="684" t="s">
        <v>13479</v>
      </c>
      <c r="I935" s="684" t="s">
        <v>13478</v>
      </c>
      <c r="J935" s="684" t="s">
        <v>13477</v>
      </c>
    </row>
    <row r="936" spans="1:10" ht="36" customHeight="1">
      <c r="A936" s="682" t="s">
        <v>13476</v>
      </c>
      <c r="B936" s="683" t="s">
        <v>15248</v>
      </c>
      <c r="C936" s="682" t="s">
        <v>7</v>
      </c>
      <c r="D936" s="682" t="s">
        <v>6276</v>
      </c>
      <c r="E936" s="917" t="s">
        <v>14122</v>
      </c>
      <c r="F936" s="917"/>
      <c r="G936" s="681" t="s">
        <v>14</v>
      </c>
      <c r="H936" s="680">
        <v>1</v>
      </c>
      <c r="I936" s="679">
        <v>111.11</v>
      </c>
      <c r="J936" s="679">
        <v>111.11</v>
      </c>
    </row>
    <row r="937" spans="1:10" ht="36" customHeight="1">
      <c r="A937" s="677" t="s">
        <v>13472</v>
      </c>
      <c r="B937" s="678" t="s">
        <v>13577</v>
      </c>
      <c r="C937" s="677" t="s">
        <v>7</v>
      </c>
      <c r="D937" s="677" t="s">
        <v>1932</v>
      </c>
      <c r="E937" s="918" t="s">
        <v>13491</v>
      </c>
      <c r="F937" s="918"/>
      <c r="G937" s="676" t="s">
        <v>38</v>
      </c>
      <c r="H937" s="675">
        <v>2.1000000000000001E-2</v>
      </c>
      <c r="I937" s="674">
        <v>16.260000000000002</v>
      </c>
      <c r="J937" s="674">
        <v>0.34</v>
      </c>
    </row>
    <row r="938" spans="1:10" ht="36" customHeight="1">
      <c r="A938" s="677" t="s">
        <v>13472</v>
      </c>
      <c r="B938" s="678" t="s">
        <v>13578</v>
      </c>
      <c r="C938" s="677" t="s">
        <v>7</v>
      </c>
      <c r="D938" s="677" t="s">
        <v>1933</v>
      </c>
      <c r="E938" s="918" t="s">
        <v>13491</v>
      </c>
      <c r="F938" s="918"/>
      <c r="G938" s="676" t="s">
        <v>53</v>
      </c>
      <c r="H938" s="675">
        <v>0.39800000000000002</v>
      </c>
      <c r="I938" s="674">
        <v>13.53</v>
      </c>
      <c r="J938" s="674">
        <v>5.38</v>
      </c>
    </row>
    <row r="939" spans="1:10" ht="60" customHeight="1">
      <c r="A939" s="677" t="s">
        <v>13472</v>
      </c>
      <c r="B939" s="678" t="s">
        <v>14078</v>
      </c>
      <c r="C939" s="677" t="s">
        <v>7</v>
      </c>
      <c r="D939" s="677" t="s">
        <v>4312</v>
      </c>
      <c r="E939" s="918" t="s">
        <v>13470</v>
      </c>
      <c r="F939" s="918"/>
      <c r="G939" s="676" t="s">
        <v>13515</v>
      </c>
      <c r="H939" s="675">
        <v>6.0000000000000001E-3</v>
      </c>
      <c r="I939" s="674">
        <v>336.31</v>
      </c>
      <c r="J939" s="674">
        <v>2.0099999999999998</v>
      </c>
    </row>
    <row r="940" spans="1:10" ht="24" customHeight="1">
      <c r="A940" s="677" t="s">
        <v>13472</v>
      </c>
      <c r="B940" s="678" t="s">
        <v>13965</v>
      </c>
      <c r="C940" s="677" t="s">
        <v>7</v>
      </c>
      <c r="D940" s="677" t="s">
        <v>141</v>
      </c>
      <c r="E940" s="918" t="s">
        <v>13470</v>
      </c>
      <c r="F940" s="918"/>
      <c r="G940" s="676" t="s">
        <v>19</v>
      </c>
      <c r="H940" s="675">
        <v>0.41899999999999998</v>
      </c>
      <c r="I940" s="674">
        <v>17.899999999999999</v>
      </c>
      <c r="J940" s="674">
        <v>7.5</v>
      </c>
    </row>
    <row r="941" spans="1:10" ht="24" customHeight="1">
      <c r="A941" s="677" t="s">
        <v>13472</v>
      </c>
      <c r="B941" s="678" t="s">
        <v>13471</v>
      </c>
      <c r="C941" s="677" t="s">
        <v>7</v>
      </c>
      <c r="D941" s="677" t="s">
        <v>21</v>
      </c>
      <c r="E941" s="918" t="s">
        <v>13470</v>
      </c>
      <c r="F941" s="918"/>
      <c r="G941" s="676" t="s">
        <v>19</v>
      </c>
      <c r="H941" s="675">
        <v>0.20899999999999999</v>
      </c>
      <c r="I941" s="674">
        <v>14.02</v>
      </c>
      <c r="J941" s="674">
        <v>2.93</v>
      </c>
    </row>
    <row r="942" spans="1:10" ht="24" customHeight="1">
      <c r="A942" s="672" t="s">
        <v>13467</v>
      </c>
      <c r="B942" s="673" t="s">
        <v>15247</v>
      </c>
      <c r="C942" s="672" t="s">
        <v>7</v>
      </c>
      <c r="D942" s="672" t="s">
        <v>15246</v>
      </c>
      <c r="E942" s="919" t="s">
        <v>13464</v>
      </c>
      <c r="F942" s="919"/>
      <c r="G942" s="671" t="s">
        <v>14</v>
      </c>
      <c r="H942" s="670">
        <v>1.04</v>
      </c>
      <c r="I942" s="669">
        <v>89.38</v>
      </c>
      <c r="J942" s="669">
        <v>92.95</v>
      </c>
    </row>
    <row r="943" spans="1:10" ht="25.5">
      <c r="A943" s="668"/>
      <c r="B943" s="668"/>
      <c r="C943" s="668"/>
      <c r="D943" s="668"/>
      <c r="E943" s="668" t="s">
        <v>13463</v>
      </c>
      <c r="F943" s="667">
        <v>6.8944909268716721</v>
      </c>
      <c r="G943" s="668" t="s">
        <v>13462</v>
      </c>
      <c r="H943" s="667">
        <v>5.8</v>
      </c>
      <c r="I943" s="668" t="s">
        <v>13461</v>
      </c>
      <c r="J943" s="667">
        <v>12.69</v>
      </c>
    </row>
    <row r="944" spans="1:10" ht="15" thickBot="1">
      <c r="A944" s="668"/>
      <c r="B944" s="668"/>
      <c r="C944" s="668"/>
      <c r="D944" s="668"/>
      <c r="E944" s="668" t="s">
        <v>13460</v>
      </c>
      <c r="F944" s="667">
        <v>31.37</v>
      </c>
      <c r="G944" s="668"/>
      <c r="H944" s="925" t="s">
        <v>13459</v>
      </c>
      <c r="I944" s="925"/>
      <c r="J944" s="667">
        <v>142.47999999999999</v>
      </c>
    </row>
    <row r="945" spans="1:10" ht="0.95" customHeight="1" thickTop="1">
      <c r="A945" s="666"/>
      <c r="B945" s="666"/>
      <c r="C945" s="666"/>
      <c r="D945" s="666"/>
      <c r="E945" s="666"/>
      <c r="F945" s="666"/>
      <c r="G945" s="666"/>
      <c r="H945" s="666"/>
      <c r="I945" s="666"/>
      <c r="J945" s="666"/>
    </row>
    <row r="946" spans="1:10" ht="18" customHeight="1">
      <c r="A946" s="686" t="s">
        <v>15245</v>
      </c>
      <c r="B946" s="684" t="s">
        <v>13484</v>
      </c>
      <c r="C946" s="686" t="s">
        <v>13483</v>
      </c>
      <c r="D946" s="686" t="s">
        <v>13482</v>
      </c>
      <c r="E946" s="924" t="s">
        <v>13481</v>
      </c>
      <c r="F946" s="924"/>
      <c r="G946" s="685" t="s">
        <v>13480</v>
      </c>
      <c r="H946" s="684" t="s">
        <v>13479</v>
      </c>
      <c r="I946" s="684" t="s">
        <v>13478</v>
      </c>
      <c r="J946" s="684" t="s">
        <v>13477</v>
      </c>
    </row>
    <row r="947" spans="1:10" ht="48" customHeight="1">
      <c r="A947" s="682" t="s">
        <v>13476</v>
      </c>
      <c r="B947" s="683" t="s">
        <v>15244</v>
      </c>
      <c r="C947" s="682" t="s">
        <v>7</v>
      </c>
      <c r="D947" s="682" t="s">
        <v>1078</v>
      </c>
      <c r="E947" s="917" t="s">
        <v>14122</v>
      </c>
      <c r="F947" s="917"/>
      <c r="G947" s="681" t="s">
        <v>13610</v>
      </c>
      <c r="H947" s="680">
        <v>1</v>
      </c>
      <c r="I947" s="679">
        <v>3.01</v>
      </c>
      <c r="J947" s="679">
        <v>3.01</v>
      </c>
    </row>
    <row r="948" spans="1:10" ht="36" customHeight="1">
      <c r="A948" s="677" t="s">
        <v>13472</v>
      </c>
      <c r="B948" s="678" t="s">
        <v>14084</v>
      </c>
      <c r="C948" s="677" t="s">
        <v>7</v>
      </c>
      <c r="D948" s="677" t="s">
        <v>4332</v>
      </c>
      <c r="E948" s="918" t="s">
        <v>13470</v>
      </c>
      <c r="F948" s="918"/>
      <c r="G948" s="676" t="s">
        <v>13515</v>
      </c>
      <c r="H948" s="675">
        <v>4.1999999999999997E-3</v>
      </c>
      <c r="I948" s="674">
        <v>403.42</v>
      </c>
      <c r="J948" s="674">
        <v>1.69</v>
      </c>
    </row>
    <row r="949" spans="1:10" ht="24" customHeight="1">
      <c r="A949" s="677" t="s">
        <v>13472</v>
      </c>
      <c r="B949" s="678" t="s">
        <v>13471</v>
      </c>
      <c r="C949" s="677" t="s">
        <v>7</v>
      </c>
      <c r="D949" s="677" t="s">
        <v>21</v>
      </c>
      <c r="E949" s="918" t="s">
        <v>13470</v>
      </c>
      <c r="F949" s="918"/>
      <c r="G949" s="676" t="s">
        <v>19</v>
      </c>
      <c r="H949" s="675">
        <v>7.0000000000000001E-3</v>
      </c>
      <c r="I949" s="674">
        <v>14.02</v>
      </c>
      <c r="J949" s="674">
        <v>0.09</v>
      </c>
    </row>
    <row r="950" spans="1:10" ht="24" customHeight="1">
      <c r="A950" s="677" t="s">
        <v>13472</v>
      </c>
      <c r="B950" s="678" t="s">
        <v>13600</v>
      </c>
      <c r="C950" s="677" t="s">
        <v>7</v>
      </c>
      <c r="D950" s="677" t="s">
        <v>41</v>
      </c>
      <c r="E950" s="918" t="s">
        <v>13470</v>
      </c>
      <c r="F950" s="918"/>
      <c r="G950" s="676" t="s">
        <v>19</v>
      </c>
      <c r="H950" s="675">
        <v>7.0000000000000007E-2</v>
      </c>
      <c r="I950" s="674">
        <v>17.670000000000002</v>
      </c>
      <c r="J950" s="674">
        <v>1.23</v>
      </c>
    </row>
    <row r="951" spans="1:10" ht="25.5">
      <c r="A951" s="668"/>
      <c r="B951" s="668"/>
      <c r="C951" s="668"/>
      <c r="D951" s="668"/>
      <c r="E951" s="668" t="s">
        <v>13463</v>
      </c>
      <c r="F951" s="667">
        <v>0.6573943279365424</v>
      </c>
      <c r="G951" s="668" t="s">
        <v>13462</v>
      </c>
      <c r="H951" s="667">
        <v>0.55000000000000004</v>
      </c>
      <c r="I951" s="668" t="s">
        <v>13461</v>
      </c>
      <c r="J951" s="667">
        <v>1.21</v>
      </c>
    </row>
    <row r="952" spans="1:10" ht="15" thickBot="1">
      <c r="A952" s="668"/>
      <c r="B952" s="668"/>
      <c r="C952" s="668"/>
      <c r="D952" s="668"/>
      <c r="E952" s="668" t="s">
        <v>13460</v>
      </c>
      <c r="F952" s="667">
        <v>0.85</v>
      </c>
      <c r="G952" s="668"/>
      <c r="H952" s="925" t="s">
        <v>13459</v>
      </c>
      <c r="I952" s="925"/>
      <c r="J952" s="667">
        <v>3.86</v>
      </c>
    </row>
    <row r="953" spans="1:10" ht="0.95" customHeight="1" thickTop="1">
      <c r="A953" s="666"/>
      <c r="B953" s="666"/>
      <c r="C953" s="666"/>
      <c r="D953" s="666"/>
      <c r="E953" s="666"/>
      <c r="F953" s="666"/>
      <c r="G953" s="666"/>
      <c r="H953" s="666"/>
      <c r="I953" s="666"/>
      <c r="J953" s="666"/>
    </row>
    <row r="954" spans="1:10" ht="18" customHeight="1">
      <c r="A954" s="686" t="s">
        <v>15243</v>
      </c>
      <c r="B954" s="684" t="s">
        <v>13484</v>
      </c>
      <c r="C954" s="686" t="s">
        <v>13483</v>
      </c>
      <c r="D954" s="686" t="s">
        <v>13482</v>
      </c>
      <c r="E954" s="924" t="s">
        <v>13481</v>
      </c>
      <c r="F954" s="924"/>
      <c r="G954" s="685" t="s">
        <v>13480</v>
      </c>
      <c r="H954" s="684" t="s">
        <v>13479</v>
      </c>
      <c r="I954" s="684" t="s">
        <v>13478</v>
      </c>
      <c r="J954" s="684" t="s">
        <v>13477</v>
      </c>
    </row>
    <row r="955" spans="1:10" ht="60" customHeight="1">
      <c r="A955" s="682" t="s">
        <v>13476</v>
      </c>
      <c r="B955" s="683" t="s">
        <v>15242</v>
      </c>
      <c r="C955" s="682" t="s">
        <v>7</v>
      </c>
      <c r="D955" s="682" t="s">
        <v>999</v>
      </c>
      <c r="E955" s="917" t="s">
        <v>14122</v>
      </c>
      <c r="F955" s="917"/>
      <c r="G955" s="681" t="s">
        <v>13610</v>
      </c>
      <c r="H955" s="680">
        <v>1</v>
      </c>
      <c r="I955" s="679">
        <v>13.32</v>
      </c>
      <c r="J955" s="679">
        <v>13.32</v>
      </c>
    </row>
    <row r="956" spans="1:10" ht="48" customHeight="1">
      <c r="A956" s="677" t="s">
        <v>13472</v>
      </c>
      <c r="B956" s="678" t="s">
        <v>14089</v>
      </c>
      <c r="C956" s="677" t="s">
        <v>7</v>
      </c>
      <c r="D956" s="677" t="s">
        <v>4318</v>
      </c>
      <c r="E956" s="918" t="s">
        <v>13470</v>
      </c>
      <c r="F956" s="918"/>
      <c r="G956" s="676" t="s">
        <v>13515</v>
      </c>
      <c r="H956" s="675">
        <v>2.1299999999999999E-2</v>
      </c>
      <c r="I956" s="674">
        <v>411.36</v>
      </c>
      <c r="J956" s="674">
        <v>8.76</v>
      </c>
    </row>
    <row r="957" spans="1:10" ht="24" customHeight="1">
      <c r="A957" s="677" t="s">
        <v>13472</v>
      </c>
      <c r="B957" s="678" t="s">
        <v>13471</v>
      </c>
      <c r="C957" s="677" t="s">
        <v>7</v>
      </c>
      <c r="D957" s="677" t="s">
        <v>21</v>
      </c>
      <c r="E957" s="918" t="s">
        <v>13470</v>
      </c>
      <c r="F957" s="918"/>
      <c r="G957" s="676" t="s">
        <v>19</v>
      </c>
      <c r="H957" s="675">
        <v>7.3999999999999996E-2</v>
      </c>
      <c r="I957" s="674">
        <v>14.02</v>
      </c>
      <c r="J957" s="674">
        <v>1.03</v>
      </c>
    </row>
    <row r="958" spans="1:10" ht="24" customHeight="1">
      <c r="A958" s="677" t="s">
        <v>13472</v>
      </c>
      <c r="B958" s="678" t="s">
        <v>13600</v>
      </c>
      <c r="C958" s="677" t="s">
        <v>7</v>
      </c>
      <c r="D958" s="677" t="s">
        <v>41</v>
      </c>
      <c r="E958" s="918" t="s">
        <v>13470</v>
      </c>
      <c r="F958" s="918"/>
      <c r="G958" s="676" t="s">
        <v>19</v>
      </c>
      <c r="H958" s="675">
        <v>0.2</v>
      </c>
      <c r="I958" s="674">
        <v>17.670000000000002</v>
      </c>
      <c r="J958" s="674">
        <v>3.53</v>
      </c>
    </row>
    <row r="959" spans="1:10" ht="25.5">
      <c r="A959" s="668"/>
      <c r="B959" s="668"/>
      <c r="C959" s="668"/>
      <c r="D959" s="668"/>
      <c r="E959" s="668" t="s">
        <v>13463</v>
      </c>
      <c r="F959" s="667">
        <v>2.4285559056829293</v>
      </c>
      <c r="G959" s="668" t="s">
        <v>13462</v>
      </c>
      <c r="H959" s="667">
        <v>2.04</v>
      </c>
      <c r="I959" s="668" t="s">
        <v>13461</v>
      </c>
      <c r="J959" s="667">
        <v>4.47</v>
      </c>
    </row>
    <row r="960" spans="1:10" ht="15" thickBot="1">
      <c r="A960" s="668"/>
      <c r="B960" s="668"/>
      <c r="C960" s="668"/>
      <c r="D960" s="668"/>
      <c r="E960" s="668" t="s">
        <v>13460</v>
      </c>
      <c r="F960" s="667">
        <v>3.76</v>
      </c>
      <c r="G960" s="668"/>
      <c r="H960" s="925" t="s">
        <v>13459</v>
      </c>
      <c r="I960" s="925"/>
      <c r="J960" s="667">
        <v>17.079999999999998</v>
      </c>
    </row>
    <row r="961" spans="1:10" ht="0.95" customHeight="1" thickTop="1">
      <c r="A961" s="666"/>
      <c r="B961" s="666"/>
      <c r="C961" s="666"/>
      <c r="D961" s="666"/>
      <c r="E961" s="666"/>
      <c r="F961" s="666"/>
      <c r="G961" s="666"/>
      <c r="H961" s="666"/>
      <c r="I961" s="666"/>
      <c r="J961" s="666"/>
    </row>
    <row r="962" spans="1:10" ht="18" customHeight="1">
      <c r="A962" s="686" t="s">
        <v>15241</v>
      </c>
      <c r="B962" s="684" t="s">
        <v>13484</v>
      </c>
      <c r="C962" s="686" t="s">
        <v>13483</v>
      </c>
      <c r="D962" s="686" t="s">
        <v>13482</v>
      </c>
      <c r="E962" s="924" t="s">
        <v>13481</v>
      </c>
      <c r="F962" s="924"/>
      <c r="G962" s="685" t="s">
        <v>13480</v>
      </c>
      <c r="H962" s="684" t="s">
        <v>13479</v>
      </c>
      <c r="I962" s="684" t="s">
        <v>13478</v>
      </c>
      <c r="J962" s="684" t="s">
        <v>13477</v>
      </c>
    </row>
    <row r="963" spans="1:10" ht="60" customHeight="1">
      <c r="A963" s="682" t="s">
        <v>13476</v>
      </c>
      <c r="B963" s="683" t="s">
        <v>15240</v>
      </c>
      <c r="C963" s="682" t="s">
        <v>7</v>
      </c>
      <c r="D963" s="682" t="s">
        <v>983</v>
      </c>
      <c r="E963" s="917" t="s">
        <v>14122</v>
      </c>
      <c r="F963" s="917"/>
      <c r="G963" s="681" t="s">
        <v>13610</v>
      </c>
      <c r="H963" s="680">
        <v>1</v>
      </c>
      <c r="I963" s="679">
        <v>26.15</v>
      </c>
      <c r="J963" s="679">
        <v>26.15</v>
      </c>
    </row>
    <row r="964" spans="1:10" ht="48" customHeight="1">
      <c r="A964" s="677" t="s">
        <v>13472</v>
      </c>
      <c r="B964" s="678" t="s">
        <v>14089</v>
      </c>
      <c r="C964" s="677" t="s">
        <v>7</v>
      </c>
      <c r="D964" s="677" t="s">
        <v>4318</v>
      </c>
      <c r="E964" s="918" t="s">
        <v>13470</v>
      </c>
      <c r="F964" s="918"/>
      <c r="G964" s="676" t="s">
        <v>13515</v>
      </c>
      <c r="H964" s="675">
        <v>3.7600000000000001E-2</v>
      </c>
      <c r="I964" s="674">
        <v>411.36</v>
      </c>
      <c r="J964" s="674">
        <v>15.46</v>
      </c>
    </row>
    <row r="965" spans="1:10" ht="24" customHeight="1">
      <c r="A965" s="677" t="s">
        <v>13472</v>
      </c>
      <c r="B965" s="678" t="s">
        <v>13600</v>
      </c>
      <c r="C965" s="677" t="s">
        <v>7</v>
      </c>
      <c r="D965" s="677" t="s">
        <v>41</v>
      </c>
      <c r="E965" s="918" t="s">
        <v>13470</v>
      </c>
      <c r="F965" s="918"/>
      <c r="G965" s="676" t="s">
        <v>19</v>
      </c>
      <c r="H965" s="675">
        <v>0.47</v>
      </c>
      <c r="I965" s="674">
        <v>17.670000000000002</v>
      </c>
      <c r="J965" s="674">
        <v>8.3000000000000007</v>
      </c>
    </row>
    <row r="966" spans="1:10" ht="24" customHeight="1">
      <c r="A966" s="677" t="s">
        <v>13472</v>
      </c>
      <c r="B966" s="678" t="s">
        <v>13471</v>
      </c>
      <c r="C966" s="677" t="s">
        <v>7</v>
      </c>
      <c r="D966" s="677" t="s">
        <v>21</v>
      </c>
      <c r="E966" s="918" t="s">
        <v>13470</v>
      </c>
      <c r="F966" s="918"/>
      <c r="G966" s="676" t="s">
        <v>19</v>
      </c>
      <c r="H966" s="675">
        <v>0.17100000000000001</v>
      </c>
      <c r="I966" s="674">
        <v>14.02</v>
      </c>
      <c r="J966" s="674">
        <v>2.39</v>
      </c>
    </row>
    <row r="967" spans="1:10" ht="25.5">
      <c r="A967" s="668"/>
      <c r="B967" s="668"/>
      <c r="C967" s="668"/>
      <c r="D967" s="668"/>
      <c r="E967" s="668" t="s">
        <v>13463</v>
      </c>
      <c r="F967" s="667">
        <v>5.3895468868847116</v>
      </c>
      <c r="G967" s="668" t="s">
        <v>13462</v>
      </c>
      <c r="H967" s="667">
        <v>4.53</v>
      </c>
      <c r="I967" s="668" t="s">
        <v>13461</v>
      </c>
      <c r="J967" s="667">
        <v>9.92</v>
      </c>
    </row>
    <row r="968" spans="1:10" ht="15" thickBot="1">
      <c r="A968" s="668"/>
      <c r="B968" s="668"/>
      <c r="C968" s="668"/>
      <c r="D968" s="668"/>
      <c r="E968" s="668" t="s">
        <v>13460</v>
      </c>
      <c r="F968" s="667">
        <v>7.38</v>
      </c>
      <c r="G968" s="668"/>
      <c r="H968" s="925" t="s">
        <v>13459</v>
      </c>
      <c r="I968" s="925"/>
      <c r="J968" s="667">
        <v>33.53</v>
      </c>
    </row>
    <row r="969" spans="1:10" ht="0.95" customHeight="1" thickTop="1">
      <c r="A969" s="666"/>
      <c r="B969" s="666"/>
      <c r="C969" s="666"/>
      <c r="D969" s="666"/>
      <c r="E969" s="666"/>
      <c r="F969" s="666"/>
      <c r="G969" s="666"/>
      <c r="H969" s="666"/>
      <c r="I969" s="666"/>
      <c r="J969" s="666"/>
    </row>
    <row r="970" spans="1:10" ht="18" customHeight="1">
      <c r="A970" s="686" t="s">
        <v>15239</v>
      </c>
      <c r="B970" s="684" t="s">
        <v>13484</v>
      </c>
      <c r="C970" s="686" t="s">
        <v>13483</v>
      </c>
      <c r="D970" s="686" t="s">
        <v>13482</v>
      </c>
      <c r="E970" s="924" t="s">
        <v>13481</v>
      </c>
      <c r="F970" s="924"/>
      <c r="G970" s="685" t="s">
        <v>13480</v>
      </c>
      <c r="H970" s="684" t="s">
        <v>13479</v>
      </c>
      <c r="I970" s="684" t="s">
        <v>13478</v>
      </c>
      <c r="J970" s="684" t="s">
        <v>13477</v>
      </c>
    </row>
    <row r="971" spans="1:10" ht="48" customHeight="1">
      <c r="A971" s="682" t="s">
        <v>13476</v>
      </c>
      <c r="B971" s="683" t="s">
        <v>15238</v>
      </c>
      <c r="C971" s="682" t="s">
        <v>7</v>
      </c>
      <c r="D971" s="682" t="s">
        <v>870</v>
      </c>
      <c r="E971" s="917" t="s">
        <v>14122</v>
      </c>
      <c r="F971" s="917"/>
      <c r="G971" s="681" t="s">
        <v>13610</v>
      </c>
      <c r="H971" s="680">
        <v>1</v>
      </c>
      <c r="I971" s="679">
        <v>53.7</v>
      </c>
      <c r="J971" s="679">
        <v>53.7</v>
      </c>
    </row>
    <row r="972" spans="1:10" ht="24" customHeight="1">
      <c r="A972" s="677" t="s">
        <v>13472</v>
      </c>
      <c r="B972" s="678" t="s">
        <v>14063</v>
      </c>
      <c r="C972" s="677" t="s">
        <v>7</v>
      </c>
      <c r="D972" s="677" t="s">
        <v>20</v>
      </c>
      <c r="E972" s="918" t="s">
        <v>13470</v>
      </c>
      <c r="F972" s="918"/>
      <c r="G972" s="676" t="s">
        <v>19</v>
      </c>
      <c r="H972" s="675">
        <v>0.66</v>
      </c>
      <c r="I972" s="674">
        <v>17.61</v>
      </c>
      <c r="J972" s="674">
        <v>11.62</v>
      </c>
    </row>
    <row r="973" spans="1:10" ht="24" customHeight="1">
      <c r="A973" s="677" t="s">
        <v>13472</v>
      </c>
      <c r="B973" s="678" t="s">
        <v>13471</v>
      </c>
      <c r="C973" s="677" t="s">
        <v>7</v>
      </c>
      <c r="D973" s="677" t="s">
        <v>21</v>
      </c>
      <c r="E973" s="918" t="s">
        <v>13470</v>
      </c>
      <c r="F973" s="918"/>
      <c r="G973" s="676" t="s">
        <v>19</v>
      </c>
      <c r="H973" s="675">
        <v>0.36</v>
      </c>
      <c r="I973" s="674">
        <v>14.02</v>
      </c>
      <c r="J973" s="674">
        <v>5.04</v>
      </c>
    </row>
    <row r="974" spans="1:10" ht="24" customHeight="1">
      <c r="A974" s="672" t="s">
        <v>13467</v>
      </c>
      <c r="B974" s="673" t="s">
        <v>15237</v>
      </c>
      <c r="C974" s="672" t="s">
        <v>7</v>
      </c>
      <c r="D974" s="672" t="s">
        <v>15236</v>
      </c>
      <c r="E974" s="919" t="s">
        <v>13464</v>
      </c>
      <c r="F974" s="919"/>
      <c r="G974" s="671" t="s">
        <v>17</v>
      </c>
      <c r="H974" s="670">
        <v>6.14</v>
      </c>
      <c r="I974" s="669">
        <v>0.78</v>
      </c>
      <c r="J974" s="669">
        <v>4.78</v>
      </c>
    </row>
    <row r="975" spans="1:10" ht="24" customHeight="1">
      <c r="A975" s="672" t="s">
        <v>13467</v>
      </c>
      <c r="B975" s="673" t="s">
        <v>15235</v>
      </c>
      <c r="C975" s="672" t="s">
        <v>7</v>
      </c>
      <c r="D975" s="672" t="s">
        <v>15234</v>
      </c>
      <c r="E975" s="919" t="s">
        <v>13464</v>
      </c>
      <c r="F975" s="919"/>
      <c r="G975" s="671" t="s">
        <v>13610</v>
      </c>
      <c r="H975" s="670">
        <v>1.08</v>
      </c>
      <c r="I975" s="669">
        <v>28.95</v>
      </c>
      <c r="J975" s="669">
        <v>31.26</v>
      </c>
    </row>
    <row r="976" spans="1:10" ht="24" customHeight="1">
      <c r="A976" s="672" t="s">
        <v>13467</v>
      </c>
      <c r="B976" s="673" t="s">
        <v>15233</v>
      </c>
      <c r="C976" s="672" t="s">
        <v>7</v>
      </c>
      <c r="D976" s="672" t="s">
        <v>15232</v>
      </c>
      <c r="E976" s="919" t="s">
        <v>13464</v>
      </c>
      <c r="F976" s="919"/>
      <c r="G976" s="671" t="s">
        <v>17</v>
      </c>
      <c r="H976" s="670">
        <v>0.22</v>
      </c>
      <c r="I976" s="669">
        <v>4.58</v>
      </c>
      <c r="J976" s="669">
        <v>1</v>
      </c>
    </row>
    <row r="977" spans="1:10" ht="25.5">
      <c r="A977" s="668"/>
      <c r="B977" s="668"/>
      <c r="C977" s="668"/>
      <c r="D977" s="668"/>
      <c r="E977" s="668" t="s">
        <v>13463</v>
      </c>
      <c r="F977" s="667">
        <v>6.9596870585678587</v>
      </c>
      <c r="G977" s="668" t="s">
        <v>13462</v>
      </c>
      <c r="H977" s="667">
        <v>5.85</v>
      </c>
      <c r="I977" s="668" t="s">
        <v>13461</v>
      </c>
      <c r="J977" s="667">
        <v>12.81</v>
      </c>
    </row>
    <row r="978" spans="1:10" ht="15" thickBot="1">
      <c r="A978" s="668"/>
      <c r="B978" s="668"/>
      <c r="C978" s="668"/>
      <c r="D978" s="668"/>
      <c r="E978" s="668" t="s">
        <v>13460</v>
      </c>
      <c r="F978" s="667">
        <v>15.16</v>
      </c>
      <c r="G978" s="668"/>
      <c r="H978" s="925" t="s">
        <v>13459</v>
      </c>
      <c r="I978" s="925"/>
      <c r="J978" s="667">
        <v>68.86</v>
      </c>
    </row>
    <row r="979" spans="1:10" ht="0.95" customHeight="1" thickTop="1">
      <c r="A979" s="666"/>
      <c r="B979" s="666"/>
      <c r="C979" s="666"/>
      <c r="D979" s="666"/>
      <c r="E979" s="666"/>
      <c r="F979" s="666"/>
      <c r="G979" s="666"/>
      <c r="H979" s="666"/>
      <c r="I979" s="666"/>
      <c r="J979" s="666"/>
    </row>
    <row r="980" spans="1:10" ht="18" customHeight="1">
      <c r="A980" s="686" t="s">
        <v>15231</v>
      </c>
      <c r="B980" s="684" t="s">
        <v>13484</v>
      </c>
      <c r="C980" s="686" t="s">
        <v>13483</v>
      </c>
      <c r="D980" s="686" t="s">
        <v>13482</v>
      </c>
      <c r="E980" s="924" t="s">
        <v>13481</v>
      </c>
      <c r="F980" s="924"/>
      <c r="G980" s="685" t="s">
        <v>13480</v>
      </c>
      <c r="H980" s="684" t="s">
        <v>13479</v>
      </c>
      <c r="I980" s="684" t="s">
        <v>13478</v>
      </c>
      <c r="J980" s="684" t="s">
        <v>13477</v>
      </c>
    </row>
    <row r="981" spans="1:10" ht="48" customHeight="1">
      <c r="A981" s="682" t="s">
        <v>13476</v>
      </c>
      <c r="B981" s="683" t="s">
        <v>15230</v>
      </c>
      <c r="C981" s="682" t="s">
        <v>7</v>
      </c>
      <c r="D981" s="682" t="s">
        <v>844</v>
      </c>
      <c r="E981" s="917" t="s">
        <v>14122</v>
      </c>
      <c r="F981" s="917"/>
      <c r="G981" s="681" t="s">
        <v>13610</v>
      </c>
      <c r="H981" s="680">
        <v>1</v>
      </c>
      <c r="I981" s="679">
        <v>179.98</v>
      </c>
      <c r="J981" s="679">
        <v>179.98</v>
      </c>
    </row>
    <row r="982" spans="1:10" ht="24" customHeight="1">
      <c r="A982" s="677" t="s">
        <v>13472</v>
      </c>
      <c r="B982" s="678" t="s">
        <v>14063</v>
      </c>
      <c r="C982" s="677" t="s">
        <v>7</v>
      </c>
      <c r="D982" s="677" t="s">
        <v>20</v>
      </c>
      <c r="E982" s="918" t="s">
        <v>13470</v>
      </c>
      <c r="F982" s="918"/>
      <c r="G982" s="676" t="s">
        <v>19</v>
      </c>
      <c r="H982" s="675">
        <v>1.38</v>
      </c>
      <c r="I982" s="674">
        <v>17.61</v>
      </c>
      <c r="J982" s="674">
        <v>24.3</v>
      </c>
    </row>
    <row r="983" spans="1:10" ht="24" customHeight="1">
      <c r="A983" s="677" t="s">
        <v>13472</v>
      </c>
      <c r="B983" s="678" t="s">
        <v>13471</v>
      </c>
      <c r="C983" s="677" t="s">
        <v>7</v>
      </c>
      <c r="D983" s="677" t="s">
        <v>21</v>
      </c>
      <c r="E983" s="918" t="s">
        <v>13470</v>
      </c>
      <c r="F983" s="918"/>
      <c r="G983" s="676" t="s">
        <v>19</v>
      </c>
      <c r="H983" s="675">
        <v>0.69</v>
      </c>
      <c r="I983" s="674">
        <v>14.02</v>
      </c>
      <c r="J983" s="674">
        <v>9.67</v>
      </c>
    </row>
    <row r="984" spans="1:10" ht="24" customHeight="1">
      <c r="A984" s="672" t="s">
        <v>13467</v>
      </c>
      <c r="B984" s="673" t="s">
        <v>15229</v>
      </c>
      <c r="C984" s="672" t="s">
        <v>7</v>
      </c>
      <c r="D984" s="672" t="s">
        <v>15228</v>
      </c>
      <c r="E984" s="919" t="s">
        <v>13464</v>
      </c>
      <c r="F984" s="919"/>
      <c r="G984" s="671" t="s">
        <v>17</v>
      </c>
      <c r="H984" s="670">
        <v>7.69</v>
      </c>
      <c r="I984" s="669">
        <v>2.75</v>
      </c>
      <c r="J984" s="669">
        <v>21.14</v>
      </c>
    </row>
    <row r="985" spans="1:10" ht="36" customHeight="1">
      <c r="A985" s="672" t="s">
        <v>13467</v>
      </c>
      <c r="B985" s="673" t="s">
        <v>15227</v>
      </c>
      <c r="C985" s="672" t="s">
        <v>7</v>
      </c>
      <c r="D985" s="672" t="s">
        <v>15226</v>
      </c>
      <c r="E985" s="919" t="s">
        <v>13464</v>
      </c>
      <c r="F985" s="919"/>
      <c r="G985" s="671" t="s">
        <v>13610</v>
      </c>
      <c r="H985" s="670">
        <v>1.0900000000000001</v>
      </c>
      <c r="I985" s="669">
        <v>114.56</v>
      </c>
      <c r="J985" s="669">
        <v>124.87</v>
      </c>
    </row>
    <row r="986" spans="1:10" ht="25.5">
      <c r="A986" s="668"/>
      <c r="B986" s="668"/>
      <c r="C986" s="668"/>
      <c r="D986" s="668"/>
      <c r="E986" s="668" t="s">
        <v>13463</v>
      </c>
      <c r="F986" s="667">
        <v>14.212756709768554</v>
      </c>
      <c r="G986" s="668" t="s">
        <v>13462</v>
      </c>
      <c r="H986" s="667">
        <v>11.95</v>
      </c>
      <c r="I986" s="668" t="s">
        <v>13461</v>
      </c>
      <c r="J986" s="667">
        <v>26.16</v>
      </c>
    </row>
    <row r="987" spans="1:10" ht="15" thickBot="1">
      <c r="A987" s="668"/>
      <c r="B987" s="668"/>
      <c r="C987" s="668"/>
      <c r="D987" s="668"/>
      <c r="E987" s="668" t="s">
        <v>13460</v>
      </c>
      <c r="F987" s="667">
        <v>50.82</v>
      </c>
      <c r="G987" s="668"/>
      <c r="H987" s="925" t="s">
        <v>13459</v>
      </c>
      <c r="I987" s="925"/>
      <c r="J987" s="667">
        <v>230.8</v>
      </c>
    </row>
    <row r="988" spans="1:10" ht="0.95" customHeight="1" thickTop="1">
      <c r="A988" s="666"/>
      <c r="B988" s="666"/>
      <c r="C988" s="666"/>
      <c r="D988" s="666"/>
      <c r="E988" s="666"/>
      <c r="F988" s="666"/>
      <c r="G988" s="666"/>
      <c r="H988" s="666"/>
      <c r="I988" s="666"/>
      <c r="J988" s="666"/>
    </row>
    <row r="989" spans="1:10" ht="18" customHeight="1">
      <c r="A989" s="686" t="s">
        <v>15225</v>
      </c>
      <c r="B989" s="684" t="s">
        <v>13484</v>
      </c>
      <c r="C989" s="686" t="s">
        <v>13483</v>
      </c>
      <c r="D989" s="686" t="s">
        <v>13482</v>
      </c>
      <c r="E989" s="924" t="s">
        <v>13481</v>
      </c>
      <c r="F989" s="924"/>
      <c r="G989" s="685" t="s">
        <v>13480</v>
      </c>
      <c r="H989" s="684" t="s">
        <v>13479</v>
      </c>
      <c r="I989" s="684" t="s">
        <v>13478</v>
      </c>
      <c r="J989" s="684" t="s">
        <v>13477</v>
      </c>
    </row>
    <row r="990" spans="1:10" ht="36" customHeight="1">
      <c r="A990" s="682" t="s">
        <v>13476</v>
      </c>
      <c r="B990" s="683" t="s">
        <v>15224</v>
      </c>
      <c r="C990" s="682" t="s">
        <v>7</v>
      </c>
      <c r="D990" s="682" t="s">
        <v>2989</v>
      </c>
      <c r="E990" s="917" t="s">
        <v>14122</v>
      </c>
      <c r="F990" s="917"/>
      <c r="G990" s="681" t="s">
        <v>13610</v>
      </c>
      <c r="H990" s="680">
        <v>1</v>
      </c>
      <c r="I990" s="679">
        <v>54.96</v>
      </c>
      <c r="J990" s="679">
        <v>54.96</v>
      </c>
    </row>
    <row r="991" spans="1:10" ht="24" customHeight="1">
      <c r="A991" s="677" t="s">
        <v>13472</v>
      </c>
      <c r="B991" s="678" t="s">
        <v>13767</v>
      </c>
      <c r="C991" s="677" t="s">
        <v>7</v>
      </c>
      <c r="D991" s="677" t="s">
        <v>144</v>
      </c>
      <c r="E991" s="918" t="s">
        <v>13470</v>
      </c>
      <c r="F991" s="918"/>
      <c r="G991" s="676" t="s">
        <v>19</v>
      </c>
      <c r="H991" s="675">
        <v>0.56720000000000004</v>
      </c>
      <c r="I991" s="674">
        <v>12.66</v>
      </c>
      <c r="J991" s="674">
        <v>7.18</v>
      </c>
    </row>
    <row r="992" spans="1:10" ht="36" customHeight="1">
      <c r="A992" s="672" t="s">
        <v>13467</v>
      </c>
      <c r="B992" s="673" t="s">
        <v>15223</v>
      </c>
      <c r="C992" s="672" t="s">
        <v>7</v>
      </c>
      <c r="D992" s="672" t="s">
        <v>15222</v>
      </c>
      <c r="E992" s="919" t="s">
        <v>13464</v>
      </c>
      <c r="F992" s="919"/>
      <c r="G992" s="671" t="s">
        <v>17</v>
      </c>
      <c r="H992" s="670">
        <v>7.1099999999999997E-2</v>
      </c>
      <c r="I992" s="669">
        <v>23.22</v>
      </c>
      <c r="J992" s="669">
        <v>1.65</v>
      </c>
    </row>
    <row r="993" spans="1:10" ht="36" customHeight="1">
      <c r="A993" s="672" t="s">
        <v>13467</v>
      </c>
      <c r="B993" s="673" t="s">
        <v>15221</v>
      </c>
      <c r="C993" s="672" t="s">
        <v>7</v>
      </c>
      <c r="D993" s="672" t="s">
        <v>15220</v>
      </c>
      <c r="E993" s="919" t="s">
        <v>13464</v>
      </c>
      <c r="F993" s="919"/>
      <c r="G993" s="671" t="s">
        <v>13610</v>
      </c>
      <c r="H993" s="670">
        <v>1.0326</v>
      </c>
      <c r="I993" s="669">
        <v>25.11</v>
      </c>
      <c r="J993" s="669">
        <v>25.92</v>
      </c>
    </row>
    <row r="994" spans="1:10" ht="36" customHeight="1">
      <c r="A994" s="672" t="s">
        <v>13467</v>
      </c>
      <c r="B994" s="673" t="s">
        <v>15219</v>
      </c>
      <c r="C994" s="672" t="s">
        <v>7</v>
      </c>
      <c r="D994" s="672" t="s">
        <v>15218</v>
      </c>
      <c r="E994" s="919" t="s">
        <v>13464</v>
      </c>
      <c r="F994" s="919"/>
      <c r="G994" s="671" t="s">
        <v>14</v>
      </c>
      <c r="H994" s="670">
        <v>2.4018000000000002</v>
      </c>
      <c r="I994" s="669">
        <v>5.81</v>
      </c>
      <c r="J994" s="669">
        <v>13.95</v>
      </c>
    </row>
    <row r="995" spans="1:10" ht="24" customHeight="1">
      <c r="A995" s="672" t="s">
        <v>13467</v>
      </c>
      <c r="B995" s="673" t="s">
        <v>15217</v>
      </c>
      <c r="C995" s="672" t="s">
        <v>7</v>
      </c>
      <c r="D995" s="672" t="s">
        <v>15216</v>
      </c>
      <c r="E995" s="919" t="s">
        <v>13464</v>
      </c>
      <c r="F995" s="919"/>
      <c r="G995" s="671" t="s">
        <v>14151</v>
      </c>
      <c r="H995" s="670">
        <v>3.3300000000000003E-2</v>
      </c>
      <c r="I995" s="669">
        <v>30.95</v>
      </c>
      <c r="J995" s="669">
        <v>1.03</v>
      </c>
    </row>
    <row r="996" spans="1:10" ht="36" customHeight="1">
      <c r="A996" s="672" t="s">
        <v>13467</v>
      </c>
      <c r="B996" s="673" t="s">
        <v>15215</v>
      </c>
      <c r="C996" s="672" t="s">
        <v>7</v>
      </c>
      <c r="D996" s="672" t="s">
        <v>15214</v>
      </c>
      <c r="E996" s="919" t="s">
        <v>13493</v>
      </c>
      <c r="F996" s="919"/>
      <c r="G996" s="671" t="s">
        <v>34</v>
      </c>
      <c r="H996" s="670">
        <v>2.2126999999999999</v>
      </c>
      <c r="I996" s="669">
        <v>2.19</v>
      </c>
      <c r="J996" s="669">
        <v>4.84</v>
      </c>
    </row>
    <row r="997" spans="1:10" ht="24" customHeight="1">
      <c r="A997" s="672" t="s">
        <v>13467</v>
      </c>
      <c r="B997" s="673" t="s">
        <v>15213</v>
      </c>
      <c r="C997" s="672" t="s">
        <v>7</v>
      </c>
      <c r="D997" s="672" t="s">
        <v>15212</v>
      </c>
      <c r="E997" s="919" t="s">
        <v>13464</v>
      </c>
      <c r="F997" s="919"/>
      <c r="G997" s="671" t="s">
        <v>14151</v>
      </c>
      <c r="H997" s="670">
        <v>2.2100000000000002E-2</v>
      </c>
      <c r="I997" s="669">
        <v>18.05</v>
      </c>
      <c r="J997" s="669">
        <v>0.39</v>
      </c>
    </row>
    <row r="998" spans="1:10" ht="25.5">
      <c r="A998" s="668"/>
      <c r="B998" s="668"/>
      <c r="C998" s="668"/>
      <c r="D998" s="668"/>
      <c r="E998" s="668" t="s">
        <v>13463</v>
      </c>
      <c r="F998" s="667">
        <v>2.9990220580245572</v>
      </c>
      <c r="G998" s="668" t="s">
        <v>13462</v>
      </c>
      <c r="H998" s="667">
        <v>2.52</v>
      </c>
      <c r="I998" s="668" t="s">
        <v>13461</v>
      </c>
      <c r="J998" s="667">
        <v>5.52</v>
      </c>
    </row>
    <row r="999" spans="1:10" ht="15" thickBot="1">
      <c r="A999" s="668"/>
      <c r="B999" s="668"/>
      <c r="C999" s="668"/>
      <c r="D999" s="668"/>
      <c r="E999" s="668" t="s">
        <v>13460</v>
      </c>
      <c r="F999" s="667">
        <v>15.52</v>
      </c>
      <c r="G999" s="668"/>
      <c r="H999" s="925" t="s">
        <v>13459</v>
      </c>
      <c r="I999" s="925"/>
      <c r="J999" s="667">
        <v>70.48</v>
      </c>
    </row>
    <row r="1000" spans="1:10" ht="0.95" customHeight="1" thickTop="1">
      <c r="A1000" s="666"/>
      <c r="B1000" s="666"/>
      <c r="C1000" s="666"/>
      <c r="D1000" s="666"/>
      <c r="E1000" s="666"/>
      <c r="F1000" s="666"/>
      <c r="G1000" s="666"/>
      <c r="H1000" s="666"/>
      <c r="I1000" s="666"/>
      <c r="J1000" s="666"/>
    </row>
    <row r="1001" spans="1:10" ht="18" customHeight="1">
      <c r="A1001" s="686" t="s">
        <v>15211</v>
      </c>
      <c r="B1001" s="684" t="s">
        <v>13484</v>
      </c>
      <c r="C1001" s="686" t="s">
        <v>13483</v>
      </c>
      <c r="D1001" s="686" t="s">
        <v>13482</v>
      </c>
      <c r="E1001" s="924" t="s">
        <v>13481</v>
      </c>
      <c r="F1001" s="924"/>
      <c r="G1001" s="685" t="s">
        <v>13480</v>
      </c>
      <c r="H1001" s="684" t="s">
        <v>13479</v>
      </c>
      <c r="I1001" s="684" t="s">
        <v>13478</v>
      </c>
      <c r="J1001" s="684" t="s">
        <v>13477</v>
      </c>
    </row>
    <row r="1002" spans="1:10" ht="24" customHeight="1">
      <c r="A1002" s="682" t="s">
        <v>13476</v>
      </c>
      <c r="B1002" s="683" t="s">
        <v>15210</v>
      </c>
      <c r="C1002" s="682" t="s">
        <v>7</v>
      </c>
      <c r="D1002" s="682" t="s">
        <v>2500</v>
      </c>
      <c r="E1002" s="917" t="s">
        <v>13516</v>
      </c>
      <c r="F1002" s="917"/>
      <c r="G1002" s="681" t="s">
        <v>13515</v>
      </c>
      <c r="H1002" s="680">
        <v>1</v>
      </c>
      <c r="I1002" s="679">
        <v>32.020000000000003</v>
      </c>
      <c r="J1002" s="679">
        <v>32.020000000000003</v>
      </c>
    </row>
    <row r="1003" spans="1:10" ht="36" customHeight="1">
      <c r="A1003" s="677" t="s">
        <v>13472</v>
      </c>
      <c r="B1003" s="678" t="s">
        <v>13603</v>
      </c>
      <c r="C1003" s="677" t="s">
        <v>7</v>
      </c>
      <c r="D1003" s="677" t="s">
        <v>1912</v>
      </c>
      <c r="E1003" s="918" t="s">
        <v>13491</v>
      </c>
      <c r="F1003" s="918"/>
      <c r="G1003" s="676" t="s">
        <v>38</v>
      </c>
      <c r="H1003" s="675">
        <v>0.27400000000000002</v>
      </c>
      <c r="I1003" s="674">
        <v>21.1</v>
      </c>
      <c r="J1003" s="674">
        <v>5.78</v>
      </c>
    </row>
    <row r="1004" spans="1:10" ht="60" customHeight="1">
      <c r="A1004" s="677" t="s">
        <v>13472</v>
      </c>
      <c r="B1004" s="678" t="s">
        <v>13514</v>
      </c>
      <c r="C1004" s="677" t="s">
        <v>7</v>
      </c>
      <c r="D1004" s="677" t="s">
        <v>757</v>
      </c>
      <c r="E1004" s="918" t="s">
        <v>13491</v>
      </c>
      <c r="F1004" s="918"/>
      <c r="G1004" s="676" t="s">
        <v>38</v>
      </c>
      <c r="H1004" s="675">
        <v>6.0000000000000001E-3</v>
      </c>
      <c r="I1004" s="674">
        <v>226.25</v>
      </c>
      <c r="J1004" s="674">
        <v>1.35</v>
      </c>
    </row>
    <row r="1005" spans="1:10" ht="60" customHeight="1">
      <c r="A1005" s="677" t="s">
        <v>13472</v>
      </c>
      <c r="B1005" s="678" t="s">
        <v>13513</v>
      </c>
      <c r="C1005" s="677" t="s">
        <v>7</v>
      </c>
      <c r="D1005" s="677" t="s">
        <v>758</v>
      </c>
      <c r="E1005" s="918" t="s">
        <v>13491</v>
      </c>
      <c r="F1005" s="918"/>
      <c r="G1005" s="676" t="s">
        <v>53</v>
      </c>
      <c r="H1005" s="675">
        <v>3.0000000000000001E-3</v>
      </c>
      <c r="I1005" s="674">
        <v>36.01</v>
      </c>
      <c r="J1005" s="674">
        <v>0.1</v>
      </c>
    </row>
    <row r="1006" spans="1:10" ht="36" customHeight="1">
      <c r="A1006" s="677" t="s">
        <v>13472</v>
      </c>
      <c r="B1006" s="678" t="s">
        <v>13601</v>
      </c>
      <c r="C1006" s="677" t="s">
        <v>7</v>
      </c>
      <c r="D1006" s="677" t="s">
        <v>1913</v>
      </c>
      <c r="E1006" s="918" t="s">
        <v>13491</v>
      </c>
      <c r="F1006" s="918"/>
      <c r="G1006" s="676" t="s">
        <v>53</v>
      </c>
      <c r="H1006" s="675">
        <v>0.254</v>
      </c>
      <c r="I1006" s="674">
        <v>14.17</v>
      </c>
      <c r="J1006" s="674">
        <v>3.59</v>
      </c>
    </row>
    <row r="1007" spans="1:10" ht="24" customHeight="1">
      <c r="A1007" s="677" t="s">
        <v>13472</v>
      </c>
      <c r="B1007" s="678" t="s">
        <v>13471</v>
      </c>
      <c r="C1007" s="677" t="s">
        <v>7</v>
      </c>
      <c r="D1007" s="677" t="s">
        <v>21</v>
      </c>
      <c r="E1007" s="918" t="s">
        <v>13470</v>
      </c>
      <c r="F1007" s="918"/>
      <c r="G1007" s="676" t="s">
        <v>19</v>
      </c>
      <c r="H1007" s="675">
        <v>0.65900000000000003</v>
      </c>
      <c r="I1007" s="674">
        <v>14.02</v>
      </c>
      <c r="J1007" s="674">
        <v>9.23</v>
      </c>
    </row>
    <row r="1008" spans="1:10" ht="24" customHeight="1">
      <c r="A1008" s="672" t="s">
        <v>13467</v>
      </c>
      <c r="B1008" s="673" t="s">
        <v>15209</v>
      </c>
      <c r="C1008" s="672" t="s">
        <v>7</v>
      </c>
      <c r="D1008" s="672" t="s">
        <v>15208</v>
      </c>
      <c r="E1008" s="919" t="s">
        <v>13464</v>
      </c>
      <c r="F1008" s="919"/>
      <c r="G1008" s="671" t="s">
        <v>13515</v>
      </c>
      <c r="H1008" s="670">
        <v>1.25</v>
      </c>
      <c r="I1008" s="669">
        <v>9.58</v>
      </c>
      <c r="J1008" s="669">
        <v>11.97</v>
      </c>
    </row>
    <row r="1009" spans="1:10" ht="25.5">
      <c r="A1009" s="668"/>
      <c r="B1009" s="668"/>
      <c r="C1009" s="668"/>
      <c r="D1009" s="668"/>
      <c r="E1009" s="668" t="s">
        <v>13463</v>
      </c>
      <c r="F1009" s="667">
        <v>6.7477996305552539</v>
      </c>
      <c r="G1009" s="668" t="s">
        <v>13462</v>
      </c>
      <c r="H1009" s="667">
        <v>5.67</v>
      </c>
      <c r="I1009" s="668" t="s">
        <v>13461</v>
      </c>
      <c r="J1009" s="667">
        <v>12.42</v>
      </c>
    </row>
    <row r="1010" spans="1:10" ht="15" thickBot="1">
      <c r="A1010" s="668"/>
      <c r="B1010" s="668"/>
      <c r="C1010" s="668"/>
      <c r="D1010" s="668"/>
      <c r="E1010" s="668" t="s">
        <v>13460</v>
      </c>
      <c r="F1010" s="667">
        <v>9.0399999999999991</v>
      </c>
      <c r="G1010" s="668"/>
      <c r="H1010" s="925" t="s">
        <v>13459</v>
      </c>
      <c r="I1010" s="925"/>
      <c r="J1010" s="667">
        <v>41.06</v>
      </c>
    </row>
    <row r="1011" spans="1:10" ht="0.95" customHeight="1" thickTop="1">
      <c r="A1011" s="666"/>
      <c r="B1011" s="666"/>
      <c r="C1011" s="666"/>
      <c r="D1011" s="666"/>
      <c r="E1011" s="666"/>
      <c r="F1011" s="666"/>
      <c r="G1011" s="666"/>
      <c r="H1011" s="666"/>
      <c r="I1011" s="666"/>
      <c r="J1011" s="666"/>
    </row>
    <row r="1012" spans="1:10" ht="18" customHeight="1">
      <c r="A1012" s="686" t="s">
        <v>15207</v>
      </c>
      <c r="B1012" s="684" t="s">
        <v>13484</v>
      </c>
      <c r="C1012" s="686" t="s">
        <v>13483</v>
      </c>
      <c r="D1012" s="686" t="s">
        <v>13482</v>
      </c>
      <c r="E1012" s="924" t="s">
        <v>13481</v>
      </c>
      <c r="F1012" s="924"/>
      <c r="G1012" s="685" t="s">
        <v>13480</v>
      </c>
      <c r="H1012" s="684" t="s">
        <v>13479</v>
      </c>
      <c r="I1012" s="684" t="s">
        <v>13478</v>
      </c>
      <c r="J1012" s="684" t="s">
        <v>13477</v>
      </c>
    </row>
    <row r="1013" spans="1:10" ht="36" customHeight="1">
      <c r="A1013" s="682" t="s">
        <v>13476</v>
      </c>
      <c r="B1013" s="683" t="s">
        <v>15206</v>
      </c>
      <c r="C1013" s="682" t="s">
        <v>7</v>
      </c>
      <c r="D1013" s="682" t="s">
        <v>3354</v>
      </c>
      <c r="E1013" s="917" t="s">
        <v>13646</v>
      </c>
      <c r="F1013" s="917"/>
      <c r="G1013" s="681" t="s">
        <v>13610</v>
      </c>
      <c r="H1013" s="680">
        <v>1</v>
      </c>
      <c r="I1013" s="679">
        <v>0.45</v>
      </c>
      <c r="J1013" s="679">
        <v>0.45</v>
      </c>
    </row>
    <row r="1014" spans="1:10" ht="36" customHeight="1">
      <c r="A1014" s="677" t="s">
        <v>13472</v>
      </c>
      <c r="B1014" s="678" t="s">
        <v>13628</v>
      </c>
      <c r="C1014" s="677" t="s">
        <v>7</v>
      </c>
      <c r="D1014" s="677" t="s">
        <v>1863</v>
      </c>
      <c r="E1014" s="918" t="s">
        <v>13491</v>
      </c>
      <c r="F1014" s="918"/>
      <c r="G1014" s="676" t="s">
        <v>38</v>
      </c>
      <c r="H1014" s="675">
        <v>5.0000000000000001E-3</v>
      </c>
      <c r="I1014" s="674">
        <v>9.49</v>
      </c>
      <c r="J1014" s="674">
        <v>0.04</v>
      </c>
    </row>
    <row r="1015" spans="1:10" ht="24" customHeight="1">
      <c r="A1015" s="677" t="s">
        <v>13472</v>
      </c>
      <c r="B1015" s="678" t="s">
        <v>13600</v>
      </c>
      <c r="C1015" s="677" t="s">
        <v>7</v>
      </c>
      <c r="D1015" s="677" t="s">
        <v>41</v>
      </c>
      <c r="E1015" s="918" t="s">
        <v>13470</v>
      </c>
      <c r="F1015" s="918"/>
      <c r="G1015" s="676" t="s">
        <v>19</v>
      </c>
      <c r="H1015" s="675">
        <v>8.9999999999999993E-3</v>
      </c>
      <c r="I1015" s="674">
        <v>17.670000000000002</v>
      </c>
      <c r="J1015" s="674">
        <v>0.15</v>
      </c>
    </row>
    <row r="1016" spans="1:10" ht="24" customHeight="1">
      <c r="A1016" s="677" t="s">
        <v>13472</v>
      </c>
      <c r="B1016" s="678" t="s">
        <v>13471</v>
      </c>
      <c r="C1016" s="677" t="s">
        <v>7</v>
      </c>
      <c r="D1016" s="677" t="s">
        <v>21</v>
      </c>
      <c r="E1016" s="918" t="s">
        <v>13470</v>
      </c>
      <c r="F1016" s="918"/>
      <c r="G1016" s="676" t="s">
        <v>19</v>
      </c>
      <c r="H1016" s="675">
        <v>1.9E-2</v>
      </c>
      <c r="I1016" s="674">
        <v>14.02</v>
      </c>
      <c r="J1016" s="674">
        <v>0.26</v>
      </c>
    </row>
    <row r="1017" spans="1:10" ht="25.5">
      <c r="A1017" s="668"/>
      <c r="B1017" s="668"/>
      <c r="C1017" s="668"/>
      <c r="D1017" s="668"/>
      <c r="E1017" s="668" t="s">
        <v>13463</v>
      </c>
      <c r="F1017" s="667">
        <v>0.16842334021514724</v>
      </c>
      <c r="G1017" s="668" t="s">
        <v>13462</v>
      </c>
      <c r="H1017" s="667">
        <v>0.14000000000000001</v>
      </c>
      <c r="I1017" s="668" t="s">
        <v>13461</v>
      </c>
      <c r="J1017" s="667">
        <v>0.31</v>
      </c>
    </row>
    <row r="1018" spans="1:10" ht="15" thickBot="1">
      <c r="A1018" s="668"/>
      <c r="B1018" s="668"/>
      <c r="C1018" s="668"/>
      <c r="D1018" s="668"/>
      <c r="E1018" s="668" t="s">
        <v>13460</v>
      </c>
      <c r="F1018" s="667">
        <v>0.12</v>
      </c>
      <c r="G1018" s="668"/>
      <c r="H1018" s="925" t="s">
        <v>13459</v>
      </c>
      <c r="I1018" s="925"/>
      <c r="J1018" s="667">
        <v>0.56999999999999995</v>
      </c>
    </row>
    <row r="1019" spans="1:10" ht="0.95" customHeight="1" thickTop="1">
      <c r="A1019" s="666"/>
      <c r="B1019" s="666"/>
      <c r="C1019" s="666"/>
      <c r="D1019" s="666"/>
      <c r="E1019" s="666"/>
      <c r="F1019" s="666"/>
      <c r="G1019" s="666"/>
      <c r="H1019" s="666"/>
      <c r="I1019" s="666"/>
      <c r="J1019" s="666"/>
    </row>
    <row r="1020" spans="1:10" ht="18" customHeight="1">
      <c r="A1020" s="686" t="s">
        <v>15205</v>
      </c>
      <c r="B1020" s="684" t="s">
        <v>13484</v>
      </c>
      <c r="C1020" s="686" t="s">
        <v>13483</v>
      </c>
      <c r="D1020" s="686" t="s">
        <v>13482</v>
      </c>
      <c r="E1020" s="924" t="s">
        <v>13481</v>
      </c>
      <c r="F1020" s="924"/>
      <c r="G1020" s="685" t="s">
        <v>13480</v>
      </c>
      <c r="H1020" s="684" t="s">
        <v>13479</v>
      </c>
      <c r="I1020" s="684" t="s">
        <v>13478</v>
      </c>
      <c r="J1020" s="684" t="s">
        <v>13477</v>
      </c>
    </row>
    <row r="1021" spans="1:10" ht="36" customHeight="1">
      <c r="A1021" s="682" t="s">
        <v>13476</v>
      </c>
      <c r="B1021" s="683" t="s">
        <v>15204</v>
      </c>
      <c r="C1021" s="682" t="s">
        <v>7</v>
      </c>
      <c r="D1021" s="682" t="s">
        <v>6758</v>
      </c>
      <c r="E1021" s="917" t="s">
        <v>13646</v>
      </c>
      <c r="F1021" s="917"/>
      <c r="G1021" s="681" t="s">
        <v>13610</v>
      </c>
      <c r="H1021" s="680">
        <v>1</v>
      </c>
      <c r="I1021" s="679">
        <v>22.52</v>
      </c>
      <c r="J1021" s="679">
        <v>22.52</v>
      </c>
    </row>
    <row r="1022" spans="1:10" ht="36" customHeight="1">
      <c r="A1022" s="677" t="s">
        <v>13472</v>
      </c>
      <c r="B1022" s="678" t="s">
        <v>14000</v>
      </c>
      <c r="C1022" s="677" t="s">
        <v>7</v>
      </c>
      <c r="D1022" s="677" t="s">
        <v>7008</v>
      </c>
      <c r="E1022" s="918" t="s">
        <v>13646</v>
      </c>
      <c r="F1022" s="918"/>
      <c r="G1022" s="676" t="s">
        <v>13515</v>
      </c>
      <c r="H1022" s="675">
        <v>5.6500000000000002E-2</v>
      </c>
      <c r="I1022" s="674">
        <v>295.51</v>
      </c>
      <c r="J1022" s="674">
        <v>16.690000000000001</v>
      </c>
    </row>
    <row r="1023" spans="1:10" ht="24" customHeight="1">
      <c r="A1023" s="677" t="s">
        <v>13472</v>
      </c>
      <c r="B1023" s="678" t="s">
        <v>13471</v>
      </c>
      <c r="C1023" s="677" t="s">
        <v>7</v>
      </c>
      <c r="D1023" s="677" t="s">
        <v>21</v>
      </c>
      <c r="E1023" s="918" t="s">
        <v>13470</v>
      </c>
      <c r="F1023" s="918"/>
      <c r="G1023" s="676" t="s">
        <v>19</v>
      </c>
      <c r="H1023" s="675">
        <v>7.4099999999999999E-2</v>
      </c>
      <c r="I1023" s="674">
        <v>14.02</v>
      </c>
      <c r="J1023" s="674">
        <v>1.03</v>
      </c>
    </row>
    <row r="1024" spans="1:10" ht="24" customHeight="1">
      <c r="A1024" s="677" t="s">
        <v>13472</v>
      </c>
      <c r="B1024" s="678" t="s">
        <v>13600</v>
      </c>
      <c r="C1024" s="677" t="s">
        <v>7</v>
      </c>
      <c r="D1024" s="677" t="s">
        <v>41</v>
      </c>
      <c r="E1024" s="918" t="s">
        <v>13470</v>
      </c>
      <c r="F1024" s="918"/>
      <c r="G1024" s="676" t="s">
        <v>19</v>
      </c>
      <c r="H1024" s="675">
        <v>0.27179999999999999</v>
      </c>
      <c r="I1024" s="674">
        <v>17.670000000000002</v>
      </c>
      <c r="J1024" s="674">
        <v>4.8</v>
      </c>
    </row>
    <row r="1025" spans="1:10" ht="25.5">
      <c r="A1025" s="668"/>
      <c r="B1025" s="668"/>
      <c r="C1025" s="668"/>
      <c r="D1025" s="668"/>
      <c r="E1025" s="668" t="s">
        <v>13463</v>
      </c>
      <c r="F1025" s="667">
        <v>3.5205911115940456</v>
      </c>
      <c r="G1025" s="668" t="s">
        <v>13462</v>
      </c>
      <c r="H1025" s="667">
        <v>2.96</v>
      </c>
      <c r="I1025" s="668" t="s">
        <v>13461</v>
      </c>
      <c r="J1025" s="667">
        <v>6.48</v>
      </c>
    </row>
    <row r="1026" spans="1:10" ht="15" thickBot="1">
      <c r="A1026" s="668"/>
      <c r="B1026" s="668"/>
      <c r="C1026" s="668"/>
      <c r="D1026" s="668"/>
      <c r="E1026" s="668" t="s">
        <v>13460</v>
      </c>
      <c r="F1026" s="667">
        <v>6.35</v>
      </c>
      <c r="G1026" s="668"/>
      <c r="H1026" s="925" t="s">
        <v>13459</v>
      </c>
      <c r="I1026" s="925"/>
      <c r="J1026" s="667">
        <v>28.87</v>
      </c>
    </row>
    <row r="1027" spans="1:10" ht="0.95" customHeight="1" thickTop="1">
      <c r="A1027" s="666"/>
      <c r="B1027" s="666"/>
      <c r="C1027" s="666"/>
      <c r="D1027" s="666"/>
      <c r="E1027" s="666"/>
      <c r="F1027" s="666"/>
      <c r="G1027" s="666"/>
      <c r="H1027" s="666"/>
      <c r="I1027" s="666"/>
      <c r="J1027" s="666"/>
    </row>
    <row r="1028" spans="1:10" ht="18" customHeight="1">
      <c r="A1028" s="686" t="s">
        <v>15203</v>
      </c>
      <c r="B1028" s="684" t="s">
        <v>13484</v>
      </c>
      <c r="C1028" s="686" t="s">
        <v>13483</v>
      </c>
      <c r="D1028" s="686" t="s">
        <v>13482</v>
      </c>
      <c r="E1028" s="924" t="s">
        <v>13481</v>
      </c>
      <c r="F1028" s="924"/>
      <c r="G1028" s="685" t="s">
        <v>13480</v>
      </c>
      <c r="H1028" s="684" t="s">
        <v>13479</v>
      </c>
      <c r="I1028" s="684" t="s">
        <v>13478</v>
      </c>
      <c r="J1028" s="684" t="s">
        <v>13477</v>
      </c>
    </row>
    <row r="1029" spans="1:10" ht="48" customHeight="1">
      <c r="A1029" s="682" t="s">
        <v>13476</v>
      </c>
      <c r="B1029" s="683" t="s">
        <v>15202</v>
      </c>
      <c r="C1029" s="682" t="s">
        <v>7</v>
      </c>
      <c r="D1029" s="682" t="s">
        <v>7736</v>
      </c>
      <c r="E1029" s="917" t="s">
        <v>14134</v>
      </c>
      <c r="F1029" s="917"/>
      <c r="G1029" s="681" t="s">
        <v>13610</v>
      </c>
      <c r="H1029" s="680">
        <v>1</v>
      </c>
      <c r="I1029" s="679">
        <v>25.15</v>
      </c>
      <c r="J1029" s="679">
        <v>25.15</v>
      </c>
    </row>
    <row r="1030" spans="1:10" ht="36" customHeight="1">
      <c r="A1030" s="677" t="s">
        <v>13472</v>
      </c>
      <c r="B1030" s="678" t="s">
        <v>14079</v>
      </c>
      <c r="C1030" s="677" t="s">
        <v>7</v>
      </c>
      <c r="D1030" s="677" t="s">
        <v>4324</v>
      </c>
      <c r="E1030" s="918" t="s">
        <v>13470</v>
      </c>
      <c r="F1030" s="918"/>
      <c r="G1030" s="676" t="s">
        <v>13515</v>
      </c>
      <c r="H1030" s="675">
        <v>3.1E-2</v>
      </c>
      <c r="I1030" s="674">
        <v>460.63</v>
      </c>
      <c r="J1030" s="674">
        <v>14.27</v>
      </c>
    </row>
    <row r="1031" spans="1:10" ht="24" customHeight="1">
      <c r="A1031" s="677" t="s">
        <v>13472</v>
      </c>
      <c r="B1031" s="678" t="s">
        <v>13471</v>
      </c>
      <c r="C1031" s="677" t="s">
        <v>7</v>
      </c>
      <c r="D1031" s="677" t="s">
        <v>21</v>
      </c>
      <c r="E1031" s="918" t="s">
        <v>13470</v>
      </c>
      <c r="F1031" s="918"/>
      <c r="G1031" s="676" t="s">
        <v>19</v>
      </c>
      <c r="H1031" s="675">
        <v>0.107</v>
      </c>
      <c r="I1031" s="674">
        <v>14.02</v>
      </c>
      <c r="J1031" s="674">
        <v>1.5</v>
      </c>
    </row>
    <row r="1032" spans="1:10" ht="24" customHeight="1">
      <c r="A1032" s="677" t="s">
        <v>13472</v>
      </c>
      <c r="B1032" s="678" t="s">
        <v>13600</v>
      </c>
      <c r="C1032" s="677" t="s">
        <v>7</v>
      </c>
      <c r="D1032" s="677" t="s">
        <v>41</v>
      </c>
      <c r="E1032" s="918" t="s">
        <v>13470</v>
      </c>
      <c r="F1032" s="918"/>
      <c r="G1032" s="676" t="s">
        <v>19</v>
      </c>
      <c r="H1032" s="675">
        <v>0.214</v>
      </c>
      <c r="I1032" s="674">
        <v>17.670000000000002</v>
      </c>
      <c r="J1032" s="674">
        <v>3.78</v>
      </c>
    </row>
    <row r="1033" spans="1:10" ht="24" customHeight="1">
      <c r="A1033" s="672" t="s">
        <v>13467</v>
      </c>
      <c r="B1033" s="673" t="s">
        <v>15201</v>
      </c>
      <c r="C1033" s="672" t="s">
        <v>7</v>
      </c>
      <c r="D1033" s="672" t="s">
        <v>15200</v>
      </c>
      <c r="E1033" s="919" t="s">
        <v>13464</v>
      </c>
      <c r="F1033" s="919"/>
      <c r="G1033" s="671" t="s">
        <v>50</v>
      </c>
      <c r="H1033" s="670">
        <v>0.21</v>
      </c>
      <c r="I1033" s="669">
        <v>25.18</v>
      </c>
      <c r="J1033" s="669">
        <v>5.28</v>
      </c>
    </row>
    <row r="1034" spans="1:10" ht="24" customHeight="1">
      <c r="A1034" s="672" t="s">
        <v>13467</v>
      </c>
      <c r="B1034" s="673" t="s">
        <v>13997</v>
      </c>
      <c r="C1034" s="672" t="s">
        <v>7</v>
      </c>
      <c r="D1034" s="672" t="s">
        <v>13996</v>
      </c>
      <c r="E1034" s="919" t="s">
        <v>13464</v>
      </c>
      <c r="F1034" s="919"/>
      <c r="G1034" s="671" t="s">
        <v>17</v>
      </c>
      <c r="H1034" s="670">
        <v>0.5</v>
      </c>
      <c r="I1034" s="669">
        <v>0.64</v>
      </c>
      <c r="J1034" s="669">
        <v>0.32</v>
      </c>
    </row>
    <row r="1035" spans="1:10" ht="25.5">
      <c r="A1035" s="668"/>
      <c r="B1035" s="668"/>
      <c r="C1035" s="668"/>
      <c r="D1035" s="668"/>
      <c r="E1035" s="668" t="s">
        <v>13463</v>
      </c>
      <c r="F1035" s="667">
        <v>3.0044550689992393</v>
      </c>
      <c r="G1035" s="668" t="s">
        <v>13462</v>
      </c>
      <c r="H1035" s="667">
        <v>2.5299999999999998</v>
      </c>
      <c r="I1035" s="668" t="s">
        <v>13461</v>
      </c>
      <c r="J1035" s="667">
        <v>5.53</v>
      </c>
    </row>
    <row r="1036" spans="1:10" ht="15" thickBot="1">
      <c r="A1036" s="668"/>
      <c r="B1036" s="668"/>
      <c r="C1036" s="668"/>
      <c r="D1036" s="668"/>
      <c r="E1036" s="668" t="s">
        <v>13460</v>
      </c>
      <c r="F1036" s="667">
        <v>7.1</v>
      </c>
      <c r="G1036" s="668"/>
      <c r="H1036" s="925" t="s">
        <v>13459</v>
      </c>
      <c r="I1036" s="925"/>
      <c r="J1036" s="667">
        <v>32.25</v>
      </c>
    </row>
    <row r="1037" spans="1:10" ht="0.95" customHeight="1" thickTop="1">
      <c r="A1037" s="666"/>
      <c r="B1037" s="666"/>
      <c r="C1037" s="666"/>
      <c r="D1037" s="666"/>
      <c r="E1037" s="666"/>
      <c r="F1037" s="666"/>
      <c r="G1037" s="666"/>
      <c r="H1037" s="666"/>
      <c r="I1037" s="666"/>
      <c r="J1037" s="666"/>
    </row>
    <row r="1038" spans="1:10" ht="18" customHeight="1">
      <c r="A1038" s="686" t="s">
        <v>15199</v>
      </c>
      <c r="B1038" s="684" t="s">
        <v>13484</v>
      </c>
      <c r="C1038" s="686" t="s">
        <v>13483</v>
      </c>
      <c r="D1038" s="686" t="s">
        <v>13482</v>
      </c>
      <c r="E1038" s="924" t="s">
        <v>13481</v>
      </c>
      <c r="F1038" s="924"/>
      <c r="G1038" s="685" t="s">
        <v>13480</v>
      </c>
      <c r="H1038" s="684" t="s">
        <v>13479</v>
      </c>
      <c r="I1038" s="684" t="s">
        <v>13478</v>
      </c>
      <c r="J1038" s="684" t="s">
        <v>13477</v>
      </c>
    </row>
    <row r="1039" spans="1:10" ht="36" customHeight="1">
      <c r="A1039" s="682" t="s">
        <v>13476</v>
      </c>
      <c r="B1039" s="683" t="s">
        <v>15198</v>
      </c>
      <c r="C1039" s="682" t="s">
        <v>7</v>
      </c>
      <c r="D1039" s="682" t="s">
        <v>481</v>
      </c>
      <c r="E1039" s="917" t="s">
        <v>15197</v>
      </c>
      <c r="F1039" s="917"/>
      <c r="G1039" s="681" t="s">
        <v>13610</v>
      </c>
      <c r="H1039" s="680">
        <v>1</v>
      </c>
      <c r="I1039" s="679">
        <v>76.69</v>
      </c>
      <c r="J1039" s="679">
        <v>76.69</v>
      </c>
    </row>
    <row r="1040" spans="1:10" ht="36" customHeight="1">
      <c r="A1040" s="677" t="s">
        <v>13472</v>
      </c>
      <c r="B1040" s="678" t="s">
        <v>13628</v>
      </c>
      <c r="C1040" s="677" t="s">
        <v>7</v>
      </c>
      <c r="D1040" s="677" t="s">
        <v>1863</v>
      </c>
      <c r="E1040" s="918" t="s">
        <v>13491</v>
      </c>
      <c r="F1040" s="918"/>
      <c r="G1040" s="676" t="s">
        <v>38</v>
      </c>
      <c r="H1040" s="675">
        <v>5.4999999999999997E-3</v>
      </c>
      <c r="I1040" s="674">
        <v>9.49</v>
      </c>
      <c r="J1040" s="674">
        <v>0.05</v>
      </c>
    </row>
    <row r="1041" spans="1:10" ht="48" customHeight="1">
      <c r="A1041" s="677" t="s">
        <v>13472</v>
      </c>
      <c r="B1041" s="678" t="s">
        <v>13992</v>
      </c>
      <c r="C1041" s="677" t="s">
        <v>7</v>
      </c>
      <c r="D1041" s="677" t="s">
        <v>1869</v>
      </c>
      <c r="E1041" s="918" t="s">
        <v>13491</v>
      </c>
      <c r="F1041" s="918"/>
      <c r="G1041" s="676" t="s">
        <v>38</v>
      </c>
      <c r="H1041" s="675">
        <v>1.35E-2</v>
      </c>
      <c r="I1041" s="674">
        <v>22.27</v>
      </c>
      <c r="J1041" s="674">
        <v>0.3</v>
      </c>
    </row>
    <row r="1042" spans="1:10" ht="36" customHeight="1">
      <c r="A1042" s="677" t="s">
        <v>13472</v>
      </c>
      <c r="B1042" s="678" t="s">
        <v>13629</v>
      </c>
      <c r="C1042" s="677" t="s">
        <v>7</v>
      </c>
      <c r="D1042" s="677" t="s">
        <v>1864</v>
      </c>
      <c r="E1042" s="918" t="s">
        <v>13491</v>
      </c>
      <c r="F1042" s="918"/>
      <c r="G1042" s="676" t="s">
        <v>53</v>
      </c>
      <c r="H1042" s="675">
        <v>0.12970000000000001</v>
      </c>
      <c r="I1042" s="674">
        <v>0.52</v>
      </c>
      <c r="J1042" s="674">
        <v>0.06</v>
      </c>
    </row>
    <row r="1043" spans="1:10" ht="48" customHeight="1">
      <c r="A1043" s="677" t="s">
        <v>13472</v>
      </c>
      <c r="B1043" s="678" t="s">
        <v>13993</v>
      </c>
      <c r="C1043" s="677" t="s">
        <v>7</v>
      </c>
      <c r="D1043" s="677" t="s">
        <v>1870</v>
      </c>
      <c r="E1043" s="918" t="s">
        <v>13491</v>
      </c>
      <c r="F1043" s="918"/>
      <c r="G1043" s="676" t="s">
        <v>53</v>
      </c>
      <c r="H1043" s="675">
        <v>0.1217</v>
      </c>
      <c r="I1043" s="674">
        <v>1.04</v>
      </c>
      <c r="J1043" s="674">
        <v>0.12</v>
      </c>
    </row>
    <row r="1044" spans="1:10" ht="24" customHeight="1">
      <c r="A1044" s="677" t="s">
        <v>13472</v>
      </c>
      <c r="B1044" s="678" t="s">
        <v>14048</v>
      </c>
      <c r="C1044" s="677" t="s">
        <v>7</v>
      </c>
      <c r="D1044" s="677" t="s">
        <v>134</v>
      </c>
      <c r="E1044" s="918" t="s">
        <v>13470</v>
      </c>
      <c r="F1044" s="918"/>
      <c r="G1044" s="676" t="s">
        <v>19</v>
      </c>
      <c r="H1044" s="675">
        <v>0.27029999999999998</v>
      </c>
      <c r="I1044" s="674">
        <v>17.41</v>
      </c>
      <c r="J1044" s="674">
        <v>4.7</v>
      </c>
    </row>
    <row r="1045" spans="1:10" ht="24" customHeight="1">
      <c r="A1045" s="677" t="s">
        <v>13472</v>
      </c>
      <c r="B1045" s="678" t="s">
        <v>13471</v>
      </c>
      <c r="C1045" s="677" t="s">
        <v>7</v>
      </c>
      <c r="D1045" s="677" t="s">
        <v>21</v>
      </c>
      <c r="E1045" s="918" t="s">
        <v>13470</v>
      </c>
      <c r="F1045" s="918"/>
      <c r="G1045" s="676" t="s">
        <v>19</v>
      </c>
      <c r="H1045" s="675">
        <v>0.27029999999999998</v>
      </c>
      <c r="I1045" s="674">
        <v>14.02</v>
      </c>
      <c r="J1045" s="674">
        <v>3.78</v>
      </c>
    </row>
    <row r="1046" spans="1:10" ht="24" customHeight="1">
      <c r="A1046" s="672" t="s">
        <v>13467</v>
      </c>
      <c r="B1046" s="673" t="s">
        <v>13608</v>
      </c>
      <c r="C1046" s="672" t="s">
        <v>7</v>
      </c>
      <c r="D1046" s="672" t="s">
        <v>13607</v>
      </c>
      <c r="E1046" s="919" t="s">
        <v>13464</v>
      </c>
      <c r="F1046" s="919"/>
      <c r="G1046" s="671" t="s">
        <v>13515</v>
      </c>
      <c r="H1046" s="670">
        <v>5.6800000000000003E-2</v>
      </c>
      <c r="I1046" s="669">
        <v>74.59</v>
      </c>
      <c r="J1046" s="669">
        <v>4.2300000000000004</v>
      </c>
    </row>
    <row r="1047" spans="1:10" ht="48" customHeight="1">
      <c r="A1047" s="672" t="s">
        <v>13467</v>
      </c>
      <c r="B1047" s="673" t="s">
        <v>15196</v>
      </c>
      <c r="C1047" s="672" t="s">
        <v>7</v>
      </c>
      <c r="D1047" s="672" t="s">
        <v>15195</v>
      </c>
      <c r="E1047" s="919" t="s">
        <v>13464</v>
      </c>
      <c r="F1047" s="919"/>
      <c r="G1047" s="671" t="s">
        <v>13610</v>
      </c>
      <c r="H1047" s="670">
        <v>1.0130999999999999</v>
      </c>
      <c r="I1047" s="669">
        <v>61.99</v>
      </c>
      <c r="J1047" s="669">
        <v>62.8</v>
      </c>
    </row>
    <row r="1048" spans="1:10" ht="24" customHeight="1">
      <c r="A1048" s="672" t="s">
        <v>13467</v>
      </c>
      <c r="B1048" s="673" t="s">
        <v>15194</v>
      </c>
      <c r="C1048" s="672" t="s">
        <v>7</v>
      </c>
      <c r="D1048" s="672" t="s">
        <v>15193</v>
      </c>
      <c r="E1048" s="919" t="s">
        <v>13464</v>
      </c>
      <c r="F1048" s="919"/>
      <c r="G1048" s="671" t="s">
        <v>13515</v>
      </c>
      <c r="H1048" s="670">
        <v>8.6999999999999994E-3</v>
      </c>
      <c r="I1048" s="669">
        <v>75.03</v>
      </c>
      <c r="J1048" s="669">
        <v>0.65</v>
      </c>
    </row>
    <row r="1049" spans="1:10" ht="25.5">
      <c r="A1049" s="668"/>
      <c r="B1049" s="668"/>
      <c r="C1049" s="668"/>
      <c r="D1049" s="668"/>
      <c r="E1049" s="668" t="s">
        <v>13463</v>
      </c>
      <c r="F1049" s="667">
        <v>3.5042920786699989</v>
      </c>
      <c r="G1049" s="668" t="s">
        <v>13462</v>
      </c>
      <c r="H1049" s="667">
        <v>2.95</v>
      </c>
      <c r="I1049" s="668" t="s">
        <v>13461</v>
      </c>
      <c r="J1049" s="667">
        <v>6.45</v>
      </c>
    </row>
    <row r="1050" spans="1:10" ht="15" thickBot="1">
      <c r="A1050" s="668"/>
      <c r="B1050" s="668"/>
      <c r="C1050" s="668"/>
      <c r="D1050" s="668"/>
      <c r="E1050" s="668" t="s">
        <v>13460</v>
      </c>
      <c r="F1050" s="667">
        <v>21.65</v>
      </c>
      <c r="G1050" s="668"/>
      <c r="H1050" s="925" t="s">
        <v>13459</v>
      </c>
      <c r="I1050" s="925"/>
      <c r="J1050" s="667">
        <v>98.34</v>
      </c>
    </row>
    <row r="1051" spans="1:10" ht="0.95" customHeight="1" thickTop="1">
      <c r="A1051" s="666"/>
      <c r="B1051" s="666"/>
      <c r="C1051" s="666"/>
      <c r="D1051" s="666"/>
      <c r="E1051" s="666"/>
      <c r="F1051" s="666"/>
      <c r="G1051" s="666"/>
      <c r="H1051" s="666"/>
      <c r="I1051" s="666"/>
      <c r="J1051" s="666"/>
    </row>
    <row r="1052" spans="1:10" ht="18" customHeight="1">
      <c r="A1052" s="686" t="s">
        <v>15192</v>
      </c>
      <c r="B1052" s="684" t="s">
        <v>13484</v>
      </c>
      <c r="C1052" s="686" t="s">
        <v>13483</v>
      </c>
      <c r="D1052" s="686" t="s">
        <v>13482</v>
      </c>
      <c r="E1052" s="924" t="s">
        <v>13481</v>
      </c>
      <c r="F1052" s="924"/>
      <c r="G1052" s="685" t="s">
        <v>13480</v>
      </c>
      <c r="H1052" s="684" t="s">
        <v>13479</v>
      </c>
      <c r="I1052" s="684" t="s">
        <v>13478</v>
      </c>
      <c r="J1052" s="684" t="s">
        <v>13477</v>
      </c>
    </row>
    <row r="1053" spans="1:10" ht="24" customHeight="1">
      <c r="A1053" s="682" t="s">
        <v>13476</v>
      </c>
      <c r="B1053" s="683" t="s">
        <v>15191</v>
      </c>
      <c r="C1053" s="682" t="s">
        <v>7</v>
      </c>
      <c r="D1053" s="682" t="s">
        <v>5436</v>
      </c>
      <c r="E1053" s="917" t="s">
        <v>14134</v>
      </c>
      <c r="F1053" s="917"/>
      <c r="G1053" s="681" t="s">
        <v>13610</v>
      </c>
      <c r="H1053" s="680">
        <v>1</v>
      </c>
      <c r="I1053" s="679">
        <v>219.96</v>
      </c>
      <c r="J1053" s="679">
        <v>219.96</v>
      </c>
    </row>
    <row r="1054" spans="1:10" ht="24" customHeight="1">
      <c r="A1054" s="677" t="s">
        <v>13472</v>
      </c>
      <c r="B1054" s="678" t="s">
        <v>13471</v>
      </c>
      <c r="C1054" s="677" t="s">
        <v>7</v>
      </c>
      <c r="D1054" s="677" t="s">
        <v>21</v>
      </c>
      <c r="E1054" s="918" t="s">
        <v>13470</v>
      </c>
      <c r="F1054" s="918"/>
      <c r="G1054" s="676" t="s">
        <v>19</v>
      </c>
      <c r="H1054" s="675">
        <v>0.314</v>
      </c>
      <c r="I1054" s="674">
        <v>14.02</v>
      </c>
      <c r="J1054" s="674">
        <v>4.4000000000000004</v>
      </c>
    </row>
    <row r="1055" spans="1:10" ht="24" customHeight="1">
      <c r="A1055" s="677" t="s">
        <v>13472</v>
      </c>
      <c r="B1055" s="678" t="s">
        <v>13600</v>
      </c>
      <c r="C1055" s="677" t="s">
        <v>7</v>
      </c>
      <c r="D1055" s="677" t="s">
        <v>41</v>
      </c>
      <c r="E1055" s="918" t="s">
        <v>13470</v>
      </c>
      <c r="F1055" s="918"/>
      <c r="G1055" s="676" t="s">
        <v>19</v>
      </c>
      <c r="H1055" s="675">
        <v>0.75349999999999995</v>
      </c>
      <c r="I1055" s="674">
        <v>17.670000000000002</v>
      </c>
      <c r="J1055" s="674">
        <v>13.31</v>
      </c>
    </row>
    <row r="1056" spans="1:10" ht="24" customHeight="1">
      <c r="A1056" s="672" t="s">
        <v>13467</v>
      </c>
      <c r="B1056" s="673" t="s">
        <v>13608</v>
      </c>
      <c r="C1056" s="672" t="s">
        <v>7</v>
      </c>
      <c r="D1056" s="672" t="s">
        <v>13607</v>
      </c>
      <c r="E1056" s="919" t="s">
        <v>13464</v>
      </c>
      <c r="F1056" s="919"/>
      <c r="G1056" s="671" t="s">
        <v>13515</v>
      </c>
      <c r="H1056" s="670">
        <v>1.6000000000000001E-3</v>
      </c>
      <c r="I1056" s="669">
        <v>74.59</v>
      </c>
      <c r="J1056" s="669">
        <v>0.11</v>
      </c>
    </row>
    <row r="1057" spans="1:10" ht="24" customHeight="1">
      <c r="A1057" s="672" t="s">
        <v>13467</v>
      </c>
      <c r="B1057" s="673" t="s">
        <v>15190</v>
      </c>
      <c r="C1057" s="672" t="s">
        <v>7</v>
      </c>
      <c r="D1057" s="672" t="s">
        <v>15189</v>
      </c>
      <c r="E1057" s="919" t="s">
        <v>13464</v>
      </c>
      <c r="F1057" s="919"/>
      <c r="G1057" s="671" t="s">
        <v>50</v>
      </c>
      <c r="H1057" s="670">
        <v>0.17499999999999999</v>
      </c>
      <c r="I1057" s="669">
        <v>9.2200000000000006</v>
      </c>
      <c r="J1057" s="669">
        <v>1.61</v>
      </c>
    </row>
    <row r="1058" spans="1:10" ht="24" customHeight="1">
      <c r="A1058" s="672" t="s">
        <v>13467</v>
      </c>
      <c r="B1058" s="673" t="s">
        <v>13997</v>
      </c>
      <c r="C1058" s="672" t="s">
        <v>7</v>
      </c>
      <c r="D1058" s="672" t="s">
        <v>13996</v>
      </c>
      <c r="E1058" s="919" t="s">
        <v>13464</v>
      </c>
      <c r="F1058" s="919"/>
      <c r="G1058" s="671" t="s">
        <v>17</v>
      </c>
      <c r="H1058" s="670">
        <v>5.93</v>
      </c>
      <c r="I1058" s="669">
        <v>0.64</v>
      </c>
      <c r="J1058" s="669">
        <v>3.79</v>
      </c>
    </row>
    <row r="1059" spans="1:10" ht="24" customHeight="1">
      <c r="A1059" s="672" t="s">
        <v>13467</v>
      </c>
      <c r="B1059" s="673" t="s">
        <v>15188</v>
      </c>
      <c r="C1059" s="672" t="s">
        <v>7</v>
      </c>
      <c r="D1059" s="672" t="s">
        <v>15187</v>
      </c>
      <c r="E1059" s="919" t="s">
        <v>13464</v>
      </c>
      <c r="F1059" s="919"/>
      <c r="G1059" s="671" t="s">
        <v>13610</v>
      </c>
      <c r="H1059" s="670">
        <v>1.06</v>
      </c>
      <c r="I1059" s="669">
        <v>185.61</v>
      </c>
      <c r="J1059" s="669">
        <v>196.74</v>
      </c>
    </row>
    <row r="1060" spans="1:10" ht="25.5">
      <c r="A1060" s="668"/>
      <c r="B1060" s="668"/>
      <c r="C1060" s="668"/>
      <c r="D1060" s="668"/>
      <c r="E1060" s="668" t="s">
        <v>13463</v>
      </c>
      <c r="F1060" s="667">
        <v>7.4323590133652067</v>
      </c>
      <c r="G1060" s="668" t="s">
        <v>13462</v>
      </c>
      <c r="H1060" s="667">
        <v>6.25</v>
      </c>
      <c r="I1060" s="668" t="s">
        <v>13461</v>
      </c>
      <c r="J1060" s="667">
        <v>13.68</v>
      </c>
    </row>
    <row r="1061" spans="1:10" ht="15" thickBot="1">
      <c r="A1061" s="668"/>
      <c r="B1061" s="668"/>
      <c r="C1061" s="668"/>
      <c r="D1061" s="668"/>
      <c r="E1061" s="668" t="s">
        <v>13460</v>
      </c>
      <c r="F1061" s="667">
        <v>62.11</v>
      </c>
      <c r="G1061" s="668"/>
      <c r="H1061" s="925" t="s">
        <v>13459</v>
      </c>
      <c r="I1061" s="925"/>
      <c r="J1061" s="667">
        <v>282.07</v>
      </c>
    </row>
    <row r="1062" spans="1:10" ht="0.95" customHeight="1" thickTop="1">
      <c r="A1062" s="666"/>
      <c r="B1062" s="666"/>
      <c r="C1062" s="666"/>
      <c r="D1062" s="666"/>
      <c r="E1062" s="666"/>
      <c r="F1062" s="666"/>
      <c r="G1062" s="666"/>
      <c r="H1062" s="666"/>
      <c r="I1062" s="666"/>
      <c r="J1062" s="666"/>
    </row>
    <row r="1063" spans="1:10" ht="18" customHeight="1">
      <c r="A1063" s="686" t="s">
        <v>15186</v>
      </c>
      <c r="B1063" s="684" t="s">
        <v>13484</v>
      </c>
      <c r="C1063" s="686" t="s">
        <v>13483</v>
      </c>
      <c r="D1063" s="686" t="s">
        <v>13482</v>
      </c>
      <c r="E1063" s="924" t="s">
        <v>13481</v>
      </c>
      <c r="F1063" s="924"/>
      <c r="G1063" s="685" t="s">
        <v>13480</v>
      </c>
      <c r="H1063" s="684" t="s">
        <v>13479</v>
      </c>
      <c r="I1063" s="684" t="s">
        <v>13478</v>
      </c>
      <c r="J1063" s="684" t="s">
        <v>13477</v>
      </c>
    </row>
    <row r="1064" spans="1:10" ht="36" customHeight="1">
      <c r="A1064" s="682" t="s">
        <v>13476</v>
      </c>
      <c r="B1064" s="683" t="s">
        <v>15185</v>
      </c>
      <c r="C1064" s="682" t="s">
        <v>7</v>
      </c>
      <c r="D1064" s="682" t="s">
        <v>5412</v>
      </c>
      <c r="E1064" s="917" t="s">
        <v>14134</v>
      </c>
      <c r="F1064" s="917"/>
      <c r="G1064" s="681" t="s">
        <v>13610</v>
      </c>
      <c r="H1064" s="680">
        <v>1</v>
      </c>
      <c r="I1064" s="679">
        <v>39.79</v>
      </c>
      <c r="J1064" s="679">
        <v>39.79</v>
      </c>
    </row>
    <row r="1065" spans="1:10" ht="36" customHeight="1">
      <c r="A1065" s="677" t="s">
        <v>13472</v>
      </c>
      <c r="B1065" s="678" t="s">
        <v>14081</v>
      </c>
      <c r="C1065" s="677" t="s">
        <v>7</v>
      </c>
      <c r="D1065" s="677" t="s">
        <v>4322</v>
      </c>
      <c r="E1065" s="918" t="s">
        <v>13470</v>
      </c>
      <c r="F1065" s="918"/>
      <c r="G1065" s="676" t="s">
        <v>13515</v>
      </c>
      <c r="H1065" s="675">
        <v>5.2999999999999999E-2</v>
      </c>
      <c r="I1065" s="674">
        <v>520.97</v>
      </c>
      <c r="J1065" s="674">
        <v>27.61</v>
      </c>
    </row>
    <row r="1066" spans="1:10" ht="24" customHeight="1">
      <c r="A1066" s="677" t="s">
        <v>13472</v>
      </c>
      <c r="B1066" s="678" t="s">
        <v>13600</v>
      </c>
      <c r="C1066" s="677" t="s">
        <v>7</v>
      </c>
      <c r="D1066" s="677" t="s">
        <v>41</v>
      </c>
      <c r="E1066" s="918" t="s">
        <v>13470</v>
      </c>
      <c r="F1066" s="918"/>
      <c r="G1066" s="676" t="s">
        <v>19</v>
      </c>
      <c r="H1066" s="675">
        <v>0.41799999999999998</v>
      </c>
      <c r="I1066" s="674">
        <v>17.670000000000002</v>
      </c>
      <c r="J1066" s="674">
        <v>7.38</v>
      </c>
    </row>
    <row r="1067" spans="1:10" ht="24" customHeight="1">
      <c r="A1067" s="677" t="s">
        <v>13472</v>
      </c>
      <c r="B1067" s="678" t="s">
        <v>13471</v>
      </c>
      <c r="C1067" s="677" t="s">
        <v>7</v>
      </c>
      <c r="D1067" s="677" t="s">
        <v>21</v>
      </c>
      <c r="E1067" s="918" t="s">
        <v>13470</v>
      </c>
      <c r="F1067" s="918"/>
      <c r="G1067" s="676" t="s">
        <v>19</v>
      </c>
      <c r="H1067" s="675">
        <v>0.20899999999999999</v>
      </c>
      <c r="I1067" s="674">
        <v>14.02</v>
      </c>
      <c r="J1067" s="674">
        <v>2.93</v>
      </c>
    </row>
    <row r="1068" spans="1:10" ht="24" customHeight="1">
      <c r="A1068" s="672" t="s">
        <v>13467</v>
      </c>
      <c r="B1068" s="673" t="s">
        <v>13997</v>
      </c>
      <c r="C1068" s="672" t="s">
        <v>7</v>
      </c>
      <c r="D1068" s="672" t="s">
        <v>13996</v>
      </c>
      <c r="E1068" s="919" t="s">
        <v>13464</v>
      </c>
      <c r="F1068" s="919"/>
      <c r="G1068" s="671" t="s">
        <v>17</v>
      </c>
      <c r="H1068" s="670">
        <v>0.5</v>
      </c>
      <c r="I1068" s="669">
        <v>0.64</v>
      </c>
      <c r="J1068" s="669">
        <v>0.32</v>
      </c>
    </row>
    <row r="1069" spans="1:10" ht="24" customHeight="1">
      <c r="A1069" s="672" t="s">
        <v>13467</v>
      </c>
      <c r="B1069" s="673" t="s">
        <v>15184</v>
      </c>
      <c r="C1069" s="672" t="s">
        <v>7</v>
      </c>
      <c r="D1069" s="672" t="s">
        <v>15183</v>
      </c>
      <c r="E1069" s="919" t="s">
        <v>13464</v>
      </c>
      <c r="F1069" s="919"/>
      <c r="G1069" s="671" t="s">
        <v>14</v>
      </c>
      <c r="H1069" s="670">
        <v>1.67</v>
      </c>
      <c r="I1069" s="669">
        <v>0.93</v>
      </c>
      <c r="J1069" s="669">
        <v>1.55</v>
      </c>
    </row>
    <row r="1070" spans="1:10" ht="25.5">
      <c r="A1070" s="668"/>
      <c r="B1070" s="668"/>
      <c r="C1070" s="668"/>
      <c r="D1070" s="668"/>
      <c r="E1070" s="668" t="s">
        <v>13463</v>
      </c>
      <c r="F1070" s="667">
        <v>5.557970227099859</v>
      </c>
      <c r="G1070" s="668" t="s">
        <v>13462</v>
      </c>
      <c r="H1070" s="667">
        <v>4.67</v>
      </c>
      <c r="I1070" s="668" t="s">
        <v>13461</v>
      </c>
      <c r="J1070" s="667">
        <v>10.23</v>
      </c>
    </row>
    <row r="1071" spans="1:10" ht="15" thickBot="1">
      <c r="A1071" s="668"/>
      <c r="B1071" s="668"/>
      <c r="C1071" s="668"/>
      <c r="D1071" s="668"/>
      <c r="E1071" s="668" t="s">
        <v>13460</v>
      </c>
      <c r="F1071" s="667">
        <v>11.23</v>
      </c>
      <c r="G1071" s="668"/>
      <c r="H1071" s="925" t="s">
        <v>13459</v>
      </c>
      <c r="I1071" s="925"/>
      <c r="J1071" s="667">
        <v>51.02</v>
      </c>
    </row>
    <row r="1072" spans="1:10" ht="0.95" customHeight="1" thickTop="1">
      <c r="A1072" s="666"/>
      <c r="B1072" s="666"/>
      <c r="C1072" s="666"/>
      <c r="D1072" s="666"/>
      <c r="E1072" s="666"/>
      <c r="F1072" s="666"/>
      <c r="G1072" s="666"/>
      <c r="H1072" s="666"/>
      <c r="I1072" s="666"/>
      <c r="J1072" s="666"/>
    </row>
    <row r="1073" spans="1:10" ht="18" customHeight="1">
      <c r="A1073" s="686" t="s">
        <v>15182</v>
      </c>
      <c r="B1073" s="684" t="s">
        <v>13484</v>
      </c>
      <c r="C1073" s="686" t="s">
        <v>13483</v>
      </c>
      <c r="D1073" s="686" t="s">
        <v>13482</v>
      </c>
      <c r="E1073" s="924" t="s">
        <v>13481</v>
      </c>
      <c r="F1073" s="924"/>
      <c r="G1073" s="685" t="s">
        <v>13480</v>
      </c>
      <c r="H1073" s="684" t="s">
        <v>13479</v>
      </c>
      <c r="I1073" s="684" t="s">
        <v>13478</v>
      </c>
      <c r="J1073" s="684" t="s">
        <v>13477</v>
      </c>
    </row>
    <row r="1074" spans="1:10" ht="24" customHeight="1">
      <c r="A1074" s="682" t="s">
        <v>13476</v>
      </c>
      <c r="B1074" s="683" t="s">
        <v>15181</v>
      </c>
      <c r="C1074" s="682" t="s">
        <v>7</v>
      </c>
      <c r="D1074" s="682" t="s">
        <v>4829</v>
      </c>
      <c r="E1074" s="917" t="s">
        <v>14276</v>
      </c>
      <c r="F1074" s="917"/>
      <c r="G1074" s="681" t="s">
        <v>13610</v>
      </c>
      <c r="H1074" s="680">
        <v>1</v>
      </c>
      <c r="I1074" s="679">
        <v>33.64</v>
      </c>
      <c r="J1074" s="679">
        <v>33.64</v>
      </c>
    </row>
    <row r="1075" spans="1:10" ht="24" customHeight="1">
      <c r="A1075" s="677" t="s">
        <v>13472</v>
      </c>
      <c r="B1075" s="678" t="s">
        <v>14101</v>
      </c>
      <c r="C1075" s="677" t="s">
        <v>7</v>
      </c>
      <c r="D1075" s="677" t="s">
        <v>124</v>
      </c>
      <c r="E1075" s="918" t="s">
        <v>13470</v>
      </c>
      <c r="F1075" s="918"/>
      <c r="G1075" s="676" t="s">
        <v>19</v>
      </c>
      <c r="H1075" s="675">
        <v>0.11700000000000001</v>
      </c>
      <c r="I1075" s="674">
        <v>16.98</v>
      </c>
      <c r="J1075" s="674">
        <v>1.98</v>
      </c>
    </row>
    <row r="1076" spans="1:10" ht="24" customHeight="1">
      <c r="A1076" s="677" t="s">
        <v>13472</v>
      </c>
      <c r="B1076" s="678" t="s">
        <v>13778</v>
      </c>
      <c r="C1076" s="677" t="s">
        <v>7</v>
      </c>
      <c r="D1076" s="677" t="s">
        <v>138</v>
      </c>
      <c r="E1076" s="918" t="s">
        <v>13470</v>
      </c>
      <c r="F1076" s="918"/>
      <c r="G1076" s="676" t="s">
        <v>19</v>
      </c>
      <c r="H1076" s="675">
        <v>0.57799999999999996</v>
      </c>
      <c r="I1076" s="674">
        <v>18.489999999999998</v>
      </c>
      <c r="J1076" s="674">
        <v>10.68</v>
      </c>
    </row>
    <row r="1077" spans="1:10" ht="24" customHeight="1">
      <c r="A1077" s="672" t="s">
        <v>13467</v>
      </c>
      <c r="B1077" s="673" t="s">
        <v>15180</v>
      </c>
      <c r="C1077" s="672" t="s">
        <v>7</v>
      </c>
      <c r="D1077" s="672" t="s">
        <v>15179</v>
      </c>
      <c r="E1077" s="919" t="s">
        <v>13464</v>
      </c>
      <c r="F1077" s="919"/>
      <c r="G1077" s="671" t="s">
        <v>17</v>
      </c>
      <c r="H1077" s="670">
        <v>1.2</v>
      </c>
      <c r="I1077" s="669">
        <v>17.489999999999998</v>
      </c>
      <c r="J1077" s="669">
        <v>20.98</v>
      </c>
    </row>
    <row r="1078" spans="1:10" ht="25.5">
      <c r="A1078" s="668"/>
      <c r="B1078" s="668"/>
      <c r="C1078" s="668"/>
      <c r="D1078" s="668"/>
      <c r="E1078" s="668" t="s">
        <v>13463</v>
      </c>
      <c r="F1078" s="667">
        <v>5.4493100076062158</v>
      </c>
      <c r="G1078" s="668" t="s">
        <v>13462</v>
      </c>
      <c r="H1078" s="667">
        <v>4.58</v>
      </c>
      <c r="I1078" s="668" t="s">
        <v>13461</v>
      </c>
      <c r="J1078" s="667">
        <v>10.029999999999999</v>
      </c>
    </row>
    <row r="1079" spans="1:10" ht="15" thickBot="1">
      <c r="A1079" s="668"/>
      <c r="B1079" s="668"/>
      <c r="C1079" s="668"/>
      <c r="D1079" s="668"/>
      <c r="E1079" s="668" t="s">
        <v>13460</v>
      </c>
      <c r="F1079" s="667">
        <v>9.49</v>
      </c>
      <c r="G1079" s="668"/>
      <c r="H1079" s="925" t="s">
        <v>13459</v>
      </c>
      <c r="I1079" s="925"/>
      <c r="J1079" s="667">
        <v>43.13</v>
      </c>
    </row>
    <row r="1080" spans="1:10" ht="0.95" customHeight="1" thickTop="1">
      <c r="A1080" s="666"/>
      <c r="B1080" s="666"/>
      <c r="C1080" s="666"/>
      <c r="D1080" s="666"/>
      <c r="E1080" s="666"/>
      <c r="F1080" s="666"/>
      <c r="G1080" s="666"/>
      <c r="H1080" s="666"/>
      <c r="I1080" s="666"/>
      <c r="J1080" s="666"/>
    </row>
    <row r="1081" spans="1:10" ht="18" customHeight="1">
      <c r="A1081" s="686" t="s">
        <v>15178</v>
      </c>
      <c r="B1081" s="684" t="s">
        <v>13484</v>
      </c>
      <c r="C1081" s="686" t="s">
        <v>13483</v>
      </c>
      <c r="D1081" s="686" t="s">
        <v>13482</v>
      </c>
      <c r="E1081" s="924" t="s">
        <v>13481</v>
      </c>
      <c r="F1081" s="924"/>
      <c r="G1081" s="685" t="s">
        <v>13480</v>
      </c>
      <c r="H1081" s="684" t="s">
        <v>13479</v>
      </c>
      <c r="I1081" s="684" t="s">
        <v>13478</v>
      </c>
      <c r="J1081" s="684" t="s">
        <v>13477</v>
      </c>
    </row>
    <row r="1082" spans="1:10" ht="24" customHeight="1">
      <c r="A1082" s="682" t="s">
        <v>13476</v>
      </c>
      <c r="B1082" s="683" t="s">
        <v>15177</v>
      </c>
      <c r="C1082" s="682" t="s">
        <v>7</v>
      </c>
      <c r="D1082" s="682" t="s">
        <v>5434</v>
      </c>
      <c r="E1082" s="917" t="s">
        <v>14134</v>
      </c>
      <c r="F1082" s="917"/>
      <c r="G1082" s="681" t="s">
        <v>14</v>
      </c>
      <c r="H1082" s="680">
        <v>1</v>
      </c>
      <c r="I1082" s="679">
        <v>140.09</v>
      </c>
      <c r="J1082" s="679">
        <v>140.09</v>
      </c>
    </row>
    <row r="1083" spans="1:10" ht="24" customHeight="1">
      <c r="A1083" s="677" t="s">
        <v>13472</v>
      </c>
      <c r="B1083" s="678" t="s">
        <v>13471</v>
      </c>
      <c r="C1083" s="677" t="s">
        <v>7</v>
      </c>
      <c r="D1083" s="677" t="s">
        <v>21</v>
      </c>
      <c r="E1083" s="918" t="s">
        <v>13470</v>
      </c>
      <c r="F1083" s="918"/>
      <c r="G1083" s="676" t="s">
        <v>19</v>
      </c>
      <c r="H1083" s="675">
        <v>0.218</v>
      </c>
      <c r="I1083" s="674">
        <v>14.02</v>
      </c>
      <c r="J1083" s="674">
        <v>3.05</v>
      </c>
    </row>
    <row r="1084" spans="1:10" ht="24" customHeight="1">
      <c r="A1084" s="677" t="s">
        <v>13472</v>
      </c>
      <c r="B1084" s="678" t="s">
        <v>13600</v>
      </c>
      <c r="C1084" s="677" t="s">
        <v>7</v>
      </c>
      <c r="D1084" s="677" t="s">
        <v>41</v>
      </c>
      <c r="E1084" s="918" t="s">
        <v>13470</v>
      </c>
      <c r="F1084" s="918"/>
      <c r="G1084" s="676" t="s">
        <v>19</v>
      </c>
      <c r="H1084" s="675">
        <v>0.437</v>
      </c>
      <c r="I1084" s="674">
        <v>17.670000000000002</v>
      </c>
      <c r="J1084" s="674">
        <v>7.72</v>
      </c>
    </row>
    <row r="1085" spans="1:10" ht="24" customHeight="1">
      <c r="A1085" s="672" t="s">
        <v>13467</v>
      </c>
      <c r="B1085" s="673" t="s">
        <v>15176</v>
      </c>
      <c r="C1085" s="672" t="s">
        <v>7</v>
      </c>
      <c r="D1085" s="672" t="s">
        <v>15175</v>
      </c>
      <c r="E1085" s="919" t="s">
        <v>13464</v>
      </c>
      <c r="F1085" s="919"/>
      <c r="G1085" s="671" t="s">
        <v>17</v>
      </c>
      <c r="H1085" s="670">
        <v>1.2150000000000001</v>
      </c>
      <c r="I1085" s="669">
        <v>2.39</v>
      </c>
      <c r="J1085" s="669">
        <v>2.9</v>
      </c>
    </row>
    <row r="1086" spans="1:10" ht="24" customHeight="1">
      <c r="A1086" s="672" t="s">
        <v>13467</v>
      </c>
      <c r="B1086" s="673" t="s">
        <v>13997</v>
      </c>
      <c r="C1086" s="672" t="s">
        <v>7</v>
      </c>
      <c r="D1086" s="672" t="s">
        <v>13996</v>
      </c>
      <c r="E1086" s="919" t="s">
        <v>13464</v>
      </c>
      <c r="F1086" s="919"/>
      <c r="G1086" s="671" t="s">
        <v>17</v>
      </c>
      <c r="H1086" s="670">
        <v>0.24</v>
      </c>
      <c r="I1086" s="669">
        <v>0.64</v>
      </c>
      <c r="J1086" s="669">
        <v>0.15</v>
      </c>
    </row>
    <row r="1087" spans="1:10" ht="24" customHeight="1">
      <c r="A1087" s="672" t="s">
        <v>13467</v>
      </c>
      <c r="B1087" s="673" t="s">
        <v>15174</v>
      </c>
      <c r="C1087" s="672" t="s">
        <v>7</v>
      </c>
      <c r="D1087" s="672" t="s">
        <v>15173</v>
      </c>
      <c r="E1087" s="919" t="s">
        <v>13464</v>
      </c>
      <c r="F1087" s="919"/>
      <c r="G1087" s="671" t="s">
        <v>13610</v>
      </c>
      <c r="H1087" s="670">
        <v>0.25</v>
      </c>
      <c r="I1087" s="669">
        <v>505.11</v>
      </c>
      <c r="J1087" s="669">
        <v>126.27</v>
      </c>
    </row>
    <row r="1088" spans="1:10" ht="25.5">
      <c r="A1088" s="668"/>
      <c r="B1088" s="668"/>
      <c r="C1088" s="668"/>
      <c r="D1088" s="668"/>
      <c r="E1088" s="668" t="s">
        <v>13463</v>
      </c>
      <c r="F1088" s="667">
        <v>4.5039660980115181</v>
      </c>
      <c r="G1088" s="668" t="s">
        <v>13462</v>
      </c>
      <c r="H1088" s="667">
        <v>3.79</v>
      </c>
      <c r="I1088" s="668" t="s">
        <v>13461</v>
      </c>
      <c r="J1088" s="667">
        <v>8.2899999999999991</v>
      </c>
    </row>
    <row r="1089" spans="1:10" ht="15" thickBot="1">
      <c r="A1089" s="668"/>
      <c r="B1089" s="668"/>
      <c r="C1089" s="668"/>
      <c r="D1089" s="668"/>
      <c r="E1089" s="668" t="s">
        <v>13460</v>
      </c>
      <c r="F1089" s="667">
        <v>39.56</v>
      </c>
      <c r="G1089" s="668"/>
      <c r="H1089" s="925" t="s">
        <v>13459</v>
      </c>
      <c r="I1089" s="925"/>
      <c r="J1089" s="667">
        <v>179.65</v>
      </c>
    </row>
    <row r="1090" spans="1:10" ht="0.95" customHeight="1" thickTop="1">
      <c r="A1090" s="666"/>
      <c r="B1090" s="666"/>
      <c r="C1090" s="666"/>
      <c r="D1090" s="666"/>
      <c r="E1090" s="666"/>
      <c r="F1090" s="666"/>
      <c r="G1090" s="666"/>
      <c r="H1090" s="666"/>
      <c r="I1090" s="666"/>
      <c r="J1090" s="666"/>
    </row>
    <row r="1091" spans="1:10" ht="18" customHeight="1">
      <c r="A1091" s="686" t="s">
        <v>15172</v>
      </c>
      <c r="B1091" s="684" t="s">
        <v>13484</v>
      </c>
      <c r="C1091" s="686" t="s">
        <v>13483</v>
      </c>
      <c r="D1091" s="686" t="s">
        <v>13482</v>
      </c>
      <c r="E1091" s="924" t="s">
        <v>13481</v>
      </c>
      <c r="F1091" s="924"/>
      <c r="G1091" s="685" t="s">
        <v>13480</v>
      </c>
      <c r="H1091" s="684" t="s">
        <v>13479</v>
      </c>
      <c r="I1091" s="684" t="s">
        <v>13478</v>
      </c>
      <c r="J1091" s="684" t="s">
        <v>13477</v>
      </c>
    </row>
    <row r="1092" spans="1:10" ht="24" customHeight="1">
      <c r="A1092" s="682" t="s">
        <v>13476</v>
      </c>
      <c r="B1092" s="683" t="s">
        <v>15171</v>
      </c>
      <c r="C1092" s="682" t="s">
        <v>7</v>
      </c>
      <c r="D1092" s="682" t="s">
        <v>4228</v>
      </c>
      <c r="E1092" s="917" t="s">
        <v>14385</v>
      </c>
      <c r="F1092" s="917"/>
      <c r="G1092" s="681" t="s">
        <v>13610</v>
      </c>
      <c r="H1092" s="680">
        <v>1</v>
      </c>
      <c r="I1092" s="679">
        <v>11.42</v>
      </c>
      <c r="J1092" s="679">
        <v>11.42</v>
      </c>
    </row>
    <row r="1093" spans="1:10" ht="24" customHeight="1">
      <c r="A1093" s="677" t="s">
        <v>13472</v>
      </c>
      <c r="B1093" s="678" t="s">
        <v>13471</v>
      </c>
      <c r="C1093" s="677" t="s">
        <v>7</v>
      </c>
      <c r="D1093" s="677" t="s">
        <v>21</v>
      </c>
      <c r="E1093" s="918" t="s">
        <v>13470</v>
      </c>
      <c r="F1093" s="918"/>
      <c r="G1093" s="676" t="s">
        <v>19</v>
      </c>
      <c r="H1093" s="675">
        <v>0.15640000000000001</v>
      </c>
      <c r="I1093" s="674">
        <v>14.02</v>
      </c>
      <c r="J1093" s="674">
        <v>2.19</v>
      </c>
    </row>
    <row r="1094" spans="1:10" ht="24" customHeight="1">
      <c r="A1094" s="677" t="s">
        <v>13472</v>
      </c>
      <c r="B1094" s="678" t="s">
        <v>13754</v>
      </c>
      <c r="C1094" s="677" t="s">
        <v>7</v>
      </c>
      <c r="D1094" s="677" t="s">
        <v>192</v>
      </c>
      <c r="E1094" s="918" t="s">
        <v>13470</v>
      </c>
      <c r="F1094" s="918"/>
      <c r="G1094" s="676" t="s">
        <v>19</v>
      </c>
      <c r="H1094" s="675">
        <v>3.9100000000000003E-2</v>
      </c>
      <c r="I1094" s="674">
        <v>17.07</v>
      </c>
      <c r="J1094" s="674">
        <v>0.66</v>
      </c>
    </row>
    <row r="1095" spans="1:10" ht="24" customHeight="1">
      <c r="A1095" s="672" t="s">
        <v>13467</v>
      </c>
      <c r="B1095" s="673" t="s">
        <v>15170</v>
      </c>
      <c r="C1095" s="672" t="s">
        <v>7</v>
      </c>
      <c r="D1095" s="672" t="s">
        <v>15169</v>
      </c>
      <c r="E1095" s="919" t="s">
        <v>13464</v>
      </c>
      <c r="F1095" s="919"/>
      <c r="G1095" s="671" t="s">
        <v>13610</v>
      </c>
      <c r="H1095" s="670">
        <v>1</v>
      </c>
      <c r="I1095" s="669">
        <v>8.57</v>
      </c>
      <c r="J1095" s="669">
        <v>8.57</v>
      </c>
    </row>
    <row r="1096" spans="1:10" ht="25.5">
      <c r="A1096" s="668"/>
      <c r="B1096" s="668"/>
      <c r="C1096" s="668"/>
      <c r="D1096" s="668"/>
      <c r="E1096" s="668" t="s">
        <v>13463</v>
      </c>
      <c r="F1096" s="667">
        <v>1.1517983266326197</v>
      </c>
      <c r="G1096" s="668" t="s">
        <v>13462</v>
      </c>
      <c r="H1096" s="667">
        <v>0.97</v>
      </c>
      <c r="I1096" s="668" t="s">
        <v>13461</v>
      </c>
      <c r="J1096" s="667">
        <v>2.12</v>
      </c>
    </row>
    <row r="1097" spans="1:10" ht="15" thickBot="1">
      <c r="A1097" s="668"/>
      <c r="B1097" s="668"/>
      <c r="C1097" s="668"/>
      <c r="D1097" s="668"/>
      <c r="E1097" s="668" t="s">
        <v>13460</v>
      </c>
      <c r="F1097" s="667">
        <v>3.22</v>
      </c>
      <c r="G1097" s="668"/>
      <c r="H1097" s="925" t="s">
        <v>13459</v>
      </c>
      <c r="I1097" s="925"/>
      <c r="J1097" s="667">
        <v>14.64</v>
      </c>
    </row>
    <row r="1098" spans="1:10" ht="0.95" customHeight="1" thickTop="1">
      <c r="A1098" s="666"/>
      <c r="B1098" s="666"/>
      <c r="C1098" s="666"/>
      <c r="D1098" s="666"/>
      <c r="E1098" s="666"/>
      <c r="F1098" s="666"/>
      <c r="G1098" s="666"/>
      <c r="H1098" s="666"/>
      <c r="I1098" s="666"/>
      <c r="J1098" s="666"/>
    </row>
    <row r="1099" spans="1:10" ht="18" customHeight="1">
      <c r="A1099" s="686" t="s">
        <v>15168</v>
      </c>
      <c r="B1099" s="684" t="s">
        <v>13484</v>
      </c>
      <c r="C1099" s="686" t="s">
        <v>13483</v>
      </c>
      <c r="D1099" s="686" t="s">
        <v>13482</v>
      </c>
      <c r="E1099" s="924" t="s">
        <v>13481</v>
      </c>
      <c r="F1099" s="924"/>
      <c r="G1099" s="685" t="s">
        <v>13480</v>
      </c>
      <c r="H1099" s="684" t="s">
        <v>13479</v>
      </c>
      <c r="I1099" s="684" t="s">
        <v>13478</v>
      </c>
      <c r="J1099" s="684" t="s">
        <v>13477</v>
      </c>
    </row>
    <row r="1100" spans="1:10" ht="36" customHeight="1">
      <c r="A1100" s="682" t="s">
        <v>13476</v>
      </c>
      <c r="B1100" s="683" t="s">
        <v>15167</v>
      </c>
      <c r="C1100" s="682" t="s">
        <v>7</v>
      </c>
      <c r="D1100" s="682" t="s">
        <v>6764</v>
      </c>
      <c r="E1100" s="917" t="s">
        <v>13646</v>
      </c>
      <c r="F1100" s="917"/>
      <c r="G1100" s="681" t="s">
        <v>13515</v>
      </c>
      <c r="H1100" s="680">
        <v>1</v>
      </c>
      <c r="I1100" s="679">
        <v>113.29</v>
      </c>
      <c r="J1100" s="679">
        <v>113.29</v>
      </c>
    </row>
    <row r="1101" spans="1:10" ht="36" customHeight="1">
      <c r="A1101" s="677" t="s">
        <v>13472</v>
      </c>
      <c r="B1101" s="678" t="s">
        <v>13628</v>
      </c>
      <c r="C1101" s="677" t="s">
        <v>7</v>
      </c>
      <c r="D1101" s="677" t="s">
        <v>1863</v>
      </c>
      <c r="E1101" s="918" t="s">
        <v>13491</v>
      </c>
      <c r="F1101" s="918"/>
      <c r="G1101" s="676" t="s">
        <v>38</v>
      </c>
      <c r="H1101" s="675">
        <v>3.2000000000000001E-2</v>
      </c>
      <c r="I1101" s="674">
        <v>9.49</v>
      </c>
      <c r="J1101" s="674">
        <v>0.3</v>
      </c>
    </row>
    <row r="1102" spans="1:10" ht="36" customHeight="1">
      <c r="A1102" s="677" t="s">
        <v>13472</v>
      </c>
      <c r="B1102" s="678" t="s">
        <v>13629</v>
      </c>
      <c r="C1102" s="677" t="s">
        <v>7</v>
      </c>
      <c r="D1102" s="677" t="s">
        <v>1864</v>
      </c>
      <c r="E1102" s="918" t="s">
        <v>13491</v>
      </c>
      <c r="F1102" s="918"/>
      <c r="G1102" s="676" t="s">
        <v>53</v>
      </c>
      <c r="H1102" s="675">
        <v>0.03</v>
      </c>
      <c r="I1102" s="674">
        <v>0.52</v>
      </c>
      <c r="J1102" s="674">
        <v>0.01</v>
      </c>
    </row>
    <row r="1103" spans="1:10" ht="24" customHeight="1">
      <c r="A1103" s="677" t="s">
        <v>13472</v>
      </c>
      <c r="B1103" s="678" t="s">
        <v>13600</v>
      </c>
      <c r="C1103" s="677" t="s">
        <v>7</v>
      </c>
      <c r="D1103" s="677" t="s">
        <v>41</v>
      </c>
      <c r="E1103" s="918" t="s">
        <v>13470</v>
      </c>
      <c r="F1103" s="918"/>
      <c r="G1103" s="676" t="s">
        <v>19</v>
      </c>
      <c r="H1103" s="675">
        <v>1.03</v>
      </c>
      <c r="I1103" s="674">
        <v>17.670000000000002</v>
      </c>
      <c r="J1103" s="674">
        <v>18.2</v>
      </c>
    </row>
    <row r="1104" spans="1:10" ht="24" customHeight="1">
      <c r="A1104" s="677" t="s">
        <v>13472</v>
      </c>
      <c r="B1104" s="678" t="s">
        <v>13471</v>
      </c>
      <c r="C1104" s="677" t="s">
        <v>7</v>
      </c>
      <c r="D1104" s="677" t="s">
        <v>21</v>
      </c>
      <c r="E1104" s="918" t="s">
        <v>13470</v>
      </c>
      <c r="F1104" s="918"/>
      <c r="G1104" s="676" t="s">
        <v>19</v>
      </c>
      <c r="H1104" s="675">
        <v>0.34300000000000003</v>
      </c>
      <c r="I1104" s="674">
        <v>14.02</v>
      </c>
      <c r="J1104" s="674">
        <v>4.8</v>
      </c>
    </row>
    <row r="1105" spans="1:10" ht="24" customHeight="1">
      <c r="A1105" s="672" t="s">
        <v>13467</v>
      </c>
      <c r="B1105" s="673" t="s">
        <v>13995</v>
      </c>
      <c r="C1105" s="672" t="s">
        <v>7</v>
      </c>
      <c r="D1105" s="672" t="s">
        <v>13994</v>
      </c>
      <c r="E1105" s="919" t="s">
        <v>13464</v>
      </c>
      <c r="F1105" s="919"/>
      <c r="G1105" s="671" t="s">
        <v>13515</v>
      </c>
      <c r="H1105" s="670">
        <v>0.56499999999999995</v>
      </c>
      <c r="I1105" s="669">
        <v>79.430000000000007</v>
      </c>
      <c r="J1105" s="669">
        <v>44.87</v>
      </c>
    </row>
    <row r="1106" spans="1:10" ht="24" customHeight="1">
      <c r="A1106" s="672" t="s">
        <v>13467</v>
      </c>
      <c r="B1106" s="673" t="s">
        <v>14323</v>
      </c>
      <c r="C1106" s="672" t="s">
        <v>7</v>
      </c>
      <c r="D1106" s="672" t="s">
        <v>14322</v>
      </c>
      <c r="E1106" s="919" t="s">
        <v>13464</v>
      </c>
      <c r="F1106" s="919"/>
      <c r="G1106" s="671" t="s">
        <v>13515</v>
      </c>
      <c r="H1106" s="670">
        <v>0.56499999999999995</v>
      </c>
      <c r="I1106" s="669">
        <v>79.849999999999994</v>
      </c>
      <c r="J1106" s="669">
        <v>45.11</v>
      </c>
    </row>
    <row r="1107" spans="1:10" ht="25.5">
      <c r="A1107" s="668"/>
      <c r="B1107" s="668"/>
      <c r="C1107" s="668"/>
      <c r="D1107" s="668"/>
      <c r="E1107" s="668" t="s">
        <v>13463</v>
      </c>
      <c r="F1107" s="667">
        <v>9.6707595349342608</v>
      </c>
      <c r="G1107" s="668" t="s">
        <v>13462</v>
      </c>
      <c r="H1107" s="667">
        <v>8.1300000000000008</v>
      </c>
      <c r="I1107" s="668" t="s">
        <v>13461</v>
      </c>
      <c r="J1107" s="667">
        <v>17.8</v>
      </c>
    </row>
    <row r="1108" spans="1:10" ht="15" thickBot="1">
      <c r="A1108" s="668"/>
      <c r="B1108" s="668"/>
      <c r="C1108" s="668"/>
      <c r="D1108" s="668"/>
      <c r="E1108" s="668" t="s">
        <v>13460</v>
      </c>
      <c r="F1108" s="667">
        <v>31.99</v>
      </c>
      <c r="G1108" s="668"/>
      <c r="H1108" s="925" t="s">
        <v>13459</v>
      </c>
      <c r="I1108" s="925"/>
      <c r="J1108" s="667">
        <v>145.28</v>
      </c>
    </row>
    <row r="1109" spans="1:10" ht="0.95" customHeight="1" thickTop="1">
      <c r="A1109" s="666"/>
      <c r="B1109" s="666"/>
      <c r="C1109" s="666"/>
      <c r="D1109" s="666"/>
      <c r="E1109" s="666"/>
      <c r="F1109" s="666"/>
      <c r="G1109" s="666"/>
      <c r="H1109" s="666"/>
      <c r="I1109" s="666"/>
      <c r="J1109" s="666"/>
    </row>
    <row r="1110" spans="1:10" ht="18" customHeight="1">
      <c r="A1110" s="686" t="s">
        <v>15166</v>
      </c>
      <c r="B1110" s="684" t="s">
        <v>13484</v>
      </c>
      <c r="C1110" s="686" t="s">
        <v>13483</v>
      </c>
      <c r="D1110" s="686" t="s">
        <v>13482</v>
      </c>
      <c r="E1110" s="924" t="s">
        <v>13481</v>
      </c>
      <c r="F1110" s="924"/>
      <c r="G1110" s="685" t="s">
        <v>13480</v>
      </c>
      <c r="H1110" s="684" t="s">
        <v>13479</v>
      </c>
      <c r="I1110" s="684" t="s">
        <v>13478</v>
      </c>
      <c r="J1110" s="684" t="s">
        <v>13477</v>
      </c>
    </row>
    <row r="1111" spans="1:10" ht="48" customHeight="1">
      <c r="A1111" s="682" t="s">
        <v>13476</v>
      </c>
      <c r="B1111" s="683" t="s">
        <v>15165</v>
      </c>
      <c r="C1111" s="682" t="s">
        <v>7</v>
      </c>
      <c r="D1111" s="682" t="s">
        <v>3722</v>
      </c>
      <c r="E1111" s="917" t="s">
        <v>15000</v>
      </c>
      <c r="F1111" s="917"/>
      <c r="G1111" s="681" t="s">
        <v>14</v>
      </c>
      <c r="H1111" s="680">
        <v>1</v>
      </c>
      <c r="I1111" s="679">
        <v>61.58</v>
      </c>
      <c r="J1111" s="679">
        <v>61.58</v>
      </c>
    </row>
    <row r="1112" spans="1:10" ht="36" customHeight="1">
      <c r="A1112" s="677" t="s">
        <v>13472</v>
      </c>
      <c r="B1112" s="678" t="s">
        <v>13707</v>
      </c>
      <c r="C1112" s="677" t="s">
        <v>7</v>
      </c>
      <c r="D1112" s="677" t="s">
        <v>2296</v>
      </c>
      <c r="E1112" s="918" t="s">
        <v>13491</v>
      </c>
      <c r="F1112" s="918"/>
      <c r="G1112" s="676" t="s">
        <v>38</v>
      </c>
      <c r="H1112" s="675">
        <v>2.5000000000000001E-2</v>
      </c>
      <c r="I1112" s="674">
        <v>15.49</v>
      </c>
      <c r="J1112" s="674">
        <v>0.38</v>
      </c>
    </row>
    <row r="1113" spans="1:10" ht="36" customHeight="1">
      <c r="A1113" s="677" t="s">
        <v>13472</v>
      </c>
      <c r="B1113" s="678" t="s">
        <v>13708</v>
      </c>
      <c r="C1113" s="677" t="s">
        <v>7</v>
      </c>
      <c r="D1113" s="677" t="s">
        <v>2297</v>
      </c>
      <c r="E1113" s="918" t="s">
        <v>13491</v>
      </c>
      <c r="F1113" s="918"/>
      <c r="G1113" s="676" t="s">
        <v>53</v>
      </c>
      <c r="H1113" s="675">
        <v>0.127</v>
      </c>
      <c r="I1113" s="674">
        <v>3.97</v>
      </c>
      <c r="J1113" s="674">
        <v>0.5</v>
      </c>
    </row>
    <row r="1114" spans="1:10" ht="24" customHeight="1">
      <c r="A1114" s="677" t="s">
        <v>13472</v>
      </c>
      <c r="B1114" s="678" t="s">
        <v>14115</v>
      </c>
      <c r="C1114" s="677" t="s">
        <v>7</v>
      </c>
      <c r="D1114" s="677" t="s">
        <v>4423</v>
      </c>
      <c r="E1114" s="918" t="s">
        <v>13470</v>
      </c>
      <c r="F1114" s="918"/>
      <c r="G1114" s="676" t="s">
        <v>13515</v>
      </c>
      <c r="H1114" s="675">
        <v>4.0000000000000001E-3</v>
      </c>
      <c r="I1114" s="674">
        <v>451.29</v>
      </c>
      <c r="J1114" s="674">
        <v>1.8</v>
      </c>
    </row>
    <row r="1115" spans="1:10" ht="24" customHeight="1">
      <c r="A1115" s="677" t="s">
        <v>13472</v>
      </c>
      <c r="B1115" s="678" t="s">
        <v>14101</v>
      </c>
      <c r="C1115" s="677" t="s">
        <v>7</v>
      </c>
      <c r="D1115" s="677" t="s">
        <v>124</v>
      </c>
      <c r="E1115" s="918" t="s">
        <v>13470</v>
      </c>
      <c r="F1115" s="918"/>
      <c r="G1115" s="676" t="s">
        <v>19</v>
      </c>
      <c r="H1115" s="675">
        <v>0.152</v>
      </c>
      <c r="I1115" s="674">
        <v>16.98</v>
      </c>
      <c r="J1115" s="674">
        <v>2.58</v>
      </c>
    </row>
    <row r="1116" spans="1:10" ht="24" customHeight="1">
      <c r="A1116" s="677" t="s">
        <v>13472</v>
      </c>
      <c r="B1116" s="678" t="s">
        <v>13600</v>
      </c>
      <c r="C1116" s="677" t="s">
        <v>7</v>
      </c>
      <c r="D1116" s="677" t="s">
        <v>41</v>
      </c>
      <c r="E1116" s="918" t="s">
        <v>13470</v>
      </c>
      <c r="F1116" s="918"/>
      <c r="G1116" s="676" t="s">
        <v>19</v>
      </c>
      <c r="H1116" s="675">
        <v>0.28599999999999998</v>
      </c>
      <c r="I1116" s="674">
        <v>17.670000000000002</v>
      </c>
      <c r="J1116" s="674">
        <v>5.05</v>
      </c>
    </row>
    <row r="1117" spans="1:10" ht="24" customHeight="1">
      <c r="A1117" s="677" t="s">
        <v>13472</v>
      </c>
      <c r="B1117" s="678" t="s">
        <v>13471</v>
      </c>
      <c r="C1117" s="677" t="s">
        <v>7</v>
      </c>
      <c r="D1117" s="677" t="s">
        <v>21</v>
      </c>
      <c r="E1117" s="918" t="s">
        <v>13470</v>
      </c>
      <c r="F1117" s="918"/>
      <c r="G1117" s="676" t="s">
        <v>19</v>
      </c>
      <c r="H1117" s="675">
        <v>0.57299999999999995</v>
      </c>
      <c r="I1117" s="674">
        <v>14.02</v>
      </c>
      <c r="J1117" s="674">
        <v>8.0299999999999994</v>
      </c>
    </row>
    <row r="1118" spans="1:10" ht="24" customHeight="1">
      <c r="A1118" s="672" t="s">
        <v>13467</v>
      </c>
      <c r="B1118" s="673" t="s">
        <v>13608</v>
      </c>
      <c r="C1118" s="672" t="s">
        <v>7</v>
      </c>
      <c r="D1118" s="672" t="s">
        <v>13607</v>
      </c>
      <c r="E1118" s="919" t="s">
        <v>13464</v>
      </c>
      <c r="F1118" s="919"/>
      <c r="G1118" s="671" t="s">
        <v>13515</v>
      </c>
      <c r="H1118" s="670">
        <v>0.02</v>
      </c>
      <c r="I1118" s="669">
        <v>74.59</v>
      </c>
      <c r="J1118" s="669">
        <v>1.49</v>
      </c>
    </row>
    <row r="1119" spans="1:10" ht="36" customHeight="1">
      <c r="A1119" s="672" t="s">
        <v>13467</v>
      </c>
      <c r="B1119" s="673" t="s">
        <v>13850</v>
      </c>
      <c r="C1119" s="672" t="s">
        <v>7</v>
      </c>
      <c r="D1119" s="672" t="s">
        <v>13849</v>
      </c>
      <c r="E1119" s="919" t="s">
        <v>13464</v>
      </c>
      <c r="F1119" s="919"/>
      <c r="G1119" s="671" t="s">
        <v>13515</v>
      </c>
      <c r="H1119" s="670">
        <v>0.1</v>
      </c>
      <c r="I1119" s="669">
        <v>417.5</v>
      </c>
      <c r="J1119" s="669">
        <v>41.75</v>
      </c>
    </row>
    <row r="1120" spans="1:10" ht="25.5">
      <c r="A1120" s="668"/>
      <c r="B1120" s="668"/>
      <c r="C1120" s="668"/>
      <c r="D1120" s="668"/>
      <c r="E1120" s="668" t="s">
        <v>13463</v>
      </c>
      <c r="F1120" s="667">
        <v>6.6391394110616107</v>
      </c>
      <c r="G1120" s="668" t="s">
        <v>13462</v>
      </c>
      <c r="H1120" s="667">
        <v>5.58</v>
      </c>
      <c r="I1120" s="668" t="s">
        <v>13461</v>
      </c>
      <c r="J1120" s="667">
        <v>12.22</v>
      </c>
    </row>
    <row r="1121" spans="1:10" ht="15" thickBot="1">
      <c r="A1121" s="668"/>
      <c r="B1121" s="668"/>
      <c r="C1121" s="668"/>
      <c r="D1121" s="668"/>
      <c r="E1121" s="668" t="s">
        <v>13460</v>
      </c>
      <c r="F1121" s="667">
        <v>17.39</v>
      </c>
      <c r="G1121" s="668"/>
      <c r="H1121" s="925" t="s">
        <v>13459</v>
      </c>
      <c r="I1121" s="925"/>
      <c r="J1121" s="667">
        <v>78.97</v>
      </c>
    </row>
    <row r="1122" spans="1:10" ht="0.95" customHeight="1" thickTop="1">
      <c r="A1122" s="666"/>
      <c r="B1122" s="666"/>
      <c r="C1122" s="666"/>
      <c r="D1122" s="666"/>
      <c r="E1122" s="666"/>
      <c r="F1122" s="666"/>
      <c r="G1122" s="666"/>
      <c r="H1122" s="666"/>
      <c r="I1122" s="666"/>
      <c r="J1122" s="666"/>
    </row>
    <row r="1123" spans="1:10" ht="18" customHeight="1">
      <c r="A1123" s="686" t="s">
        <v>15164</v>
      </c>
      <c r="B1123" s="684" t="s">
        <v>13484</v>
      </c>
      <c r="C1123" s="686" t="s">
        <v>13483</v>
      </c>
      <c r="D1123" s="686" t="s">
        <v>13482</v>
      </c>
      <c r="E1123" s="924" t="s">
        <v>13481</v>
      </c>
      <c r="F1123" s="924"/>
      <c r="G1123" s="685" t="s">
        <v>13480</v>
      </c>
      <c r="H1123" s="684" t="s">
        <v>13479</v>
      </c>
      <c r="I1123" s="684" t="s">
        <v>13478</v>
      </c>
      <c r="J1123" s="684" t="s">
        <v>13477</v>
      </c>
    </row>
    <row r="1124" spans="1:10" ht="24" customHeight="1">
      <c r="A1124" s="682" t="s">
        <v>13476</v>
      </c>
      <c r="B1124" s="683" t="s">
        <v>15163</v>
      </c>
      <c r="C1124" s="682" t="s">
        <v>7</v>
      </c>
      <c r="D1124" s="682" t="s">
        <v>7113</v>
      </c>
      <c r="E1124" s="917" t="s">
        <v>14130</v>
      </c>
      <c r="F1124" s="917"/>
      <c r="G1124" s="681" t="s">
        <v>13610</v>
      </c>
      <c r="H1124" s="680">
        <v>1</v>
      </c>
      <c r="I1124" s="679">
        <v>2.31</v>
      </c>
      <c r="J1124" s="679">
        <v>2.31</v>
      </c>
    </row>
    <row r="1125" spans="1:10" ht="36" customHeight="1">
      <c r="A1125" s="677" t="s">
        <v>13472</v>
      </c>
      <c r="B1125" s="678" t="s">
        <v>13618</v>
      </c>
      <c r="C1125" s="677" t="s">
        <v>7</v>
      </c>
      <c r="D1125" s="677" t="s">
        <v>2716</v>
      </c>
      <c r="E1125" s="918" t="s">
        <v>13491</v>
      </c>
      <c r="F1125" s="918"/>
      <c r="G1125" s="676" t="s">
        <v>38</v>
      </c>
      <c r="H1125" s="675">
        <v>1.1900000000000001E-2</v>
      </c>
      <c r="I1125" s="674">
        <v>2.9</v>
      </c>
      <c r="J1125" s="674">
        <v>0.03</v>
      </c>
    </row>
    <row r="1126" spans="1:10" ht="36" customHeight="1">
      <c r="A1126" s="677" t="s">
        <v>13472</v>
      </c>
      <c r="B1126" s="678" t="s">
        <v>13619</v>
      </c>
      <c r="C1126" s="677" t="s">
        <v>7</v>
      </c>
      <c r="D1126" s="677" t="s">
        <v>2717</v>
      </c>
      <c r="E1126" s="918" t="s">
        <v>13491</v>
      </c>
      <c r="F1126" s="918"/>
      <c r="G1126" s="676" t="s">
        <v>53</v>
      </c>
      <c r="H1126" s="675">
        <v>8.4099999999999994E-2</v>
      </c>
      <c r="I1126" s="674">
        <v>0.45</v>
      </c>
      <c r="J1126" s="674">
        <v>0.03</v>
      </c>
    </row>
    <row r="1127" spans="1:10" ht="24" customHeight="1">
      <c r="A1127" s="677" t="s">
        <v>13472</v>
      </c>
      <c r="B1127" s="678" t="s">
        <v>13600</v>
      </c>
      <c r="C1127" s="677" t="s">
        <v>7</v>
      </c>
      <c r="D1127" s="677" t="s">
        <v>41</v>
      </c>
      <c r="E1127" s="918" t="s">
        <v>13470</v>
      </c>
      <c r="F1127" s="918"/>
      <c r="G1127" s="676" t="s">
        <v>19</v>
      </c>
      <c r="H1127" s="675">
        <v>9.6000000000000002E-2</v>
      </c>
      <c r="I1127" s="674">
        <v>17.670000000000002</v>
      </c>
      <c r="J1127" s="674">
        <v>1.69</v>
      </c>
    </row>
    <row r="1128" spans="1:10" ht="24" customHeight="1">
      <c r="A1128" s="677" t="s">
        <v>13472</v>
      </c>
      <c r="B1128" s="678" t="s">
        <v>13471</v>
      </c>
      <c r="C1128" s="677" t="s">
        <v>7</v>
      </c>
      <c r="D1128" s="677" t="s">
        <v>21</v>
      </c>
      <c r="E1128" s="918" t="s">
        <v>13470</v>
      </c>
      <c r="F1128" s="918"/>
      <c r="G1128" s="676" t="s">
        <v>19</v>
      </c>
      <c r="H1128" s="675">
        <v>0.04</v>
      </c>
      <c r="I1128" s="674">
        <v>14.02</v>
      </c>
      <c r="J1128" s="674">
        <v>0.56000000000000005</v>
      </c>
    </row>
    <row r="1129" spans="1:10" ht="25.5">
      <c r="A1129" s="668"/>
      <c r="B1129" s="668"/>
      <c r="C1129" s="668"/>
      <c r="D1129" s="668"/>
      <c r="E1129" s="668" t="s">
        <v>13463</v>
      </c>
      <c r="F1129" s="667">
        <v>0.94534390959469738</v>
      </c>
      <c r="G1129" s="668" t="s">
        <v>13462</v>
      </c>
      <c r="H1129" s="667">
        <v>0.79</v>
      </c>
      <c r="I1129" s="668" t="s">
        <v>13461</v>
      </c>
      <c r="J1129" s="667">
        <v>1.74</v>
      </c>
    </row>
    <row r="1130" spans="1:10" ht="15" thickBot="1">
      <c r="A1130" s="668"/>
      <c r="B1130" s="668"/>
      <c r="C1130" s="668"/>
      <c r="D1130" s="668"/>
      <c r="E1130" s="668" t="s">
        <v>13460</v>
      </c>
      <c r="F1130" s="667">
        <v>0.65</v>
      </c>
      <c r="G1130" s="668"/>
      <c r="H1130" s="925" t="s">
        <v>13459</v>
      </c>
      <c r="I1130" s="925"/>
      <c r="J1130" s="667">
        <v>2.96</v>
      </c>
    </row>
    <row r="1131" spans="1:10" ht="0.95" customHeight="1" thickTop="1">
      <c r="A1131" s="666"/>
      <c r="B1131" s="666"/>
      <c r="C1131" s="666"/>
      <c r="D1131" s="666"/>
      <c r="E1131" s="666"/>
      <c r="F1131" s="666"/>
      <c r="G1131" s="666"/>
      <c r="H1131" s="666"/>
      <c r="I1131" s="666"/>
      <c r="J1131" s="666"/>
    </row>
    <row r="1132" spans="1:10" ht="18" customHeight="1">
      <c r="A1132" s="686" t="s">
        <v>15162</v>
      </c>
      <c r="B1132" s="684" t="s">
        <v>13484</v>
      </c>
      <c r="C1132" s="686" t="s">
        <v>13483</v>
      </c>
      <c r="D1132" s="686" t="s">
        <v>13482</v>
      </c>
      <c r="E1132" s="924" t="s">
        <v>13481</v>
      </c>
      <c r="F1132" s="924"/>
      <c r="G1132" s="685" t="s">
        <v>13480</v>
      </c>
      <c r="H1132" s="684" t="s">
        <v>13479</v>
      </c>
      <c r="I1132" s="684" t="s">
        <v>13478</v>
      </c>
      <c r="J1132" s="684" t="s">
        <v>13477</v>
      </c>
    </row>
    <row r="1133" spans="1:10" ht="24" customHeight="1">
      <c r="A1133" s="682" t="s">
        <v>13476</v>
      </c>
      <c r="B1133" s="683" t="s">
        <v>15161</v>
      </c>
      <c r="C1133" s="682" t="s">
        <v>7</v>
      </c>
      <c r="D1133" s="682" t="s">
        <v>7117</v>
      </c>
      <c r="E1133" s="917" t="s">
        <v>14130</v>
      </c>
      <c r="F1133" s="917"/>
      <c r="G1133" s="681" t="s">
        <v>13610</v>
      </c>
      <c r="H1133" s="680">
        <v>1</v>
      </c>
      <c r="I1133" s="679">
        <v>36.03</v>
      </c>
      <c r="J1133" s="679">
        <v>36.03</v>
      </c>
    </row>
    <row r="1134" spans="1:10" ht="24" customHeight="1">
      <c r="A1134" s="677" t="s">
        <v>13472</v>
      </c>
      <c r="B1134" s="678" t="s">
        <v>13471</v>
      </c>
      <c r="C1134" s="677" t="s">
        <v>7</v>
      </c>
      <c r="D1134" s="677" t="s">
        <v>21</v>
      </c>
      <c r="E1134" s="918" t="s">
        <v>13470</v>
      </c>
      <c r="F1134" s="918"/>
      <c r="G1134" s="676" t="s">
        <v>19</v>
      </c>
      <c r="H1134" s="675">
        <v>0.115</v>
      </c>
      <c r="I1134" s="674">
        <v>14.02</v>
      </c>
      <c r="J1134" s="674">
        <v>1.61</v>
      </c>
    </row>
    <row r="1135" spans="1:10" ht="24" customHeight="1">
      <c r="A1135" s="677" t="s">
        <v>13472</v>
      </c>
      <c r="B1135" s="678" t="s">
        <v>14140</v>
      </c>
      <c r="C1135" s="677" t="s">
        <v>7</v>
      </c>
      <c r="D1135" s="677" t="s">
        <v>169</v>
      </c>
      <c r="E1135" s="918" t="s">
        <v>13470</v>
      </c>
      <c r="F1135" s="918"/>
      <c r="G1135" s="676" t="s">
        <v>19</v>
      </c>
      <c r="H1135" s="675">
        <v>0.27500000000000002</v>
      </c>
      <c r="I1135" s="674">
        <v>18.68</v>
      </c>
      <c r="J1135" s="674">
        <v>5.13</v>
      </c>
    </row>
    <row r="1136" spans="1:10" ht="24" customHeight="1">
      <c r="A1136" s="672" t="s">
        <v>13467</v>
      </c>
      <c r="B1136" s="673" t="s">
        <v>14129</v>
      </c>
      <c r="C1136" s="672" t="s">
        <v>7</v>
      </c>
      <c r="D1136" s="672" t="s">
        <v>14128</v>
      </c>
      <c r="E1136" s="919" t="s">
        <v>13464</v>
      </c>
      <c r="F1136" s="919"/>
      <c r="G1136" s="671" t="s">
        <v>50</v>
      </c>
      <c r="H1136" s="670">
        <v>6.4000000000000001E-2</v>
      </c>
      <c r="I1136" s="669">
        <v>37.97</v>
      </c>
      <c r="J1136" s="669">
        <v>2.4300000000000002</v>
      </c>
    </row>
    <row r="1137" spans="1:10" ht="24" customHeight="1">
      <c r="A1137" s="672" t="s">
        <v>13467</v>
      </c>
      <c r="B1137" s="673" t="s">
        <v>14446</v>
      </c>
      <c r="C1137" s="672" t="s">
        <v>7</v>
      </c>
      <c r="D1137" s="672" t="s">
        <v>14445</v>
      </c>
      <c r="E1137" s="919" t="s">
        <v>13464</v>
      </c>
      <c r="F1137" s="919"/>
      <c r="G1137" s="671" t="s">
        <v>34</v>
      </c>
      <c r="H1137" s="670">
        <v>0.01</v>
      </c>
      <c r="I1137" s="669">
        <v>9.02</v>
      </c>
      <c r="J1137" s="669">
        <v>0.09</v>
      </c>
    </row>
    <row r="1138" spans="1:10" ht="24" customHeight="1">
      <c r="A1138" s="672" t="s">
        <v>13467</v>
      </c>
      <c r="B1138" s="673" t="s">
        <v>14144</v>
      </c>
      <c r="C1138" s="672" t="s">
        <v>7</v>
      </c>
      <c r="D1138" s="672" t="s">
        <v>14143</v>
      </c>
      <c r="E1138" s="919" t="s">
        <v>13464</v>
      </c>
      <c r="F1138" s="919"/>
      <c r="G1138" s="671" t="s">
        <v>14142</v>
      </c>
      <c r="H1138" s="670">
        <v>5.6000000000000001E-2</v>
      </c>
      <c r="I1138" s="669">
        <v>181.64</v>
      </c>
      <c r="J1138" s="669">
        <v>10.17</v>
      </c>
    </row>
    <row r="1139" spans="1:10" ht="24" customHeight="1">
      <c r="A1139" s="672" t="s">
        <v>13467</v>
      </c>
      <c r="B1139" s="673" t="s">
        <v>14127</v>
      </c>
      <c r="C1139" s="672" t="s">
        <v>7</v>
      </c>
      <c r="D1139" s="672" t="s">
        <v>14126</v>
      </c>
      <c r="E1139" s="919" t="s">
        <v>13464</v>
      </c>
      <c r="F1139" s="919"/>
      <c r="G1139" s="671" t="s">
        <v>50</v>
      </c>
      <c r="H1139" s="670">
        <v>0.32200000000000001</v>
      </c>
      <c r="I1139" s="669">
        <v>51.57</v>
      </c>
      <c r="J1139" s="669">
        <v>16.600000000000001</v>
      </c>
    </row>
    <row r="1140" spans="1:10" ht="25.5">
      <c r="A1140" s="668"/>
      <c r="B1140" s="668"/>
      <c r="C1140" s="668"/>
      <c r="D1140" s="668"/>
      <c r="E1140" s="668" t="s">
        <v>13463</v>
      </c>
      <c r="F1140" s="667">
        <v>2.7002064544170379</v>
      </c>
      <c r="G1140" s="668" t="s">
        <v>13462</v>
      </c>
      <c r="H1140" s="667">
        <v>2.27</v>
      </c>
      <c r="I1140" s="668" t="s">
        <v>13461</v>
      </c>
      <c r="J1140" s="667">
        <v>4.97</v>
      </c>
    </row>
    <row r="1141" spans="1:10" ht="15" thickBot="1">
      <c r="A1141" s="668"/>
      <c r="B1141" s="668"/>
      <c r="C1141" s="668"/>
      <c r="D1141" s="668"/>
      <c r="E1141" s="668" t="s">
        <v>13460</v>
      </c>
      <c r="F1141" s="667">
        <v>10.17</v>
      </c>
      <c r="G1141" s="668"/>
      <c r="H1141" s="925" t="s">
        <v>13459</v>
      </c>
      <c r="I1141" s="925"/>
      <c r="J1141" s="667">
        <v>46.2</v>
      </c>
    </row>
    <row r="1142" spans="1:10" ht="0.95" customHeight="1" thickTop="1">
      <c r="A1142" s="666"/>
      <c r="B1142" s="666"/>
      <c r="C1142" s="666"/>
      <c r="D1142" s="666"/>
      <c r="E1142" s="666"/>
      <c r="F1142" s="666"/>
      <c r="G1142" s="666"/>
      <c r="H1142" s="666"/>
      <c r="I1142" s="666"/>
      <c r="J1142" s="666"/>
    </row>
    <row r="1143" spans="1:10" ht="18" customHeight="1">
      <c r="A1143" s="686" t="s">
        <v>15160</v>
      </c>
      <c r="B1143" s="684" t="s">
        <v>13484</v>
      </c>
      <c r="C1143" s="686" t="s">
        <v>13483</v>
      </c>
      <c r="D1143" s="686" t="s">
        <v>13482</v>
      </c>
      <c r="E1143" s="924" t="s">
        <v>13481</v>
      </c>
      <c r="F1143" s="924"/>
      <c r="G1143" s="685" t="s">
        <v>13480</v>
      </c>
      <c r="H1143" s="684" t="s">
        <v>13479</v>
      </c>
      <c r="I1143" s="684" t="s">
        <v>13478</v>
      </c>
      <c r="J1143" s="684" t="s">
        <v>13477</v>
      </c>
    </row>
    <row r="1144" spans="1:10" ht="36" customHeight="1">
      <c r="A1144" s="682" t="s">
        <v>13476</v>
      </c>
      <c r="B1144" s="683" t="s">
        <v>15159</v>
      </c>
      <c r="C1144" s="682" t="s">
        <v>7</v>
      </c>
      <c r="D1144" s="682" t="s">
        <v>7124</v>
      </c>
      <c r="E1144" s="917" t="s">
        <v>14130</v>
      </c>
      <c r="F1144" s="917"/>
      <c r="G1144" s="681" t="s">
        <v>14</v>
      </c>
      <c r="H1144" s="680">
        <v>1</v>
      </c>
      <c r="I1144" s="679">
        <v>6.51</v>
      </c>
      <c r="J1144" s="679">
        <v>6.51</v>
      </c>
    </row>
    <row r="1145" spans="1:10" ht="24" customHeight="1">
      <c r="A1145" s="677" t="s">
        <v>13472</v>
      </c>
      <c r="B1145" s="678" t="s">
        <v>13471</v>
      </c>
      <c r="C1145" s="677" t="s">
        <v>7</v>
      </c>
      <c r="D1145" s="677" t="s">
        <v>21</v>
      </c>
      <c r="E1145" s="918" t="s">
        <v>13470</v>
      </c>
      <c r="F1145" s="918"/>
      <c r="G1145" s="676" t="s">
        <v>19</v>
      </c>
      <c r="H1145" s="675">
        <v>0.1</v>
      </c>
      <c r="I1145" s="674">
        <v>14.02</v>
      </c>
      <c r="J1145" s="674">
        <v>1.4</v>
      </c>
    </row>
    <row r="1146" spans="1:10" ht="24" customHeight="1">
      <c r="A1146" s="677" t="s">
        <v>13472</v>
      </c>
      <c r="B1146" s="678" t="s">
        <v>14140</v>
      </c>
      <c r="C1146" s="677" t="s">
        <v>7</v>
      </c>
      <c r="D1146" s="677" t="s">
        <v>169</v>
      </c>
      <c r="E1146" s="918" t="s">
        <v>13470</v>
      </c>
      <c r="F1146" s="918"/>
      <c r="G1146" s="676" t="s">
        <v>19</v>
      </c>
      <c r="H1146" s="675">
        <v>0.23899999999999999</v>
      </c>
      <c r="I1146" s="674">
        <v>18.68</v>
      </c>
      <c r="J1146" s="674">
        <v>4.46</v>
      </c>
    </row>
    <row r="1147" spans="1:10" ht="24" customHeight="1">
      <c r="A1147" s="672" t="s">
        <v>13467</v>
      </c>
      <c r="B1147" s="673" t="s">
        <v>14446</v>
      </c>
      <c r="C1147" s="672" t="s">
        <v>7</v>
      </c>
      <c r="D1147" s="672" t="s">
        <v>14445</v>
      </c>
      <c r="E1147" s="919" t="s">
        <v>13464</v>
      </c>
      <c r="F1147" s="919"/>
      <c r="G1147" s="671" t="s">
        <v>34</v>
      </c>
      <c r="H1147" s="670">
        <v>0.04</v>
      </c>
      <c r="I1147" s="669">
        <v>9.02</v>
      </c>
      <c r="J1147" s="669">
        <v>0.36</v>
      </c>
    </row>
    <row r="1148" spans="1:10" ht="24" customHeight="1">
      <c r="A1148" s="672" t="s">
        <v>13467</v>
      </c>
      <c r="B1148" s="673" t="s">
        <v>15156</v>
      </c>
      <c r="C1148" s="672" t="s">
        <v>7</v>
      </c>
      <c r="D1148" s="672" t="s">
        <v>15155</v>
      </c>
      <c r="E1148" s="919" t="s">
        <v>13464</v>
      </c>
      <c r="F1148" s="919"/>
      <c r="G1148" s="671" t="s">
        <v>50</v>
      </c>
      <c r="H1148" s="670">
        <v>2.1000000000000001E-2</v>
      </c>
      <c r="I1148" s="669">
        <v>14.15</v>
      </c>
      <c r="J1148" s="669">
        <v>0.28999999999999998</v>
      </c>
    </row>
    <row r="1149" spans="1:10" ht="25.5">
      <c r="A1149" s="668"/>
      <c r="B1149" s="668"/>
      <c r="C1149" s="668"/>
      <c r="D1149" s="668"/>
      <c r="E1149" s="668" t="s">
        <v>13463</v>
      </c>
      <c r="F1149" s="667">
        <v>2.3470607410626969</v>
      </c>
      <c r="G1149" s="668" t="s">
        <v>13462</v>
      </c>
      <c r="H1149" s="667">
        <v>1.97</v>
      </c>
      <c r="I1149" s="668" t="s">
        <v>13461</v>
      </c>
      <c r="J1149" s="667">
        <v>4.32</v>
      </c>
    </row>
    <row r="1150" spans="1:10" ht="15" thickBot="1">
      <c r="A1150" s="668"/>
      <c r="B1150" s="668"/>
      <c r="C1150" s="668"/>
      <c r="D1150" s="668"/>
      <c r="E1150" s="668" t="s">
        <v>13460</v>
      </c>
      <c r="F1150" s="667">
        <v>1.83</v>
      </c>
      <c r="G1150" s="668"/>
      <c r="H1150" s="925" t="s">
        <v>13459</v>
      </c>
      <c r="I1150" s="925"/>
      <c r="J1150" s="667">
        <v>8.34</v>
      </c>
    </row>
    <row r="1151" spans="1:10" ht="0.95" customHeight="1" thickTop="1">
      <c r="A1151" s="666"/>
      <c r="B1151" s="666"/>
      <c r="C1151" s="666"/>
      <c r="D1151" s="666"/>
      <c r="E1151" s="666"/>
      <c r="F1151" s="666"/>
      <c r="G1151" s="666"/>
      <c r="H1151" s="666"/>
      <c r="I1151" s="666"/>
      <c r="J1151" s="666"/>
    </row>
    <row r="1152" spans="1:10" ht="18" customHeight="1">
      <c r="A1152" s="686" t="s">
        <v>15158</v>
      </c>
      <c r="B1152" s="684" t="s">
        <v>13484</v>
      </c>
      <c r="C1152" s="686" t="s">
        <v>13483</v>
      </c>
      <c r="D1152" s="686" t="s">
        <v>13482</v>
      </c>
      <c r="E1152" s="924" t="s">
        <v>13481</v>
      </c>
      <c r="F1152" s="924"/>
      <c r="G1152" s="685" t="s">
        <v>13480</v>
      </c>
      <c r="H1152" s="684" t="s">
        <v>13479</v>
      </c>
      <c r="I1152" s="684" t="s">
        <v>13478</v>
      </c>
      <c r="J1152" s="684" t="s">
        <v>13477</v>
      </c>
    </row>
    <row r="1153" spans="1:10" ht="36" customHeight="1">
      <c r="A1153" s="682" t="s">
        <v>13476</v>
      </c>
      <c r="B1153" s="683" t="s">
        <v>15157</v>
      </c>
      <c r="C1153" s="682" t="s">
        <v>7</v>
      </c>
      <c r="D1153" s="682" t="s">
        <v>7116</v>
      </c>
      <c r="E1153" s="917" t="s">
        <v>14130</v>
      </c>
      <c r="F1153" s="917"/>
      <c r="G1153" s="681" t="s">
        <v>13610</v>
      </c>
      <c r="H1153" s="680">
        <v>1</v>
      </c>
      <c r="I1153" s="679">
        <v>15.73</v>
      </c>
      <c r="J1153" s="679">
        <v>15.73</v>
      </c>
    </row>
    <row r="1154" spans="1:10" ht="24" customHeight="1">
      <c r="A1154" s="677" t="s">
        <v>13472</v>
      </c>
      <c r="B1154" s="678" t="s">
        <v>13471</v>
      </c>
      <c r="C1154" s="677" t="s">
        <v>7</v>
      </c>
      <c r="D1154" s="677" t="s">
        <v>21</v>
      </c>
      <c r="E1154" s="918" t="s">
        <v>13470</v>
      </c>
      <c r="F1154" s="918"/>
      <c r="G1154" s="676" t="s">
        <v>19</v>
      </c>
      <c r="H1154" s="675">
        <v>0.152</v>
      </c>
      <c r="I1154" s="674">
        <v>14.02</v>
      </c>
      <c r="J1154" s="674">
        <v>2.13</v>
      </c>
    </row>
    <row r="1155" spans="1:10" ht="24" customHeight="1">
      <c r="A1155" s="677" t="s">
        <v>13472</v>
      </c>
      <c r="B1155" s="678" t="s">
        <v>14140</v>
      </c>
      <c r="C1155" s="677" t="s">
        <v>7</v>
      </c>
      <c r="D1155" s="677" t="s">
        <v>169</v>
      </c>
      <c r="E1155" s="918" t="s">
        <v>13470</v>
      </c>
      <c r="F1155" s="918"/>
      <c r="G1155" s="676" t="s">
        <v>19</v>
      </c>
      <c r="H1155" s="675">
        <v>0.36499999999999999</v>
      </c>
      <c r="I1155" s="674">
        <v>18.68</v>
      </c>
      <c r="J1155" s="674">
        <v>6.81</v>
      </c>
    </row>
    <row r="1156" spans="1:10" ht="24" customHeight="1">
      <c r="A1156" s="672" t="s">
        <v>13467</v>
      </c>
      <c r="B1156" s="673" t="s">
        <v>14446</v>
      </c>
      <c r="C1156" s="672" t="s">
        <v>7</v>
      </c>
      <c r="D1156" s="672" t="s">
        <v>14445</v>
      </c>
      <c r="E1156" s="919" t="s">
        <v>13464</v>
      </c>
      <c r="F1156" s="919"/>
      <c r="G1156" s="671" t="s">
        <v>34</v>
      </c>
      <c r="H1156" s="670">
        <v>0.01</v>
      </c>
      <c r="I1156" s="669">
        <v>9.02</v>
      </c>
      <c r="J1156" s="669">
        <v>0.09</v>
      </c>
    </row>
    <row r="1157" spans="1:10" ht="24" customHeight="1">
      <c r="A1157" s="672" t="s">
        <v>13467</v>
      </c>
      <c r="B1157" s="673" t="s">
        <v>14442</v>
      </c>
      <c r="C1157" s="672" t="s">
        <v>7</v>
      </c>
      <c r="D1157" s="672" t="s">
        <v>14441</v>
      </c>
      <c r="E1157" s="919" t="s">
        <v>13464</v>
      </c>
      <c r="F1157" s="919"/>
      <c r="G1157" s="671" t="s">
        <v>50</v>
      </c>
      <c r="H1157" s="670">
        <v>0.16</v>
      </c>
      <c r="I1157" s="669">
        <v>4.17</v>
      </c>
      <c r="J1157" s="669">
        <v>0.66</v>
      </c>
    </row>
    <row r="1158" spans="1:10" ht="24" customHeight="1">
      <c r="A1158" s="672" t="s">
        <v>13467</v>
      </c>
      <c r="B1158" s="673" t="s">
        <v>15156</v>
      </c>
      <c r="C1158" s="672" t="s">
        <v>7</v>
      </c>
      <c r="D1158" s="672" t="s">
        <v>15155</v>
      </c>
      <c r="E1158" s="919" t="s">
        <v>13464</v>
      </c>
      <c r="F1158" s="919"/>
      <c r="G1158" s="671" t="s">
        <v>50</v>
      </c>
      <c r="H1158" s="670">
        <v>0.42699999999999999</v>
      </c>
      <c r="I1158" s="669">
        <v>14.15</v>
      </c>
      <c r="J1158" s="669">
        <v>6.04</v>
      </c>
    </row>
    <row r="1159" spans="1:10" ht="25.5">
      <c r="A1159" s="668"/>
      <c r="B1159" s="668"/>
      <c r="C1159" s="668"/>
      <c r="D1159" s="668"/>
      <c r="E1159" s="668" t="s">
        <v>13463</v>
      </c>
      <c r="F1159" s="667">
        <v>3.5803542323155493</v>
      </c>
      <c r="G1159" s="668" t="s">
        <v>13462</v>
      </c>
      <c r="H1159" s="667">
        <v>3.01</v>
      </c>
      <c r="I1159" s="668" t="s">
        <v>13461</v>
      </c>
      <c r="J1159" s="667">
        <v>6.59</v>
      </c>
    </row>
    <row r="1160" spans="1:10" ht="15" thickBot="1">
      <c r="A1160" s="668"/>
      <c r="B1160" s="668"/>
      <c r="C1160" s="668"/>
      <c r="D1160" s="668"/>
      <c r="E1160" s="668" t="s">
        <v>13460</v>
      </c>
      <c r="F1160" s="667">
        <v>4.4400000000000004</v>
      </c>
      <c r="G1160" s="668"/>
      <c r="H1160" s="925" t="s">
        <v>13459</v>
      </c>
      <c r="I1160" s="925"/>
      <c r="J1160" s="667">
        <v>20.170000000000002</v>
      </c>
    </row>
    <row r="1161" spans="1:10" ht="0.95" customHeight="1" thickTop="1">
      <c r="A1161" s="666"/>
      <c r="B1161" s="666"/>
      <c r="C1161" s="666"/>
      <c r="D1161" s="666"/>
      <c r="E1161" s="666"/>
      <c r="F1161" s="666"/>
      <c r="G1161" s="666"/>
      <c r="H1161" s="666"/>
      <c r="I1161" s="666"/>
      <c r="J1161" s="666"/>
    </row>
    <row r="1162" spans="1:10" ht="18" customHeight="1">
      <c r="A1162" s="686" t="s">
        <v>15154</v>
      </c>
      <c r="B1162" s="684" t="s">
        <v>13484</v>
      </c>
      <c r="C1162" s="686" t="s">
        <v>13483</v>
      </c>
      <c r="D1162" s="686" t="s">
        <v>13482</v>
      </c>
      <c r="E1162" s="924" t="s">
        <v>13481</v>
      </c>
      <c r="F1162" s="924"/>
      <c r="G1162" s="685" t="s">
        <v>13480</v>
      </c>
      <c r="H1162" s="684" t="s">
        <v>13479</v>
      </c>
      <c r="I1162" s="684" t="s">
        <v>13478</v>
      </c>
      <c r="J1162" s="684" t="s">
        <v>13477</v>
      </c>
    </row>
    <row r="1163" spans="1:10" ht="24" customHeight="1">
      <c r="A1163" s="682" t="s">
        <v>13476</v>
      </c>
      <c r="B1163" s="683" t="s">
        <v>15153</v>
      </c>
      <c r="C1163" s="682" t="s">
        <v>7</v>
      </c>
      <c r="D1163" s="682" t="s">
        <v>37</v>
      </c>
      <c r="E1163" s="917" t="s">
        <v>14130</v>
      </c>
      <c r="F1163" s="917"/>
      <c r="G1163" s="681" t="s">
        <v>13610</v>
      </c>
      <c r="H1163" s="680">
        <v>1</v>
      </c>
      <c r="I1163" s="679">
        <v>1.57</v>
      </c>
      <c r="J1163" s="679">
        <v>1.57</v>
      </c>
    </row>
    <row r="1164" spans="1:10" ht="24" customHeight="1">
      <c r="A1164" s="677" t="s">
        <v>13472</v>
      </c>
      <c r="B1164" s="678" t="s">
        <v>14140</v>
      </c>
      <c r="C1164" s="677" t="s">
        <v>7</v>
      </c>
      <c r="D1164" s="677" t="s">
        <v>169</v>
      </c>
      <c r="E1164" s="918" t="s">
        <v>13470</v>
      </c>
      <c r="F1164" s="918"/>
      <c r="G1164" s="676" t="s">
        <v>19</v>
      </c>
      <c r="H1164" s="675">
        <v>3.9E-2</v>
      </c>
      <c r="I1164" s="674">
        <v>18.68</v>
      </c>
      <c r="J1164" s="674">
        <v>0.72</v>
      </c>
    </row>
    <row r="1165" spans="1:10" ht="24" customHeight="1">
      <c r="A1165" s="677" t="s">
        <v>13472</v>
      </c>
      <c r="B1165" s="678" t="s">
        <v>13471</v>
      </c>
      <c r="C1165" s="677" t="s">
        <v>7</v>
      </c>
      <c r="D1165" s="677" t="s">
        <v>21</v>
      </c>
      <c r="E1165" s="918" t="s">
        <v>13470</v>
      </c>
      <c r="F1165" s="918"/>
      <c r="G1165" s="676" t="s">
        <v>19</v>
      </c>
      <c r="H1165" s="675">
        <v>1.4E-2</v>
      </c>
      <c r="I1165" s="674">
        <v>14.02</v>
      </c>
      <c r="J1165" s="674">
        <v>0.19</v>
      </c>
    </row>
    <row r="1166" spans="1:10" ht="24" customHeight="1">
      <c r="A1166" s="672" t="s">
        <v>13467</v>
      </c>
      <c r="B1166" s="673" t="s">
        <v>14442</v>
      </c>
      <c r="C1166" s="672" t="s">
        <v>7</v>
      </c>
      <c r="D1166" s="672" t="s">
        <v>14441</v>
      </c>
      <c r="E1166" s="919" t="s">
        <v>13464</v>
      </c>
      <c r="F1166" s="919"/>
      <c r="G1166" s="671" t="s">
        <v>50</v>
      </c>
      <c r="H1166" s="670">
        <v>0.16</v>
      </c>
      <c r="I1166" s="669">
        <v>4.17</v>
      </c>
      <c r="J1166" s="669">
        <v>0.66</v>
      </c>
    </row>
    <row r="1167" spans="1:10" ht="25.5">
      <c r="A1167" s="668"/>
      <c r="B1167" s="668"/>
      <c r="C1167" s="668"/>
      <c r="D1167" s="668"/>
      <c r="E1167" s="668" t="s">
        <v>13463</v>
      </c>
      <c r="F1167" s="667">
        <v>0.36401173530370529</v>
      </c>
      <c r="G1167" s="668" t="s">
        <v>13462</v>
      </c>
      <c r="H1167" s="667">
        <v>0.31</v>
      </c>
      <c r="I1167" s="668" t="s">
        <v>13461</v>
      </c>
      <c r="J1167" s="667">
        <v>0.67</v>
      </c>
    </row>
    <row r="1168" spans="1:10" ht="15" thickBot="1">
      <c r="A1168" s="668"/>
      <c r="B1168" s="668"/>
      <c r="C1168" s="668"/>
      <c r="D1168" s="668"/>
      <c r="E1168" s="668" t="s">
        <v>13460</v>
      </c>
      <c r="F1168" s="667">
        <v>0.44</v>
      </c>
      <c r="G1168" s="668"/>
      <c r="H1168" s="925" t="s">
        <v>13459</v>
      </c>
      <c r="I1168" s="925"/>
      <c r="J1168" s="667">
        <v>2.0099999999999998</v>
      </c>
    </row>
    <row r="1169" spans="1:10" ht="0.95" customHeight="1" thickTop="1">
      <c r="A1169" s="666"/>
      <c r="B1169" s="666"/>
      <c r="C1169" s="666"/>
      <c r="D1169" s="666"/>
      <c r="E1169" s="666"/>
      <c r="F1169" s="666"/>
      <c r="G1169" s="666"/>
      <c r="H1169" s="666"/>
      <c r="I1169" s="666"/>
      <c r="J1169" s="666"/>
    </row>
    <row r="1170" spans="1:10" ht="18" customHeight="1">
      <c r="A1170" s="686" t="s">
        <v>15152</v>
      </c>
      <c r="B1170" s="684" t="s">
        <v>13484</v>
      </c>
      <c r="C1170" s="686" t="s">
        <v>13483</v>
      </c>
      <c r="D1170" s="686" t="s">
        <v>13482</v>
      </c>
      <c r="E1170" s="924" t="s">
        <v>13481</v>
      </c>
      <c r="F1170" s="924"/>
      <c r="G1170" s="685" t="s">
        <v>13480</v>
      </c>
      <c r="H1170" s="684" t="s">
        <v>13479</v>
      </c>
      <c r="I1170" s="684" t="s">
        <v>13478</v>
      </c>
      <c r="J1170" s="684" t="s">
        <v>13477</v>
      </c>
    </row>
    <row r="1171" spans="1:10" ht="24" customHeight="1">
      <c r="A1171" s="682" t="s">
        <v>13476</v>
      </c>
      <c r="B1171" s="683" t="s">
        <v>15151</v>
      </c>
      <c r="C1171" s="682" t="s">
        <v>7</v>
      </c>
      <c r="D1171" s="682" t="s">
        <v>3008</v>
      </c>
      <c r="E1171" s="917" t="s">
        <v>14130</v>
      </c>
      <c r="F1171" s="917"/>
      <c r="G1171" s="681" t="s">
        <v>13610</v>
      </c>
      <c r="H1171" s="680">
        <v>1</v>
      </c>
      <c r="I1171" s="679">
        <v>20.54</v>
      </c>
      <c r="J1171" s="679">
        <v>20.54</v>
      </c>
    </row>
    <row r="1172" spans="1:10" ht="24" customHeight="1">
      <c r="A1172" s="677" t="s">
        <v>13472</v>
      </c>
      <c r="B1172" s="678" t="s">
        <v>14140</v>
      </c>
      <c r="C1172" s="677" t="s">
        <v>7</v>
      </c>
      <c r="D1172" s="677" t="s">
        <v>169</v>
      </c>
      <c r="E1172" s="918" t="s">
        <v>13470</v>
      </c>
      <c r="F1172" s="918"/>
      <c r="G1172" s="676" t="s">
        <v>19</v>
      </c>
      <c r="H1172" s="675">
        <v>0.57099999999999995</v>
      </c>
      <c r="I1172" s="674">
        <v>18.68</v>
      </c>
      <c r="J1172" s="674">
        <v>10.66</v>
      </c>
    </row>
    <row r="1173" spans="1:10" ht="24" customHeight="1">
      <c r="A1173" s="677" t="s">
        <v>13472</v>
      </c>
      <c r="B1173" s="678" t="s">
        <v>13471</v>
      </c>
      <c r="C1173" s="677" t="s">
        <v>7</v>
      </c>
      <c r="D1173" s="677" t="s">
        <v>21</v>
      </c>
      <c r="E1173" s="918" t="s">
        <v>13470</v>
      </c>
      <c r="F1173" s="918"/>
      <c r="G1173" s="676" t="s">
        <v>19</v>
      </c>
      <c r="H1173" s="675">
        <v>0.14299999999999999</v>
      </c>
      <c r="I1173" s="674">
        <v>14.02</v>
      </c>
      <c r="J1173" s="674">
        <v>2</v>
      </c>
    </row>
    <row r="1174" spans="1:10" ht="24" customHeight="1">
      <c r="A1174" s="672" t="s">
        <v>13467</v>
      </c>
      <c r="B1174" s="673" t="s">
        <v>15150</v>
      </c>
      <c r="C1174" s="672" t="s">
        <v>7</v>
      </c>
      <c r="D1174" s="672" t="s">
        <v>15149</v>
      </c>
      <c r="E1174" s="919" t="s">
        <v>13464</v>
      </c>
      <c r="F1174" s="919"/>
      <c r="G1174" s="671" t="s">
        <v>14142</v>
      </c>
      <c r="H1174" s="670">
        <v>0.24399999999999999</v>
      </c>
      <c r="I1174" s="669">
        <v>32.03</v>
      </c>
      <c r="J1174" s="669">
        <v>7.81</v>
      </c>
    </row>
    <row r="1175" spans="1:10" ht="24" customHeight="1">
      <c r="A1175" s="672" t="s">
        <v>13467</v>
      </c>
      <c r="B1175" s="673" t="s">
        <v>14444</v>
      </c>
      <c r="C1175" s="672" t="s">
        <v>7</v>
      </c>
      <c r="D1175" s="672" t="s">
        <v>14443</v>
      </c>
      <c r="E1175" s="919" t="s">
        <v>13464</v>
      </c>
      <c r="F1175" s="919"/>
      <c r="G1175" s="671" t="s">
        <v>34</v>
      </c>
      <c r="H1175" s="670">
        <v>0.1</v>
      </c>
      <c r="I1175" s="669">
        <v>0.7</v>
      </c>
      <c r="J1175" s="669">
        <v>7.0000000000000007E-2</v>
      </c>
    </row>
    <row r="1176" spans="1:10" ht="25.5">
      <c r="A1176" s="668"/>
      <c r="B1176" s="668"/>
      <c r="C1176" s="668"/>
      <c r="D1176" s="668"/>
      <c r="E1176" s="668" t="s">
        <v>13463</v>
      </c>
      <c r="F1176" s="667">
        <v>5.074432250353146</v>
      </c>
      <c r="G1176" s="668" t="s">
        <v>13462</v>
      </c>
      <c r="H1176" s="667">
        <v>4.2699999999999996</v>
      </c>
      <c r="I1176" s="668" t="s">
        <v>13461</v>
      </c>
      <c r="J1176" s="667">
        <v>9.34</v>
      </c>
    </row>
    <row r="1177" spans="1:10" ht="15" thickBot="1">
      <c r="A1177" s="668"/>
      <c r="B1177" s="668"/>
      <c r="C1177" s="668"/>
      <c r="D1177" s="668"/>
      <c r="E1177" s="668" t="s">
        <v>13460</v>
      </c>
      <c r="F1177" s="667">
        <v>5.8</v>
      </c>
      <c r="G1177" s="668"/>
      <c r="H1177" s="925" t="s">
        <v>13459</v>
      </c>
      <c r="I1177" s="925"/>
      <c r="J1177" s="667">
        <v>26.34</v>
      </c>
    </row>
    <row r="1178" spans="1:10" ht="0.95" customHeight="1" thickTop="1">
      <c r="A1178" s="666"/>
      <c r="B1178" s="666"/>
      <c r="C1178" s="666"/>
      <c r="D1178" s="666"/>
      <c r="E1178" s="666"/>
      <c r="F1178" s="666"/>
      <c r="G1178" s="666"/>
      <c r="H1178" s="666"/>
      <c r="I1178" s="666"/>
      <c r="J1178" s="666"/>
    </row>
    <row r="1179" spans="1:10" ht="18" customHeight="1">
      <c r="A1179" s="686" t="s">
        <v>15148</v>
      </c>
      <c r="B1179" s="684" t="s">
        <v>13484</v>
      </c>
      <c r="C1179" s="686" t="s">
        <v>13483</v>
      </c>
      <c r="D1179" s="686" t="s">
        <v>13482</v>
      </c>
      <c r="E1179" s="924" t="s">
        <v>13481</v>
      </c>
      <c r="F1179" s="924"/>
      <c r="G1179" s="685" t="s">
        <v>13480</v>
      </c>
      <c r="H1179" s="684" t="s">
        <v>13479</v>
      </c>
      <c r="I1179" s="684" t="s">
        <v>13478</v>
      </c>
      <c r="J1179" s="684" t="s">
        <v>13477</v>
      </c>
    </row>
    <row r="1180" spans="1:10" ht="24" customHeight="1">
      <c r="A1180" s="682" t="s">
        <v>13476</v>
      </c>
      <c r="B1180" s="683" t="s">
        <v>15147</v>
      </c>
      <c r="C1180" s="682" t="s">
        <v>7</v>
      </c>
      <c r="D1180" s="682" t="s">
        <v>1134</v>
      </c>
      <c r="E1180" s="917" t="s">
        <v>14130</v>
      </c>
      <c r="F1180" s="917"/>
      <c r="G1180" s="681" t="s">
        <v>13610</v>
      </c>
      <c r="H1180" s="680">
        <v>1</v>
      </c>
      <c r="I1180" s="679">
        <v>12.78</v>
      </c>
      <c r="J1180" s="679">
        <v>12.78</v>
      </c>
    </row>
    <row r="1181" spans="1:10" ht="24" customHeight="1">
      <c r="A1181" s="677" t="s">
        <v>13472</v>
      </c>
      <c r="B1181" s="678" t="s">
        <v>14140</v>
      </c>
      <c r="C1181" s="677" t="s">
        <v>7</v>
      </c>
      <c r="D1181" s="677" t="s">
        <v>169</v>
      </c>
      <c r="E1181" s="918" t="s">
        <v>13470</v>
      </c>
      <c r="F1181" s="918"/>
      <c r="G1181" s="676" t="s">
        <v>19</v>
      </c>
      <c r="H1181" s="675">
        <v>0.24399999999999999</v>
      </c>
      <c r="I1181" s="674">
        <v>18.68</v>
      </c>
      <c r="J1181" s="674">
        <v>4.55</v>
      </c>
    </row>
    <row r="1182" spans="1:10" ht="24" customHeight="1">
      <c r="A1182" s="677" t="s">
        <v>13472</v>
      </c>
      <c r="B1182" s="678" t="s">
        <v>13471</v>
      </c>
      <c r="C1182" s="677" t="s">
        <v>7</v>
      </c>
      <c r="D1182" s="677" t="s">
        <v>21</v>
      </c>
      <c r="E1182" s="918" t="s">
        <v>13470</v>
      </c>
      <c r="F1182" s="918"/>
      <c r="G1182" s="676" t="s">
        <v>19</v>
      </c>
      <c r="H1182" s="675">
        <v>8.8999999999999996E-2</v>
      </c>
      <c r="I1182" s="674">
        <v>14.02</v>
      </c>
      <c r="J1182" s="674">
        <v>1.24</v>
      </c>
    </row>
    <row r="1183" spans="1:10" ht="24" customHeight="1">
      <c r="A1183" s="672" t="s">
        <v>13467</v>
      </c>
      <c r="B1183" s="673" t="s">
        <v>14147</v>
      </c>
      <c r="C1183" s="672" t="s">
        <v>7</v>
      </c>
      <c r="D1183" s="672" t="s">
        <v>14146</v>
      </c>
      <c r="E1183" s="919" t="s">
        <v>13464</v>
      </c>
      <c r="F1183" s="919"/>
      <c r="G1183" s="671" t="s">
        <v>50</v>
      </c>
      <c r="H1183" s="670">
        <v>0.33</v>
      </c>
      <c r="I1183" s="669">
        <v>21.21</v>
      </c>
      <c r="J1183" s="669">
        <v>6.99</v>
      </c>
    </row>
    <row r="1184" spans="1:10" ht="25.5">
      <c r="A1184" s="668"/>
      <c r="B1184" s="668"/>
      <c r="C1184" s="668"/>
      <c r="D1184" s="668"/>
      <c r="E1184" s="668" t="s">
        <v>13463</v>
      </c>
      <c r="F1184" s="667">
        <v>2.3198956861892861</v>
      </c>
      <c r="G1184" s="668" t="s">
        <v>13462</v>
      </c>
      <c r="H1184" s="667">
        <v>1.95</v>
      </c>
      <c r="I1184" s="668" t="s">
        <v>13461</v>
      </c>
      <c r="J1184" s="667">
        <v>4.2699999999999996</v>
      </c>
    </row>
    <row r="1185" spans="1:10" ht="15" thickBot="1">
      <c r="A1185" s="668"/>
      <c r="B1185" s="668"/>
      <c r="C1185" s="668"/>
      <c r="D1185" s="668"/>
      <c r="E1185" s="668" t="s">
        <v>13460</v>
      </c>
      <c r="F1185" s="667">
        <v>3.6</v>
      </c>
      <c r="G1185" s="668"/>
      <c r="H1185" s="925" t="s">
        <v>13459</v>
      </c>
      <c r="I1185" s="925"/>
      <c r="J1185" s="667">
        <v>16.38</v>
      </c>
    </row>
    <row r="1186" spans="1:10" ht="0.95" customHeight="1" thickTop="1">
      <c r="A1186" s="666"/>
      <c r="B1186" s="666"/>
      <c r="C1186" s="666"/>
      <c r="D1186" s="666"/>
      <c r="E1186" s="666"/>
      <c r="F1186" s="666"/>
      <c r="G1186" s="666"/>
      <c r="H1186" s="666"/>
      <c r="I1186" s="666"/>
      <c r="J1186" s="666"/>
    </row>
    <row r="1187" spans="1:10" ht="18" customHeight="1">
      <c r="A1187" s="686" t="s">
        <v>15146</v>
      </c>
      <c r="B1187" s="684" t="s">
        <v>13484</v>
      </c>
      <c r="C1187" s="686" t="s">
        <v>13483</v>
      </c>
      <c r="D1187" s="686" t="s">
        <v>13482</v>
      </c>
      <c r="E1187" s="924" t="s">
        <v>13481</v>
      </c>
      <c r="F1187" s="924"/>
      <c r="G1187" s="685" t="s">
        <v>13480</v>
      </c>
      <c r="H1187" s="684" t="s">
        <v>13479</v>
      </c>
      <c r="I1187" s="684" t="s">
        <v>13478</v>
      </c>
      <c r="J1187" s="684" t="s">
        <v>13477</v>
      </c>
    </row>
    <row r="1188" spans="1:10" ht="24" customHeight="1">
      <c r="A1188" s="682" t="s">
        <v>13476</v>
      </c>
      <c r="B1188" s="683" t="s">
        <v>15145</v>
      </c>
      <c r="C1188" s="682" t="s">
        <v>7</v>
      </c>
      <c r="D1188" s="682" t="s">
        <v>1118</v>
      </c>
      <c r="E1188" s="917" t="s">
        <v>14130</v>
      </c>
      <c r="F1188" s="917"/>
      <c r="G1188" s="681" t="s">
        <v>13610</v>
      </c>
      <c r="H1188" s="680">
        <v>1</v>
      </c>
      <c r="I1188" s="679">
        <v>1.85</v>
      </c>
      <c r="J1188" s="679">
        <v>1.85</v>
      </c>
    </row>
    <row r="1189" spans="1:10" ht="24" customHeight="1">
      <c r="A1189" s="677" t="s">
        <v>13472</v>
      </c>
      <c r="B1189" s="678" t="s">
        <v>13471</v>
      </c>
      <c r="C1189" s="677" t="s">
        <v>7</v>
      </c>
      <c r="D1189" s="677" t="s">
        <v>21</v>
      </c>
      <c r="E1189" s="918" t="s">
        <v>13470</v>
      </c>
      <c r="F1189" s="918"/>
      <c r="G1189" s="676" t="s">
        <v>19</v>
      </c>
      <c r="H1189" s="675">
        <v>1.4E-2</v>
      </c>
      <c r="I1189" s="674">
        <v>14.02</v>
      </c>
      <c r="J1189" s="674">
        <v>0.19</v>
      </c>
    </row>
    <row r="1190" spans="1:10" ht="24" customHeight="1">
      <c r="A1190" s="677" t="s">
        <v>13472</v>
      </c>
      <c r="B1190" s="678" t="s">
        <v>14140</v>
      </c>
      <c r="C1190" s="677" t="s">
        <v>7</v>
      </c>
      <c r="D1190" s="677" t="s">
        <v>169</v>
      </c>
      <c r="E1190" s="918" t="s">
        <v>13470</v>
      </c>
      <c r="F1190" s="918"/>
      <c r="G1190" s="676" t="s">
        <v>19</v>
      </c>
      <c r="H1190" s="675">
        <v>5.3999999999999999E-2</v>
      </c>
      <c r="I1190" s="674">
        <v>18.68</v>
      </c>
      <c r="J1190" s="674">
        <v>1</v>
      </c>
    </row>
    <row r="1191" spans="1:10" ht="24" customHeight="1">
      <c r="A1191" s="672" t="s">
        <v>13467</v>
      </c>
      <c r="B1191" s="673" t="s">
        <v>14442</v>
      </c>
      <c r="C1191" s="672" t="s">
        <v>7</v>
      </c>
      <c r="D1191" s="672" t="s">
        <v>14441</v>
      </c>
      <c r="E1191" s="919" t="s">
        <v>13464</v>
      </c>
      <c r="F1191" s="919"/>
      <c r="G1191" s="671" t="s">
        <v>50</v>
      </c>
      <c r="H1191" s="670">
        <v>0.16</v>
      </c>
      <c r="I1191" s="669">
        <v>4.17</v>
      </c>
      <c r="J1191" s="669">
        <v>0.66</v>
      </c>
    </row>
    <row r="1192" spans="1:10" ht="25.5">
      <c r="A1192" s="668"/>
      <c r="B1192" s="668"/>
      <c r="C1192" s="668"/>
      <c r="D1192" s="668"/>
      <c r="E1192" s="668" t="s">
        <v>13463</v>
      </c>
      <c r="F1192" s="667">
        <v>0.47810496577203088</v>
      </c>
      <c r="G1192" s="668" t="s">
        <v>13462</v>
      </c>
      <c r="H1192" s="667">
        <v>0.4</v>
      </c>
      <c r="I1192" s="668" t="s">
        <v>13461</v>
      </c>
      <c r="J1192" s="667">
        <v>0.88</v>
      </c>
    </row>
    <row r="1193" spans="1:10" ht="15" thickBot="1">
      <c r="A1193" s="668"/>
      <c r="B1193" s="668"/>
      <c r="C1193" s="668"/>
      <c r="D1193" s="668"/>
      <c r="E1193" s="668" t="s">
        <v>13460</v>
      </c>
      <c r="F1193" s="667">
        <v>0.52</v>
      </c>
      <c r="G1193" s="668"/>
      <c r="H1193" s="925" t="s">
        <v>13459</v>
      </c>
      <c r="I1193" s="925"/>
      <c r="J1193" s="667">
        <v>2.37</v>
      </c>
    </row>
    <row r="1194" spans="1:10" ht="0.95" customHeight="1" thickTop="1">
      <c r="A1194" s="666"/>
      <c r="B1194" s="666"/>
      <c r="C1194" s="666"/>
      <c r="D1194" s="666"/>
      <c r="E1194" s="666"/>
      <c r="F1194" s="666"/>
      <c r="G1194" s="666"/>
      <c r="H1194" s="666"/>
      <c r="I1194" s="666"/>
      <c r="J1194" s="666"/>
    </row>
    <row r="1195" spans="1:10" ht="18" customHeight="1">
      <c r="A1195" s="686" t="s">
        <v>15144</v>
      </c>
      <c r="B1195" s="684" t="s">
        <v>13484</v>
      </c>
      <c r="C1195" s="686" t="s">
        <v>13483</v>
      </c>
      <c r="D1195" s="686" t="s">
        <v>13482</v>
      </c>
      <c r="E1195" s="924" t="s">
        <v>13481</v>
      </c>
      <c r="F1195" s="924"/>
      <c r="G1195" s="685" t="s">
        <v>13480</v>
      </c>
      <c r="H1195" s="684" t="s">
        <v>13479</v>
      </c>
      <c r="I1195" s="684" t="s">
        <v>13478</v>
      </c>
      <c r="J1195" s="684" t="s">
        <v>13477</v>
      </c>
    </row>
    <row r="1196" spans="1:10" ht="36" customHeight="1">
      <c r="A1196" s="682" t="s">
        <v>13476</v>
      </c>
      <c r="B1196" s="683" t="s">
        <v>15143</v>
      </c>
      <c r="C1196" s="682" t="s">
        <v>7</v>
      </c>
      <c r="D1196" s="682" t="s">
        <v>6604</v>
      </c>
      <c r="E1196" s="917" t="s">
        <v>13474</v>
      </c>
      <c r="F1196" s="917"/>
      <c r="G1196" s="681" t="s">
        <v>34</v>
      </c>
      <c r="H1196" s="680">
        <v>1</v>
      </c>
      <c r="I1196" s="679">
        <v>254.84</v>
      </c>
      <c r="J1196" s="679">
        <v>254.84</v>
      </c>
    </row>
    <row r="1197" spans="1:10" ht="36" customHeight="1">
      <c r="A1197" s="677" t="s">
        <v>13472</v>
      </c>
      <c r="B1197" s="678" t="s">
        <v>14002</v>
      </c>
      <c r="C1197" s="677" t="s">
        <v>7</v>
      </c>
      <c r="D1197" s="677" t="s">
        <v>7010</v>
      </c>
      <c r="E1197" s="918" t="s">
        <v>13646</v>
      </c>
      <c r="F1197" s="918"/>
      <c r="G1197" s="676" t="s">
        <v>13515</v>
      </c>
      <c r="H1197" s="675">
        <v>4.19E-2</v>
      </c>
      <c r="I1197" s="674">
        <v>360.42</v>
      </c>
      <c r="J1197" s="674">
        <v>15.1</v>
      </c>
    </row>
    <row r="1198" spans="1:10" ht="36" customHeight="1">
      <c r="A1198" s="677" t="s">
        <v>13472</v>
      </c>
      <c r="B1198" s="678" t="s">
        <v>13654</v>
      </c>
      <c r="C1198" s="677" t="s">
        <v>7</v>
      </c>
      <c r="D1198" s="677" t="s">
        <v>3770</v>
      </c>
      <c r="E1198" s="918" t="s">
        <v>13646</v>
      </c>
      <c r="F1198" s="918"/>
      <c r="G1198" s="676" t="s">
        <v>13515</v>
      </c>
      <c r="H1198" s="675">
        <v>2.52E-2</v>
      </c>
      <c r="I1198" s="674">
        <v>2300.73</v>
      </c>
      <c r="J1198" s="674">
        <v>57.97</v>
      </c>
    </row>
    <row r="1199" spans="1:10" ht="24" customHeight="1">
      <c r="A1199" s="677" t="s">
        <v>13472</v>
      </c>
      <c r="B1199" s="678" t="s">
        <v>13611</v>
      </c>
      <c r="C1199" s="677" t="s">
        <v>7</v>
      </c>
      <c r="D1199" s="677" t="s">
        <v>5315</v>
      </c>
      <c r="E1199" s="918" t="s">
        <v>13516</v>
      </c>
      <c r="F1199" s="918"/>
      <c r="G1199" s="676" t="s">
        <v>13610</v>
      </c>
      <c r="H1199" s="675">
        <v>0.49</v>
      </c>
      <c r="I1199" s="674">
        <v>4.0599999999999996</v>
      </c>
      <c r="J1199" s="674">
        <v>1.98</v>
      </c>
    </row>
    <row r="1200" spans="1:10" ht="36" customHeight="1">
      <c r="A1200" s="677" t="s">
        <v>13472</v>
      </c>
      <c r="B1200" s="678" t="s">
        <v>14345</v>
      </c>
      <c r="C1200" s="677" t="s">
        <v>7</v>
      </c>
      <c r="D1200" s="677" t="s">
        <v>4334</v>
      </c>
      <c r="E1200" s="918" t="s">
        <v>13470</v>
      </c>
      <c r="F1200" s="918"/>
      <c r="G1200" s="676" t="s">
        <v>13515</v>
      </c>
      <c r="H1200" s="675">
        <v>5.9999999999999995E-4</v>
      </c>
      <c r="I1200" s="674">
        <v>359.96</v>
      </c>
      <c r="J1200" s="674">
        <v>0.21</v>
      </c>
    </row>
    <row r="1201" spans="1:10" ht="36" customHeight="1">
      <c r="A1201" s="677" t="s">
        <v>13472</v>
      </c>
      <c r="B1201" s="678" t="s">
        <v>14121</v>
      </c>
      <c r="C1201" s="677" t="s">
        <v>7</v>
      </c>
      <c r="D1201" s="677" t="s">
        <v>4434</v>
      </c>
      <c r="E1201" s="918" t="s">
        <v>13470</v>
      </c>
      <c r="F1201" s="918"/>
      <c r="G1201" s="676" t="s">
        <v>13515</v>
      </c>
      <c r="H1201" s="675">
        <v>5.1499999999999997E-2</v>
      </c>
      <c r="I1201" s="674">
        <v>547.29999999999995</v>
      </c>
      <c r="J1201" s="674">
        <v>28.18</v>
      </c>
    </row>
    <row r="1202" spans="1:10" ht="24" customHeight="1">
      <c r="A1202" s="677" t="s">
        <v>13472</v>
      </c>
      <c r="B1202" s="678" t="s">
        <v>13600</v>
      </c>
      <c r="C1202" s="677" t="s">
        <v>7</v>
      </c>
      <c r="D1202" s="677" t="s">
        <v>41</v>
      </c>
      <c r="E1202" s="918" t="s">
        <v>13470</v>
      </c>
      <c r="F1202" s="918"/>
      <c r="G1202" s="676" t="s">
        <v>19</v>
      </c>
      <c r="H1202" s="675">
        <v>2.8487</v>
      </c>
      <c r="I1202" s="674">
        <v>17.670000000000002</v>
      </c>
      <c r="J1202" s="674">
        <v>50.33</v>
      </c>
    </row>
    <row r="1203" spans="1:10" ht="24" customHeight="1">
      <c r="A1203" s="677" t="s">
        <v>13472</v>
      </c>
      <c r="B1203" s="678" t="s">
        <v>13471</v>
      </c>
      <c r="C1203" s="677" t="s">
        <v>7</v>
      </c>
      <c r="D1203" s="677" t="s">
        <v>21</v>
      </c>
      <c r="E1203" s="918" t="s">
        <v>13470</v>
      </c>
      <c r="F1203" s="918"/>
      <c r="G1203" s="676" t="s">
        <v>19</v>
      </c>
      <c r="H1203" s="675">
        <v>2.8487</v>
      </c>
      <c r="I1203" s="674">
        <v>14.02</v>
      </c>
      <c r="J1203" s="674">
        <v>39.93</v>
      </c>
    </row>
    <row r="1204" spans="1:10" ht="24" customHeight="1">
      <c r="A1204" s="672" t="s">
        <v>13467</v>
      </c>
      <c r="B1204" s="673" t="s">
        <v>15140</v>
      </c>
      <c r="C1204" s="672" t="s">
        <v>7</v>
      </c>
      <c r="D1204" s="672" t="s">
        <v>15139</v>
      </c>
      <c r="E1204" s="919" t="s">
        <v>13464</v>
      </c>
      <c r="F1204" s="919"/>
      <c r="G1204" s="671" t="s">
        <v>34</v>
      </c>
      <c r="H1204" s="670">
        <v>77.402699999999996</v>
      </c>
      <c r="I1204" s="669">
        <v>0.79</v>
      </c>
      <c r="J1204" s="669">
        <v>61.14</v>
      </c>
    </row>
    <row r="1205" spans="1:10" ht="25.5">
      <c r="A1205" s="668"/>
      <c r="B1205" s="668"/>
      <c r="C1205" s="668"/>
      <c r="D1205" s="668"/>
      <c r="E1205" s="668" t="s">
        <v>13463</v>
      </c>
      <c r="F1205" s="667">
        <v>54.216016516353363</v>
      </c>
      <c r="G1205" s="668" t="s">
        <v>13462</v>
      </c>
      <c r="H1205" s="667">
        <v>45.57</v>
      </c>
      <c r="I1205" s="668" t="s">
        <v>13461</v>
      </c>
      <c r="J1205" s="667">
        <v>99.79</v>
      </c>
    </row>
    <row r="1206" spans="1:10" ht="15" thickBot="1">
      <c r="A1206" s="668"/>
      <c r="B1206" s="668"/>
      <c r="C1206" s="668"/>
      <c r="D1206" s="668"/>
      <c r="E1206" s="668" t="s">
        <v>13460</v>
      </c>
      <c r="F1206" s="667">
        <v>71.959999999999994</v>
      </c>
      <c r="G1206" s="668"/>
      <c r="H1206" s="925" t="s">
        <v>13459</v>
      </c>
      <c r="I1206" s="925"/>
      <c r="J1206" s="667">
        <v>326.8</v>
      </c>
    </row>
    <row r="1207" spans="1:10" ht="0.95" customHeight="1" thickTop="1">
      <c r="A1207" s="666"/>
      <c r="B1207" s="666"/>
      <c r="C1207" s="666"/>
      <c r="D1207" s="666"/>
      <c r="E1207" s="666"/>
      <c r="F1207" s="666"/>
      <c r="G1207" s="666"/>
      <c r="H1207" s="666"/>
      <c r="I1207" s="666"/>
      <c r="J1207" s="666"/>
    </row>
    <row r="1208" spans="1:10" ht="18" customHeight="1">
      <c r="A1208" s="686" t="s">
        <v>15142</v>
      </c>
      <c r="B1208" s="684" t="s">
        <v>13484</v>
      </c>
      <c r="C1208" s="686" t="s">
        <v>13483</v>
      </c>
      <c r="D1208" s="686" t="s">
        <v>13482</v>
      </c>
      <c r="E1208" s="924" t="s">
        <v>13481</v>
      </c>
      <c r="F1208" s="924"/>
      <c r="G1208" s="685" t="s">
        <v>13480</v>
      </c>
      <c r="H1208" s="684" t="s">
        <v>13479</v>
      </c>
      <c r="I1208" s="684" t="s">
        <v>13478</v>
      </c>
      <c r="J1208" s="684" t="s">
        <v>13477</v>
      </c>
    </row>
    <row r="1209" spans="1:10" ht="36" customHeight="1">
      <c r="A1209" s="682" t="s">
        <v>13476</v>
      </c>
      <c r="B1209" s="683" t="s">
        <v>15141</v>
      </c>
      <c r="C1209" s="682" t="s">
        <v>7</v>
      </c>
      <c r="D1209" s="682" t="s">
        <v>6605</v>
      </c>
      <c r="E1209" s="917" t="s">
        <v>13474</v>
      </c>
      <c r="F1209" s="917"/>
      <c r="G1209" s="681" t="s">
        <v>34</v>
      </c>
      <c r="H1209" s="680">
        <v>1</v>
      </c>
      <c r="I1209" s="679">
        <v>508.29</v>
      </c>
      <c r="J1209" s="679">
        <v>508.29</v>
      </c>
    </row>
    <row r="1210" spans="1:10" ht="60" customHeight="1">
      <c r="A1210" s="677" t="s">
        <v>13472</v>
      </c>
      <c r="B1210" s="678" t="s">
        <v>13604</v>
      </c>
      <c r="C1210" s="677" t="s">
        <v>7</v>
      </c>
      <c r="D1210" s="677" t="s">
        <v>702</v>
      </c>
      <c r="E1210" s="918" t="s">
        <v>13491</v>
      </c>
      <c r="F1210" s="918"/>
      <c r="G1210" s="676" t="s">
        <v>38</v>
      </c>
      <c r="H1210" s="675">
        <v>8.6999999999999994E-3</v>
      </c>
      <c r="I1210" s="674">
        <v>101.95</v>
      </c>
      <c r="J1210" s="674">
        <v>0.88</v>
      </c>
    </row>
    <row r="1211" spans="1:10" ht="60" customHeight="1">
      <c r="A1211" s="677" t="s">
        <v>13472</v>
      </c>
      <c r="B1211" s="678" t="s">
        <v>13602</v>
      </c>
      <c r="C1211" s="677" t="s">
        <v>7</v>
      </c>
      <c r="D1211" s="677" t="s">
        <v>703</v>
      </c>
      <c r="E1211" s="918" t="s">
        <v>13491</v>
      </c>
      <c r="F1211" s="918"/>
      <c r="G1211" s="676" t="s">
        <v>53</v>
      </c>
      <c r="H1211" s="675">
        <v>2.9399999999999999E-2</v>
      </c>
      <c r="I1211" s="674">
        <v>36.340000000000003</v>
      </c>
      <c r="J1211" s="674">
        <v>1.06</v>
      </c>
    </row>
    <row r="1212" spans="1:10" ht="36" customHeight="1">
      <c r="A1212" s="677" t="s">
        <v>13472</v>
      </c>
      <c r="B1212" s="678" t="s">
        <v>14002</v>
      </c>
      <c r="C1212" s="677" t="s">
        <v>7</v>
      </c>
      <c r="D1212" s="677" t="s">
        <v>7010</v>
      </c>
      <c r="E1212" s="918" t="s">
        <v>13646</v>
      </c>
      <c r="F1212" s="918"/>
      <c r="G1212" s="676" t="s">
        <v>13515</v>
      </c>
      <c r="H1212" s="675">
        <v>7.4399999999999994E-2</v>
      </c>
      <c r="I1212" s="674">
        <v>360.42</v>
      </c>
      <c r="J1212" s="674">
        <v>26.81</v>
      </c>
    </row>
    <row r="1213" spans="1:10" ht="36" customHeight="1">
      <c r="A1213" s="677" t="s">
        <v>13472</v>
      </c>
      <c r="B1213" s="678" t="s">
        <v>13653</v>
      </c>
      <c r="C1213" s="677" t="s">
        <v>7</v>
      </c>
      <c r="D1213" s="677" t="s">
        <v>3771</v>
      </c>
      <c r="E1213" s="918" t="s">
        <v>13646</v>
      </c>
      <c r="F1213" s="918"/>
      <c r="G1213" s="676" t="s">
        <v>13515</v>
      </c>
      <c r="H1213" s="675">
        <v>4.48E-2</v>
      </c>
      <c r="I1213" s="674">
        <v>1971.46</v>
      </c>
      <c r="J1213" s="674">
        <v>88.32</v>
      </c>
    </row>
    <row r="1214" spans="1:10" ht="24" customHeight="1">
      <c r="A1214" s="677" t="s">
        <v>13472</v>
      </c>
      <c r="B1214" s="678" t="s">
        <v>13611</v>
      </c>
      <c r="C1214" s="677" t="s">
        <v>7</v>
      </c>
      <c r="D1214" s="677" t="s">
        <v>5315</v>
      </c>
      <c r="E1214" s="918" t="s">
        <v>13516</v>
      </c>
      <c r="F1214" s="918"/>
      <c r="G1214" s="676" t="s">
        <v>13610</v>
      </c>
      <c r="H1214" s="675">
        <v>0.81</v>
      </c>
      <c r="I1214" s="674">
        <v>4.0599999999999996</v>
      </c>
      <c r="J1214" s="674">
        <v>3.28</v>
      </c>
    </row>
    <row r="1215" spans="1:10" ht="36" customHeight="1">
      <c r="A1215" s="677" t="s">
        <v>13472</v>
      </c>
      <c r="B1215" s="678" t="s">
        <v>14345</v>
      </c>
      <c r="C1215" s="677" t="s">
        <v>7</v>
      </c>
      <c r="D1215" s="677" t="s">
        <v>4334</v>
      </c>
      <c r="E1215" s="918" t="s">
        <v>13470</v>
      </c>
      <c r="F1215" s="918"/>
      <c r="G1215" s="676" t="s">
        <v>13515</v>
      </c>
      <c r="H1215" s="675">
        <v>1.4E-3</v>
      </c>
      <c r="I1215" s="674">
        <v>359.96</v>
      </c>
      <c r="J1215" s="674">
        <v>0.5</v>
      </c>
    </row>
    <row r="1216" spans="1:10" ht="36" customHeight="1">
      <c r="A1216" s="677" t="s">
        <v>13472</v>
      </c>
      <c r="B1216" s="678" t="s">
        <v>14121</v>
      </c>
      <c r="C1216" s="677" t="s">
        <v>7</v>
      </c>
      <c r="D1216" s="677" t="s">
        <v>4434</v>
      </c>
      <c r="E1216" s="918" t="s">
        <v>13470</v>
      </c>
      <c r="F1216" s="918"/>
      <c r="G1216" s="676" t="s">
        <v>13515</v>
      </c>
      <c r="H1216" s="675">
        <v>0.11559999999999999</v>
      </c>
      <c r="I1216" s="674">
        <v>547.29999999999995</v>
      </c>
      <c r="J1216" s="674">
        <v>63.26</v>
      </c>
    </row>
    <row r="1217" spans="1:10" ht="24" customHeight="1">
      <c r="A1217" s="677" t="s">
        <v>13472</v>
      </c>
      <c r="B1217" s="678" t="s">
        <v>13600</v>
      </c>
      <c r="C1217" s="677" t="s">
        <v>7</v>
      </c>
      <c r="D1217" s="677" t="s">
        <v>41</v>
      </c>
      <c r="E1217" s="918" t="s">
        <v>13470</v>
      </c>
      <c r="F1217" s="918"/>
      <c r="G1217" s="676" t="s">
        <v>19</v>
      </c>
      <c r="H1217" s="675">
        <v>6.0895000000000001</v>
      </c>
      <c r="I1217" s="674">
        <v>17.670000000000002</v>
      </c>
      <c r="J1217" s="674">
        <v>107.6</v>
      </c>
    </row>
    <row r="1218" spans="1:10" ht="24" customHeight="1">
      <c r="A1218" s="677" t="s">
        <v>13472</v>
      </c>
      <c r="B1218" s="678" t="s">
        <v>13471</v>
      </c>
      <c r="C1218" s="677" t="s">
        <v>7</v>
      </c>
      <c r="D1218" s="677" t="s">
        <v>21</v>
      </c>
      <c r="E1218" s="918" t="s">
        <v>13470</v>
      </c>
      <c r="F1218" s="918"/>
      <c r="G1218" s="676" t="s">
        <v>19</v>
      </c>
      <c r="H1218" s="675">
        <v>6.0895000000000001</v>
      </c>
      <c r="I1218" s="674">
        <v>14.02</v>
      </c>
      <c r="J1218" s="674">
        <v>85.37</v>
      </c>
    </row>
    <row r="1219" spans="1:10" ht="24" customHeight="1">
      <c r="A1219" s="672" t="s">
        <v>13467</v>
      </c>
      <c r="B1219" s="673" t="s">
        <v>15140</v>
      </c>
      <c r="C1219" s="672" t="s">
        <v>7</v>
      </c>
      <c r="D1219" s="672" t="s">
        <v>15139</v>
      </c>
      <c r="E1219" s="919" t="s">
        <v>13464</v>
      </c>
      <c r="F1219" s="919"/>
      <c r="G1219" s="671" t="s">
        <v>34</v>
      </c>
      <c r="H1219" s="670">
        <v>166.0916</v>
      </c>
      <c r="I1219" s="669">
        <v>0.79</v>
      </c>
      <c r="J1219" s="669">
        <v>131.21</v>
      </c>
    </row>
    <row r="1220" spans="1:10" ht="25.5">
      <c r="A1220" s="668"/>
      <c r="B1220" s="668"/>
      <c r="C1220" s="668"/>
      <c r="D1220" s="668"/>
      <c r="E1220" s="668" t="s">
        <v>13463</v>
      </c>
      <c r="F1220" s="667">
        <v>104.47136803216343</v>
      </c>
      <c r="G1220" s="668" t="s">
        <v>13462</v>
      </c>
      <c r="H1220" s="667">
        <v>87.82</v>
      </c>
      <c r="I1220" s="668" t="s">
        <v>13461</v>
      </c>
      <c r="J1220" s="667">
        <v>192.29000000000002</v>
      </c>
    </row>
    <row r="1221" spans="1:10" ht="15" thickBot="1">
      <c r="A1221" s="668"/>
      <c r="B1221" s="668"/>
      <c r="C1221" s="668"/>
      <c r="D1221" s="668"/>
      <c r="E1221" s="668" t="s">
        <v>13460</v>
      </c>
      <c r="F1221" s="667">
        <v>143.54</v>
      </c>
      <c r="G1221" s="668"/>
      <c r="H1221" s="925" t="s">
        <v>13459</v>
      </c>
      <c r="I1221" s="925"/>
      <c r="J1221" s="667">
        <v>651.83000000000004</v>
      </c>
    </row>
    <row r="1222" spans="1:10" ht="0.95" customHeight="1" thickTop="1">
      <c r="A1222" s="666"/>
      <c r="B1222" s="666"/>
      <c r="C1222" s="666"/>
      <c r="D1222" s="666"/>
      <c r="E1222" s="666"/>
      <c r="F1222" s="666"/>
      <c r="G1222" s="666"/>
      <c r="H1222" s="666"/>
      <c r="I1222" s="666"/>
      <c r="J1222" s="666"/>
    </row>
    <row r="1223" spans="1:10" ht="18" customHeight="1">
      <c r="A1223" s="686" t="s">
        <v>15138</v>
      </c>
      <c r="B1223" s="684" t="s">
        <v>13484</v>
      </c>
      <c r="C1223" s="686" t="s">
        <v>13483</v>
      </c>
      <c r="D1223" s="686" t="s">
        <v>13482</v>
      </c>
      <c r="E1223" s="924" t="s">
        <v>13481</v>
      </c>
      <c r="F1223" s="924"/>
      <c r="G1223" s="685" t="s">
        <v>13480</v>
      </c>
      <c r="H1223" s="684" t="s">
        <v>13479</v>
      </c>
      <c r="I1223" s="684" t="s">
        <v>13478</v>
      </c>
      <c r="J1223" s="684" t="s">
        <v>13477</v>
      </c>
    </row>
    <row r="1224" spans="1:10" ht="36" customHeight="1">
      <c r="A1224" s="682" t="s">
        <v>13476</v>
      </c>
      <c r="B1224" s="683" t="s">
        <v>15137</v>
      </c>
      <c r="C1224" s="682" t="s">
        <v>7</v>
      </c>
      <c r="D1224" s="682" t="s">
        <v>1538</v>
      </c>
      <c r="E1224" s="917" t="s">
        <v>13474</v>
      </c>
      <c r="F1224" s="917"/>
      <c r="G1224" s="681" t="s">
        <v>34</v>
      </c>
      <c r="H1224" s="680">
        <v>1</v>
      </c>
      <c r="I1224" s="679">
        <v>29.48</v>
      </c>
      <c r="J1224" s="679">
        <v>29.48</v>
      </c>
    </row>
    <row r="1225" spans="1:10" ht="24" customHeight="1">
      <c r="A1225" s="677" t="s">
        <v>13472</v>
      </c>
      <c r="B1225" s="678" t="s">
        <v>13526</v>
      </c>
      <c r="C1225" s="677" t="s">
        <v>7</v>
      </c>
      <c r="D1225" s="677" t="s">
        <v>1093</v>
      </c>
      <c r="E1225" s="918" t="s">
        <v>13470</v>
      </c>
      <c r="F1225" s="918"/>
      <c r="G1225" s="676" t="s">
        <v>19</v>
      </c>
      <c r="H1225" s="675">
        <v>0.25</v>
      </c>
      <c r="I1225" s="674">
        <v>13.48</v>
      </c>
      <c r="J1225" s="674">
        <v>3.37</v>
      </c>
    </row>
    <row r="1226" spans="1:10" ht="24" customHeight="1">
      <c r="A1226" s="677" t="s">
        <v>13472</v>
      </c>
      <c r="B1226" s="678" t="s">
        <v>13473</v>
      </c>
      <c r="C1226" s="677" t="s">
        <v>7</v>
      </c>
      <c r="D1226" s="677" t="s">
        <v>44</v>
      </c>
      <c r="E1226" s="918" t="s">
        <v>13470</v>
      </c>
      <c r="F1226" s="918"/>
      <c r="G1226" s="676" t="s">
        <v>19</v>
      </c>
      <c r="H1226" s="675">
        <v>0.25</v>
      </c>
      <c r="I1226" s="674">
        <v>17.66</v>
      </c>
      <c r="J1226" s="674">
        <v>4.41</v>
      </c>
    </row>
    <row r="1227" spans="1:10" ht="24" customHeight="1">
      <c r="A1227" s="672" t="s">
        <v>13467</v>
      </c>
      <c r="B1227" s="673" t="s">
        <v>14762</v>
      </c>
      <c r="C1227" s="672" t="s">
        <v>7</v>
      </c>
      <c r="D1227" s="672" t="s">
        <v>14761</v>
      </c>
      <c r="E1227" s="919" t="s">
        <v>13464</v>
      </c>
      <c r="F1227" s="919"/>
      <c r="G1227" s="671" t="s">
        <v>34</v>
      </c>
      <c r="H1227" s="670">
        <v>1.4800000000000001E-2</v>
      </c>
      <c r="I1227" s="669">
        <v>83.11</v>
      </c>
      <c r="J1227" s="669">
        <v>1.23</v>
      </c>
    </row>
    <row r="1228" spans="1:10" ht="24" customHeight="1">
      <c r="A1228" s="672" t="s">
        <v>13467</v>
      </c>
      <c r="B1228" s="673" t="s">
        <v>15020</v>
      </c>
      <c r="C1228" s="672" t="s">
        <v>7</v>
      </c>
      <c r="D1228" s="672" t="s">
        <v>15019</v>
      </c>
      <c r="E1228" s="919" t="s">
        <v>13464</v>
      </c>
      <c r="F1228" s="919"/>
      <c r="G1228" s="671" t="s">
        <v>34</v>
      </c>
      <c r="H1228" s="670">
        <v>1</v>
      </c>
      <c r="I1228" s="669">
        <v>3.08</v>
      </c>
      <c r="J1228" s="669">
        <v>3.08</v>
      </c>
    </row>
    <row r="1229" spans="1:10" ht="24" customHeight="1">
      <c r="A1229" s="672" t="s">
        <v>13467</v>
      </c>
      <c r="B1229" s="673" t="s">
        <v>15136</v>
      </c>
      <c r="C1229" s="672" t="s">
        <v>7</v>
      </c>
      <c r="D1229" s="672" t="s">
        <v>15135</v>
      </c>
      <c r="E1229" s="919" t="s">
        <v>13464</v>
      </c>
      <c r="F1229" s="919"/>
      <c r="G1229" s="671" t="s">
        <v>34</v>
      </c>
      <c r="H1229" s="670">
        <v>1</v>
      </c>
      <c r="I1229" s="669">
        <v>15.03</v>
      </c>
      <c r="J1229" s="669">
        <v>15.03</v>
      </c>
    </row>
    <row r="1230" spans="1:10" ht="24" customHeight="1">
      <c r="A1230" s="672" t="s">
        <v>13467</v>
      </c>
      <c r="B1230" s="673" t="s">
        <v>13523</v>
      </c>
      <c r="C1230" s="672" t="s">
        <v>7</v>
      </c>
      <c r="D1230" s="672" t="s">
        <v>13522</v>
      </c>
      <c r="E1230" s="919" t="s">
        <v>13464</v>
      </c>
      <c r="F1230" s="919"/>
      <c r="G1230" s="671" t="s">
        <v>34</v>
      </c>
      <c r="H1230" s="670">
        <v>6.4000000000000001E-2</v>
      </c>
      <c r="I1230" s="669">
        <v>2.2000000000000002</v>
      </c>
      <c r="J1230" s="669">
        <v>0.14000000000000001</v>
      </c>
    </row>
    <row r="1231" spans="1:10" ht="36" customHeight="1">
      <c r="A1231" s="672" t="s">
        <v>13467</v>
      </c>
      <c r="B1231" s="673" t="s">
        <v>15018</v>
      </c>
      <c r="C1231" s="672" t="s">
        <v>7</v>
      </c>
      <c r="D1231" s="672" t="s">
        <v>15017</v>
      </c>
      <c r="E1231" s="919" t="s">
        <v>13464</v>
      </c>
      <c r="F1231" s="919"/>
      <c r="G1231" s="671" t="s">
        <v>34</v>
      </c>
      <c r="H1231" s="670">
        <v>0.02</v>
      </c>
      <c r="I1231" s="669">
        <v>30.43</v>
      </c>
      <c r="J1231" s="669">
        <v>0.6</v>
      </c>
    </row>
    <row r="1232" spans="1:10" ht="24" customHeight="1">
      <c r="A1232" s="672" t="s">
        <v>13467</v>
      </c>
      <c r="B1232" s="673" t="s">
        <v>13521</v>
      </c>
      <c r="C1232" s="672" t="s">
        <v>7</v>
      </c>
      <c r="D1232" s="672" t="s">
        <v>13520</v>
      </c>
      <c r="E1232" s="919" t="s">
        <v>13464</v>
      </c>
      <c r="F1232" s="919"/>
      <c r="G1232" s="671" t="s">
        <v>34</v>
      </c>
      <c r="H1232" s="670">
        <v>2.2499999999999999E-2</v>
      </c>
      <c r="I1232" s="669">
        <v>72.17</v>
      </c>
      <c r="J1232" s="669">
        <v>1.62</v>
      </c>
    </row>
    <row r="1233" spans="1:10" ht="25.5">
      <c r="A1233" s="668"/>
      <c r="B1233" s="668"/>
      <c r="C1233" s="668"/>
      <c r="D1233" s="668"/>
      <c r="E1233" s="668" t="s">
        <v>13463</v>
      </c>
      <c r="F1233" s="667">
        <v>3.3141366945561228</v>
      </c>
      <c r="G1233" s="668" t="s">
        <v>13462</v>
      </c>
      <c r="H1233" s="667">
        <v>2.79</v>
      </c>
      <c r="I1233" s="668" t="s">
        <v>13461</v>
      </c>
      <c r="J1233" s="667">
        <v>6.1</v>
      </c>
    </row>
    <row r="1234" spans="1:10" ht="15" thickBot="1">
      <c r="A1234" s="668"/>
      <c r="B1234" s="668"/>
      <c r="C1234" s="668"/>
      <c r="D1234" s="668"/>
      <c r="E1234" s="668" t="s">
        <v>13460</v>
      </c>
      <c r="F1234" s="667">
        <v>8.32</v>
      </c>
      <c r="G1234" s="668"/>
      <c r="H1234" s="925" t="s">
        <v>13459</v>
      </c>
      <c r="I1234" s="925"/>
      <c r="J1234" s="667">
        <v>37.799999999999997</v>
      </c>
    </row>
    <row r="1235" spans="1:10" ht="0.95" customHeight="1" thickTop="1">
      <c r="A1235" s="666"/>
      <c r="B1235" s="666"/>
      <c r="C1235" s="666"/>
      <c r="D1235" s="666"/>
      <c r="E1235" s="666"/>
      <c r="F1235" s="666"/>
      <c r="G1235" s="666"/>
      <c r="H1235" s="666"/>
      <c r="I1235" s="666"/>
      <c r="J1235" s="666"/>
    </row>
    <row r="1236" spans="1:10" ht="18" customHeight="1">
      <c r="A1236" s="686" t="s">
        <v>15134</v>
      </c>
      <c r="B1236" s="684" t="s">
        <v>13484</v>
      </c>
      <c r="C1236" s="686" t="s">
        <v>13483</v>
      </c>
      <c r="D1236" s="686" t="s">
        <v>13482</v>
      </c>
      <c r="E1236" s="924" t="s">
        <v>13481</v>
      </c>
      <c r="F1236" s="924"/>
      <c r="G1236" s="685" t="s">
        <v>13480</v>
      </c>
      <c r="H1236" s="684" t="s">
        <v>13479</v>
      </c>
      <c r="I1236" s="684" t="s">
        <v>13478</v>
      </c>
      <c r="J1236" s="684" t="s">
        <v>13477</v>
      </c>
    </row>
    <row r="1237" spans="1:10" ht="36" customHeight="1">
      <c r="A1237" s="682" t="s">
        <v>13476</v>
      </c>
      <c r="B1237" s="683" t="s">
        <v>15133</v>
      </c>
      <c r="C1237" s="682" t="s">
        <v>7</v>
      </c>
      <c r="D1237" s="682" t="s">
        <v>262</v>
      </c>
      <c r="E1237" s="917" t="s">
        <v>13474</v>
      </c>
      <c r="F1237" s="917"/>
      <c r="G1237" s="681" t="s">
        <v>34</v>
      </c>
      <c r="H1237" s="680">
        <v>1</v>
      </c>
      <c r="I1237" s="679">
        <v>18.579999999999998</v>
      </c>
      <c r="J1237" s="679">
        <v>18.579999999999998</v>
      </c>
    </row>
    <row r="1238" spans="1:10" ht="24" customHeight="1">
      <c r="A1238" s="677" t="s">
        <v>13472</v>
      </c>
      <c r="B1238" s="678" t="s">
        <v>13526</v>
      </c>
      <c r="C1238" s="677" t="s">
        <v>7</v>
      </c>
      <c r="D1238" s="677" t="s">
        <v>1093</v>
      </c>
      <c r="E1238" s="918" t="s">
        <v>13470</v>
      </c>
      <c r="F1238" s="918"/>
      <c r="G1238" s="676" t="s">
        <v>19</v>
      </c>
      <c r="H1238" s="675">
        <v>0.108</v>
      </c>
      <c r="I1238" s="674">
        <v>13.48</v>
      </c>
      <c r="J1238" s="674">
        <v>1.45</v>
      </c>
    </row>
    <row r="1239" spans="1:10" ht="24" customHeight="1">
      <c r="A1239" s="677" t="s">
        <v>13472</v>
      </c>
      <c r="B1239" s="678" t="s">
        <v>13473</v>
      </c>
      <c r="C1239" s="677" t="s">
        <v>7</v>
      </c>
      <c r="D1239" s="677" t="s">
        <v>44</v>
      </c>
      <c r="E1239" s="918" t="s">
        <v>13470</v>
      </c>
      <c r="F1239" s="918"/>
      <c r="G1239" s="676" t="s">
        <v>19</v>
      </c>
      <c r="H1239" s="675">
        <v>0.108</v>
      </c>
      <c r="I1239" s="674">
        <v>17.66</v>
      </c>
      <c r="J1239" s="674">
        <v>1.9</v>
      </c>
    </row>
    <row r="1240" spans="1:10" ht="24" customHeight="1">
      <c r="A1240" s="672" t="s">
        <v>13467</v>
      </c>
      <c r="B1240" s="673" t="s">
        <v>14762</v>
      </c>
      <c r="C1240" s="672" t="s">
        <v>7</v>
      </c>
      <c r="D1240" s="672" t="s">
        <v>14761</v>
      </c>
      <c r="E1240" s="919" t="s">
        <v>13464</v>
      </c>
      <c r="F1240" s="919"/>
      <c r="G1240" s="671" t="s">
        <v>34</v>
      </c>
      <c r="H1240" s="670">
        <v>1.7999999999999999E-2</v>
      </c>
      <c r="I1240" s="669">
        <v>83.11</v>
      </c>
      <c r="J1240" s="669">
        <v>1.49</v>
      </c>
    </row>
    <row r="1241" spans="1:10" ht="24" customHeight="1">
      <c r="A1241" s="672" t="s">
        <v>13467</v>
      </c>
      <c r="B1241" s="673" t="s">
        <v>15132</v>
      </c>
      <c r="C1241" s="672" t="s">
        <v>7</v>
      </c>
      <c r="D1241" s="672" t="s">
        <v>15131</v>
      </c>
      <c r="E1241" s="919" t="s">
        <v>13464</v>
      </c>
      <c r="F1241" s="919"/>
      <c r="G1241" s="671" t="s">
        <v>34</v>
      </c>
      <c r="H1241" s="670">
        <v>1</v>
      </c>
      <c r="I1241" s="669">
        <v>12.11</v>
      </c>
      <c r="J1241" s="669">
        <v>12.11</v>
      </c>
    </row>
    <row r="1242" spans="1:10" ht="24" customHeight="1">
      <c r="A1242" s="672" t="s">
        <v>13467</v>
      </c>
      <c r="B1242" s="673" t="s">
        <v>13523</v>
      </c>
      <c r="C1242" s="672" t="s">
        <v>7</v>
      </c>
      <c r="D1242" s="672" t="s">
        <v>13522</v>
      </c>
      <c r="E1242" s="919" t="s">
        <v>13464</v>
      </c>
      <c r="F1242" s="919"/>
      <c r="G1242" s="671" t="s">
        <v>34</v>
      </c>
      <c r="H1242" s="670">
        <v>2.4E-2</v>
      </c>
      <c r="I1242" s="669">
        <v>2.2000000000000002</v>
      </c>
      <c r="J1242" s="669">
        <v>0.05</v>
      </c>
    </row>
    <row r="1243" spans="1:10" ht="24" customHeight="1">
      <c r="A1243" s="672" t="s">
        <v>13467</v>
      </c>
      <c r="B1243" s="673" t="s">
        <v>13521</v>
      </c>
      <c r="C1243" s="672" t="s">
        <v>7</v>
      </c>
      <c r="D1243" s="672" t="s">
        <v>13520</v>
      </c>
      <c r="E1243" s="919" t="s">
        <v>13464</v>
      </c>
      <c r="F1243" s="919"/>
      <c r="G1243" s="671" t="s">
        <v>34</v>
      </c>
      <c r="H1243" s="670">
        <v>2.1999999999999999E-2</v>
      </c>
      <c r="I1243" s="669">
        <v>72.17</v>
      </c>
      <c r="J1243" s="669">
        <v>1.58</v>
      </c>
    </row>
    <row r="1244" spans="1:10" ht="25.5">
      <c r="A1244" s="668"/>
      <c r="B1244" s="668"/>
      <c r="C1244" s="668"/>
      <c r="D1244" s="668"/>
      <c r="E1244" s="668" t="s">
        <v>13463</v>
      </c>
      <c r="F1244" s="667">
        <v>1.4288818863414103</v>
      </c>
      <c r="G1244" s="668" t="s">
        <v>13462</v>
      </c>
      <c r="H1244" s="667">
        <v>1.2</v>
      </c>
      <c r="I1244" s="668" t="s">
        <v>13461</v>
      </c>
      <c r="J1244" s="667">
        <v>2.63</v>
      </c>
    </row>
    <row r="1245" spans="1:10" ht="15" thickBot="1">
      <c r="A1245" s="668"/>
      <c r="B1245" s="668"/>
      <c r="C1245" s="668"/>
      <c r="D1245" s="668"/>
      <c r="E1245" s="668" t="s">
        <v>13460</v>
      </c>
      <c r="F1245" s="667">
        <v>5.24</v>
      </c>
      <c r="G1245" s="668"/>
      <c r="H1245" s="925" t="s">
        <v>13459</v>
      </c>
      <c r="I1245" s="925"/>
      <c r="J1245" s="667">
        <v>23.82</v>
      </c>
    </row>
    <row r="1246" spans="1:10" ht="0.95" customHeight="1" thickTop="1">
      <c r="A1246" s="666"/>
      <c r="B1246" s="666"/>
      <c r="C1246" s="666"/>
      <c r="D1246" s="666"/>
      <c r="E1246" s="666"/>
      <c r="F1246" s="666"/>
      <c r="G1246" s="666"/>
      <c r="H1246" s="666"/>
      <c r="I1246" s="666"/>
      <c r="J1246" s="666"/>
    </row>
    <row r="1247" spans="1:10" ht="18" customHeight="1">
      <c r="A1247" s="686" t="s">
        <v>15130</v>
      </c>
      <c r="B1247" s="684" t="s">
        <v>13484</v>
      </c>
      <c r="C1247" s="686" t="s">
        <v>13483</v>
      </c>
      <c r="D1247" s="686" t="s">
        <v>13482</v>
      </c>
      <c r="E1247" s="924" t="s">
        <v>13481</v>
      </c>
      <c r="F1247" s="924"/>
      <c r="G1247" s="685" t="s">
        <v>13480</v>
      </c>
      <c r="H1247" s="684" t="s">
        <v>13479</v>
      </c>
      <c r="I1247" s="684" t="s">
        <v>13478</v>
      </c>
      <c r="J1247" s="684" t="s">
        <v>13477</v>
      </c>
    </row>
    <row r="1248" spans="1:10" ht="48" customHeight="1">
      <c r="A1248" s="682" t="s">
        <v>13476</v>
      </c>
      <c r="B1248" s="683" t="s">
        <v>15129</v>
      </c>
      <c r="C1248" s="682" t="s">
        <v>7</v>
      </c>
      <c r="D1248" s="682" t="s">
        <v>1556</v>
      </c>
      <c r="E1248" s="917" t="s">
        <v>13474</v>
      </c>
      <c r="F1248" s="917"/>
      <c r="G1248" s="681" t="s">
        <v>34</v>
      </c>
      <c r="H1248" s="680">
        <v>1</v>
      </c>
      <c r="I1248" s="679">
        <v>8.9600000000000009</v>
      </c>
      <c r="J1248" s="679">
        <v>8.9600000000000009</v>
      </c>
    </row>
    <row r="1249" spans="1:10" ht="24" customHeight="1">
      <c r="A1249" s="677" t="s">
        <v>13472</v>
      </c>
      <c r="B1249" s="678" t="s">
        <v>13526</v>
      </c>
      <c r="C1249" s="677" t="s">
        <v>7</v>
      </c>
      <c r="D1249" s="677" t="s">
        <v>1093</v>
      </c>
      <c r="E1249" s="918" t="s">
        <v>13470</v>
      </c>
      <c r="F1249" s="918"/>
      <c r="G1249" s="676" t="s">
        <v>19</v>
      </c>
      <c r="H1249" s="675">
        <v>0.1</v>
      </c>
      <c r="I1249" s="674">
        <v>13.48</v>
      </c>
      <c r="J1249" s="674">
        <v>1.34</v>
      </c>
    </row>
    <row r="1250" spans="1:10" ht="24" customHeight="1">
      <c r="A1250" s="677" t="s">
        <v>13472</v>
      </c>
      <c r="B1250" s="678" t="s">
        <v>13473</v>
      </c>
      <c r="C1250" s="677" t="s">
        <v>7</v>
      </c>
      <c r="D1250" s="677" t="s">
        <v>44</v>
      </c>
      <c r="E1250" s="918" t="s">
        <v>13470</v>
      </c>
      <c r="F1250" s="918"/>
      <c r="G1250" s="676" t="s">
        <v>19</v>
      </c>
      <c r="H1250" s="675">
        <v>0.1</v>
      </c>
      <c r="I1250" s="674">
        <v>17.66</v>
      </c>
      <c r="J1250" s="674">
        <v>1.76</v>
      </c>
    </row>
    <row r="1251" spans="1:10" ht="24" customHeight="1">
      <c r="A1251" s="672" t="s">
        <v>13467</v>
      </c>
      <c r="B1251" s="673" t="s">
        <v>14762</v>
      </c>
      <c r="C1251" s="672" t="s">
        <v>7</v>
      </c>
      <c r="D1251" s="672" t="s">
        <v>14761</v>
      </c>
      <c r="E1251" s="919" t="s">
        <v>13464</v>
      </c>
      <c r="F1251" s="919"/>
      <c r="G1251" s="671" t="s">
        <v>34</v>
      </c>
      <c r="H1251" s="670">
        <v>9.9000000000000008E-3</v>
      </c>
      <c r="I1251" s="669">
        <v>83.11</v>
      </c>
      <c r="J1251" s="669">
        <v>0.82</v>
      </c>
    </row>
    <row r="1252" spans="1:10" ht="24" customHeight="1">
      <c r="A1252" s="672" t="s">
        <v>13467</v>
      </c>
      <c r="B1252" s="673" t="s">
        <v>15128</v>
      </c>
      <c r="C1252" s="672" t="s">
        <v>7</v>
      </c>
      <c r="D1252" s="672" t="s">
        <v>15127</v>
      </c>
      <c r="E1252" s="919" t="s">
        <v>13464</v>
      </c>
      <c r="F1252" s="919"/>
      <c r="G1252" s="671" t="s">
        <v>34</v>
      </c>
      <c r="H1252" s="670">
        <v>1</v>
      </c>
      <c r="I1252" s="669">
        <v>3.92</v>
      </c>
      <c r="J1252" s="669">
        <v>3.92</v>
      </c>
    </row>
    <row r="1253" spans="1:10" ht="24" customHeight="1">
      <c r="A1253" s="672" t="s">
        <v>13467</v>
      </c>
      <c r="B1253" s="673" t="s">
        <v>13523</v>
      </c>
      <c r="C1253" s="672" t="s">
        <v>7</v>
      </c>
      <c r="D1253" s="672" t="s">
        <v>13522</v>
      </c>
      <c r="E1253" s="919" t="s">
        <v>13464</v>
      </c>
      <c r="F1253" s="919"/>
      <c r="G1253" s="671" t="s">
        <v>34</v>
      </c>
      <c r="H1253" s="670">
        <v>2.1000000000000001E-2</v>
      </c>
      <c r="I1253" s="669">
        <v>2.2000000000000002</v>
      </c>
      <c r="J1253" s="669">
        <v>0.04</v>
      </c>
    </row>
    <row r="1254" spans="1:10" ht="24" customHeight="1">
      <c r="A1254" s="672" t="s">
        <v>13467</v>
      </c>
      <c r="B1254" s="673" t="s">
        <v>13521</v>
      </c>
      <c r="C1254" s="672" t="s">
        <v>7</v>
      </c>
      <c r="D1254" s="672" t="s">
        <v>13520</v>
      </c>
      <c r="E1254" s="919" t="s">
        <v>13464</v>
      </c>
      <c r="F1254" s="919"/>
      <c r="G1254" s="671" t="s">
        <v>34</v>
      </c>
      <c r="H1254" s="670">
        <v>1.4999999999999999E-2</v>
      </c>
      <c r="I1254" s="669">
        <v>72.17</v>
      </c>
      <c r="J1254" s="669">
        <v>1.08</v>
      </c>
    </row>
    <row r="1255" spans="1:10" ht="25.5">
      <c r="A1255" s="668"/>
      <c r="B1255" s="668"/>
      <c r="C1255" s="668"/>
      <c r="D1255" s="668"/>
      <c r="E1255" s="668" t="s">
        <v>13463</v>
      </c>
      <c r="F1255" s="667">
        <v>1.3256546778224492</v>
      </c>
      <c r="G1255" s="668" t="s">
        <v>13462</v>
      </c>
      <c r="H1255" s="667">
        <v>1.1100000000000001</v>
      </c>
      <c r="I1255" s="668" t="s">
        <v>13461</v>
      </c>
      <c r="J1255" s="667">
        <v>2.44</v>
      </c>
    </row>
    <row r="1256" spans="1:10" ht="15" thickBot="1">
      <c r="A1256" s="668"/>
      <c r="B1256" s="668"/>
      <c r="C1256" s="668"/>
      <c r="D1256" s="668"/>
      <c r="E1256" s="668" t="s">
        <v>13460</v>
      </c>
      <c r="F1256" s="667">
        <v>2.5299999999999998</v>
      </c>
      <c r="G1256" s="668"/>
      <c r="H1256" s="925" t="s">
        <v>13459</v>
      </c>
      <c r="I1256" s="925"/>
      <c r="J1256" s="667">
        <v>11.49</v>
      </c>
    </row>
    <row r="1257" spans="1:10" ht="0.95" customHeight="1" thickTop="1">
      <c r="A1257" s="666"/>
      <c r="B1257" s="666"/>
      <c r="C1257" s="666"/>
      <c r="D1257" s="666"/>
      <c r="E1257" s="666"/>
      <c r="F1257" s="666"/>
      <c r="G1257" s="666"/>
      <c r="H1257" s="666"/>
      <c r="I1257" s="666"/>
      <c r="J1257" s="666"/>
    </row>
    <row r="1258" spans="1:10" ht="18" customHeight="1">
      <c r="A1258" s="686" t="s">
        <v>15126</v>
      </c>
      <c r="B1258" s="684" t="s">
        <v>13484</v>
      </c>
      <c r="C1258" s="686" t="s">
        <v>13483</v>
      </c>
      <c r="D1258" s="686" t="s">
        <v>13482</v>
      </c>
      <c r="E1258" s="924" t="s">
        <v>13481</v>
      </c>
      <c r="F1258" s="924"/>
      <c r="G1258" s="685" t="s">
        <v>13480</v>
      </c>
      <c r="H1258" s="684" t="s">
        <v>13479</v>
      </c>
      <c r="I1258" s="684" t="s">
        <v>13478</v>
      </c>
      <c r="J1258" s="684" t="s">
        <v>13477</v>
      </c>
    </row>
    <row r="1259" spans="1:10" ht="48" customHeight="1">
      <c r="A1259" s="682" t="s">
        <v>13476</v>
      </c>
      <c r="B1259" s="683" t="s">
        <v>15125</v>
      </c>
      <c r="C1259" s="682" t="s">
        <v>7</v>
      </c>
      <c r="D1259" s="682" t="s">
        <v>1561</v>
      </c>
      <c r="E1259" s="917" t="s">
        <v>13474</v>
      </c>
      <c r="F1259" s="917"/>
      <c r="G1259" s="681" t="s">
        <v>34</v>
      </c>
      <c r="H1259" s="680">
        <v>1</v>
      </c>
      <c r="I1259" s="679">
        <v>16.63</v>
      </c>
      <c r="J1259" s="679">
        <v>16.63</v>
      </c>
    </row>
    <row r="1260" spans="1:10" ht="24" customHeight="1">
      <c r="A1260" s="677" t="s">
        <v>13472</v>
      </c>
      <c r="B1260" s="678" t="s">
        <v>13526</v>
      </c>
      <c r="C1260" s="677" t="s">
        <v>7</v>
      </c>
      <c r="D1260" s="677" t="s">
        <v>1093</v>
      </c>
      <c r="E1260" s="918" t="s">
        <v>13470</v>
      </c>
      <c r="F1260" s="918"/>
      <c r="G1260" s="676" t="s">
        <v>19</v>
      </c>
      <c r="H1260" s="675">
        <v>0.13</v>
      </c>
      <c r="I1260" s="674">
        <v>13.48</v>
      </c>
      <c r="J1260" s="674">
        <v>1.75</v>
      </c>
    </row>
    <row r="1261" spans="1:10" ht="24" customHeight="1">
      <c r="A1261" s="677" t="s">
        <v>13472</v>
      </c>
      <c r="B1261" s="678" t="s">
        <v>13473</v>
      </c>
      <c r="C1261" s="677" t="s">
        <v>7</v>
      </c>
      <c r="D1261" s="677" t="s">
        <v>44</v>
      </c>
      <c r="E1261" s="918" t="s">
        <v>13470</v>
      </c>
      <c r="F1261" s="918"/>
      <c r="G1261" s="676" t="s">
        <v>19</v>
      </c>
      <c r="H1261" s="675">
        <v>0.13</v>
      </c>
      <c r="I1261" s="674">
        <v>17.66</v>
      </c>
      <c r="J1261" s="674">
        <v>2.29</v>
      </c>
    </row>
    <row r="1262" spans="1:10" ht="24" customHeight="1">
      <c r="A1262" s="672" t="s">
        <v>13467</v>
      </c>
      <c r="B1262" s="673" t="s">
        <v>15020</v>
      </c>
      <c r="C1262" s="672" t="s">
        <v>7</v>
      </c>
      <c r="D1262" s="672" t="s">
        <v>15019</v>
      </c>
      <c r="E1262" s="919" t="s">
        <v>13464</v>
      </c>
      <c r="F1262" s="919"/>
      <c r="G1262" s="671" t="s">
        <v>34</v>
      </c>
      <c r="H1262" s="670">
        <v>1</v>
      </c>
      <c r="I1262" s="669">
        <v>3.08</v>
      </c>
      <c r="J1262" s="669">
        <v>3.08</v>
      </c>
    </row>
    <row r="1263" spans="1:10" ht="24" customHeight="1">
      <c r="A1263" s="672" t="s">
        <v>13467</v>
      </c>
      <c r="B1263" s="673" t="s">
        <v>15124</v>
      </c>
      <c r="C1263" s="672" t="s">
        <v>7</v>
      </c>
      <c r="D1263" s="672" t="s">
        <v>15123</v>
      </c>
      <c r="E1263" s="919" t="s">
        <v>13464</v>
      </c>
      <c r="F1263" s="919"/>
      <c r="G1263" s="671" t="s">
        <v>34</v>
      </c>
      <c r="H1263" s="670">
        <v>1</v>
      </c>
      <c r="I1263" s="669">
        <v>8.91</v>
      </c>
      <c r="J1263" s="669">
        <v>8.91</v>
      </c>
    </row>
    <row r="1264" spans="1:10" ht="36" customHeight="1">
      <c r="A1264" s="672" t="s">
        <v>13467</v>
      </c>
      <c r="B1264" s="673" t="s">
        <v>15018</v>
      </c>
      <c r="C1264" s="672" t="s">
        <v>7</v>
      </c>
      <c r="D1264" s="672" t="s">
        <v>15017</v>
      </c>
      <c r="E1264" s="919" t="s">
        <v>13464</v>
      </c>
      <c r="F1264" s="919"/>
      <c r="G1264" s="671" t="s">
        <v>34</v>
      </c>
      <c r="H1264" s="670">
        <v>0.02</v>
      </c>
      <c r="I1264" s="669">
        <v>30.43</v>
      </c>
      <c r="J1264" s="669">
        <v>0.6</v>
      </c>
    </row>
    <row r="1265" spans="1:10" ht="25.5">
      <c r="A1265" s="668"/>
      <c r="B1265" s="668"/>
      <c r="C1265" s="668"/>
      <c r="D1265" s="668"/>
      <c r="E1265" s="668" t="s">
        <v>13463</v>
      </c>
      <c r="F1265" s="667">
        <v>1.7168314679995653</v>
      </c>
      <c r="G1265" s="668" t="s">
        <v>13462</v>
      </c>
      <c r="H1265" s="667">
        <v>1.44</v>
      </c>
      <c r="I1265" s="668" t="s">
        <v>13461</v>
      </c>
      <c r="J1265" s="667">
        <v>3.16</v>
      </c>
    </row>
    <row r="1266" spans="1:10" ht="15" thickBot="1">
      <c r="A1266" s="668"/>
      <c r="B1266" s="668"/>
      <c r="C1266" s="668"/>
      <c r="D1266" s="668"/>
      <c r="E1266" s="668" t="s">
        <v>13460</v>
      </c>
      <c r="F1266" s="667">
        <v>4.6900000000000004</v>
      </c>
      <c r="G1266" s="668"/>
      <c r="H1266" s="925" t="s">
        <v>13459</v>
      </c>
      <c r="I1266" s="925"/>
      <c r="J1266" s="667">
        <v>21.32</v>
      </c>
    </row>
    <row r="1267" spans="1:10" ht="0.95" customHeight="1" thickTop="1">
      <c r="A1267" s="666"/>
      <c r="B1267" s="666"/>
      <c r="C1267" s="666"/>
      <c r="D1267" s="666"/>
      <c r="E1267" s="666"/>
      <c r="F1267" s="666"/>
      <c r="G1267" s="666"/>
      <c r="H1267" s="666"/>
      <c r="I1267" s="666"/>
      <c r="J1267" s="666"/>
    </row>
    <row r="1268" spans="1:10" ht="18" customHeight="1">
      <c r="A1268" s="686" t="s">
        <v>15122</v>
      </c>
      <c r="B1268" s="684" t="s">
        <v>13484</v>
      </c>
      <c r="C1268" s="686" t="s">
        <v>13483</v>
      </c>
      <c r="D1268" s="686" t="s">
        <v>13482</v>
      </c>
      <c r="E1268" s="924" t="s">
        <v>13481</v>
      </c>
      <c r="F1268" s="924"/>
      <c r="G1268" s="685" t="s">
        <v>13480</v>
      </c>
      <c r="H1268" s="684" t="s">
        <v>13479</v>
      </c>
      <c r="I1268" s="684" t="s">
        <v>13478</v>
      </c>
      <c r="J1268" s="684" t="s">
        <v>13477</v>
      </c>
    </row>
    <row r="1269" spans="1:10" ht="48" customHeight="1">
      <c r="A1269" s="682" t="s">
        <v>13476</v>
      </c>
      <c r="B1269" s="683" t="s">
        <v>15121</v>
      </c>
      <c r="C1269" s="682" t="s">
        <v>7</v>
      </c>
      <c r="D1269" s="682" t="s">
        <v>1568</v>
      </c>
      <c r="E1269" s="917" t="s">
        <v>13474</v>
      </c>
      <c r="F1269" s="917"/>
      <c r="G1269" s="681" t="s">
        <v>34</v>
      </c>
      <c r="H1269" s="680">
        <v>1</v>
      </c>
      <c r="I1269" s="679">
        <v>28.58</v>
      </c>
      <c r="J1269" s="679">
        <v>28.58</v>
      </c>
    </row>
    <row r="1270" spans="1:10" ht="24" customHeight="1">
      <c r="A1270" s="677" t="s">
        <v>13472</v>
      </c>
      <c r="B1270" s="678" t="s">
        <v>13526</v>
      </c>
      <c r="C1270" s="677" t="s">
        <v>7</v>
      </c>
      <c r="D1270" s="677" t="s">
        <v>1093</v>
      </c>
      <c r="E1270" s="918" t="s">
        <v>13470</v>
      </c>
      <c r="F1270" s="918"/>
      <c r="G1270" s="676" t="s">
        <v>19</v>
      </c>
      <c r="H1270" s="675">
        <v>0.19</v>
      </c>
      <c r="I1270" s="674">
        <v>13.48</v>
      </c>
      <c r="J1270" s="674">
        <v>2.56</v>
      </c>
    </row>
    <row r="1271" spans="1:10" ht="24" customHeight="1">
      <c r="A1271" s="677" t="s">
        <v>13472</v>
      </c>
      <c r="B1271" s="678" t="s">
        <v>13473</v>
      </c>
      <c r="C1271" s="677" t="s">
        <v>7</v>
      </c>
      <c r="D1271" s="677" t="s">
        <v>44</v>
      </c>
      <c r="E1271" s="918" t="s">
        <v>13470</v>
      </c>
      <c r="F1271" s="918"/>
      <c r="G1271" s="676" t="s">
        <v>19</v>
      </c>
      <c r="H1271" s="675">
        <v>0.19</v>
      </c>
      <c r="I1271" s="674">
        <v>17.66</v>
      </c>
      <c r="J1271" s="674">
        <v>3.35</v>
      </c>
    </row>
    <row r="1272" spans="1:10" ht="24" customHeight="1">
      <c r="A1272" s="672" t="s">
        <v>13467</v>
      </c>
      <c r="B1272" s="673" t="s">
        <v>15048</v>
      </c>
      <c r="C1272" s="672" t="s">
        <v>7</v>
      </c>
      <c r="D1272" s="672" t="s">
        <v>15047</v>
      </c>
      <c r="E1272" s="919" t="s">
        <v>13464</v>
      </c>
      <c r="F1272" s="919"/>
      <c r="G1272" s="671" t="s">
        <v>34</v>
      </c>
      <c r="H1272" s="670">
        <v>1</v>
      </c>
      <c r="I1272" s="669">
        <v>4.34</v>
      </c>
      <c r="J1272" s="669">
        <v>4.34</v>
      </c>
    </row>
    <row r="1273" spans="1:10" ht="24" customHeight="1">
      <c r="A1273" s="672" t="s">
        <v>13467</v>
      </c>
      <c r="B1273" s="673" t="s">
        <v>15120</v>
      </c>
      <c r="C1273" s="672" t="s">
        <v>7</v>
      </c>
      <c r="D1273" s="672" t="s">
        <v>15119</v>
      </c>
      <c r="E1273" s="919" t="s">
        <v>13464</v>
      </c>
      <c r="F1273" s="919"/>
      <c r="G1273" s="671" t="s">
        <v>34</v>
      </c>
      <c r="H1273" s="670">
        <v>1</v>
      </c>
      <c r="I1273" s="669">
        <v>17.420000000000002</v>
      </c>
      <c r="J1273" s="669">
        <v>17.420000000000002</v>
      </c>
    </row>
    <row r="1274" spans="1:10" ht="36" customHeight="1">
      <c r="A1274" s="672" t="s">
        <v>13467</v>
      </c>
      <c r="B1274" s="673" t="s">
        <v>15018</v>
      </c>
      <c r="C1274" s="672" t="s">
        <v>7</v>
      </c>
      <c r="D1274" s="672" t="s">
        <v>15017</v>
      </c>
      <c r="E1274" s="919" t="s">
        <v>13464</v>
      </c>
      <c r="F1274" s="919"/>
      <c r="G1274" s="671" t="s">
        <v>34</v>
      </c>
      <c r="H1274" s="670">
        <v>0.03</v>
      </c>
      <c r="I1274" s="669">
        <v>30.43</v>
      </c>
      <c r="J1274" s="669">
        <v>0.91</v>
      </c>
    </row>
    <row r="1275" spans="1:10" ht="25.5">
      <c r="A1275" s="668"/>
      <c r="B1275" s="668"/>
      <c r="C1275" s="668"/>
      <c r="D1275" s="668"/>
      <c r="E1275" s="668" t="s">
        <v>13463</v>
      </c>
      <c r="F1275" s="667">
        <v>2.5154840812778443</v>
      </c>
      <c r="G1275" s="668" t="s">
        <v>13462</v>
      </c>
      <c r="H1275" s="667">
        <v>2.11</v>
      </c>
      <c r="I1275" s="668" t="s">
        <v>13461</v>
      </c>
      <c r="J1275" s="667">
        <v>4.63</v>
      </c>
    </row>
    <row r="1276" spans="1:10" ht="15" thickBot="1">
      <c r="A1276" s="668"/>
      <c r="B1276" s="668"/>
      <c r="C1276" s="668"/>
      <c r="D1276" s="668"/>
      <c r="E1276" s="668" t="s">
        <v>13460</v>
      </c>
      <c r="F1276" s="667">
        <v>8.07</v>
      </c>
      <c r="G1276" s="668"/>
      <c r="H1276" s="925" t="s">
        <v>13459</v>
      </c>
      <c r="I1276" s="925"/>
      <c r="J1276" s="667">
        <v>36.65</v>
      </c>
    </row>
    <row r="1277" spans="1:10" ht="0.95" customHeight="1" thickTop="1">
      <c r="A1277" s="666"/>
      <c r="B1277" s="666"/>
      <c r="C1277" s="666"/>
      <c r="D1277" s="666"/>
      <c r="E1277" s="666"/>
      <c r="F1277" s="666"/>
      <c r="G1277" s="666"/>
      <c r="H1277" s="666"/>
      <c r="I1277" s="666"/>
      <c r="J1277" s="666"/>
    </row>
    <row r="1278" spans="1:10" ht="18" customHeight="1">
      <c r="A1278" s="686" t="s">
        <v>15118</v>
      </c>
      <c r="B1278" s="684" t="s">
        <v>13484</v>
      </c>
      <c r="C1278" s="686" t="s">
        <v>13483</v>
      </c>
      <c r="D1278" s="686" t="s">
        <v>13482</v>
      </c>
      <c r="E1278" s="924" t="s">
        <v>13481</v>
      </c>
      <c r="F1278" s="924"/>
      <c r="G1278" s="685" t="s">
        <v>13480</v>
      </c>
      <c r="H1278" s="684" t="s">
        <v>13479</v>
      </c>
      <c r="I1278" s="684" t="s">
        <v>13478</v>
      </c>
      <c r="J1278" s="684" t="s">
        <v>13477</v>
      </c>
    </row>
    <row r="1279" spans="1:10" ht="48" customHeight="1">
      <c r="A1279" s="682" t="s">
        <v>13476</v>
      </c>
      <c r="B1279" s="683" t="s">
        <v>15117</v>
      </c>
      <c r="C1279" s="682" t="s">
        <v>7</v>
      </c>
      <c r="D1279" s="682" t="s">
        <v>1573</v>
      </c>
      <c r="E1279" s="917" t="s">
        <v>13474</v>
      </c>
      <c r="F1279" s="917"/>
      <c r="G1279" s="681" t="s">
        <v>34</v>
      </c>
      <c r="H1279" s="680">
        <v>1</v>
      </c>
      <c r="I1279" s="679">
        <v>34.67</v>
      </c>
      <c r="J1279" s="679">
        <v>34.67</v>
      </c>
    </row>
    <row r="1280" spans="1:10" ht="24" customHeight="1">
      <c r="A1280" s="677" t="s">
        <v>13472</v>
      </c>
      <c r="B1280" s="678" t="s">
        <v>13526</v>
      </c>
      <c r="C1280" s="677" t="s">
        <v>7</v>
      </c>
      <c r="D1280" s="677" t="s">
        <v>1093</v>
      </c>
      <c r="E1280" s="918" t="s">
        <v>13470</v>
      </c>
      <c r="F1280" s="918"/>
      <c r="G1280" s="676" t="s">
        <v>19</v>
      </c>
      <c r="H1280" s="675">
        <v>0.25</v>
      </c>
      <c r="I1280" s="674">
        <v>13.48</v>
      </c>
      <c r="J1280" s="674">
        <v>3.37</v>
      </c>
    </row>
    <row r="1281" spans="1:10" ht="24" customHeight="1">
      <c r="A1281" s="677" t="s">
        <v>13472</v>
      </c>
      <c r="B1281" s="678" t="s">
        <v>13473</v>
      </c>
      <c r="C1281" s="677" t="s">
        <v>7</v>
      </c>
      <c r="D1281" s="677" t="s">
        <v>44</v>
      </c>
      <c r="E1281" s="918" t="s">
        <v>13470</v>
      </c>
      <c r="F1281" s="918"/>
      <c r="G1281" s="676" t="s">
        <v>19</v>
      </c>
      <c r="H1281" s="675">
        <v>0.25</v>
      </c>
      <c r="I1281" s="674">
        <v>17.66</v>
      </c>
      <c r="J1281" s="674">
        <v>4.41</v>
      </c>
    </row>
    <row r="1282" spans="1:10" ht="24" customHeight="1">
      <c r="A1282" s="672" t="s">
        <v>13467</v>
      </c>
      <c r="B1282" s="673" t="s">
        <v>15042</v>
      </c>
      <c r="C1282" s="672" t="s">
        <v>7</v>
      </c>
      <c r="D1282" s="672" t="s">
        <v>15041</v>
      </c>
      <c r="E1282" s="919" t="s">
        <v>13464</v>
      </c>
      <c r="F1282" s="919"/>
      <c r="G1282" s="671" t="s">
        <v>34</v>
      </c>
      <c r="H1282" s="670">
        <v>1</v>
      </c>
      <c r="I1282" s="669">
        <v>5.45</v>
      </c>
      <c r="J1282" s="669">
        <v>5.45</v>
      </c>
    </row>
    <row r="1283" spans="1:10" ht="24" customHeight="1">
      <c r="A1283" s="672" t="s">
        <v>13467</v>
      </c>
      <c r="B1283" s="673" t="s">
        <v>15116</v>
      </c>
      <c r="C1283" s="672" t="s">
        <v>7</v>
      </c>
      <c r="D1283" s="672" t="s">
        <v>15115</v>
      </c>
      <c r="E1283" s="919" t="s">
        <v>13464</v>
      </c>
      <c r="F1283" s="919"/>
      <c r="G1283" s="671" t="s">
        <v>34</v>
      </c>
      <c r="H1283" s="670">
        <v>1</v>
      </c>
      <c r="I1283" s="669">
        <v>20.05</v>
      </c>
      <c r="J1283" s="669">
        <v>20.05</v>
      </c>
    </row>
    <row r="1284" spans="1:10" ht="36" customHeight="1">
      <c r="A1284" s="672" t="s">
        <v>13467</v>
      </c>
      <c r="B1284" s="673" t="s">
        <v>15018</v>
      </c>
      <c r="C1284" s="672" t="s">
        <v>7</v>
      </c>
      <c r="D1284" s="672" t="s">
        <v>15017</v>
      </c>
      <c r="E1284" s="919" t="s">
        <v>13464</v>
      </c>
      <c r="F1284" s="919"/>
      <c r="G1284" s="671" t="s">
        <v>34</v>
      </c>
      <c r="H1284" s="670">
        <v>4.5999999999999999E-2</v>
      </c>
      <c r="I1284" s="669">
        <v>30.43</v>
      </c>
      <c r="J1284" s="669">
        <v>1.39</v>
      </c>
    </row>
    <row r="1285" spans="1:10" ht="25.5">
      <c r="A1285" s="668"/>
      <c r="B1285" s="668"/>
      <c r="C1285" s="668"/>
      <c r="D1285" s="668"/>
      <c r="E1285" s="668" t="s">
        <v>13463</v>
      </c>
      <c r="F1285" s="667">
        <v>3.3141366945561228</v>
      </c>
      <c r="G1285" s="668" t="s">
        <v>13462</v>
      </c>
      <c r="H1285" s="667">
        <v>2.79</v>
      </c>
      <c r="I1285" s="668" t="s">
        <v>13461</v>
      </c>
      <c r="J1285" s="667">
        <v>6.1</v>
      </c>
    </row>
    <row r="1286" spans="1:10" ht="15" thickBot="1">
      <c r="A1286" s="668"/>
      <c r="B1286" s="668"/>
      <c r="C1286" s="668"/>
      <c r="D1286" s="668"/>
      <c r="E1286" s="668" t="s">
        <v>13460</v>
      </c>
      <c r="F1286" s="667">
        <v>9.7899999999999991</v>
      </c>
      <c r="G1286" s="668"/>
      <c r="H1286" s="925" t="s">
        <v>13459</v>
      </c>
      <c r="I1286" s="925"/>
      <c r="J1286" s="667">
        <v>44.46</v>
      </c>
    </row>
    <row r="1287" spans="1:10" ht="0.95" customHeight="1" thickTop="1">
      <c r="A1287" s="666"/>
      <c r="B1287" s="666"/>
      <c r="C1287" s="666"/>
      <c r="D1287" s="666"/>
      <c r="E1287" s="666"/>
      <c r="F1287" s="666"/>
      <c r="G1287" s="666"/>
      <c r="H1287" s="666"/>
      <c r="I1287" s="666"/>
      <c r="J1287" s="666"/>
    </row>
    <row r="1288" spans="1:10" ht="18" customHeight="1">
      <c r="A1288" s="686" t="s">
        <v>15114</v>
      </c>
      <c r="B1288" s="684" t="s">
        <v>13484</v>
      </c>
      <c r="C1288" s="686" t="s">
        <v>13483</v>
      </c>
      <c r="D1288" s="686" t="s">
        <v>13482</v>
      </c>
      <c r="E1288" s="924" t="s">
        <v>13481</v>
      </c>
      <c r="F1288" s="924"/>
      <c r="G1288" s="685" t="s">
        <v>13480</v>
      </c>
      <c r="H1288" s="684" t="s">
        <v>13479</v>
      </c>
      <c r="I1288" s="684" t="s">
        <v>13478</v>
      </c>
      <c r="J1288" s="684" t="s">
        <v>13477</v>
      </c>
    </row>
    <row r="1289" spans="1:10" ht="48" customHeight="1">
      <c r="A1289" s="682" t="s">
        <v>13476</v>
      </c>
      <c r="B1289" s="683" t="s">
        <v>15113</v>
      </c>
      <c r="C1289" s="682" t="s">
        <v>7</v>
      </c>
      <c r="D1289" s="682" t="s">
        <v>1574</v>
      </c>
      <c r="E1289" s="917" t="s">
        <v>13474</v>
      </c>
      <c r="F1289" s="917"/>
      <c r="G1289" s="681" t="s">
        <v>34</v>
      </c>
      <c r="H1289" s="680">
        <v>1</v>
      </c>
      <c r="I1289" s="679">
        <v>56.8</v>
      </c>
      <c r="J1289" s="679">
        <v>56.8</v>
      </c>
    </row>
    <row r="1290" spans="1:10" ht="24" customHeight="1">
      <c r="A1290" s="677" t="s">
        <v>13472</v>
      </c>
      <c r="B1290" s="678" t="s">
        <v>13526</v>
      </c>
      <c r="C1290" s="677" t="s">
        <v>7</v>
      </c>
      <c r="D1290" s="677" t="s">
        <v>1093</v>
      </c>
      <c r="E1290" s="918" t="s">
        <v>13470</v>
      </c>
      <c r="F1290" s="918"/>
      <c r="G1290" s="676" t="s">
        <v>19</v>
      </c>
      <c r="H1290" s="675">
        <v>0.25</v>
      </c>
      <c r="I1290" s="674">
        <v>13.48</v>
      </c>
      <c r="J1290" s="674">
        <v>3.37</v>
      </c>
    </row>
    <row r="1291" spans="1:10" ht="24" customHeight="1">
      <c r="A1291" s="677" t="s">
        <v>13472</v>
      </c>
      <c r="B1291" s="678" t="s">
        <v>13473</v>
      </c>
      <c r="C1291" s="677" t="s">
        <v>7</v>
      </c>
      <c r="D1291" s="677" t="s">
        <v>44</v>
      </c>
      <c r="E1291" s="918" t="s">
        <v>13470</v>
      </c>
      <c r="F1291" s="918"/>
      <c r="G1291" s="676" t="s">
        <v>19</v>
      </c>
      <c r="H1291" s="675">
        <v>0.25</v>
      </c>
      <c r="I1291" s="674">
        <v>17.66</v>
      </c>
      <c r="J1291" s="674">
        <v>4.41</v>
      </c>
    </row>
    <row r="1292" spans="1:10" ht="24" customHeight="1">
      <c r="A1292" s="672" t="s">
        <v>13467</v>
      </c>
      <c r="B1292" s="673" t="s">
        <v>15042</v>
      </c>
      <c r="C1292" s="672" t="s">
        <v>7</v>
      </c>
      <c r="D1292" s="672" t="s">
        <v>15041</v>
      </c>
      <c r="E1292" s="919" t="s">
        <v>13464</v>
      </c>
      <c r="F1292" s="919"/>
      <c r="G1292" s="671" t="s">
        <v>34</v>
      </c>
      <c r="H1292" s="670">
        <v>1</v>
      </c>
      <c r="I1292" s="669">
        <v>5.45</v>
      </c>
      <c r="J1292" s="669">
        <v>5.45</v>
      </c>
    </row>
    <row r="1293" spans="1:10" ht="24" customHeight="1">
      <c r="A1293" s="672" t="s">
        <v>13467</v>
      </c>
      <c r="B1293" s="673" t="s">
        <v>15112</v>
      </c>
      <c r="C1293" s="672" t="s">
        <v>7</v>
      </c>
      <c r="D1293" s="672" t="s">
        <v>15111</v>
      </c>
      <c r="E1293" s="919" t="s">
        <v>13464</v>
      </c>
      <c r="F1293" s="919"/>
      <c r="G1293" s="671" t="s">
        <v>34</v>
      </c>
      <c r="H1293" s="670">
        <v>1</v>
      </c>
      <c r="I1293" s="669">
        <v>42.18</v>
      </c>
      <c r="J1293" s="669">
        <v>42.18</v>
      </c>
    </row>
    <row r="1294" spans="1:10" ht="36" customHeight="1">
      <c r="A1294" s="672" t="s">
        <v>13467</v>
      </c>
      <c r="B1294" s="673" t="s">
        <v>15018</v>
      </c>
      <c r="C1294" s="672" t="s">
        <v>7</v>
      </c>
      <c r="D1294" s="672" t="s">
        <v>15017</v>
      </c>
      <c r="E1294" s="919" t="s">
        <v>13464</v>
      </c>
      <c r="F1294" s="919"/>
      <c r="G1294" s="671" t="s">
        <v>34</v>
      </c>
      <c r="H1294" s="670">
        <v>4.5999999999999999E-2</v>
      </c>
      <c r="I1294" s="669">
        <v>30.43</v>
      </c>
      <c r="J1294" s="669">
        <v>1.39</v>
      </c>
    </row>
    <row r="1295" spans="1:10" ht="25.5">
      <c r="A1295" s="668"/>
      <c r="B1295" s="668"/>
      <c r="C1295" s="668"/>
      <c r="D1295" s="668"/>
      <c r="E1295" s="668" t="s">
        <v>13463</v>
      </c>
      <c r="F1295" s="667">
        <v>3.3141366945561228</v>
      </c>
      <c r="G1295" s="668" t="s">
        <v>13462</v>
      </c>
      <c r="H1295" s="667">
        <v>2.79</v>
      </c>
      <c r="I1295" s="668" t="s">
        <v>13461</v>
      </c>
      <c r="J1295" s="667">
        <v>6.1</v>
      </c>
    </row>
    <row r="1296" spans="1:10" ht="15" thickBot="1">
      <c r="A1296" s="668"/>
      <c r="B1296" s="668"/>
      <c r="C1296" s="668"/>
      <c r="D1296" s="668"/>
      <c r="E1296" s="668" t="s">
        <v>13460</v>
      </c>
      <c r="F1296" s="667">
        <v>16.04</v>
      </c>
      <c r="G1296" s="668"/>
      <c r="H1296" s="925" t="s">
        <v>13459</v>
      </c>
      <c r="I1296" s="925"/>
      <c r="J1296" s="667">
        <v>72.84</v>
      </c>
    </row>
    <row r="1297" spans="1:10" ht="0.95" customHeight="1" thickTop="1">
      <c r="A1297" s="666"/>
      <c r="B1297" s="666"/>
      <c r="C1297" s="666"/>
      <c r="D1297" s="666"/>
      <c r="E1297" s="666"/>
      <c r="F1297" s="666"/>
      <c r="G1297" s="666"/>
      <c r="H1297" s="666"/>
      <c r="I1297" s="666"/>
      <c r="J1297" s="666"/>
    </row>
    <row r="1298" spans="1:10" ht="18" customHeight="1">
      <c r="A1298" s="686" t="s">
        <v>15110</v>
      </c>
      <c r="B1298" s="684" t="s">
        <v>13484</v>
      </c>
      <c r="C1298" s="686" t="s">
        <v>13483</v>
      </c>
      <c r="D1298" s="686" t="s">
        <v>13482</v>
      </c>
      <c r="E1298" s="924" t="s">
        <v>13481</v>
      </c>
      <c r="F1298" s="924"/>
      <c r="G1298" s="685" t="s">
        <v>13480</v>
      </c>
      <c r="H1298" s="684" t="s">
        <v>13479</v>
      </c>
      <c r="I1298" s="684" t="s">
        <v>13478</v>
      </c>
      <c r="J1298" s="684" t="s">
        <v>13477</v>
      </c>
    </row>
    <row r="1299" spans="1:10" ht="48" customHeight="1">
      <c r="A1299" s="682" t="s">
        <v>13476</v>
      </c>
      <c r="B1299" s="683" t="s">
        <v>15109</v>
      </c>
      <c r="C1299" s="682" t="s">
        <v>7</v>
      </c>
      <c r="D1299" s="682" t="s">
        <v>1629</v>
      </c>
      <c r="E1299" s="917" t="s">
        <v>13474</v>
      </c>
      <c r="F1299" s="917"/>
      <c r="G1299" s="681" t="s">
        <v>34</v>
      </c>
      <c r="H1299" s="680">
        <v>1</v>
      </c>
      <c r="I1299" s="679">
        <v>18.079999999999998</v>
      </c>
      <c r="J1299" s="679">
        <v>18.079999999999998</v>
      </c>
    </row>
    <row r="1300" spans="1:10" ht="24" customHeight="1">
      <c r="A1300" s="677" t="s">
        <v>13472</v>
      </c>
      <c r="B1300" s="678" t="s">
        <v>13526</v>
      </c>
      <c r="C1300" s="677" t="s">
        <v>7</v>
      </c>
      <c r="D1300" s="677" t="s">
        <v>1093</v>
      </c>
      <c r="E1300" s="918" t="s">
        <v>13470</v>
      </c>
      <c r="F1300" s="918"/>
      <c r="G1300" s="676" t="s">
        <v>19</v>
      </c>
      <c r="H1300" s="675">
        <v>0.12</v>
      </c>
      <c r="I1300" s="674">
        <v>13.48</v>
      </c>
      <c r="J1300" s="674">
        <v>1.61</v>
      </c>
    </row>
    <row r="1301" spans="1:10" ht="24" customHeight="1">
      <c r="A1301" s="677" t="s">
        <v>13472</v>
      </c>
      <c r="B1301" s="678" t="s">
        <v>13473</v>
      </c>
      <c r="C1301" s="677" t="s">
        <v>7</v>
      </c>
      <c r="D1301" s="677" t="s">
        <v>44</v>
      </c>
      <c r="E1301" s="918" t="s">
        <v>13470</v>
      </c>
      <c r="F1301" s="918"/>
      <c r="G1301" s="676" t="s">
        <v>19</v>
      </c>
      <c r="H1301" s="675">
        <v>0.12</v>
      </c>
      <c r="I1301" s="674">
        <v>17.66</v>
      </c>
      <c r="J1301" s="674">
        <v>2.11</v>
      </c>
    </row>
    <row r="1302" spans="1:10" ht="24" customHeight="1">
      <c r="A1302" s="672" t="s">
        <v>13467</v>
      </c>
      <c r="B1302" s="673" t="s">
        <v>15042</v>
      </c>
      <c r="C1302" s="672" t="s">
        <v>7</v>
      </c>
      <c r="D1302" s="672" t="s">
        <v>15041</v>
      </c>
      <c r="E1302" s="919" t="s">
        <v>13464</v>
      </c>
      <c r="F1302" s="919"/>
      <c r="G1302" s="671" t="s">
        <v>34</v>
      </c>
      <c r="H1302" s="670">
        <v>1</v>
      </c>
      <c r="I1302" s="669">
        <v>5.45</v>
      </c>
      <c r="J1302" s="669">
        <v>5.45</v>
      </c>
    </row>
    <row r="1303" spans="1:10" ht="24" customHeight="1">
      <c r="A1303" s="672" t="s">
        <v>13467</v>
      </c>
      <c r="B1303" s="673" t="s">
        <v>15108</v>
      </c>
      <c r="C1303" s="672" t="s">
        <v>7</v>
      </c>
      <c r="D1303" s="672" t="s">
        <v>15107</v>
      </c>
      <c r="E1303" s="919" t="s">
        <v>13464</v>
      </c>
      <c r="F1303" s="919"/>
      <c r="G1303" s="671" t="s">
        <v>34</v>
      </c>
      <c r="H1303" s="670">
        <v>1</v>
      </c>
      <c r="I1303" s="669">
        <v>7.52</v>
      </c>
      <c r="J1303" s="669">
        <v>7.52</v>
      </c>
    </row>
    <row r="1304" spans="1:10" ht="36" customHeight="1">
      <c r="A1304" s="672" t="s">
        <v>13467</v>
      </c>
      <c r="B1304" s="673" t="s">
        <v>15018</v>
      </c>
      <c r="C1304" s="672" t="s">
        <v>7</v>
      </c>
      <c r="D1304" s="672" t="s">
        <v>15017</v>
      </c>
      <c r="E1304" s="919" t="s">
        <v>13464</v>
      </c>
      <c r="F1304" s="919"/>
      <c r="G1304" s="671" t="s">
        <v>34</v>
      </c>
      <c r="H1304" s="670">
        <v>4.5999999999999999E-2</v>
      </c>
      <c r="I1304" s="669">
        <v>30.43</v>
      </c>
      <c r="J1304" s="669">
        <v>1.39</v>
      </c>
    </row>
    <row r="1305" spans="1:10" ht="25.5">
      <c r="A1305" s="668"/>
      <c r="B1305" s="668"/>
      <c r="C1305" s="668"/>
      <c r="D1305" s="668"/>
      <c r="E1305" s="668" t="s">
        <v>13463</v>
      </c>
      <c r="F1305" s="667">
        <v>1.5864392046071933</v>
      </c>
      <c r="G1305" s="668" t="s">
        <v>13462</v>
      </c>
      <c r="H1305" s="667">
        <v>1.33</v>
      </c>
      <c r="I1305" s="668" t="s">
        <v>13461</v>
      </c>
      <c r="J1305" s="667">
        <v>2.92</v>
      </c>
    </row>
    <row r="1306" spans="1:10" ht="15" thickBot="1">
      <c r="A1306" s="668"/>
      <c r="B1306" s="668"/>
      <c r="C1306" s="668"/>
      <c r="D1306" s="668"/>
      <c r="E1306" s="668" t="s">
        <v>13460</v>
      </c>
      <c r="F1306" s="667">
        <v>5.0999999999999996</v>
      </c>
      <c r="G1306" s="668"/>
      <c r="H1306" s="925" t="s">
        <v>13459</v>
      </c>
      <c r="I1306" s="925"/>
      <c r="J1306" s="667">
        <v>23.18</v>
      </c>
    </row>
    <row r="1307" spans="1:10" ht="0.95" customHeight="1" thickTop="1">
      <c r="A1307" s="666"/>
      <c r="B1307" s="666"/>
      <c r="C1307" s="666"/>
      <c r="D1307" s="666"/>
      <c r="E1307" s="666"/>
      <c r="F1307" s="666"/>
      <c r="G1307" s="666"/>
      <c r="H1307" s="666"/>
      <c r="I1307" s="666"/>
      <c r="J1307" s="666"/>
    </row>
    <row r="1308" spans="1:10" ht="18" customHeight="1">
      <c r="A1308" s="686" t="s">
        <v>15106</v>
      </c>
      <c r="B1308" s="684" t="s">
        <v>13484</v>
      </c>
      <c r="C1308" s="686" t="s">
        <v>13483</v>
      </c>
      <c r="D1308" s="686" t="s">
        <v>13482</v>
      </c>
      <c r="E1308" s="924" t="s">
        <v>13481</v>
      </c>
      <c r="F1308" s="924"/>
      <c r="G1308" s="685" t="s">
        <v>13480</v>
      </c>
      <c r="H1308" s="684" t="s">
        <v>13479</v>
      </c>
      <c r="I1308" s="684" t="s">
        <v>13478</v>
      </c>
      <c r="J1308" s="684" t="s">
        <v>13477</v>
      </c>
    </row>
    <row r="1309" spans="1:10" ht="48" customHeight="1">
      <c r="A1309" s="682" t="s">
        <v>13476</v>
      </c>
      <c r="B1309" s="683" t="s">
        <v>15105</v>
      </c>
      <c r="C1309" s="682" t="s">
        <v>7</v>
      </c>
      <c r="D1309" s="682" t="s">
        <v>1625</v>
      </c>
      <c r="E1309" s="917" t="s">
        <v>13474</v>
      </c>
      <c r="F1309" s="917"/>
      <c r="G1309" s="681" t="s">
        <v>34</v>
      </c>
      <c r="H1309" s="680">
        <v>1</v>
      </c>
      <c r="I1309" s="679">
        <v>14.49</v>
      </c>
      <c r="J1309" s="679">
        <v>14.49</v>
      </c>
    </row>
    <row r="1310" spans="1:10" ht="24" customHeight="1">
      <c r="A1310" s="677" t="s">
        <v>13472</v>
      </c>
      <c r="B1310" s="678" t="s">
        <v>13526</v>
      </c>
      <c r="C1310" s="677" t="s">
        <v>7</v>
      </c>
      <c r="D1310" s="677" t="s">
        <v>1093</v>
      </c>
      <c r="E1310" s="918" t="s">
        <v>13470</v>
      </c>
      <c r="F1310" s="918"/>
      <c r="G1310" s="676" t="s">
        <v>19</v>
      </c>
      <c r="H1310" s="675">
        <v>0.08</v>
      </c>
      <c r="I1310" s="674">
        <v>13.48</v>
      </c>
      <c r="J1310" s="674">
        <v>1.07</v>
      </c>
    </row>
    <row r="1311" spans="1:10" ht="24" customHeight="1">
      <c r="A1311" s="677" t="s">
        <v>13472</v>
      </c>
      <c r="B1311" s="678" t="s">
        <v>13473</v>
      </c>
      <c r="C1311" s="677" t="s">
        <v>7</v>
      </c>
      <c r="D1311" s="677" t="s">
        <v>44</v>
      </c>
      <c r="E1311" s="918" t="s">
        <v>13470</v>
      </c>
      <c r="F1311" s="918"/>
      <c r="G1311" s="676" t="s">
        <v>19</v>
      </c>
      <c r="H1311" s="675">
        <v>0.08</v>
      </c>
      <c r="I1311" s="674">
        <v>17.66</v>
      </c>
      <c r="J1311" s="674">
        <v>1.41</v>
      </c>
    </row>
    <row r="1312" spans="1:10" ht="24" customHeight="1">
      <c r="A1312" s="672" t="s">
        <v>13467</v>
      </c>
      <c r="B1312" s="673" t="s">
        <v>15048</v>
      </c>
      <c r="C1312" s="672" t="s">
        <v>7</v>
      </c>
      <c r="D1312" s="672" t="s">
        <v>15047</v>
      </c>
      <c r="E1312" s="919" t="s">
        <v>13464</v>
      </c>
      <c r="F1312" s="919"/>
      <c r="G1312" s="671" t="s">
        <v>34</v>
      </c>
      <c r="H1312" s="670">
        <v>1</v>
      </c>
      <c r="I1312" s="669">
        <v>4.34</v>
      </c>
      <c r="J1312" s="669">
        <v>4.34</v>
      </c>
    </row>
    <row r="1313" spans="1:10" ht="24" customHeight="1">
      <c r="A1313" s="672" t="s">
        <v>13467</v>
      </c>
      <c r="B1313" s="673" t="s">
        <v>15104</v>
      </c>
      <c r="C1313" s="672" t="s">
        <v>7</v>
      </c>
      <c r="D1313" s="672" t="s">
        <v>15103</v>
      </c>
      <c r="E1313" s="919" t="s">
        <v>13464</v>
      </c>
      <c r="F1313" s="919"/>
      <c r="G1313" s="671" t="s">
        <v>34</v>
      </c>
      <c r="H1313" s="670">
        <v>1</v>
      </c>
      <c r="I1313" s="669">
        <v>6.76</v>
      </c>
      <c r="J1313" s="669">
        <v>6.76</v>
      </c>
    </row>
    <row r="1314" spans="1:10" ht="36" customHeight="1">
      <c r="A1314" s="672" t="s">
        <v>13467</v>
      </c>
      <c r="B1314" s="673" t="s">
        <v>15018</v>
      </c>
      <c r="C1314" s="672" t="s">
        <v>7</v>
      </c>
      <c r="D1314" s="672" t="s">
        <v>15017</v>
      </c>
      <c r="E1314" s="919" t="s">
        <v>13464</v>
      </c>
      <c r="F1314" s="919"/>
      <c r="G1314" s="671" t="s">
        <v>34</v>
      </c>
      <c r="H1314" s="670">
        <v>0.03</v>
      </c>
      <c r="I1314" s="669">
        <v>30.43</v>
      </c>
      <c r="J1314" s="669">
        <v>0.91</v>
      </c>
    </row>
    <row r="1315" spans="1:10" ht="25.5">
      <c r="A1315" s="668"/>
      <c r="B1315" s="668"/>
      <c r="C1315" s="668"/>
      <c r="D1315" s="668"/>
      <c r="E1315" s="668" t="s">
        <v>13463</v>
      </c>
      <c r="F1315" s="667">
        <v>1.0540041290883408</v>
      </c>
      <c r="G1315" s="668" t="s">
        <v>13462</v>
      </c>
      <c r="H1315" s="667">
        <v>0.89</v>
      </c>
      <c r="I1315" s="668" t="s">
        <v>13461</v>
      </c>
      <c r="J1315" s="667">
        <v>1.94</v>
      </c>
    </row>
    <row r="1316" spans="1:10" ht="15" thickBot="1">
      <c r="A1316" s="668"/>
      <c r="B1316" s="668"/>
      <c r="C1316" s="668"/>
      <c r="D1316" s="668"/>
      <c r="E1316" s="668" t="s">
        <v>13460</v>
      </c>
      <c r="F1316" s="667">
        <v>4.09</v>
      </c>
      <c r="G1316" s="668"/>
      <c r="H1316" s="925" t="s">
        <v>13459</v>
      </c>
      <c r="I1316" s="925"/>
      <c r="J1316" s="667">
        <v>18.579999999999998</v>
      </c>
    </row>
    <row r="1317" spans="1:10" ht="0.95" customHeight="1" thickTop="1">
      <c r="A1317" s="666"/>
      <c r="B1317" s="666"/>
      <c r="C1317" s="666"/>
      <c r="D1317" s="666"/>
      <c r="E1317" s="666"/>
      <c r="F1317" s="666"/>
      <c r="G1317" s="666"/>
      <c r="H1317" s="666"/>
      <c r="I1317" s="666"/>
      <c r="J1317" s="666"/>
    </row>
    <row r="1318" spans="1:10" ht="18" customHeight="1">
      <c r="A1318" s="686" t="s">
        <v>15102</v>
      </c>
      <c r="B1318" s="684" t="s">
        <v>13484</v>
      </c>
      <c r="C1318" s="686" t="s">
        <v>13483</v>
      </c>
      <c r="D1318" s="686" t="s">
        <v>13482</v>
      </c>
      <c r="E1318" s="924" t="s">
        <v>13481</v>
      </c>
      <c r="F1318" s="924"/>
      <c r="G1318" s="685" t="s">
        <v>13480</v>
      </c>
      <c r="H1318" s="684" t="s">
        <v>13479</v>
      </c>
      <c r="I1318" s="684" t="s">
        <v>13478</v>
      </c>
      <c r="J1318" s="684" t="s">
        <v>13477</v>
      </c>
    </row>
    <row r="1319" spans="1:10" ht="48" customHeight="1">
      <c r="A1319" s="682" t="s">
        <v>13476</v>
      </c>
      <c r="B1319" s="683" t="s">
        <v>15101</v>
      </c>
      <c r="C1319" s="682" t="s">
        <v>7</v>
      </c>
      <c r="D1319" s="682" t="s">
        <v>1621</v>
      </c>
      <c r="E1319" s="917" t="s">
        <v>13474</v>
      </c>
      <c r="F1319" s="917"/>
      <c r="G1319" s="681" t="s">
        <v>34</v>
      </c>
      <c r="H1319" s="680">
        <v>1</v>
      </c>
      <c r="I1319" s="679">
        <v>7.76</v>
      </c>
      <c r="J1319" s="679">
        <v>7.76</v>
      </c>
    </row>
    <row r="1320" spans="1:10" ht="24" customHeight="1">
      <c r="A1320" s="677" t="s">
        <v>13472</v>
      </c>
      <c r="B1320" s="678" t="s">
        <v>13526</v>
      </c>
      <c r="C1320" s="677" t="s">
        <v>7</v>
      </c>
      <c r="D1320" s="677" t="s">
        <v>1093</v>
      </c>
      <c r="E1320" s="918" t="s">
        <v>13470</v>
      </c>
      <c r="F1320" s="918"/>
      <c r="G1320" s="676" t="s">
        <v>19</v>
      </c>
      <c r="H1320" s="675">
        <v>0.04</v>
      </c>
      <c r="I1320" s="674">
        <v>13.48</v>
      </c>
      <c r="J1320" s="674">
        <v>0.53</v>
      </c>
    </row>
    <row r="1321" spans="1:10" ht="24" customHeight="1">
      <c r="A1321" s="677" t="s">
        <v>13472</v>
      </c>
      <c r="B1321" s="678" t="s">
        <v>13473</v>
      </c>
      <c r="C1321" s="677" t="s">
        <v>7</v>
      </c>
      <c r="D1321" s="677" t="s">
        <v>44</v>
      </c>
      <c r="E1321" s="918" t="s">
        <v>13470</v>
      </c>
      <c r="F1321" s="918"/>
      <c r="G1321" s="676" t="s">
        <v>19</v>
      </c>
      <c r="H1321" s="675">
        <v>0.04</v>
      </c>
      <c r="I1321" s="674">
        <v>17.66</v>
      </c>
      <c r="J1321" s="674">
        <v>0.7</v>
      </c>
    </row>
    <row r="1322" spans="1:10" ht="24" customHeight="1">
      <c r="A1322" s="672" t="s">
        <v>13467</v>
      </c>
      <c r="B1322" s="673" t="s">
        <v>15020</v>
      </c>
      <c r="C1322" s="672" t="s">
        <v>7</v>
      </c>
      <c r="D1322" s="672" t="s">
        <v>15019</v>
      </c>
      <c r="E1322" s="919" t="s">
        <v>13464</v>
      </c>
      <c r="F1322" s="919"/>
      <c r="G1322" s="671" t="s">
        <v>34</v>
      </c>
      <c r="H1322" s="670">
        <v>1</v>
      </c>
      <c r="I1322" s="669">
        <v>3.08</v>
      </c>
      <c r="J1322" s="669">
        <v>3.08</v>
      </c>
    </row>
    <row r="1323" spans="1:10" ht="24" customHeight="1">
      <c r="A1323" s="672" t="s">
        <v>13467</v>
      </c>
      <c r="B1323" s="673" t="s">
        <v>15100</v>
      </c>
      <c r="C1323" s="672" t="s">
        <v>7</v>
      </c>
      <c r="D1323" s="672" t="s">
        <v>15099</v>
      </c>
      <c r="E1323" s="919" t="s">
        <v>13464</v>
      </c>
      <c r="F1323" s="919"/>
      <c r="G1323" s="671" t="s">
        <v>34</v>
      </c>
      <c r="H1323" s="670">
        <v>1</v>
      </c>
      <c r="I1323" s="669">
        <v>2.85</v>
      </c>
      <c r="J1323" s="669">
        <v>2.85</v>
      </c>
    </row>
    <row r="1324" spans="1:10" ht="36" customHeight="1">
      <c r="A1324" s="672" t="s">
        <v>13467</v>
      </c>
      <c r="B1324" s="673" t="s">
        <v>15018</v>
      </c>
      <c r="C1324" s="672" t="s">
        <v>7</v>
      </c>
      <c r="D1324" s="672" t="s">
        <v>15017</v>
      </c>
      <c r="E1324" s="919" t="s">
        <v>13464</v>
      </c>
      <c r="F1324" s="919"/>
      <c r="G1324" s="671" t="s">
        <v>34</v>
      </c>
      <c r="H1324" s="670">
        <v>0.02</v>
      </c>
      <c r="I1324" s="669">
        <v>30.43</v>
      </c>
      <c r="J1324" s="669">
        <v>0.6</v>
      </c>
    </row>
    <row r="1325" spans="1:10" ht="25.5">
      <c r="A1325" s="668"/>
      <c r="B1325" s="668"/>
      <c r="C1325" s="668"/>
      <c r="D1325" s="668"/>
      <c r="E1325" s="668" t="s">
        <v>13463</v>
      </c>
      <c r="F1325" s="667">
        <v>0.52700206454417042</v>
      </c>
      <c r="G1325" s="668" t="s">
        <v>13462</v>
      </c>
      <c r="H1325" s="667">
        <v>0.44</v>
      </c>
      <c r="I1325" s="668" t="s">
        <v>13461</v>
      </c>
      <c r="J1325" s="667">
        <v>0.97</v>
      </c>
    </row>
    <row r="1326" spans="1:10" ht="15" thickBot="1">
      <c r="A1326" s="668"/>
      <c r="B1326" s="668"/>
      <c r="C1326" s="668"/>
      <c r="D1326" s="668"/>
      <c r="E1326" s="668" t="s">
        <v>13460</v>
      </c>
      <c r="F1326" s="667">
        <v>2.19</v>
      </c>
      <c r="G1326" s="668"/>
      <c r="H1326" s="925" t="s">
        <v>13459</v>
      </c>
      <c r="I1326" s="925"/>
      <c r="J1326" s="667">
        <v>9.9499999999999993</v>
      </c>
    </row>
    <row r="1327" spans="1:10" ht="0.95" customHeight="1" thickTop="1">
      <c r="A1327" s="666"/>
      <c r="B1327" s="666"/>
      <c r="C1327" s="666"/>
      <c r="D1327" s="666"/>
      <c r="E1327" s="666"/>
      <c r="F1327" s="666"/>
      <c r="G1327" s="666"/>
      <c r="H1327" s="666"/>
      <c r="I1327" s="666"/>
      <c r="J1327" s="666"/>
    </row>
    <row r="1328" spans="1:10" ht="18" customHeight="1">
      <c r="A1328" s="686" t="s">
        <v>15098</v>
      </c>
      <c r="B1328" s="684" t="s">
        <v>13484</v>
      </c>
      <c r="C1328" s="686" t="s">
        <v>13483</v>
      </c>
      <c r="D1328" s="686" t="s">
        <v>13482</v>
      </c>
      <c r="E1328" s="924" t="s">
        <v>13481</v>
      </c>
      <c r="F1328" s="924"/>
      <c r="G1328" s="685" t="s">
        <v>13480</v>
      </c>
      <c r="H1328" s="684" t="s">
        <v>13479</v>
      </c>
      <c r="I1328" s="684" t="s">
        <v>13478</v>
      </c>
      <c r="J1328" s="684" t="s">
        <v>13477</v>
      </c>
    </row>
    <row r="1329" spans="1:10" ht="48" customHeight="1">
      <c r="A1329" s="682" t="s">
        <v>13476</v>
      </c>
      <c r="B1329" s="683" t="s">
        <v>15097</v>
      </c>
      <c r="C1329" s="682" t="s">
        <v>7</v>
      </c>
      <c r="D1329" s="682" t="s">
        <v>1554</v>
      </c>
      <c r="E1329" s="917" t="s">
        <v>13474</v>
      </c>
      <c r="F1329" s="917"/>
      <c r="G1329" s="681" t="s">
        <v>34</v>
      </c>
      <c r="H1329" s="680">
        <v>1</v>
      </c>
      <c r="I1329" s="679">
        <v>5.99</v>
      </c>
      <c r="J1329" s="679">
        <v>5.99</v>
      </c>
    </row>
    <row r="1330" spans="1:10" ht="24" customHeight="1">
      <c r="A1330" s="677" t="s">
        <v>13472</v>
      </c>
      <c r="B1330" s="678" t="s">
        <v>13526</v>
      </c>
      <c r="C1330" s="677" t="s">
        <v>7</v>
      </c>
      <c r="D1330" s="677" t="s">
        <v>1093</v>
      </c>
      <c r="E1330" s="918" t="s">
        <v>13470</v>
      </c>
      <c r="F1330" s="918"/>
      <c r="G1330" s="676" t="s">
        <v>19</v>
      </c>
      <c r="H1330" s="675">
        <v>0.1</v>
      </c>
      <c r="I1330" s="674">
        <v>13.48</v>
      </c>
      <c r="J1330" s="674">
        <v>1.34</v>
      </c>
    </row>
    <row r="1331" spans="1:10" ht="24" customHeight="1">
      <c r="A1331" s="677" t="s">
        <v>13472</v>
      </c>
      <c r="B1331" s="678" t="s">
        <v>13473</v>
      </c>
      <c r="C1331" s="677" t="s">
        <v>7</v>
      </c>
      <c r="D1331" s="677" t="s">
        <v>44</v>
      </c>
      <c r="E1331" s="918" t="s">
        <v>13470</v>
      </c>
      <c r="F1331" s="918"/>
      <c r="G1331" s="676" t="s">
        <v>19</v>
      </c>
      <c r="H1331" s="675">
        <v>0.1</v>
      </c>
      <c r="I1331" s="674">
        <v>17.66</v>
      </c>
      <c r="J1331" s="674">
        <v>1.76</v>
      </c>
    </row>
    <row r="1332" spans="1:10" ht="24" customHeight="1">
      <c r="A1332" s="672" t="s">
        <v>13467</v>
      </c>
      <c r="B1332" s="673" t="s">
        <v>14762</v>
      </c>
      <c r="C1332" s="672" t="s">
        <v>7</v>
      </c>
      <c r="D1332" s="672" t="s">
        <v>14761</v>
      </c>
      <c r="E1332" s="919" t="s">
        <v>13464</v>
      </c>
      <c r="F1332" s="919"/>
      <c r="G1332" s="671" t="s">
        <v>34</v>
      </c>
      <c r="H1332" s="670">
        <v>9.9000000000000008E-3</v>
      </c>
      <c r="I1332" s="669">
        <v>83.11</v>
      </c>
      <c r="J1332" s="669">
        <v>0.82</v>
      </c>
    </row>
    <row r="1333" spans="1:10" ht="24" customHeight="1">
      <c r="A1333" s="672" t="s">
        <v>13467</v>
      </c>
      <c r="B1333" s="673" t="s">
        <v>15096</v>
      </c>
      <c r="C1333" s="672" t="s">
        <v>7</v>
      </c>
      <c r="D1333" s="672" t="s">
        <v>15095</v>
      </c>
      <c r="E1333" s="919" t="s">
        <v>13464</v>
      </c>
      <c r="F1333" s="919"/>
      <c r="G1333" s="671" t="s">
        <v>34</v>
      </c>
      <c r="H1333" s="670">
        <v>1</v>
      </c>
      <c r="I1333" s="669">
        <v>0.95</v>
      </c>
      <c r="J1333" s="669">
        <v>0.95</v>
      </c>
    </row>
    <row r="1334" spans="1:10" ht="24" customHeight="1">
      <c r="A1334" s="672" t="s">
        <v>13467</v>
      </c>
      <c r="B1334" s="673" t="s">
        <v>13523</v>
      </c>
      <c r="C1334" s="672" t="s">
        <v>7</v>
      </c>
      <c r="D1334" s="672" t="s">
        <v>13522</v>
      </c>
      <c r="E1334" s="919" t="s">
        <v>13464</v>
      </c>
      <c r="F1334" s="919"/>
      <c r="G1334" s="671" t="s">
        <v>34</v>
      </c>
      <c r="H1334" s="670">
        <v>2.1000000000000001E-2</v>
      </c>
      <c r="I1334" s="669">
        <v>2.2000000000000002</v>
      </c>
      <c r="J1334" s="669">
        <v>0.04</v>
      </c>
    </row>
    <row r="1335" spans="1:10" ht="24" customHeight="1">
      <c r="A1335" s="672" t="s">
        <v>13467</v>
      </c>
      <c r="B1335" s="673" t="s">
        <v>13521</v>
      </c>
      <c r="C1335" s="672" t="s">
        <v>7</v>
      </c>
      <c r="D1335" s="672" t="s">
        <v>13520</v>
      </c>
      <c r="E1335" s="919" t="s">
        <v>13464</v>
      </c>
      <c r="F1335" s="919"/>
      <c r="G1335" s="671" t="s">
        <v>34</v>
      </c>
      <c r="H1335" s="670">
        <v>1.4999999999999999E-2</v>
      </c>
      <c r="I1335" s="669">
        <v>72.17</v>
      </c>
      <c r="J1335" s="669">
        <v>1.08</v>
      </c>
    </row>
    <row r="1336" spans="1:10" ht="25.5">
      <c r="A1336" s="668"/>
      <c r="B1336" s="668"/>
      <c r="C1336" s="668"/>
      <c r="D1336" s="668"/>
      <c r="E1336" s="668" t="s">
        <v>13463</v>
      </c>
      <c r="F1336" s="667">
        <v>1.3256546778224492</v>
      </c>
      <c r="G1336" s="668" t="s">
        <v>13462</v>
      </c>
      <c r="H1336" s="667">
        <v>1.1100000000000001</v>
      </c>
      <c r="I1336" s="668" t="s">
        <v>13461</v>
      </c>
      <c r="J1336" s="667">
        <v>2.44</v>
      </c>
    </row>
    <row r="1337" spans="1:10" ht="15" thickBot="1">
      <c r="A1337" s="668"/>
      <c r="B1337" s="668"/>
      <c r="C1337" s="668"/>
      <c r="D1337" s="668"/>
      <c r="E1337" s="668" t="s">
        <v>13460</v>
      </c>
      <c r="F1337" s="667">
        <v>1.69</v>
      </c>
      <c r="G1337" s="668"/>
      <c r="H1337" s="925" t="s">
        <v>13459</v>
      </c>
      <c r="I1337" s="925"/>
      <c r="J1337" s="667">
        <v>7.68</v>
      </c>
    </row>
    <row r="1338" spans="1:10" ht="0.95" customHeight="1" thickTop="1">
      <c r="A1338" s="666"/>
      <c r="B1338" s="666"/>
      <c r="C1338" s="666"/>
      <c r="D1338" s="666"/>
      <c r="E1338" s="666"/>
      <c r="F1338" s="666"/>
      <c r="G1338" s="666"/>
      <c r="H1338" s="666"/>
      <c r="I1338" s="666"/>
      <c r="J1338" s="666"/>
    </row>
    <row r="1339" spans="1:10" ht="18" customHeight="1">
      <c r="A1339" s="686" t="s">
        <v>15094</v>
      </c>
      <c r="B1339" s="684" t="s">
        <v>13484</v>
      </c>
      <c r="C1339" s="686" t="s">
        <v>13483</v>
      </c>
      <c r="D1339" s="686" t="s">
        <v>13482</v>
      </c>
      <c r="E1339" s="924" t="s">
        <v>13481</v>
      </c>
      <c r="F1339" s="924"/>
      <c r="G1339" s="685" t="s">
        <v>13480</v>
      </c>
      <c r="H1339" s="684" t="s">
        <v>13479</v>
      </c>
      <c r="I1339" s="684" t="s">
        <v>13478</v>
      </c>
      <c r="J1339" s="684" t="s">
        <v>13477</v>
      </c>
    </row>
    <row r="1340" spans="1:10" ht="48" customHeight="1">
      <c r="A1340" s="682" t="s">
        <v>13476</v>
      </c>
      <c r="B1340" s="683" t="s">
        <v>15093</v>
      </c>
      <c r="C1340" s="682" t="s">
        <v>7</v>
      </c>
      <c r="D1340" s="682" t="s">
        <v>1570</v>
      </c>
      <c r="E1340" s="917" t="s">
        <v>13474</v>
      </c>
      <c r="F1340" s="917"/>
      <c r="G1340" s="681" t="s">
        <v>34</v>
      </c>
      <c r="H1340" s="680">
        <v>1</v>
      </c>
      <c r="I1340" s="679">
        <v>22.19</v>
      </c>
      <c r="J1340" s="679">
        <v>22.19</v>
      </c>
    </row>
    <row r="1341" spans="1:10" ht="24" customHeight="1">
      <c r="A1341" s="677" t="s">
        <v>13472</v>
      </c>
      <c r="B1341" s="678" t="s">
        <v>13526</v>
      </c>
      <c r="C1341" s="677" t="s">
        <v>7</v>
      </c>
      <c r="D1341" s="677" t="s">
        <v>1093</v>
      </c>
      <c r="E1341" s="918" t="s">
        <v>13470</v>
      </c>
      <c r="F1341" s="918"/>
      <c r="G1341" s="676" t="s">
        <v>19</v>
      </c>
      <c r="H1341" s="675">
        <v>0.25</v>
      </c>
      <c r="I1341" s="674">
        <v>13.48</v>
      </c>
      <c r="J1341" s="674">
        <v>3.37</v>
      </c>
    </row>
    <row r="1342" spans="1:10" ht="24" customHeight="1">
      <c r="A1342" s="677" t="s">
        <v>13472</v>
      </c>
      <c r="B1342" s="678" t="s">
        <v>13473</v>
      </c>
      <c r="C1342" s="677" t="s">
        <v>7</v>
      </c>
      <c r="D1342" s="677" t="s">
        <v>44</v>
      </c>
      <c r="E1342" s="918" t="s">
        <v>13470</v>
      </c>
      <c r="F1342" s="918"/>
      <c r="G1342" s="676" t="s">
        <v>19</v>
      </c>
      <c r="H1342" s="675">
        <v>0.25</v>
      </c>
      <c r="I1342" s="674">
        <v>17.66</v>
      </c>
      <c r="J1342" s="674">
        <v>4.41</v>
      </c>
    </row>
    <row r="1343" spans="1:10" ht="24" customHeight="1">
      <c r="A1343" s="672" t="s">
        <v>13467</v>
      </c>
      <c r="B1343" s="673" t="s">
        <v>15042</v>
      </c>
      <c r="C1343" s="672" t="s">
        <v>7</v>
      </c>
      <c r="D1343" s="672" t="s">
        <v>15041</v>
      </c>
      <c r="E1343" s="919" t="s">
        <v>13464</v>
      </c>
      <c r="F1343" s="919"/>
      <c r="G1343" s="671" t="s">
        <v>34</v>
      </c>
      <c r="H1343" s="670">
        <v>1</v>
      </c>
      <c r="I1343" s="669">
        <v>5.45</v>
      </c>
      <c r="J1343" s="669">
        <v>5.45</v>
      </c>
    </row>
    <row r="1344" spans="1:10" ht="24" customHeight="1">
      <c r="A1344" s="672" t="s">
        <v>13467</v>
      </c>
      <c r="B1344" s="673" t="s">
        <v>15092</v>
      </c>
      <c r="C1344" s="672" t="s">
        <v>7</v>
      </c>
      <c r="D1344" s="672" t="s">
        <v>15091</v>
      </c>
      <c r="E1344" s="919" t="s">
        <v>13464</v>
      </c>
      <c r="F1344" s="919"/>
      <c r="G1344" s="671" t="s">
        <v>34</v>
      </c>
      <c r="H1344" s="670">
        <v>1</v>
      </c>
      <c r="I1344" s="669">
        <v>7.57</v>
      </c>
      <c r="J1344" s="669">
        <v>7.57</v>
      </c>
    </row>
    <row r="1345" spans="1:10" ht="36" customHeight="1">
      <c r="A1345" s="672" t="s">
        <v>13467</v>
      </c>
      <c r="B1345" s="673" t="s">
        <v>15018</v>
      </c>
      <c r="C1345" s="672" t="s">
        <v>7</v>
      </c>
      <c r="D1345" s="672" t="s">
        <v>15017</v>
      </c>
      <c r="E1345" s="919" t="s">
        <v>13464</v>
      </c>
      <c r="F1345" s="919"/>
      <c r="G1345" s="671" t="s">
        <v>34</v>
      </c>
      <c r="H1345" s="670">
        <v>4.5999999999999999E-2</v>
      </c>
      <c r="I1345" s="669">
        <v>30.43</v>
      </c>
      <c r="J1345" s="669">
        <v>1.39</v>
      </c>
    </row>
    <row r="1346" spans="1:10" ht="25.5">
      <c r="A1346" s="668"/>
      <c r="B1346" s="668"/>
      <c r="C1346" s="668"/>
      <c r="D1346" s="668"/>
      <c r="E1346" s="668" t="s">
        <v>13463</v>
      </c>
      <c r="F1346" s="667">
        <v>3.3141366945561228</v>
      </c>
      <c r="G1346" s="668" t="s">
        <v>13462</v>
      </c>
      <c r="H1346" s="667">
        <v>2.79</v>
      </c>
      <c r="I1346" s="668" t="s">
        <v>13461</v>
      </c>
      <c r="J1346" s="667">
        <v>6.1</v>
      </c>
    </row>
    <row r="1347" spans="1:10" ht="15" thickBot="1">
      <c r="A1347" s="668"/>
      <c r="B1347" s="668"/>
      <c r="C1347" s="668"/>
      <c r="D1347" s="668"/>
      <c r="E1347" s="668" t="s">
        <v>13460</v>
      </c>
      <c r="F1347" s="667">
        <v>6.26</v>
      </c>
      <c r="G1347" s="668"/>
      <c r="H1347" s="925" t="s">
        <v>13459</v>
      </c>
      <c r="I1347" s="925"/>
      <c r="J1347" s="667">
        <v>28.45</v>
      </c>
    </row>
    <row r="1348" spans="1:10" ht="0.95" customHeight="1" thickTop="1">
      <c r="A1348" s="666"/>
      <c r="B1348" s="666"/>
      <c r="C1348" s="666"/>
      <c r="D1348" s="666"/>
      <c r="E1348" s="666"/>
      <c r="F1348" s="666"/>
      <c r="G1348" s="666"/>
      <c r="H1348" s="666"/>
      <c r="I1348" s="666"/>
      <c r="J1348" s="666"/>
    </row>
    <row r="1349" spans="1:10" ht="18" customHeight="1">
      <c r="A1349" s="686" t="s">
        <v>15090</v>
      </c>
      <c r="B1349" s="684" t="s">
        <v>13484</v>
      </c>
      <c r="C1349" s="686" t="s">
        <v>13483</v>
      </c>
      <c r="D1349" s="686" t="s">
        <v>13482</v>
      </c>
      <c r="E1349" s="924" t="s">
        <v>13481</v>
      </c>
      <c r="F1349" s="924"/>
      <c r="G1349" s="685" t="s">
        <v>13480</v>
      </c>
      <c r="H1349" s="684" t="s">
        <v>13479</v>
      </c>
      <c r="I1349" s="684" t="s">
        <v>13478</v>
      </c>
      <c r="J1349" s="684" t="s">
        <v>13477</v>
      </c>
    </row>
    <row r="1350" spans="1:10" ht="48" customHeight="1">
      <c r="A1350" s="682" t="s">
        <v>13476</v>
      </c>
      <c r="B1350" s="683" t="s">
        <v>15089</v>
      </c>
      <c r="C1350" s="682" t="s">
        <v>7</v>
      </c>
      <c r="D1350" s="682" t="s">
        <v>1559</v>
      </c>
      <c r="E1350" s="917" t="s">
        <v>13474</v>
      </c>
      <c r="F1350" s="917"/>
      <c r="G1350" s="681" t="s">
        <v>34</v>
      </c>
      <c r="H1350" s="680">
        <v>1</v>
      </c>
      <c r="I1350" s="679">
        <v>10.01</v>
      </c>
      <c r="J1350" s="679">
        <v>10.01</v>
      </c>
    </row>
    <row r="1351" spans="1:10" ht="24" customHeight="1">
      <c r="A1351" s="677" t="s">
        <v>13472</v>
      </c>
      <c r="B1351" s="678" t="s">
        <v>13526</v>
      </c>
      <c r="C1351" s="677" t="s">
        <v>7</v>
      </c>
      <c r="D1351" s="677" t="s">
        <v>1093</v>
      </c>
      <c r="E1351" s="918" t="s">
        <v>13470</v>
      </c>
      <c r="F1351" s="918"/>
      <c r="G1351" s="676" t="s">
        <v>19</v>
      </c>
      <c r="H1351" s="675">
        <v>0.13</v>
      </c>
      <c r="I1351" s="674">
        <v>13.48</v>
      </c>
      <c r="J1351" s="674">
        <v>1.75</v>
      </c>
    </row>
    <row r="1352" spans="1:10" ht="24" customHeight="1">
      <c r="A1352" s="677" t="s">
        <v>13472</v>
      </c>
      <c r="B1352" s="678" t="s">
        <v>13473</v>
      </c>
      <c r="C1352" s="677" t="s">
        <v>7</v>
      </c>
      <c r="D1352" s="677" t="s">
        <v>44</v>
      </c>
      <c r="E1352" s="918" t="s">
        <v>13470</v>
      </c>
      <c r="F1352" s="918"/>
      <c r="G1352" s="676" t="s">
        <v>19</v>
      </c>
      <c r="H1352" s="675">
        <v>0.13</v>
      </c>
      <c r="I1352" s="674">
        <v>17.66</v>
      </c>
      <c r="J1352" s="674">
        <v>2.29</v>
      </c>
    </row>
    <row r="1353" spans="1:10" ht="24" customHeight="1">
      <c r="A1353" s="672" t="s">
        <v>13467</v>
      </c>
      <c r="B1353" s="673" t="s">
        <v>15020</v>
      </c>
      <c r="C1353" s="672" t="s">
        <v>7</v>
      </c>
      <c r="D1353" s="672" t="s">
        <v>15019</v>
      </c>
      <c r="E1353" s="919" t="s">
        <v>13464</v>
      </c>
      <c r="F1353" s="919"/>
      <c r="G1353" s="671" t="s">
        <v>34</v>
      </c>
      <c r="H1353" s="670">
        <v>1</v>
      </c>
      <c r="I1353" s="669">
        <v>3.08</v>
      </c>
      <c r="J1353" s="669">
        <v>3.08</v>
      </c>
    </row>
    <row r="1354" spans="1:10" ht="24" customHeight="1">
      <c r="A1354" s="672" t="s">
        <v>13467</v>
      </c>
      <c r="B1354" s="673" t="s">
        <v>15088</v>
      </c>
      <c r="C1354" s="672" t="s">
        <v>7</v>
      </c>
      <c r="D1354" s="672" t="s">
        <v>15087</v>
      </c>
      <c r="E1354" s="919" t="s">
        <v>13464</v>
      </c>
      <c r="F1354" s="919"/>
      <c r="G1354" s="671" t="s">
        <v>34</v>
      </c>
      <c r="H1354" s="670">
        <v>1</v>
      </c>
      <c r="I1354" s="669">
        <v>2.29</v>
      </c>
      <c r="J1354" s="669">
        <v>2.29</v>
      </c>
    </row>
    <row r="1355" spans="1:10" ht="36" customHeight="1">
      <c r="A1355" s="672" t="s">
        <v>13467</v>
      </c>
      <c r="B1355" s="673" t="s">
        <v>15018</v>
      </c>
      <c r="C1355" s="672" t="s">
        <v>7</v>
      </c>
      <c r="D1355" s="672" t="s">
        <v>15017</v>
      </c>
      <c r="E1355" s="919" t="s">
        <v>13464</v>
      </c>
      <c r="F1355" s="919"/>
      <c r="G1355" s="671" t="s">
        <v>34</v>
      </c>
      <c r="H1355" s="670">
        <v>0.02</v>
      </c>
      <c r="I1355" s="669">
        <v>30.43</v>
      </c>
      <c r="J1355" s="669">
        <v>0.6</v>
      </c>
    </row>
    <row r="1356" spans="1:10" ht="25.5">
      <c r="A1356" s="668"/>
      <c r="B1356" s="668"/>
      <c r="C1356" s="668"/>
      <c r="D1356" s="668"/>
      <c r="E1356" s="668" t="s">
        <v>13463</v>
      </c>
      <c r="F1356" s="667">
        <v>1.7168314679995653</v>
      </c>
      <c r="G1356" s="668" t="s">
        <v>13462</v>
      </c>
      <c r="H1356" s="667">
        <v>1.44</v>
      </c>
      <c r="I1356" s="668" t="s">
        <v>13461</v>
      </c>
      <c r="J1356" s="667">
        <v>3.16</v>
      </c>
    </row>
    <row r="1357" spans="1:10" ht="15" thickBot="1">
      <c r="A1357" s="668"/>
      <c r="B1357" s="668"/>
      <c r="C1357" s="668"/>
      <c r="D1357" s="668"/>
      <c r="E1357" s="668" t="s">
        <v>13460</v>
      </c>
      <c r="F1357" s="667">
        <v>2.82</v>
      </c>
      <c r="G1357" s="668"/>
      <c r="H1357" s="925" t="s">
        <v>13459</v>
      </c>
      <c r="I1357" s="925"/>
      <c r="J1357" s="667">
        <v>12.83</v>
      </c>
    </row>
    <row r="1358" spans="1:10" ht="0.95" customHeight="1" thickTop="1">
      <c r="A1358" s="666"/>
      <c r="B1358" s="666"/>
      <c r="C1358" s="666"/>
      <c r="D1358" s="666"/>
      <c r="E1358" s="666"/>
      <c r="F1358" s="666"/>
      <c r="G1358" s="666"/>
      <c r="H1358" s="666"/>
      <c r="I1358" s="666"/>
      <c r="J1358" s="666"/>
    </row>
    <row r="1359" spans="1:10" ht="18" customHeight="1">
      <c r="A1359" s="686" t="s">
        <v>15086</v>
      </c>
      <c r="B1359" s="684" t="s">
        <v>13484</v>
      </c>
      <c r="C1359" s="686" t="s">
        <v>13483</v>
      </c>
      <c r="D1359" s="686" t="s">
        <v>13482</v>
      </c>
      <c r="E1359" s="924" t="s">
        <v>13481</v>
      </c>
      <c r="F1359" s="924"/>
      <c r="G1359" s="685" t="s">
        <v>13480</v>
      </c>
      <c r="H1359" s="684" t="s">
        <v>13479</v>
      </c>
      <c r="I1359" s="684" t="s">
        <v>13478</v>
      </c>
      <c r="J1359" s="684" t="s">
        <v>13477</v>
      </c>
    </row>
    <row r="1360" spans="1:10" ht="48" customHeight="1">
      <c r="A1360" s="682" t="s">
        <v>13476</v>
      </c>
      <c r="B1360" s="683" t="s">
        <v>15085</v>
      </c>
      <c r="C1360" s="682" t="s">
        <v>7</v>
      </c>
      <c r="D1360" s="682" t="s">
        <v>1565</v>
      </c>
      <c r="E1360" s="917" t="s">
        <v>13474</v>
      </c>
      <c r="F1360" s="917"/>
      <c r="G1360" s="681" t="s">
        <v>34</v>
      </c>
      <c r="H1360" s="680">
        <v>1</v>
      </c>
      <c r="I1360" s="679">
        <v>17.11</v>
      </c>
      <c r="J1360" s="679">
        <v>17.11</v>
      </c>
    </row>
    <row r="1361" spans="1:10" ht="24" customHeight="1">
      <c r="A1361" s="677" t="s">
        <v>13472</v>
      </c>
      <c r="B1361" s="678" t="s">
        <v>13526</v>
      </c>
      <c r="C1361" s="677" t="s">
        <v>7</v>
      </c>
      <c r="D1361" s="677" t="s">
        <v>1093</v>
      </c>
      <c r="E1361" s="918" t="s">
        <v>13470</v>
      </c>
      <c r="F1361" s="918"/>
      <c r="G1361" s="676" t="s">
        <v>19</v>
      </c>
      <c r="H1361" s="675">
        <v>0.19</v>
      </c>
      <c r="I1361" s="674">
        <v>13.48</v>
      </c>
      <c r="J1361" s="674">
        <v>2.56</v>
      </c>
    </row>
    <row r="1362" spans="1:10" ht="24" customHeight="1">
      <c r="A1362" s="677" t="s">
        <v>13472</v>
      </c>
      <c r="B1362" s="678" t="s">
        <v>13473</v>
      </c>
      <c r="C1362" s="677" t="s">
        <v>7</v>
      </c>
      <c r="D1362" s="677" t="s">
        <v>44</v>
      </c>
      <c r="E1362" s="918" t="s">
        <v>13470</v>
      </c>
      <c r="F1362" s="918"/>
      <c r="G1362" s="676" t="s">
        <v>19</v>
      </c>
      <c r="H1362" s="675">
        <v>0.19</v>
      </c>
      <c r="I1362" s="674">
        <v>17.66</v>
      </c>
      <c r="J1362" s="674">
        <v>3.35</v>
      </c>
    </row>
    <row r="1363" spans="1:10" ht="24" customHeight="1">
      <c r="A1363" s="672" t="s">
        <v>13467</v>
      </c>
      <c r="B1363" s="673" t="s">
        <v>15048</v>
      </c>
      <c r="C1363" s="672" t="s">
        <v>7</v>
      </c>
      <c r="D1363" s="672" t="s">
        <v>15047</v>
      </c>
      <c r="E1363" s="919" t="s">
        <v>13464</v>
      </c>
      <c r="F1363" s="919"/>
      <c r="G1363" s="671" t="s">
        <v>34</v>
      </c>
      <c r="H1363" s="670">
        <v>1</v>
      </c>
      <c r="I1363" s="669">
        <v>4.34</v>
      </c>
      <c r="J1363" s="669">
        <v>4.34</v>
      </c>
    </row>
    <row r="1364" spans="1:10" ht="24" customHeight="1">
      <c r="A1364" s="672" t="s">
        <v>13467</v>
      </c>
      <c r="B1364" s="673" t="s">
        <v>15084</v>
      </c>
      <c r="C1364" s="672" t="s">
        <v>7</v>
      </c>
      <c r="D1364" s="672" t="s">
        <v>15083</v>
      </c>
      <c r="E1364" s="919" t="s">
        <v>13464</v>
      </c>
      <c r="F1364" s="919"/>
      <c r="G1364" s="671" t="s">
        <v>34</v>
      </c>
      <c r="H1364" s="670">
        <v>1</v>
      </c>
      <c r="I1364" s="669">
        <v>5.95</v>
      </c>
      <c r="J1364" s="669">
        <v>5.95</v>
      </c>
    </row>
    <row r="1365" spans="1:10" ht="36" customHeight="1">
      <c r="A1365" s="672" t="s">
        <v>13467</v>
      </c>
      <c r="B1365" s="673" t="s">
        <v>15018</v>
      </c>
      <c r="C1365" s="672" t="s">
        <v>7</v>
      </c>
      <c r="D1365" s="672" t="s">
        <v>15017</v>
      </c>
      <c r="E1365" s="919" t="s">
        <v>13464</v>
      </c>
      <c r="F1365" s="919"/>
      <c r="G1365" s="671" t="s">
        <v>34</v>
      </c>
      <c r="H1365" s="670">
        <v>0.03</v>
      </c>
      <c r="I1365" s="669">
        <v>30.43</v>
      </c>
      <c r="J1365" s="669">
        <v>0.91</v>
      </c>
    </row>
    <row r="1366" spans="1:10" ht="25.5">
      <c r="A1366" s="668"/>
      <c r="B1366" s="668"/>
      <c r="C1366" s="668"/>
      <c r="D1366" s="668"/>
      <c r="E1366" s="668" t="s">
        <v>13463</v>
      </c>
      <c r="F1366" s="667">
        <v>2.5154840812778443</v>
      </c>
      <c r="G1366" s="668" t="s">
        <v>13462</v>
      </c>
      <c r="H1366" s="667">
        <v>2.11</v>
      </c>
      <c r="I1366" s="668" t="s">
        <v>13461</v>
      </c>
      <c r="J1366" s="667">
        <v>4.63</v>
      </c>
    </row>
    <row r="1367" spans="1:10" ht="15" thickBot="1">
      <c r="A1367" s="668"/>
      <c r="B1367" s="668"/>
      <c r="C1367" s="668"/>
      <c r="D1367" s="668"/>
      <c r="E1367" s="668" t="s">
        <v>13460</v>
      </c>
      <c r="F1367" s="667">
        <v>4.83</v>
      </c>
      <c r="G1367" s="668"/>
      <c r="H1367" s="925" t="s">
        <v>13459</v>
      </c>
      <c r="I1367" s="925"/>
      <c r="J1367" s="667">
        <v>21.94</v>
      </c>
    </row>
    <row r="1368" spans="1:10" ht="0.95" customHeight="1" thickTop="1">
      <c r="A1368" s="666"/>
      <c r="B1368" s="666"/>
      <c r="C1368" s="666"/>
      <c r="D1368" s="666"/>
      <c r="E1368" s="666"/>
      <c r="F1368" s="666"/>
      <c r="G1368" s="666"/>
      <c r="H1368" s="666"/>
      <c r="I1368" s="666"/>
      <c r="J1368" s="666"/>
    </row>
    <row r="1369" spans="1:10" ht="18" customHeight="1">
      <c r="A1369" s="686" t="s">
        <v>15082</v>
      </c>
      <c r="B1369" s="684" t="s">
        <v>13484</v>
      </c>
      <c r="C1369" s="686" t="s">
        <v>13483</v>
      </c>
      <c r="D1369" s="686" t="s">
        <v>13482</v>
      </c>
      <c r="E1369" s="924" t="s">
        <v>13481</v>
      </c>
      <c r="F1369" s="924"/>
      <c r="G1369" s="685" t="s">
        <v>13480</v>
      </c>
      <c r="H1369" s="684" t="s">
        <v>13479</v>
      </c>
      <c r="I1369" s="684" t="s">
        <v>13478</v>
      </c>
      <c r="J1369" s="684" t="s">
        <v>13477</v>
      </c>
    </row>
    <row r="1370" spans="1:10" ht="48" customHeight="1">
      <c r="A1370" s="682" t="s">
        <v>13476</v>
      </c>
      <c r="B1370" s="683" t="s">
        <v>15081</v>
      </c>
      <c r="C1370" s="682" t="s">
        <v>7</v>
      </c>
      <c r="D1370" s="682" t="s">
        <v>1552</v>
      </c>
      <c r="E1370" s="917" t="s">
        <v>13474</v>
      </c>
      <c r="F1370" s="917"/>
      <c r="G1370" s="681" t="s">
        <v>34</v>
      </c>
      <c r="H1370" s="680">
        <v>1</v>
      </c>
      <c r="I1370" s="679">
        <v>8.3699999999999992</v>
      </c>
      <c r="J1370" s="679">
        <v>8.3699999999999992</v>
      </c>
    </row>
    <row r="1371" spans="1:10" ht="24" customHeight="1">
      <c r="A1371" s="677" t="s">
        <v>13472</v>
      </c>
      <c r="B1371" s="678" t="s">
        <v>13526</v>
      </c>
      <c r="C1371" s="677" t="s">
        <v>7</v>
      </c>
      <c r="D1371" s="677" t="s">
        <v>1093</v>
      </c>
      <c r="E1371" s="918" t="s">
        <v>13470</v>
      </c>
      <c r="F1371" s="918"/>
      <c r="G1371" s="676" t="s">
        <v>19</v>
      </c>
      <c r="H1371" s="675">
        <v>0.1</v>
      </c>
      <c r="I1371" s="674">
        <v>13.48</v>
      </c>
      <c r="J1371" s="674">
        <v>1.34</v>
      </c>
    </row>
    <row r="1372" spans="1:10" ht="24" customHeight="1">
      <c r="A1372" s="677" t="s">
        <v>13472</v>
      </c>
      <c r="B1372" s="678" t="s">
        <v>13473</v>
      </c>
      <c r="C1372" s="677" t="s">
        <v>7</v>
      </c>
      <c r="D1372" s="677" t="s">
        <v>44</v>
      </c>
      <c r="E1372" s="918" t="s">
        <v>13470</v>
      </c>
      <c r="F1372" s="918"/>
      <c r="G1372" s="676" t="s">
        <v>19</v>
      </c>
      <c r="H1372" s="675">
        <v>0.1</v>
      </c>
      <c r="I1372" s="674">
        <v>17.66</v>
      </c>
      <c r="J1372" s="674">
        <v>1.76</v>
      </c>
    </row>
    <row r="1373" spans="1:10" ht="24" customHeight="1">
      <c r="A1373" s="672" t="s">
        <v>13467</v>
      </c>
      <c r="B1373" s="673" t="s">
        <v>14762</v>
      </c>
      <c r="C1373" s="672" t="s">
        <v>7</v>
      </c>
      <c r="D1373" s="672" t="s">
        <v>14761</v>
      </c>
      <c r="E1373" s="919" t="s">
        <v>13464</v>
      </c>
      <c r="F1373" s="919"/>
      <c r="G1373" s="671" t="s">
        <v>34</v>
      </c>
      <c r="H1373" s="670">
        <v>9.9000000000000008E-3</v>
      </c>
      <c r="I1373" s="669">
        <v>83.11</v>
      </c>
      <c r="J1373" s="669">
        <v>0.82</v>
      </c>
    </row>
    <row r="1374" spans="1:10" ht="24" customHeight="1">
      <c r="A1374" s="672" t="s">
        <v>13467</v>
      </c>
      <c r="B1374" s="673" t="s">
        <v>15080</v>
      </c>
      <c r="C1374" s="672" t="s">
        <v>7</v>
      </c>
      <c r="D1374" s="672" t="s">
        <v>15079</v>
      </c>
      <c r="E1374" s="919" t="s">
        <v>13464</v>
      </c>
      <c r="F1374" s="919"/>
      <c r="G1374" s="671" t="s">
        <v>34</v>
      </c>
      <c r="H1374" s="670">
        <v>1</v>
      </c>
      <c r="I1374" s="669">
        <v>3.33</v>
      </c>
      <c r="J1374" s="669">
        <v>3.33</v>
      </c>
    </row>
    <row r="1375" spans="1:10" ht="24" customHeight="1">
      <c r="A1375" s="672" t="s">
        <v>13467</v>
      </c>
      <c r="B1375" s="673" t="s">
        <v>13523</v>
      </c>
      <c r="C1375" s="672" t="s">
        <v>7</v>
      </c>
      <c r="D1375" s="672" t="s">
        <v>13522</v>
      </c>
      <c r="E1375" s="919" t="s">
        <v>13464</v>
      </c>
      <c r="F1375" s="919"/>
      <c r="G1375" s="671" t="s">
        <v>34</v>
      </c>
      <c r="H1375" s="670">
        <v>2.1000000000000001E-2</v>
      </c>
      <c r="I1375" s="669">
        <v>2.2000000000000002</v>
      </c>
      <c r="J1375" s="669">
        <v>0.04</v>
      </c>
    </row>
    <row r="1376" spans="1:10" ht="24" customHeight="1">
      <c r="A1376" s="672" t="s">
        <v>13467</v>
      </c>
      <c r="B1376" s="673" t="s">
        <v>13521</v>
      </c>
      <c r="C1376" s="672" t="s">
        <v>7</v>
      </c>
      <c r="D1376" s="672" t="s">
        <v>13520</v>
      </c>
      <c r="E1376" s="919" t="s">
        <v>13464</v>
      </c>
      <c r="F1376" s="919"/>
      <c r="G1376" s="671" t="s">
        <v>34</v>
      </c>
      <c r="H1376" s="670">
        <v>1.4999999999999999E-2</v>
      </c>
      <c r="I1376" s="669">
        <v>72.17</v>
      </c>
      <c r="J1376" s="669">
        <v>1.08</v>
      </c>
    </row>
    <row r="1377" spans="1:10" ht="25.5">
      <c r="A1377" s="668"/>
      <c r="B1377" s="668"/>
      <c r="C1377" s="668"/>
      <c r="D1377" s="668"/>
      <c r="E1377" s="668" t="s">
        <v>13463</v>
      </c>
      <c r="F1377" s="667">
        <v>1.3256546778224492</v>
      </c>
      <c r="G1377" s="668" t="s">
        <v>13462</v>
      </c>
      <c r="H1377" s="667">
        <v>1.1100000000000001</v>
      </c>
      <c r="I1377" s="668" t="s">
        <v>13461</v>
      </c>
      <c r="J1377" s="667">
        <v>2.44</v>
      </c>
    </row>
    <row r="1378" spans="1:10" ht="15" thickBot="1">
      <c r="A1378" s="668"/>
      <c r="B1378" s="668"/>
      <c r="C1378" s="668"/>
      <c r="D1378" s="668"/>
      <c r="E1378" s="668" t="s">
        <v>13460</v>
      </c>
      <c r="F1378" s="667">
        <v>2.36</v>
      </c>
      <c r="G1378" s="668"/>
      <c r="H1378" s="925" t="s">
        <v>13459</v>
      </c>
      <c r="I1378" s="925"/>
      <c r="J1378" s="667">
        <v>10.73</v>
      </c>
    </row>
    <row r="1379" spans="1:10" ht="0.95" customHeight="1" thickTop="1">
      <c r="A1379" s="666"/>
      <c r="B1379" s="666"/>
      <c r="C1379" s="666"/>
      <c r="D1379" s="666"/>
      <c r="E1379" s="666"/>
      <c r="F1379" s="666"/>
      <c r="G1379" s="666"/>
      <c r="H1379" s="666"/>
      <c r="I1379" s="666"/>
      <c r="J1379" s="666"/>
    </row>
    <row r="1380" spans="1:10" ht="18" customHeight="1">
      <c r="A1380" s="686" t="s">
        <v>15078</v>
      </c>
      <c r="B1380" s="684" t="s">
        <v>13484</v>
      </c>
      <c r="C1380" s="686" t="s">
        <v>13483</v>
      </c>
      <c r="D1380" s="686" t="s">
        <v>13482</v>
      </c>
      <c r="E1380" s="924" t="s">
        <v>13481</v>
      </c>
      <c r="F1380" s="924"/>
      <c r="G1380" s="685" t="s">
        <v>13480</v>
      </c>
      <c r="H1380" s="684" t="s">
        <v>13479</v>
      </c>
      <c r="I1380" s="684" t="s">
        <v>13478</v>
      </c>
      <c r="J1380" s="684" t="s">
        <v>13477</v>
      </c>
    </row>
    <row r="1381" spans="1:10" ht="48" customHeight="1">
      <c r="A1381" s="682" t="s">
        <v>13476</v>
      </c>
      <c r="B1381" s="683" t="s">
        <v>15077</v>
      </c>
      <c r="C1381" s="682" t="s">
        <v>7</v>
      </c>
      <c r="D1381" s="682" t="s">
        <v>1614</v>
      </c>
      <c r="E1381" s="917" t="s">
        <v>13474</v>
      </c>
      <c r="F1381" s="917"/>
      <c r="G1381" s="681" t="s">
        <v>34</v>
      </c>
      <c r="H1381" s="680">
        <v>1</v>
      </c>
      <c r="I1381" s="679">
        <v>33.380000000000003</v>
      </c>
      <c r="J1381" s="679">
        <v>33.380000000000003</v>
      </c>
    </row>
    <row r="1382" spans="1:10" ht="24" customHeight="1">
      <c r="A1382" s="677" t="s">
        <v>13472</v>
      </c>
      <c r="B1382" s="678" t="s">
        <v>13526</v>
      </c>
      <c r="C1382" s="677" t="s">
        <v>7</v>
      </c>
      <c r="D1382" s="677" t="s">
        <v>1093</v>
      </c>
      <c r="E1382" s="918" t="s">
        <v>13470</v>
      </c>
      <c r="F1382" s="918"/>
      <c r="G1382" s="676" t="s">
        <v>19</v>
      </c>
      <c r="H1382" s="675">
        <v>0.25</v>
      </c>
      <c r="I1382" s="674">
        <v>13.48</v>
      </c>
      <c r="J1382" s="674">
        <v>3.37</v>
      </c>
    </row>
    <row r="1383" spans="1:10" ht="24" customHeight="1">
      <c r="A1383" s="677" t="s">
        <v>13472</v>
      </c>
      <c r="B1383" s="678" t="s">
        <v>13473</v>
      </c>
      <c r="C1383" s="677" t="s">
        <v>7</v>
      </c>
      <c r="D1383" s="677" t="s">
        <v>44</v>
      </c>
      <c r="E1383" s="918" t="s">
        <v>13470</v>
      </c>
      <c r="F1383" s="918"/>
      <c r="G1383" s="676" t="s">
        <v>19</v>
      </c>
      <c r="H1383" s="675">
        <v>0.25</v>
      </c>
      <c r="I1383" s="674">
        <v>17.66</v>
      </c>
      <c r="J1383" s="674">
        <v>4.41</v>
      </c>
    </row>
    <row r="1384" spans="1:10" ht="24" customHeight="1">
      <c r="A1384" s="672" t="s">
        <v>13467</v>
      </c>
      <c r="B1384" s="673" t="s">
        <v>15048</v>
      </c>
      <c r="C1384" s="672" t="s">
        <v>7</v>
      </c>
      <c r="D1384" s="672" t="s">
        <v>15047</v>
      </c>
      <c r="E1384" s="919" t="s">
        <v>13464</v>
      </c>
      <c r="F1384" s="919"/>
      <c r="G1384" s="671" t="s">
        <v>34</v>
      </c>
      <c r="H1384" s="670">
        <v>2</v>
      </c>
      <c r="I1384" s="669">
        <v>4.34</v>
      </c>
      <c r="J1384" s="669">
        <v>8.68</v>
      </c>
    </row>
    <row r="1385" spans="1:10" ht="24" customHeight="1">
      <c r="A1385" s="672" t="s">
        <v>13467</v>
      </c>
      <c r="B1385" s="673" t="s">
        <v>15076</v>
      </c>
      <c r="C1385" s="672" t="s">
        <v>7</v>
      </c>
      <c r="D1385" s="672" t="s">
        <v>15075</v>
      </c>
      <c r="E1385" s="919" t="s">
        <v>13464</v>
      </c>
      <c r="F1385" s="919"/>
      <c r="G1385" s="671" t="s">
        <v>34</v>
      </c>
      <c r="H1385" s="670">
        <v>1</v>
      </c>
      <c r="I1385" s="669">
        <v>15.1</v>
      </c>
      <c r="J1385" s="669">
        <v>15.1</v>
      </c>
    </row>
    <row r="1386" spans="1:10" ht="36" customHeight="1">
      <c r="A1386" s="672" t="s">
        <v>13467</v>
      </c>
      <c r="B1386" s="673" t="s">
        <v>15018</v>
      </c>
      <c r="C1386" s="672" t="s">
        <v>7</v>
      </c>
      <c r="D1386" s="672" t="s">
        <v>15017</v>
      </c>
      <c r="E1386" s="919" t="s">
        <v>13464</v>
      </c>
      <c r="F1386" s="919"/>
      <c r="G1386" s="671" t="s">
        <v>34</v>
      </c>
      <c r="H1386" s="670">
        <v>0.06</v>
      </c>
      <c r="I1386" s="669">
        <v>30.43</v>
      </c>
      <c r="J1386" s="669">
        <v>1.82</v>
      </c>
    </row>
    <row r="1387" spans="1:10" ht="25.5">
      <c r="A1387" s="668"/>
      <c r="B1387" s="668"/>
      <c r="C1387" s="668"/>
      <c r="D1387" s="668"/>
      <c r="E1387" s="668" t="s">
        <v>13463</v>
      </c>
      <c r="F1387" s="667">
        <v>3.3141366945561228</v>
      </c>
      <c r="G1387" s="668" t="s">
        <v>13462</v>
      </c>
      <c r="H1387" s="667">
        <v>2.79</v>
      </c>
      <c r="I1387" s="668" t="s">
        <v>13461</v>
      </c>
      <c r="J1387" s="667">
        <v>6.1</v>
      </c>
    </row>
    <row r="1388" spans="1:10" ht="15" thickBot="1">
      <c r="A1388" s="668"/>
      <c r="B1388" s="668"/>
      <c r="C1388" s="668"/>
      <c r="D1388" s="668"/>
      <c r="E1388" s="668" t="s">
        <v>13460</v>
      </c>
      <c r="F1388" s="667">
        <v>9.42</v>
      </c>
      <c r="G1388" s="668"/>
      <c r="H1388" s="925" t="s">
        <v>13459</v>
      </c>
      <c r="I1388" s="925"/>
      <c r="J1388" s="667">
        <v>42.8</v>
      </c>
    </row>
    <row r="1389" spans="1:10" ht="0.95" customHeight="1" thickTop="1">
      <c r="A1389" s="666"/>
      <c r="B1389" s="666"/>
      <c r="C1389" s="666"/>
      <c r="D1389" s="666"/>
      <c r="E1389" s="666"/>
      <c r="F1389" s="666"/>
      <c r="G1389" s="666"/>
      <c r="H1389" s="666"/>
      <c r="I1389" s="666"/>
      <c r="J1389" s="666"/>
    </row>
    <row r="1390" spans="1:10" ht="18" customHeight="1">
      <c r="A1390" s="686" t="s">
        <v>15074</v>
      </c>
      <c r="B1390" s="684" t="s">
        <v>13484</v>
      </c>
      <c r="C1390" s="686" t="s">
        <v>13483</v>
      </c>
      <c r="D1390" s="686" t="s">
        <v>13482</v>
      </c>
      <c r="E1390" s="924" t="s">
        <v>13481</v>
      </c>
      <c r="F1390" s="924"/>
      <c r="G1390" s="685" t="s">
        <v>13480</v>
      </c>
      <c r="H1390" s="684" t="s">
        <v>13479</v>
      </c>
      <c r="I1390" s="684" t="s">
        <v>13478</v>
      </c>
      <c r="J1390" s="684" t="s">
        <v>13477</v>
      </c>
    </row>
    <row r="1391" spans="1:10" ht="48" customHeight="1">
      <c r="A1391" s="682" t="s">
        <v>13476</v>
      </c>
      <c r="B1391" s="683" t="s">
        <v>15073</v>
      </c>
      <c r="C1391" s="682" t="s">
        <v>7</v>
      </c>
      <c r="D1391" s="682" t="s">
        <v>1616</v>
      </c>
      <c r="E1391" s="917" t="s">
        <v>13474</v>
      </c>
      <c r="F1391" s="917"/>
      <c r="G1391" s="681" t="s">
        <v>34</v>
      </c>
      <c r="H1391" s="680">
        <v>1</v>
      </c>
      <c r="I1391" s="679">
        <v>43.65</v>
      </c>
      <c r="J1391" s="679">
        <v>43.65</v>
      </c>
    </row>
    <row r="1392" spans="1:10" ht="24" customHeight="1">
      <c r="A1392" s="677" t="s">
        <v>13472</v>
      </c>
      <c r="B1392" s="678" t="s">
        <v>13526</v>
      </c>
      <c r="C1392" s="677" t="s">
        <v>7</v>
      </c>
      <c r="D1392" s="677" t="s">
        <v>1093</v>
      </c>
      <c r="E1392" s="918" t="s">
        <v>13470</v>
      </c>
      <c r="F1392" s="918"/>
      <c r="G1392" s="676" t="s">
        <v>19</v>
      </c>
      <c r="H1392" s="675">
        <v>0.33</v>
      </c>
      <c r="I1392" s="674">
        <v>13.48</v>
      </c>
      <c r="J1392" s="674">
        <v>4.4400000000000004</v>
      </c>
    </row>
    <row r="1393" spans="1:10" ht="24" customHeight="1">
      <c r="A1393" s="677" t="s">
        <v>13472</v>
      </c>
      <c r="B1393" s="678" t="s">
        <v>13473</v>
      </c>
      <c r="C1393" s="677" t="s">
        <v>7</v>
      </c>
      <c r="D1393" s="677" t="s">
        <v>44</v>
      </c>
      <c r="E1393" s="918" t="s">
        <v>13470</v>
      </c>
      <c r="F1393" s="918"/>
      <c r="G1393" s="676" t="s">
        <v>19</v>
      </c>
      <c r="H1393" s="675">
        <v>0.33</v>
      </c>
      <c r="I1393" s="674">
        <v>17.66</v>
      </c>
      <c r="J1393" s="674">
        <v>5.82</v>
      </c>
    </row>
    <row r="1394" spans="1:10" ht="24" customHeight="1">
      <c r="A1394" s="672" t="s">
        <v>13467</v>
      </c>
      <c r="B1394" s="673" t="s">
        <v>15042</v>
      </c>
      <c r="C1394" s="672" t="s">
        <v>7</v>
      </c>
      <c r="D1394" s="672" t="s">
        <v>15041</v>
      </c>
      <c r="E1394" s="919" t="s">
        <v>13464</v>
      </c>
      <c r="F1394" s="919"/>
      <c r="G1394" s="671" t="s">
        <v>34</v>
      </c>
      <c r="H1394" s="670">
        <v>2</v>
      </c>
      <c r="I1394" s="669">
        <v>5.45</v>
      </c>
      <c r="J1394" s="669">
        <v>10.9</v>
      </c>
    </row>
    <row r="1395" spans="1:10" ht="24" customHeight="1">
      <c r="A1395" s="672" t="s">
        <v>13467</v>
      </c>
      <c r="B1395" s="673" t="s">
        <v>15072</v>
      </c>
      <c r="C1395" s="672" t="s">
        <v>7</v>
      </c>
      <c r="D1395" s="672" t="s">
        <v>15071</v>
      </c>
      <c r="E1395" s="919" t="s">
        <v>13464</v>
      </c>
      <c r="F1395" s="919"/>
      <c r="G1395" s="671" t="s">
        <v>34</v>
      </c>
      <c r="H1395" s="670">
        <v>1</v>
      </c>
      <c r="I1395" s="669">
        <v>19.7</v>
      </c>
      <c r="J1395" s="669">
        <v>19.7</v>
      </c>
    </row>
    <row r="1396" spans="1:10" ht="36" customHeight="1">
      <c r="A1396" s="672" t="s">
        <v>13467</v>
      </c>
      <c r="B1396" s="673" t="s">
        <v>15018</v>
      </c>
      <c r="C1396" s="672" t="s">
        <v>7</v>
      </c>
      <c r="D1396" s="672" t="s">
        <v>15017</v>
      </c>
      <c r="E1396" s="919" t="s">
        <v>13464</v>
      </c>
      <c r="F1396" s="919"/>
      <c r="G1396" s="671" t="s">
        <v>34</v>
      </c>
      <c r="H1396" s="670">
        <v>9.1999999999999998E-2</v>
      </c>
      <c r="I1396" s="669">
        <v>30.43</v>
      </c>
      <c r="J1396" s="669">
        <v>2.79</v>
      </c>
    </row>
    <row r="1397" spans="1:10" ht="25.5">
      <c r="A1397" s="668"/>
      <c r="B1397" s="668"/>
      <c r="C1397" s="668"/>
      <c r="D1397" s="668"/>
      <c r="E1397" s="668" t="s">
        <v>13463</v>
      </c>
      <c r="F1397" s="667">
        <v>4.3681408236444641</v>
      </c>
      <c r="G1397" s="668" t="s">
        <v>13462</v>
      </c>
      <c r="H1397" s="667">
        <v>3.67</v>
      </c>
      <c r="I1397" s="668" t="s">
        <v>13461</v>
      </c>
      <c r="J1397" s="667">
        <v>8.0399999999999991</v>
      </c>
    </row>
    <row r="1398" spans="1:10" ht="15" thickBot="1">
      <c r="A1398" s="668"/>
      <c r="B1398" s="668"/>
      <c r="C1398" s="668"/>
      <c r="D1398" s="668"/>
      <c r="E1398" s="668" t="s">
        <v>13460</v>
      </c>
      <c r="F1398" s="667">
        <v>12.32</v>
      </c>
      <c r="G1398" s="668"/>
      <c r="H1398" s="925" t="s">
        <v>13459</v>
      </c>
      <c r="I1398" s="925"/>
      <c r="J1398" s="667">
        <v>55.97</v>
      </c>
    </row>
    <row r="1399" spans="1:10" ht="0.95" customHeight="1" thickTop="1">
      <c r="A1399" s="666"/>
      <c r="B1399" s="666"/>
      <c r="C1399" s="666"/>
      <c r="D1399" s="666"/>
      <c r="E1399" s="666"/>
      <c r="F1399" s="666"/>
      <c r="G1399" s="666"/>
      <c r="H1399" s="666"/>
      <c r="I1399" s="666"/>
      <c r="J1399" s="666"/>
    </row>
    <row r="1400" spans="1:10" ht="18" customHeight="1">
      <c r="A1400" s="686" t="s">
        <v>15070</v>
      </c>
      <c r="B1400" s="684" t="s">
        <v>13484</v>
      </c>
      <c r="C1400" s="686" t="s">
        <v>13483</v>
      </c>
      <c r="D1400" s="686" t="s">
        <v>13482</v>
      </c>
      <c r="E1400" s="924" t="s">
        <v>13481</v>
      </c>
      <c r="F1400" s="924"/>
      <c r="G1400" s="685" t="s">
        <v>13480</v>
      </c>
      <c r="H1400" s="684" t="s">
        <v>13479</v>
      </c>
      <c r="I1400" s="684" t="s">
        <v>13478</v>
      </c>
      <c r="J1400" s="684" t="s">
        <v>13477</v>
      </c>
    </row>
    <row r="1401" spans="1:10" ht="48" customHeight="1">
      <c r="A1401" s="682" t="s">
        <v>13476</v>
      </c>
      <c r="B1401" s="683" t="s">
        <v>15069</v>
      </c>
      <c r="C1401" s="682" t="s">
        <v>7</v>
      </c>
      <c r="D1401" s="682" t="s">
        <v>1604</v>
      </c>
      <c r="E1401" s="917" t="s">
        <v>13474</v>
      </c>
      <c r="F1401" s="917"/>
      <c r="G1401" s="681" t="s">
        <v>34</v>
      </c>
      <c r="H1401" s="680">
        <v>1</v>
      </c>
      <c r="I1401" s="679">
        <v>20.72</v>
      </c>
      <c r="J1401" s="679">
        <v>20.72</v>
      </c>
    </row>
    <row r="1402" spans="1:10" ht="24" customHeight="1">
      <c r="A1402" s="677" t="s">
        <v>13472</v>
      </c>
      <c r="B1402" s="678" t="s">
        <v>13526</v>
      </c>
      <c r="C1402" s="677" t="s">
        <v>7</v>
      </c>
      <c r="D1402" s="677" t="s">
        <v>1093</v>
      </c>
      <c r="E1402" s="918" t="s">
        <v>13470</v>
      </c>
      <c r="F1402" s="918"/>
      <c r="G1402" s="676" t="s">
        <v>19</v>
      </c>
      <c r="H1402" s="675">
        <v>0.17</v>
      </c>
      <c r="I1402" s="674">
        <v>13.48</v>
      </c>
      <c r="J1402" s="674">
        <v>2.29</v>
      </c>
    </row>
    <row r="1403" spans="1:10" ht="24" customHeight="1">
      <c r="A1403" s="677" t="s">
        <v>13472</v>
      </c>
      <c r="B1403" s="678" t="s">
        <v>13473</v>
      </c>
      <c r="C1403" s="677" t="s">
        <v>7</v>
      </c>
      <c r="D1403" s="677" t="s">
        <v>44</v>
      </c>
      <c r="E1403" s="918" t="s">
        <v>13470</v>
      </c>
      <c r="F1403" s="918"/>
      <c r="G1403" s="676" t="s">
        <v>19</v>
      </c>
      <c r="H1403" s="675">
        <v>0.17</v>
      </c>
      <c r="I1403" s="674">
        <v>17.66</v>
      </c>
      <c r="J1403" s="674">
        <v>3</v>
      </c>
    </row>
    <row r="1404" spans="1:10" ht="24" customHeight="1">
      <c r="A1404" s="672" t="s">
        <v>13467</v>
      </c>
      <c r="B1404" s="673" t="s">
        <v>15020</v>
      </c>
      <c r="C1404" s="672" t="s">
        <v>7</v>
      </c>
      <c r="D1404" s="672" t="s">
        <v>15019</v>
      </c>
      <c r="E1404" s="919" t="s">
        <v>13464</v>
      </c>
      <c r="F1404" s="919"/>
      <c r="G1404" s="671" t="s">
        <v>34</v>
      </c>
      <c r="H1404" s="670">
        <v>2</v>
      </c>
      <c r="I1404" s="669">
        <v>3.08</v>
      </c>
      <c r="J1404" s="669">
        <v>6.16</v>
      </c>
    </row>
    <row r="1405" spans="1:10" ht="24" customHeight="1">
      <c r="A1405" s="672" t="s">
        <v>13467</v>
      </c>
      <c r="B1405" s="673" t="s">
        <v>15068</v>
      </c>
      <c r="C1405" s="672" t="s">
        <v>7</v>
      </c>
      <c r="D1405" s="672" t="s">
        <v>15067</v>
      </c>
      <c r="E1405" s="919" t="s">
        <v>13464</v>
      </c>
      <c r="F1405" s="919"/>
      <c r="G1405" s="671" t="s">
        <v>34</v>
      </c>
      <c r="H1405" s="670">
        <v>1</v>
      </c>
      <c r="I1405" s="669">
        <v>8.06</v>
      </c>
      <c r="J1405" s="669">
        <v>8.06</v>
      </c>
    </row>
    <row r="1406" spans="1:10" ht="36" customHeight="1">
      <c r="A1406" s="672" t="s">
        <v>13467</v>
      </c>
      <c r="B1406" s="673" t="s">
        <v>15018</v>
      </c>
      <c r="C1406" s="672" t="s">
        <v>7</v>
      </c>
      <c r="D1406" s="672" t="s">
        <v>15017</v>
      </c>
      <c r="E1406" s="919" t="s">
        <v>13464</v>
      </c>
      <c r="F1406" s="919"/>
      <c r="G1406" s="671" t="s">
        <v>34</v>
      </c>
      <c r="H1406" s="670">
        <v>0.04</v>
      </c>
      <c r="I1406" s="669">
        <v>30.43</v>
      </c>
      <c r="J1406" s="669">
        <v>1.21</v>
      </c>
    </row>
    <row r="1407" spans="1:10" ht="25.5">
      <c r="A1407" s="668"/>
      <c r="B1407" s="668"/>
      <c r="C1407" s="668"/>
      <c r="D1407" s="668"/>
      <c r="E1407" s="668" t="s">
        <v>13463</v>
      </c>
      <c r="F1407" s="667">
        <v>2.2546995544930999</v>
      </c>
      <c r="G1407" s="668" t="s">
        <v>13462</v>
      </c>
      <c r="H1407" s="667">
        <v>1.9</v>
      </c>
      <c r="I1407" s="668" t="s">
        <v>13461</v>
      </c>
      <c r="J1407" s="667">
        <v>4.1500000000000004</v>
      </c>
    </row>
    <row r="1408" spans="1:10" ht="15" thickBot="1">
      <c r="A1408" s="668"/>
      <c r="B1408" s="668"/>
      <c r="C1408" s="668"/>
      <c r="D1408" s="668"/>
      <c r="E1408" s="668" t="s">
        <v>13460</v>
      </c>
      <c r="F1408" s="667">
        <v>5.85</v>
      </c>
      <c r="G1408" s="668"/>
      <c r="H1408" s="925" t="s">
        <v>13459</v>
      </c>
      <c r="I1408" s="925"/>
      <c r="J1408" s="667">
        <v>26.57</v>
      </c>
    </row>
    <row r="1409" spans="1:10" ht="0.95" customHeight="1" thickTop="1">
      <c r="A1409" s="666"/>
      <c r="B1409" s="666"/>
      <c r="C1409" s="666"/>
      <c r="D1409" s="666"/>
      <c r="E1409" s="666"/>
      <c r="F1409" s="666"/>
      <c r="G1409" s="666"/>
      <c r="H1409" s="666"/>
      <c r="I1409" s="666"/>
      <c r="J1409" s="666"/>
    </row>
    <row r="1410" spans="1:10" ht="18" customHeight="1">
      <c r="A1410" s="686" t="s">
        <v>15066</v>
      </c>
      <c r="B1410" s="684" t="s">
        <v>13484</v>
      </c>
      <c r="C1410" s="686" t="s">
        <v>13483</v>
      </c>
      <c r="D1410" s="686" t="s">
        <v>13482</v>
      </c>
      <c r="E1410" s="924" t="s">
        <v>13481</v>
      </c>
      <c r="F1410" s="924"/>
      <c r="G1410" s="685" t="s">
        <v>13480</v>
      </c>
      <c r="H1410" s="684" t="s">
        <v>13479</v>
      </c>
      <c r="I1410" s="684" t="s">
        <v>13478</v>
      </c>
      <c r="J1410" s="684" t="s">
        <v>13477</v>
      </c>
    </row>
    <row r="1411" spans="1:10" ht="48" customHeight="1">
      <c r="A1411" s="682" t="s">
        <v>13476</v>
      </c>
      <c r="B1411" s="683" t="s">
        <v>15065</v>
      </c>
      <c r="C1411" s="682" t="s">
        <v>7</v>
      </c>
      <c r="D1411" s="682" t="s">
        <v>1576</v>
      </c>
      <c r="E1411" s="917" t="s">
        <v>13474</v>
      </c>
      <c r="F1411" s="917"/>
      <c r="G1411" s="681" t="s">
        <v>34</v>
      </c>
      <c r="H1411" s="680">
        <v>1</v>
      </c>
      <c r="I1411" s="679">
        <v>5.28</v>
      </c>
      <c r="J1411" s="679">
        <v>5.28</v>
      </c>
    </row>
    <row r="1412" spans="1:10" ht="24" customHeight="1">
      <c r="A1412" s="677" t="s">
        <v>13472</v>
      </c>
      <c r="B1412" s="678" t="s">
        <v>13526</v>
      </c>
      <c r="C1412" s="677" t="s">
        <v>7</v>
      </c>
      <c r="D1412" s="677" t="s">
        <v>1093</v>
      </c>
      <c r="E1412" s="918" t="s">
        <v>13470</v>
      </c>
      <c r="F1412" s="918"/>
      <c r="G1412" s="676" t="s">
        <v>19</v>
      </c>
      <c r="H1412" s="675">
        <v>7.0000000000000007E-2</v>
      </c>
      <c r="I1412" s="674">
        <v>13.48</v>
      </c>
      <c r="J1412" s="674">
        <v>0.94</v>
      </c>
    </row>
    <row r="1413" spans="1:10" ht="24" customHeight="1">
      <c r="A1413" s="677" t="s">
        <v>13472</v>
      </c>
      <c r="B1413" s="678" t="s">
        <v>13473</v>
      </c>
      <c r="C1413" s="677" t="s">
        <v>7</v>
      </c>
      <c r="D1413" s="677" t="s">
        <v>44</v>
      </c>
      <c r="E1413" s="918" t="s">
        <v>13470</v>
      </c>
      <c r="F1413" s="918"/>
      <c r="G1413" s="676" t="s">
        <v>19</v>
      </c>
      <c r="H1413" s="675">
        <v>7.0000000000000007E-2</v>
      </c>
      <c r="I1413" s="674">
        <v>17.66</v>
      </c>
      <c r="J1413" s="674">
        <v>1.23</v>
      </c>
    </row>
    <row r="1414" spans="1:10" ht="24" customHeight="1">
      <c r="A1414" s="672" t="s">
        <v>13467</v>
      </c>
      <c r="B1414" s="673" t="s">
        <v>14762</v>
      </c>
      <c r="C1414" s="672" t="s">
        <v>7</v>
      </c>
      <c r="D1414" s="672" t="s">
        <v>14761</v>
      </c>
      <c r="E1414" s="919" t="s">
        <v>13464</v>
      </c>
      <c r="F1414" s="919"/>
      <c r="G1414" s="671" t="s">
        <v>34</v>
      </c>
      <c r="H1414" s="670">
        <v>9.9000000000000008E-3</v>
      </c>
      <c r="I1414" s="669">
        <v>83.11</v>
      </c>
      <c r="J1414" s="669">
        <v>0.82</v>
      </c>
    </row>
    <row r="1415" spans="1:10" ht="24" customHeight="1">
      <c r="A1415" s="672" t="s">
        <v>13467</v>
      </c>
      <c r="B1415" s="673" t="s">
        <v>15064</v>
      </c>
      <c r="C1415" s="672" t="s">
        <v>7</v>
      </c>
      <c r="D1415" s="672" t="s">
        <v>15063</v>
      </c>
      <c r="E1415" s="919" t="s">
        <v>13464</v>
      </c>
      <c r="F1415" s="919"/>
      <c r="G1415" s="671" t="s">
        <v>34</v>
      </c>
      <c r="H1415" s="670">
        <v>1</v>
      </c>
      <c r="I1415" s="669">
        <v>1.21</v>
      </c>
      <c r="J1415" s="669">
        <v>1.21</v>
      </c>
    </row>
    <row r="1416" spans="1:10" ht="24" customHeight="1">
      <c r="A1416" s="672" t="s">
        <v>13467</v>
      </c>
      <c r="B1416" s="673" t="s">
        <v>13521</v>
      </c>
      <c r="C1416" s="672" t="s">
        <v>7</v>
      </c>
      <c r="D1416" s="672" t="s">
        <v>13520</v>
      </c>
      <c r="E1416" s="919" t="s">
        <v>13464</v>
      </c>
      <c r="F1416" s="919"/>
      <c r="G1416" s="671" t="s">
        <v>34</v>
      </c>
      <c r="H1416" s="670">
        <v>1.4999999999999999E-2</v>
      </c>
      <c r="I1416" s="669">
        <v>72.17</v>
      </c>
      <c r="J1416" s="669">
        <v>1.08</v>
      </c>
    </row>
    <row r="1417" spans="1:10" ht="25.5">
      <c r="A1417" s="668"/>
      <c r="B1417" s="668"/>
      <c r="C1417" s="668"/>
      <c r="D1417" s="668"/>
      <c r="E1417" s="668" t="s">
        <v>13463</v>
      </c>
      <c r="F1417" s="667">
        <v>0.92361186569596876</v>
      </c>
      <c r="G1417" s="668" t="s">
        <v>13462</v>
      </c>
      <c r="H1417" s="667">
        <v>0.78</v>
      </c>
      <c r="I1417" s="668" t="s">
        <v>13461</v>
      </c>
      <c r="J1417" s="667">
        <v>1.7</v>
      </c>
    </row>
    <row r="1418" spans="1:10" ht="15" thickBot="1">
      <c r="A1418" s="668"/>
      <c r="B1418" s="668"/>
      <c r="C1418" s="668"/>
      <c r="D1418" s="668"/>
      <c r="E1418" s="668" t="s">
        <v>13460</v>
      </c>
      <c r="F1418" s="667">
        <v>1.49</v>
      </c>
      <c r="G1418" s="668"/>
      <c r="H1418" s="925" t="s">
        <v>13459</v>
      </c>
      <c r="I1418" s="925"/>
      <c r="J1418" s="667">
        <v>6.77</v>
      </c>
    </row>
    <row r="1419" spans="1:10" ht="0.95" customHeight="1" thickTop="1">
      <c r="A1419" s="666"/>
      <c r="B1419" s="666"/>
      <c r="C1419" s="666"/>
      <c r="D1419" s="666"/>
      <c r="E1419" s="666"/>
      <c r="F1419" s="666"/>
      <c r="G1419" s="666"/>
      <c r="H1419" s="666"/>
      <c r="I1419" s="666"/>
      <c r="J1419" s="666"/>
    </row>
    <row r="1420" spans="1:10" ht="18" customHeight="1">
      <c r="A1420" s="686" t="s">
        <v>15062</v>
      </c>
      <c r="B1420" s="684" t="s">
        <v>13484</v>
      </c>
      <c r="C1420" s="686" t="s">
        <v>13483</v>
      </c>
      <c r="D1420" s="686" t="s">
        <v>13482</v>
      </c>
      <c r="E1420" s="924" t="s">
        <v>13481</v>
      </c>
      <c r="F1420" s="924"/>
      <c r="G1420" s="685" t="s">
        <v>13480</v>
      </c>
      <c r="H1420" s="684" t="s">
        <v>13479</v>
      </c>
      <c r="I1420" s="684" t="s">
        <v>13478</v>
      </c>
      <c r="J1420" s="684" t="s">
        <v>13477</v>
      </c>
    </row>
    <row r="1421" spans="1:10" ht="48" customHeight="1">
      <c r="A1421" s="682" t="s">
        <v>13476</v>
      </c>
      <c r="B1421" s="683" t="s">
        <v>15061</v>
      </c>
      <c r="C1421" s="682" t="s">
        <v>7</v>
      </c>
      <c r="D1421" s="682" t="s">
        <v>1578</v>
      </c>
      <c r="E1421" s="917" t="s">
        <v>13474</v>
      </c>
      <c r="F1421" s="917"/>
      <c r="G1421" s="681" t="s">
        <v>34</v>
      </c>
      <c r="H1421" s="680">
        <v>1</v>
      </c>
      <c r="I1421" s="679">
        <v>15.51</v>
      </c>
      <c r="J1421" s="679">
        <v>15.51</v>
      </c>
    </row>
    <row r="1422" spans="1:10" ht="24" customHeight="1">
      <c r="A1422" s="677" t="s">
        <v>13472</v>
      </c>
      <c r="B1422" s="678" t="s">
        <v>13526</v>
      </c>
      <c r="C1422" s="677" t="s">
        <v>7</v>
      </c>
      <c r="D1422" s="677" t="s">
        <v>1093</v>
      </c>
      <c r="E1422" s="918" t="s">
        <v>13470</v>
      </c>
      <c r="F1422" s="918"/>
      <c r="G1422" s="676" t="s">
        <v>19</v>
      </c>
      <c r="H1422" s="675">
        <v>0.08</v>
      </c>
      <c r="I1422" s="674">
        <v>13.48</v>
      </c>
      <c r="J1422" s="674">
        <v>1.07</v>
      </c>
    </row>
    <row r="1423" spans="1:10" ht="24" customHeight="1">
      <c r="A1423" s="677" t="s">
        <v>13472</v>
      </c>
      <c r="B1423" s="678" t="s">
        <v>13473</v>
      </c>
      <c r="C1423" s="677" t="s">
        <v>7</v>
      </c>
      <c r="D1423" s="677" t="s">
        <v>44</v>
      </c>
      <c r="E1423" s="918" t="s">
        <v>13470</v>
      </c>
      <c r="F1423" s="918"/>
      <c r="G1423" s="676" t="s">
        <v>19</v>
      </c>
      <c r="H1423" s="675">
        <v>0.08</v>
      </c>
      <c r="I1423" s="674">
        <v>17.66</v>
      </c>
      <c r="J1423" s="674">
        <v>1.41</v>
      </c>
    </row>
    <row r="1424" spans="1:10" ht="24" customHeight="1">
      <c r="A1424" s="672" t="s">
        <v>13467</v>
      </c>
      <c r="B1424" s="673" t="s">
        <v>15020</v>
      </c>
      <c r="C1424" s="672" t="s">
        <v>7</v>
      </c>
      <c r="D1424" s="672" t="s">
        <v>15019</v>
      </c>
      <c r="E1424" s="919" t="s">
        <v>13464</v>
      </c>
      <c r="F1424" s="919"/>
      <c r="G1424" s="671" t="s">
        <v>34</v>
      </c>
      <c r="H1424" s="670">
        <v>1</v>
      </c>
      <c r="I1424" s="669">
        <v>3.08</v>
      </c>
      <c r="J1424" s="669">
        <v>3.08</v>
      </c>
    </row>
    <row r="1425" spans="1:10" ht="24" customHeight="1">
      <c r="A1425" s="672" t="s">
        <v>13467</v>
      </c>
      <c r="B1425" s="673" t="s">
        <v>15060</v>
      </c>
      <c r="C1425" s="672" t="s">
        <v>7</v>
      </c>
      <c r="D1425" s="672" t="s">
        <v>15059</v>
      </c>
      <c r="E1425" s="919" t="s">
        <v>13464</v>
      </c>
      <c r="F1425" s="919"/>
      <c r="G1425" s="671" t="s">
        <v>34</v>
      </c>
      <c r="H1425" s="670">
        <v>1</v>
      </c>
      <c r="I1425" s="669">
        <v>9.35</v>
      </c>
      <c r="J1425" s="669">
        <v>9.35</v>
      </c>
    </row>
    <row r="1426" spans="1:10" ht="36" customHeight="1">
      <c r="A1426" s="672" t="s">
        <v>13467</v>
      </c>
      <c r="B1426" s="673" t="s">
        <v>15018</v>
      </c>
      <c r="C1426" s="672" t="s">
        <v>7</v>
      </c>
      <c r="D1426" s="672" t="s">
        <v>15017</v>
      </c>
      <c r="E1426" s="919" t="s">
        <v>13464</v>
      </c>
      <c r="F1426" s="919"/>
      <c r="G1426" s="671" t="s">
        <v>34</v>
      </c>
      <c r="H1426" s="670">
        <v>0.02</v>
      </c>
      <c r="I1426" s="669">
        <v>30.43</v>
      </c>
      <c r="J1426" s="669">
        <v>0.6</v>
      </c>
    </row>
    <row r="1427" spans="1:10" ht="25.5">
      <c r="A1427" s="668"/>
      <c r="B1427" s="668"/>
      <c r="C1427" s="668"/>
      <c r="D1427" s="668"/>
      <c r="E1427" s="668" t="s">
        <v>13463</v>
      </c>
      <c r="F1427" s="667">
        <v>1.0540041290883408</v>
      </c>
      <c r="G1427" s="668" t="s">
        <v>13462</v>
      </c>
      <c r="H1427" s="667">
        <v>0.89</v>
      </c>
      <c r="I1427" s="668" t="s">
        <v>13461</v>
      </c>
      <c r="J1427" s="667">
        <v>1.94</v>
      </c>
    </row>
    <row r="1428" spans="1:10" ht="15" thickBot="1">
      <c r="A1428" s="668"/>
      <c r="B1428" s="668"/>
      <c r="C1428" s="668"/>
      <c r="D1428" s="668"/>
      <c r="E1428" s="668" t="s">
        <v>13460</v>
      </c>
      <c r="F1428" s="667">
        <v>4.38</v>
      </c>
      <c r="G1428" s="668"/>
      <c r="H1428" s="925" t="s">
        <v>13459</v>
      </c>
      <c r="I1428" s="925"/>
      <c r="J1428" s="667">
        <v>19.89</v>
      </c>
    </row>
    <row r="1429" spans="1:10" ht="0.95" customHeight="1" thickTop="1">
      <c r="A1429" s="666"/>
      <c r="B1429" s="666"/>
      <c r="C1429" s="666"/>
      <c r="D1429" s="666"/>
      <c r="E1429" s="666"/>
      <c r="F1429" s="666"/>
      <c r="G1429" s="666"/>
      <c r="H1429" s="666"/>
      <c r="I1429" s="666"/>
      <c r="J1429" s="666"/>
    </row>
    <row r="1430" spans="1:10" ht="18" customHeight="1">
      <c r="A1430" s="686" t="s">
        <v>15058</v>
      </c>
      <c r="B1430" s="684" t="s">
        <v>13484</v>
      </c>
      <c r="C1430" s="686" t="s">
        <v>13483</v>
      </c>
      <c r="D1430" s="686" t="s">
        <v>13482</v>
      </c>
      <c r="E1430" s="924" t="s">
        <v>13481</v>
      </c>
      <c r="F1430" s="924"/>
      <c r="G1430" s="685" t="s">
        <v>13480</v>
      </c>
      <c r="H1430" s="684" t="s">
        <v>13479</v>
      </c>
      <c r="I1430" s="684" t="s">
        <v>13478</v>
      </c>
      <c r="J1430" s="684" t="s">
        <v>13477</v>
      </c>
    </row>
    <row r="1431" spans="1:10" ht="48" customHeight="1">
      <c r="A1431" s="682" t="s">
        <v>13476</v>
      </c>
      <c r="B1431" s="683" t="s">
        <v>15057</v>
      </c>
      <c r="C1431" s="682" t="s">
        <v>7</v>
      </c>
      <c r="D1431" s="682" t="s">
        <v>1596</v>
      </c>
      <c r="E1431" s="917" t="s">
        <v>13474</v>
      </c>
      <c r="F1431" s="917"/>
      <c r="G1431" s="681" t="s">
        <v>34</v>
      </c>
      <c r="H1431" s="680">
        <v>1</v>
      </c>
      <c r="I1431" s="679">
        <v>19.46</v>
      </c>
      <c r="J1431" s="679">
        <v>19.46</v>
      </c>
    </row>
    <row r="1432" spans="1:10" ht="24" customHeight="1">
      <c r="A1432" s="677" t="s">
        <v>13472</v>
      </c>
      <c r="B1432" s="678" t="s">
        <v>13526</v>
      </c>
      <c r="C1432" s="677" t="s">
        <v>7</v>
      </c>
      <c r="D1432" s="677" t="s">
        <v>1093</v>
      </c>
      <c r="E1432" s="918" t="s">
        <v>13470</v>
      </c>
      <c r="F1432" s="918"/>
      <c r="G1432" s="676" t="s">
        <v>19</v>
      </c>
      <c r="H1432" s="675">
        <v>0.13</v>
      </c>
      <c r="I1432" s="674">
        <v>13.48</v>
      </c>
      <c r="J1432" s="674">
        <v>1.75</v>
      </c>
    </row>
    <row r="1433" spans="1:10" ht="24" customHeight="1">
      <c r="A1433" s="677" t="s">
        <v>13472</v>
      </c>
      <c r="B1433" s="678" t="s">
        <v>13473</v>
      </c>
      <c r="C1433" s="677" t="s">
        <v>7</v>
      </c>
      <c r="D1433" s="677" t="s">
        <v>44</v>
      </c>
      <c r="E1433" s="918" t="s">
        <v>13470</v>
      </c>
      <c r="F1433" s="918"/>
      <c r="G1433" s="676" t="s">
        <v>19</v>
      </c>
      <c r="H1433" s="675">
        <v>0.13</v>
      </c>
      <c r="I1433" s="674">
        <v>17.66</v>
      </c>
      <c r="J1433" s="674">
        <v>2.29</v>
      </c>
    </row>
    <row r="1434" spans="1:10" ht="24" customHeight="1">
      <c r="A1434" s="672" t="s">
        <v>13467</v>
      </c>
      <c r="B1434" s="673" t="s">
        <v>15048</v>
      </c>
      <c r="C1434" s="672" t="s">
        <v>7</v>
      </c>
      <c r="D1434" s="672" t="s">
        <v>15047</v>
      </c>
      <c r="E1434" s="919" t="s">
        <v>13464</v>
      </c>
      <c r="F1434" s="919"/>
      <c r="G1434" s="671" t="s">
        <v>34</v>
      </c>
      <c r="H1434" s="670">
        <v>1</v>
      </c>
      <c r="I1434" s="669">
        <v>4.34</v>
      </c>
      <c r="J1434" s="669">
        <v>4.34</v>
      </c>
    </row>
    <row r="1435" spans="1:10" ht="24" customHeight="1">
      <c r="A1435" s="672" t="s">
        <v>13467</v>
      </c>
      <c r="B1435" s="673" t="s">
        <v>15056</v>
      </c>
      <c r="C1435" s="672" t="s">
        <v>7</v>
      </c>
      <c r="D1435" s="672" t="s">
        <v>15055</v>
      </c>
      <c r="E1435" s="919" t="s">
        <v>13464</v>
      </c>
      <c r="F1435" s="919"/>
      <c r="G1435" s="671" t="s">
        <v>34</v>
      </c>
      <c r="H1435" s="670">
        <v>1</v>
      </c>
      <c r="I1435" s="669">
        <v>10.17</v>
      </c>
      <c r="J1435" s="669">
        <v>10.17</v>
      </c>
    </row>
    <row r="1436" spans="1:10" ht="36" customHeight="1">
      <c r="A1436" s="672" t="s">
        <v>13467</v>
      </c>
      <c r="B1436" s="673" t="s">
        <v>15018</v>
      </c>
      <c r="C1436" s="672" t="s">
        <v>7</v>
      </c>
      <c r="D1436" s="672" t="s">
        <v>15017</v>
      </c>
      <c r="E1436" s="919" t="s">
        <v>13464</v>
      </c>
      <c r="F1436" s="919"/>
      <c r="G1436" s="671" t="s">
        <v>34</v>
      </c>
      <c r="H1436" s="670">
        <v>0.03</v>
      </c>
      <c r="I1436" s="669">
        <v>30.43</v>
      </c>
      <c r="J1436" s="669">
        <v>0.91</v>
      </c>
    </row>
    <row r="1437" spans="1:10" ht="25.5">
      <c r="A1437" s="668"/>
      <c r="B1437" s="668"/>
      <c r="C1437" s="668"/>
      <c r="D1437" s="668"/>
      <c r="E1437" s="668" t="s">
        <v>13463</v>
      </c>
      <c r="F1437" s="667">
        <v>1.7168314679995653</v>
      </c>
      <c r="G1437" s="668" t="s">
        <v>13462</v>
      </c>
      <c r="H1437" s="667">
        <v>1.44</v>
      </c>
      <c r="I1437" s="668" t="s">
        <v>13461</v>
      </c>
      <c r="J1437" s="667">
        <v>3.16</v>
      </c>
    </row>
    <row r="1438" spans="1:10" ht="15" thickBot="1">
      <c r="A1438" s="668"/>
      <c r="B1438" s="668"/>
      <c r="C1438" s="668"/>
      <c r="D1438" s="668"/>
      <c r="E1438" s="668" t="s">
        <v>13460</v>
      </c>
      <c r="F1438" s="667">
        <v>5.49</v>
      </c>
      <c r="G1438" s="668"/>
      <c r="H1438" s="925" t="s">
        <v>13459</v>
      </c>
      <c r="I1438" s="925"/>
      <c r="J1438" s="667">
        <v>24.95</v>
      </c>
    </row>
    <row r="1439" spans="1:10" ht="0.95" customHeight="1" thickTop="1">
      <c r="A1439" s="666"/>
      <c r="B1439" s="666"/>
      <c r="C1439" s="666"/>
      <c r="D1439" s="666"/>
      <c r="E1439" s="666"/>
      <c r="F1439" s="666"/>
      <c r="G1439" s="666"/>
      <c r="H1439" s="666"/>
      <c r="I1439" s="666"/>
      <c r="J1439" s="666"/>
    </row>
    <row r="1440" spans="1:10" ht="18" customHeight="1">
      <c r="A1440" s="686" t="s">
        <v>15054</v>
      </c>
      <c r="B1440" s="684" t="s">
        <v>13484</v>
      </c>
      <c r="C1440" s="686" t="s">
        <v>13483</v>
      </c>
      <c r="D1440" s="686" t="s">
        <v>13482</v>
      </c>
      <c r="E1440" s="924" t="s">
        <v>13481</v>
      </c>
      <c r="F1440" s="924"/>
      <c r="G1440" s="685" t="s">
        <v>13480</v>
      </c>
      <c r="H1440" s="684" t="s">
        <v>13479</v>
      </c>
      <c r="I1440" s="684" t="s">
        <v>13478</v>
      </c>
      <c r="J1440" s="684" t="s">
        <v>13477</v>
      </c>
    </row>
    <row r="1441" spans="1:10" ht="48" customHeight="1">
      <c r="A1441" s="682" t="s">
        <v>13476</v>
      </c>
      <c r="B1441" s="683" t="s">
        <v>15053</v>
      </c>
      <c r="C1441" s="682" t="s">
        <v>7</v>
      </c>
      <c r="D1441" s="682" t="s">
        <v>1632</v>
      </c>
      <c r="E1441" s="917" t="s">
        <v>13474</v>
      </c>
      <c r="F1441" s="917"/>
      <c r="G1441" s="681" t="s">
        <v>34</v>
      </c>
      <c r="H1441" s="680">
        <v>1</v>
      </c>
      <c r="I1441" s="679">
        <v>7.23</v>
      </c>
      <c r="J1441" s="679">
        <v>7.23</v>
      </c>
    </row>
    <row r="1442" spans="1:10" ht="24" customHeight="1">
      <c r="A1442" s="677" t="s">
        <v>13472</v>
      </c>
      <c r="B1442" s="678" t="s">
        <v>13526</v>
      </c>
      <c r="C1442" s="677" t="s">
        <v>7</v>
      </c>
      <c r="D1442" s="677" t="s">
        <v>1093</v>
      </c>
      <c r="E1442" s="918" t="s">
        <v>13470</v>
      </c>
      <c r="F1442" s="918"/>
      <c r="G1442" s="676" t="s">
        <v>19</v>
      </c>
      <c r="H1442" s="675">
        <v>0.03</v>
      </c>
      <c r="I1442" s="674">
        <v>13.48</v>
      </c>
      <c r="J1442" s="674">
        <v>0.4</v>
      </c>
    </row>
    <row r="1443" spans="1:10" ht="24" customHeight="1">
      <c r="A1443" s="677" t="s">
        <v>13472</v>
      </c>
      <c r="B1443" s="678" t="s">
        <v>13473</v>
      </c>
      <c r="C1443" s="677" t="s">
        <v>7</v>
      </c>
      <c r="D1443" s="677" t="s">
        <v>44</v>
      </c>
      <c r="E1443" s="918" t="s">
        <v>13470</v>
      </c>
      <c r="F1443" s="918"/>
      <c r="G1443" s="676" t="s">
        <v>19</v>
      </c>
      <c r="H1443" s="675">
        <v>0.03</v>
      </c>
      <c r="I1443" s="674">
        <v>17.66</v>
      </c>
      <c r="J1443" s="674">
        <v>0.52</v>
      </c>
    </row>
    <row r="1444" spans="1:10" ht="24" customHeight="1">
      <c r="A1444" s="672" t="s">
        <v>13467</v>
      </c>
      <c r="B1444" s="673" t="s">
        <v>15020</v>
      </c>
      <c r="C1444" s="672" t="s">
        <v>7</v>
      </c>
      <c r="D1444" s="672" t="s">
        <v>15019</v>
      </c>
      <c r="E1444" s="919" t="s">
        <v>13464</v>
      </c>
      <c r="F1444" s="919"/>
      <c r="G1444" s="671" t="s">
        <v>34</v>
      </c>
      <c r="H1444" s="670">
        <v>1</v>
      </c>
      <c r="I1444" s="669">
        <v>3.08</v>
      </c>
      <c r="J1444" s="669">
        <v>3.08</v>
      </c>
    </row>
    <row r="1445" spans="1:10" ht="24" customHeight="1">
      <c r="A1445" s="672" t="s">
        <v>13467</v>
      </c>
      <c r="B1445" s="673" t="s">
        <v>15052</v>
      </c>
      <c r="C1445" s="672" t="s">
        <v>7</v>
      </c>
      <c r="D1445" s="672" t="s">
        <v>15051</v>
      </c>
      <c r="E1445" s="919" t="s">
        <v>13464</v>
      </c>
      <c r="F1445" s="919"/>
      <c r="G1445" s="671" t="s">
        <v>34</v>
      </c>
      <c r="H1445" s="670">
        <v>1</v>
      </c>
      <c r="I1445" s="669">
        <v>2.63</v>
      </c>
      <c r="J1445" s="669">
        <v>2.63</v>
      </c>
    </row>
    <row r="1446" spans="1:10" ht="36" customHeight="1">
      <c r="A1446" s="672" t="s">
        <v>13467</v>
      </c>
      <c r="B1446" s="673" t="s">
        <v>15018</v>
      </c>
      <c r="C1446" s="672" t="s">
        <v>7</v>
      </c>
      <c r="D1446" s="672" t="s">
        <v>15017</v>
      </c>
      <c r="E1446" s="919" t="s">
        <v>13464</v>
      </c>
      <c r="F1446" s="919"/>
      <c r="G1446" s="671" t="s">
        <v>34</v>
      </c>
      <c r="H1446" s="670">
        <v>0.02</v>
      </c>
      <c r="I1446" s="669">
        <v>30.43</v>
      </c>
      <c r="J1446" s="669">
        <v>0.6</v>
      </c>
    </row>
    <row r="1447" spans="1:10" ht="25.5">
      <c r="A1447" s="668"/>
      <c r="B1447" s="668"/>
      <c r="C1447" s="668"/>
      <c r="D1447" s="668"/>
      <c r="E1447" s="668" t="s">
        <v>13463</v>
      </c>
      <c r="F1447" s="667">
        <v>0.39117679017711615</v>
      </c>
      <c r="G1447" s="668" t="s">
        <v>13462</v>
      </c>
      <c r="H1447" s="667">
        <v>0.33</v>
      </c>
      <c r="I1447" s="668" t="s">
        <v>13461</v>
      </c>
      <c r="J1447" s="667">
        <v>0.72</v>
      </c>
    </row>
    <row r="1448" spans="1:10" ht="15" thickBot="1">
      <c r="A1448" s="668"/>
      <c r="B1448" s="668"/>
      <c r="C1448" s="668"/>
      <c r="D1448" s="668"/>
      <c r="E1448" s="668" t="s">
        <v>13460</v>
      </c>
      <c r="F1448" s="667">
        <v>2.04</v>
      </c>
      <c r="G1448" s="668"/>
      <c r="H1448" s="925" t="s">
        <v>13459</v>
      </c>
      <c r="I1448" s="925"/>
      <c r="J1448" s="667">
        <v>9.27</v>
      </c>
    </row>
    <row r="1449" spans="1:10" ht="0.95" customHeight="1" thickTop="1">
      <c r="A1449" s="666"/>
      <c r="B1449" s="666"/>
      <c r="C1449" s="666"/>
      <c r="D1449" s="666"/>
      <c r="E1449" s="666"/>
      <c r="F1449" s="666"/>
      <c r="G1449" s="666"/>
      <c r="H1449" s="666"/>
      <c r="I1449" s="666"/>
      <c r="J1449" s="666"/>
    </row>
    <row r="1450" spans="1:10" ht="18" customHeight="1">
      <c r="A1450" s="686" t="s">
        <v>15050</v>
      </c>
      <c r="B1450" s="684" t="s">
        <v>13484</v>
      </c>
      <c r="C1450" s="686" t="s">
        <v>13483</v>
      </c>
      <c r="D1450" s="686" t="s">
        <v>13482</v>
      </c>
      <c r="E1450" s="924" t="s">
        <v>13481</v>
      </c>
      <c r="F1450" s="924"/>
      <c r="G1450" s="685" t="s">
        <v>13480</v>
      </c>
      <c r="H1450" s="684" t="s">
        <v>13479</v>
      </c>
      <c r="I1450" s="684" t="s">
        <v>13478</v>
      </c>
      <c r="J1450" s="684" t="s">
        <v>13477</v>
      </c>
    </row>
    <row r="1451" spans="1:10" ht="48" customHeight="1">
      <c r="A1451" s="682" t="s">
        <v>13476</v>
      </c>
      <c r="B1451" s="683" t="s">
        <v>15049</v>
      </c>
      <c r="C1451" s="682" t="s">
        <v>7</v>
      </c>
      <c r="D1451" s="682" t="s">
        <v>1636</v>
      </c>
      <c r="E1451" s="917" t="s">
        <v>13474</v>
      </c>
      <c r="F1451" s="917"/>
      <c r="G1451" s="681" t="s">
        <v>34</v>
      </c>
      <c r="H1451" s="680">
        <v>1</v>
      </c>
      <c r="I1451" s="679">
        <v>12.08</v>
      </c>
      <c r="J1451" s="679">
        <v>12.08</v>
      </c>
    </row>
    <row r="1452" spans="1:10" ht="24" customHeight="1">
      <c r="A1452" s="677" t="s">
        <v>13472</v>
      </c>
      <c r="B1452" s="678" t="s">
        <v>13526</v>
      </c>
      <c r="C1452" s="677" t="s">
        <v>7</v>
      </c>
      <c r="D1452" s="677" t="s">
        <v>1093</v>
      </c>
      <c r="E1452" s="918" t="s">
        <v>13470</v>
      </c>
      <c r="F1452" s="918"/>
      <c r="G1452" s="676" t="s">
        <v>19</v>
      </c>
      <c r="H1452" s="675">
        <v>0.06</v>
      </c>
      <c r="I1452" s="674">
        <v>13.48</v>
      </c>
      <c r="J1452" s="674">
        <v>0.8</v>
      </c>
    </row>
    <row r="1453" spans="1:10" ht="24" customHeight="1">
      <c r="A1453" s="677" t="s">
        <v>13472</v>
      </c>
      <c r="B1453" s="678" t="s">
        <v>13473</v>
      </c>
      <c r="C1453" s="677" t="s">
        <v>7</v>
      </c>
      <c r="D1453" s="677" t="s">
        <v>44</v>
      </c>
      <c r="E1453" s="918" t="s">
        <v>13470</v>
      </c>
      <c r="F1453" s="918"/>
      <c r="G1453" s="676" t="s">
        <v>19</v>
      </c>
      <c r="H1453" s="675">
        <v>0.06</v>
      </c>
      <c r="I1453" s="674">
        <v>17.66</v>
      </c>
      <c r="J1453" s="674">
        <v>1.05</v>
      </c>
    </row>
    <row r="1454" spans="1:10" ht="24" customHeight="1">
      <c r="A1454" s="672" t="s">
        <v>13467</v>
      </c>
      <c r="B1454" s="673" t="s">
        <v>15048</v>
      </c>
      <c r="C1454" s="672" t="s">
        <v>7</v>
      </c>
      <c r="D1454" s="672" t="s">
        <v>15047</v>
      </c>
      <c r="E1454" s="919" t="s">
        <v>13464</v>
      </c>
      <c r="F1454" s="919"/>
      <c r="G1454" s="671" t="s">
        <v>34</v>
      </c>
      <c r="H1454" s="670">
        <v>1</v>
      </c>
      <c r="I1454" s="669">
        <v>4.34</v>
      </c>
      <c r="J1454" s="669">
        <v>4.34</v>
      </c>
    </row>
    <row r="1455" spans="1:10" ht="24" customHeight="1">
      <c r="A1455" s="672" t="s">
        <v>13467</v>
      </c>
      <c r="B1455" s="673" t="s">
        <v>15046</v>
      </c>
      <c r="C1455" s="672" t="s">
        <v>7</v>
      </c>
      <c r="D1455" s="672" t="s">
        <v>15045</v>
      </c>
      <c r="E1455" s="919" t="s">
        <v>13464</v>
      </c>
      <c r="F1455" s="919"/>
      <c r="G1455" s="671" t="s">
        <v>34</v>
      </c>
      <c r="H1455" s="670">
        <v>1</v>
      </c>
      <c r="I1455" s="669">
        <v>4.9800000000000004</v>
      </c>
      <c r="J1455" s="669">
        <v>4.9800000000000004</v>
      </c>
    </row>
    <row r="1456" spans="1:10" ht="36" customHeight="1">
      <c r="A1456" s="672" t="s">
        <v>13467</v>
      </c>
      <c r="B1456" s="673" t="s">
        <v>15018</v>
      </c>
      <c r="C1456" s="672" t="s">
        <v>7</v>
      </c>
      <c r="D1456" s="672" t="s">
        <v>15017</v>
      </c>
      <c r="E1456" s="919" t="s">
        <v>13464</v>
      </c>
      <c r="F1456" s="919"/>
      <c r="G1456" s="671" t="s">
        <v>34</v>
      </c>
      <c r="H1456" s="670">
        <v>0.03</v>
      </c>
      <c r="I1456" s="669">
        <v>30.43</v>
      </c>
      <c r="J1456" s="669">
        <v>0.91</v>
      </c>
    </row>
    <row r="1457" spans="1:10" ht="25.5">
      <c r="A1457" s="668"/>
      <c r="B1457" s="668"/>
      <c r="C1457" s="668"/>
      <c r="D1457" s="668"/>
      <c r="E1457" s="668" t="s">
        <v>13463</v>
      </c>
      <c r="F1457" s="667">
        <v>0.78778659132891449</v>
      </c>
      <c r="G1457" s="668" t="s">
        <v>13462</v>
      </c>
      <c r="H1457" s="667">
        <v>0.66</v>
      </c>
      <c r="I1457" s="668" t="s">
        <v>13461</v>
      </c>
      <c r="J1457" s="667">
        <v>1.45</v>
      </c>
    </row>
    <row r="1458" spans="1:10" ht="15" thickBot="1">
      <c r="A1458" s="668"/>
      <c r="B1458" s="668"/>
      <c r="C1458" s="668"/>
      <c r="D1458" s="668"/>
      <c r="E1458" s="668" t="s">
        <v>13460</v>
      </c>
      <c r="F1458" s="667">
        <v>3.41</v>
      </c>
      <c r="G1458" s="668"/>
      <c r="H1458" s="925" t="s">
        <v>13459</v>
      </c>
      <c r="I1458" s="925"/>
      <c r="J1458" s="667">
        <v>15.49</v>
      </c>
    </row>
    <row r="1459" spans="1:10" ht="0.95" customHeight="1" thickTop="1">
      <c r="A1459" s="666"/>
      <c r="B1459" s="666"/>
      <c r="C1459" s="666"/>
      <c r="D1459" s="666"/>
      <c r="E1459" s="666"/>
      <c r="F1459" s="666"/>
      <c r="G1459" s="666"/>
      <c r="H1459" s="666"/>
      <c r="I1459" s="666"/>
      <c r="J1459" s="666"/>
    </row>
    <row r="1460" spans="1:10" ht="18" customHeight="1">
      <c r="A1460" s="686" t="s">
        <v>15044</v>
      </c>
      <c r="B1460" s="684" t="s">
        <v>13484</v>
      </c>
      <c r="C1460" s="686" t="s">
        <v>13483</v>
      </c>
      <c r="D1460" s="686" t="s">
        <v>13482</v>
      </c>
      <c r="E1460" s="924" t="s">
        <v>13481</v>
      </c>
      <c r="F1460" s="924"/>
      <c r="G1460" s="685" t="s">
        <v>13480</v>
      </c>
      <c r="H1460" s="684" t="s">
        <v>13479</v>
      </c>
      <c r="I1460" s="684" t="s">
        <v>13478</v>
      </c>
      <c r="J1460" s="684" t="s">
        <v>13477</v>
      </c>
    </row>
    <row r="1461" spans="1:10" ht="48" customHeight="1">
      <c r="A1461" s="682" t="s">
        <v>13476</v>
      </c>
      <c r="B1461" s="683" t="s">
        <v>15043</v>
      </c>
      <c r="C1461" s="682" t="s">
        <v>7</v>
      </c>
      <c r="D1461" s="682" t="s">
        <v>1640</v>
      </c>
      <c r="E1461" s="917" t="s">
        <v>13474</v>
      </c>
      <c r="F1461" s="917"/>
      <c r="G1461" s="681" t="s">
        <v>34</v>
      </c>
      <c r="H1461" s="680">
        <v>1</v>
      </c>
      <c r="I1461" s="679">
        <v>15.09</v>
      </c>
      <c r="J1461" s="679">
        <v>15.09</v>
      </c>
    </row>
    <row r="1462" spans="1:10" ht="24" customHeight="1">
      <c r="A1462" s="677" t="s">
        <v>13472</v>
      </c>
      <c r="B1462" s="678" t="s">
        <v>13526</v>
      </c>
      <c r="C1462" s="677" t="s">
        <v>7</v>
      </c>
      <c r="D1462" s="677" t="s">
        <v>1093</v>
      </c>
      <c r="E1462" s="918" t="s">
        <v>13470</v>
      </c>
      <c r="F1462" s="918"/>
      <c r="G1462" s="676" t="s">
        <v>19</v>
      </c>
      <c r="H1462" s="675">
        <v>0.08</v>
      </c>
      <c r="I1462" s="674">
        <v>13.48</v>
      </c>
      <c r="J1462" s="674">
        <v>1.07</v>
      </c>
    </row>
    <row r="1463" spans="1:10" ht="24" customHeight="1">
      <c r="A1463" s="677" t="s">
        <v>13472</v>
      </c>
      <c r="B1463" s="678" t="s">
        <v>13473</v>
      </c>
      <c r="C1463" s="677" t="s">
        <v>7</v>
      </c>
      <c r="D1463" s="677" t="s">
        <v>44</v>
      </c>
      <c r="E1463" s="918" t="s">
        <v>13470</v>
      </c>
      <c r="F1463" s="918"/>
      <c r="G1463" s="676" t="s">
        <v>19</v>
      </c>
      <c r="H1463" s="675">
        <v>0.08</v>
      </c>
      <c r="I1463" s="674">
        <v>17.66</v>
      </c>
      <c r="J1463" s="674">
        <v>1.41</v>
      </c>
    </row>
    <row r="1464" spans="1:10" ht="24" customHeight="1">
      <c r="A1464" s="672" t="s">
        <v>13467</v>
      </c>
      <c r="B1464" s="673" t="s">
        <v>15042</v>
      </c>
      <c r="C1464" s="672" t="s">
        <v>7</v>
      </c>
      <c r="D1464" s="672" t="s">
        <v>15041</v>
      </c>
      <c r="E1464" s="919" t="s">
        <v>13464</v>
      </c>
      <c r="F1464" s="919"/>
      <c r="G1464" s="671" t="s">
        <v>34</v>
      </c>
      <c r="H1464" s="670">
        <v>1</v>
      </c>
      <c r="I1464" s="669">
        <v>5.45</v>
      </c>
      <c r="J1464" s="669">
        <v>5.45</v>
      </c>
    </row>
    <row r="1465" spans="1:10" ht="24" customHeight="1">
      <c r="A1465" s="672" t="s">
        <v>13467</v>
      </c>
      <c r="B1465" s="673" t="s">
        <v>15040</v>
      </c>
      <c r="C1465" s="672" t="s">
        <v>7</v>
      </c>
      <c r="D1465" s="672" t="s">
        <v>15039</v>
      </c>
      <c r="E1465" s="919" t="s">
        <v>13464</v>
      </c>
      <c r="F1465" s="919"/>
      <c r="G1465" s="671" t="s">
        <v>34</v>
      </c>
      <c r="H1465" s="670">
        <v>1</v>
      </c>
      <c r="I1465" s="669">
        <v>5.77</v>
      </c>
      <c r="J1465" s="669">
        <v>5.77</v>
      </c>
    </row>
    <row r="1466" spans="1:10" ht="36" customHeight="1">
      <c r="A1466" s="672" t="s">
        <v>13467</v>
      </c>
      <c r="B1466" s="673" t="s">
        <v>15018</v>
      </c>
      <c r="C1466" s="672" t="s">
        <v>7</v>
      </c>
      <c r="D1466" s="672" t="s">
        <v>15017</v>
      </c>
      <c r="E1466" s="919" t="s">
        <v>13464</v>
      </c>
      <c r="F1466" s="919"/>
      <c r="G1466" s="671" t="s">
        <v>34</v>
      </c>
      <c r="H1466" s="670">
        <v>4.5999999999999999E-2</v>
      </c>
      <c r="I1466" s="669">
        <v>30.43</v>
      </c>
      <c r="J1466" s="669">
        <v>1.39</v>
      </c>
    </row>
    <row r="1467" spans="1:10" ht="25.5">
      <c r="A1467" s="668"/>
      <c r="B1467" s="668"/>
      <c r="C1467" s="668"/>
      <c r="D1467" s="668"/>
      <c r="E1467" s="668" t="s">
        <v>13463</v>
      </c>
      <c r="F1467" s="667">
        <v>1.0540041290883408</v>
      </c>
      <c r="G1467" s="668" t="s">
        <v>13462</v>
      </c>
      <c r="H1467" s="667">
        <v>0.89</v>
      </c>
      <c r="I1467" s="668" t="s">
        <v>13461</v>
      </c>
      <c r="J1467" s="667">
        <v>1.94</v>
      </c>
    </row>
    <row r="1468" spans="1:10" ht="15" thickBot="1">
      <c r="A1468" s="668"/>
      <c r="B1468" s="668"/>
      <c r="C1468" s="668"/>
      <c r="D1468" s="668"/>
      <c r="E1468" s="668" t="s">
        <v>13460</v>
      </c>
      <c r="F1468" s="667">
        <v>4.26</v>
      </c>
      <c r="G1468" s="668"/>
      <c r="H1468" s="925" t="s">
        <v>13459</v>
      </c>
      <c r="I1468" s="925"/>
      <c r="J1468" s="667">
        <v>19.350000000000001</v>
      </c>
    </row>
    <row r="1469" spans="1:10" ht="0.95" customHeight="1" thickTop="1">
      <c r="A1469" s="666"/>
      <c r="B1469" s="666"/>
      <c r="C1469" s="666"/>
      <c r="D1469" s="666"/>
      <c r="E1469" s="666"/>
      <c r="F1469" s="666"/>
      <c r="G1469" s="666"/>
      <c r="H1469" s="666"/>
      <c r="I1469" s="666"/>
      <c r="J1469" s="666"/>
    </row>
    <row r="1470" spans="1:10" ht="18" customHeight="1">
      <c r="A1470" s="686" t="s">
        <v>15038</v>
      </c>
      <c r="B1470" s="684" t="s">
        <v>13484</v>
      </c>
      <c r="C1470" s="686" t="s">
        <v>13483</v>
      </c>
      <c r="D1470" s="686" t="s">
        <v>13482</v>
      </c>
      <c r="E1470" s="924" t="s">
        <v>13481</v>
      </c>
      <c r="F1470" s="924"/>
      <c r="G1470" s="685" t="s">
        <v>13480</v>
      </c>
      <c r="H1470" s="684" t="s">
        <v>13479</v>
      </c>
      <c r="I1470" s="684" t="s">
        <v>13478</v>
      </c>
      <c r="J1470" s="684" t="s">
        <v>13477</v>
      </c>
    </row>
    <row r="1471" spans="1:10" ht="36" customHeight="1">
      <c r="A1471" s="682" t="s">
        <v>13476</v>
      </c>
      <c r="B1471" s="683" t="s">
        <v>15037</v>
      </c>
      <c r="C1471" s="682" t="s">
        <v>7</v>
      </c>
      <c r="D1471" s="682" t="s">
        <v>1619</v>
      </c>
      <c r="E1471" s="917" t="s">
        <v>13474</v>
      </c>
      <c r="F1471" s="917"/>
      <c r="G1471" s="681" t="s">
        <v>14</v>
      </c>
      <c r="H1471" s="680">
        <v>1</v>
      </c>
      <c r="I1471" s="679">
        <v>21.4</v>
      </c>
      <c r="J1471" s="679">
        <v>21.4</v>
      </c>
    </row>
    <row r="1472" spans="1:10" ht="24" customHeight="1">
      <c r="A1472" s="677" t="s">
        <v>13472</v>
      </c>
      <c r="B1472" s="678" t="s">
        <v>13526</v>
      </c>
      <c r="C1472" s="677" t="s">
        <v>7</v>
      </c>
      <c r="D1472" s="677" t="s">
        <v>1093</v>
      </c>
      <c r="E1472" s="918" t="s">
        <v>13470</v>
      </c>
      <c r="F1472" s="918"/>
      <c r="G1472" s="676" t="s">
        <v>19</v>
      </c>
      <c r="H1472" s="675">
        <v>0.16</v>
      </c>
      <c r="I1472" s="674">
        <v>13.48</v>
      </c>
      <c r="J1472" s="674">
        <v>2.15</v>
      </c>
    </row>
    <row r="1473" spans="1:10" ht="24" customHeight="1">
      <c r="A1473" s="677" t="s">
        <v>13472</v>
      </c>
      <c r="B1473" s="678" t="s">
        <v>13473</v>
      </c>
      <c r="C1473" s="677" t="s">
        <v>7</v>
      </c>
      <c r="D1473" s="677" t="s">
        <v>44</v>
      </c>
      <c r="E1473" s="918" t="s">
        <v>13470</v>
      </c>
      <c r="F1473" s="918"/>
      <c r="G1473" s="676" t="s">
        <v>19</v>
      </c>
      <c r="H1473" s="675">
        <v>0.16</v>
      </c>
      <c r="I1473" s="674">
        <v>17.66</v>
      </c>
      <c r="J1473" s="674">
        <v>2.82</v>
      </c>
    </row>
    <row r="1474" spans="1:10" ht="24" customHeight="1">
      <c r="A1474" s="672" t="s">
        <v>13467</v>
      </c>
      <c r="B1474" s="673" t="s">
        <v>14762</v>
      </c>
      <c r="C1474" s="672" t="s">
        <v>7</v>
      </c>
      <c r="D1474" s="672" t="s">
        <v>14761</v>
      </c>
      <c r="E1474" s="919" t="s">
        <v>13464</v>
      </c>
      <c r="F1474" s="919"/>
      <c r="G1474" s="671" t="s">
        <v>34</v>
      </c>
      <c r="H1474" s="670">
        <v>1.17E-2</v>
      </c>
      <c r="I1474" s="669">
        <v>83.11</v>
      </c>
      <c r="J1474" s="669">
        <v>0.97</v>
      </c>
    </row>
    <row r="1475" spans="1:10" ht="24" customHeight="1">
      <c r="A1475" s="672" t="s">
        <v>13467</v>
      </c>
      <c r="B1475" s="673" t="s">
        <v>13523</v>
      </c>
      <c r="C1475" s="672" t="s">
        <v>7</v>
      </c>
      <c r="D1475" s="672" t="s">
        <v>13522</v>
      </c>
      <c r="E1475" s="919" t="s">
        <v>13464</v>
      </c>
      <c r="F1475" s="919"/>
      <c r="G1475" s="671" t="s">
        <v>34</v>
      </c>
      <c r="H1475" s="670">
        <v>5.2999999999999999E-2</v>
      </c>
      <c r="I1475" s="669">
        <v>2.2000000000000002</v>
      </c>
      <c r="J1475" s="669">
        <v>0.11</v>
      </c>
    </row>
    <row r="1476" spans="1:10" ht="24" customHeight="1">
      <c r="A1476" s="672" t="s">
        <v>13467</v>
      </c>
      <c r="B1476" s="673" t="s">
        <v>13521</v>
      </c>
      <c r="C1476" s="672" t="s">
        <v>7</v>
      </c>
      <c r="D1476" s="672" t="s">
        <v>13520</v>
      </c>
      <c r="E1476" s="919" t="s">
        <v>13464</v>
      </c>
      <c r="F1476" s="919"/>
      <c r="G1476" s="671" t="s">
        <v>34</v>
      </c>
      <c r="H1476" s="670">
        <v>1.9099999999999999E-2</v>
      </c>
      <c r="I1476" s="669">
        <v>72.17</v>
      </c>
      <c r="J1476" s="669">
        <v>1.37</v>
      </c>
    </row>
    <row r="1477" spans="1:10" ht="24" customHeight="1">
      <c r="A1477" s="672" t="s">
        <v>13467</v>
      </c>
      <c r="B1477" s="673" t="s">
        <v>15036</v>
      </c>
      <c r="C1477" s="672" t="s">
        <v>7</v>
      </c>
      <c r="D1477" s="672" t="s">
        <v>15035</v>
      </c>
      <c r="E1477" s="919" t="s">
        <v>13464</v>
      </c>
      <c r="F1477" s="919"/>
      <c r="G1477" s="671" t="s">
        <v>14</v>
      </c>
      <c r="H1477" s="670">
        <v>1.05</v>
      </c>
      <c r="I1477" s="669">
        <v>13.32</v>
      </c>
      <c r="J1477" s="669">
        <v>13.98</v>
      </c>
    </row>
    <row r="1478" spans="1:10" ht="25.5">
      <c r="A1478" s="668"/>
      <c r="B1478" s="668"/>
      <c r="C1478" s="668"/>
      <c r="D1478" s="668"/>
      <c r="E1478" s="668" t="s">
        <v>13463</v>
      </c>
      <c r="F1478" s="667">
        <v>2.1134412691513638</v>
      </c>
      <c r="G1478" s="668" t="s">
        <v>13462</v>
      </c>
      <c r="H1478" s="667">
        <v>1.78</v>
      </c>
      <c r="I1478" s="668" t="s">
        <v>13461</v>
      </c>
      <c r="J1478" s="667">
        <v>3.89</v>
      </c>
    </row>
    <row r="1479" spans="1:10" ht="15" thickBot="1">
      <c r="A1479" s="668"/>
      <c r="B1479" s="668"/>
      <c r="C1479" s="668"/>
      <c r="D1479" s="668"/>
      <c r="E1479" s="668" t="s">
        <v>13460</v>
      </c>
      <c r="F1479" s="667">
        <v>6.04</v>
      </c>
      <c r="G1479" s="668"/>
      <c r="H1479" s="925" t="s">
        <v>13459</v>
      </c>
      <c r="I1479" s="925"/>
      <c r="J1479" s="667">
        <v>27.44</v>
      </c>
    </row>
    <row r="1480" spans="1:10" ht="0.95" customHeight="1" thickTop="1">
      <c r="A1480" s="666"/>
      <c r="B1480" s="666"/>
      <c r="C1480" s="666"/>
      <c r="D1480" s="666"/>
      <c r="E1480" s="666"/>
      <c r="F1480" s="666"/>
      <c r="G1480" s="666"/>
      <c r="H1480" s="666"/>
      <c r="I1480" s="666"/>
      <c r="J1480" s="666"/>
    </row>
    <row r="1481" spans="1:10" ht="18" customHeight="1">
      <c r="A1481" s="686" t="s">
        <v>15034</v>
      </c>
      <c r="B1481" s="684" t="s">
        <v>13484</v>
      </c>
      <c r="C1481" s="686" t="s">
        <v>13483</v>
      </c>
      <c r="D1481" s="686" t="s">
        <v>13482</v>
      </c>
      <c r="E1481" s="924" t="s">
        <v>13481</v>
      </c>
      <c r="F1481" s="924"/>
      <c r="G1481" s="685" t="s">
        <v>13480</v>
      </c>
      <c r="H1481" s="684" t="s">
        <v>13479</v>
      </c>
      <c r="I1481" s="684" t="s">
        <v>13478</v>
      </c>
      <c r="J1481" s="684" t="s">
        <v>13477</v>
      </c>
    </row>
    <row r="1482" spans="1:10" ht="36" customHeight="1">
      <c r="A1482" s="682" t="s">
        <v>13476</v>
      </c>
      <c r="B1482" s="683" t="s">
        <v>15033</v>
      </c>
      <c r="C1482" s="682" t="s">
        <v>7</v>
      </c>
      <c r="D1482" s="682" t="s">
        <v>1617</v>
      </c>
      <c r="E1482" s="917" t="s">
        <v>13474</v>
      </c>
      <c r="F1482" s="917"/>
      <c r="G1482" s="681" t="s">
        <v>14</v>
      </c>
      <c r="H1482" s="680">
        <v>1</v>
      </c>
      <c r="I1482" s="679">
        <v>10.79</v>
      </c>
      <c r="J1482" s="679">
        <v>10.79</v>
      </c>
    </row>
    <row r="1483" spans="1:10" ht="24" customHeight="1">
      <c r="A1483" s="677" t="s">
        <v>13472</v>
      </c>
      <c r="B1483" s="678" t="s">
        <v>13526</v>
      </c>
      <c r="C1483" s="677" t="s">
        <v>7</v>
      </c>
      <c r="D1483" s="677" t="s">
        <v>1093</v>
      </c>
      <c r="E1483" s="918" t="s">
        <v>13470</v>
      </c>
      <c r="F1483" s="918"/>
      <c r="G1483" s="676" t="s">
        <v>19</v>
      </c>
      <c r="H1483" s="675">
        <v>0.05</v>
      </c>
      <c r="I1483" s="674">
        <v>13.48</v>
      </c>
      <c r="J1483" s="674">
        <v>0.67</v>
      </c>
    </row>
    <row r="1484" spans="1:10" ht="24" customHeight="1">
      <c r="A1484" s="677" t="s">
        <v>13472</v>
      </c>
      <c r="B1484" s="678" t="s">
        <v>13473</v>
      </c>
      <c r="C1484" s="677" t="s">
        <v>7</v>
      </c>
      <c r="D1484" s="677" t="s">
        <v>44</v>
      </c>
      <c r="E1484" s="918" t="s">
        <v>13470</v>
      </c>
      <c r="F1484" s="918"/>
      <c r="G1484" s="676" t="s">
        <v>19</v>
      </c>
      <c r="H1484" s="675">
        <v>0.05</v>
      </c>
      <c r="I1484" s="674">
        <v>17.66</v>
      </c>
      <c r="J1484" s="674">
        <v>0.88</v>
      </c>
    </row>
    <row r="1485" spans="1:10" ht="24" customHeight="1">
      <c r="A1485" s="672" t="s">
        <v>13467</v>
      </c>
      <c r="B1485" s="673" t="s">
        <v>14762</v>
      </c>
      <c r="C1485" s="672" t="s">
        <v>7</v>
      </c>
      <c r="D1485" s="672" t="s">
        <v>14761</v>
      </c>
      <c r="E1485" s="919" t="s">
        <v>13464</v>
      </c>
      <c r="F1485" s="919"/>
      <c r="G1485" s="671" t="s">
        <v>34</v>
      </c>
      <c r="H1485" s="670">
        <v>3.5000000000000001E-3</v>
      </c>
      <c r="I1485" s="669">
        <v>83.11</v>
      </c>
      <c r="J1485" s="669">
        <v>0.28999999999999998</v>
      </c>
    </row>
    <row r="1486" spans="1:10" ht="24" customHeight="1">
      <c r="A1486" s="672" t="s">
        <v>13467</v>
      </c>
      <c r="B1486" s="673" t="s">
        <v>13523</v>
      </c>
      <c r="C1486" s="672" t="s">
        <v>7</v>
      </c>
      <c r="D1486" s="672" t="s">
        <v>13522</v>
      </c>
      <c r="E1486" s="919" t="s">
        <v>13464</v>
      </c>
      <c r="F1486" s="919"/>
      <c r="G1486" s="671" t="s">
        <v>34</v>
      </c>
      <c r="H1486" s="670">
        <v>1.7000000000000001E-2</v>
      </c>
      <c r="I1486" s="669">
        <v>2.2000000000000002</v>
      </c>
      <c r="J1486" s="669">
        <v>0.03</v>
      </c>
    </row>
    <row r="1487" spans="1:10" ht="24" customHeight="1">
      <c r="A1487" s="672" t="s">
        <v>13467</v>
      </c>
      <c r="B1487" s="673" t="s">
        <v>13521</v>
      </c>
      <c r="C1487" s="672" t="s">
        <v>7</v>
      </c>
      <c r="D1487" s="672" t="s">
        <v>13520</v>
      </c>
      <c r="E1487" s="919" t="s">
        <v>13464</v>
      </c>
      <c r="F1487" s="919"/>
      <c r="G1487" s="671" t="s">
        <v>34</v>
      </c>
      <c r="H1487" s="670">
        <v>4.7999999999999996E-3</v>
      </c>
      <c r="I1487" s="669">
        <v>72.17</v>
      </c>
      <c r="J1487" s="669">
        <v>0.34</v>
      </c>
    </row>
    <row r="1488" spans="1:10" ht="24" customHeight="1">
      <c r="A1488" s="672" t="s">
        <v>13467</v>
      </c>
      <c r="B1488" s="673" t="s">
        <v>15032</v>
      </c>
      <c r="C1488" s="672" t="s">
        <v>7</v>
      </c>
      <c r="D1488" s="672" t="s">
        <v>15031</v>
      </c>
      <c r="E1488" s="919" t="s">
        <v>13464</v>
      </c>
      <c r="F1488" s="919"/>
      <c r="G1488" s="671" t="s">
        <v>14</v>
      </c>
      <c r="H1488" s="670">
        <v>1.05</v>
      </c>
      <c r="I1488" s="669">
        <v>8.18</v>
      </c>
      <c r="J1488" s="669">
        <v>8.58</v>
      </c>
    </row>
    <row r="1489" spans="1:10" ht="25.5">
      <c r="A1489" s="668"/>
      <c r="B1489" s="668"/>
      <c r="C1489" s="668"/>
      <c r="D1489" s="668"/>
      <c r="E1489" s="668" t="s">
        <v>13463</v>
      </c>
      <c r="F1489" s="667">
        <v>0.6573943279365424</v>
      </c>
      <c r="G1489" s="668" t="s">
        <v>13462</v>
      </c>
      <c r="H1489" s="667">
        <v>0.55000000000000004</v>
      </c>
      <c r="I1489" s="668" t="s">
        <v>13461</v>
      </c>
      <c r="J1489" s="667">
        <v>1.21</v>
      </c>
    </row>
    <row r="1490" spans="1:10" ht="15" thickBot="1">
      <c r="A1490" s="668"/>
      <c r="B1490" s="668"/>
      <c r="C1490" s="668"/>
      <c r="D1490" s="668"/>
      <c r="E1490" s="668" t="s">
        <v>13460</v>
      </c>
      <c r="F1490" s="667">
        <v>3.04</v>
      </c>
      <c r="G1490" s="668"/>
      <c r="H1490" s="925" t="s">
        <v>13459</v>
      </c>
      <c r="I1490" s="925"/>
      <c r="J1490" s="667">
        <v>13.83</v>
      </c>
    </row>
    <row r="1491" spans="1:10" ht="0.95" customHeight="1" thickTop="1">
      <c r="A1491" s="666"/>
      <c r="B1491" s="666"/>
      <c r="C1491" s="666"/>
      <c r="D1491" s="666"/>
      <c r="E1491" s="666"/>
      <c r="F1491" s="666"/>
      <c r="G1491" s="666"/>
      <c r="H1491" s="666"/>
      <c r="I1491" s="666"/>
      <c r="J1491" s="666"/>
    </row>
    <row r="1492" spans="1:10" ht="18" customHeight="1">
      <c r="A1492" s="686" t="s">
        <v>15030</v>
      </c>
      <c r="B1492" s="684" t="s">
        <v>13484</v>
      </c>
      <c r="C1492" s="686" t="s">
        <v>13483</v>
      </c>
      <c r="D1492" s="686" t="s">
        <v>13482</v>
      </c>
      <c r="E1492" s="924" t="s">
        <v>13481</v>
      </c>
      <c r="F1492" s="924"/>
      <c r="G1492" s="685" t="s">
        <v>13480</v>
      </c>
      <c r="H1492" s="684" t="s">
        <v>13479</v>
      </c>
      <c r="I1492" s="684" t="s">
        <v>13478</v>
      </c>
      <c r="J1492" s="684" t="s">
        <v>13477</v>
      </c>
    </row>
    <row r="1493" spans="1:10" ht="36" customHeight="1">
      <c r="A1493" s="682" t="s">
        <v>13476</v>
      </c>
      <c r="B1493" s="683" t="s">
        <v>15029</v>
      </c>
      <c r="C1493" s="682" t="s">
        <v>7</v>
      </c>
      <c r="D1493" s="682" t="s">
        <v>1541</v>
      </c>
      <c r="E1493" s="917" t="s">
        <v>13474</v>
      </c>
      <c r="F1493" s="917"/>
      <c r="G1493" s="681" t="s">
        <v>14</v>
      </c>
      <c r="H1493" s="680">
        <v>1</v>
      </c>
      <c r="I1493" s="679">
        <v>14.59</v>
      </c>
      <c r="J1493" s="679">
        <v>14.59</v>
      </c>
    </row>
    <row r="1494" spans="1:10" ht="24" customHeight="1">
      <c r="A1494" s="677" t="s">
        <v>13472</v>
      </c>
      <c r="B1494" s="678" t="s">
        <v>13526</v>
      </c>
      <c r="C1494" s="677" t="s">
        <v>7</v>
      </c>
      <c r="D1494" s="677" t="s">
        <v>1093</v>
      </c>
      <c r="E1494" s="918" t="s">
        <v>13470</v>
      </c>
      <c r="F1494" s="918"/>
      <c r="G1494" s="676" t="s">
        <v>19</v>
      </c>
      <c r="H1494" s="675">
        <v>0.3</v>
      </c>
      <c r="I1494" s="674">
        <v>13.48</v>
      </c>
      <c r="J1494" s="674">
        <v>4.04</v>
      </c>
    </row>
    <row r="1495" spans="1:10" ht="24" customHeight="1">
      <c r="A1495" s="677" t="s">
        <v>13472</v>
      </c>
      <c r="B1495" s="678" t="s">
        <v>13473</v>
      </c>
      <c r="C1495" s="677" t="s">
        <v>7</v>
      </c>
      <c r="D1495" s="677" t="s">
        <v>44</v>
      </c>
      <c r="E1495" s="918" t="s">
        <v>13470</v>
      </c>
      <c r="F1495" s="918"/>
      <c r="G1495" s="676" t="s">
        <v>19</v>
      </c>
      <c r="H1495" s="675">
        <v>0.3</v>
      </c>
      <c r="I1495" s="674">
        <v>17.66</v>
      </c>
      <c r="J1495" s="674">
        <v>5.29</v>
      </c>
    </row>
    <row r="1496" spans="1:10" ht="24" customHeight="1">
      <c r="A1496" s="672" t="s">
        <v>13467</v>
      </c>
      <c r="B1496" s="673" t="s">
        <v>13523</v>
      </c>
      <c r="C1496" s="672" t="s">
        <v>7</v>
      </c>
      <c r="D1496" s="672" t="s">
        <v>13522</v>
      </c>
      <c r="E1496" s="919" t="s">
        <v>13464</v>
      </c>
      <c r="F1496" s="919"/>
      <c r="G1496" s="671" t="s">
        <v>34</v>
      </c>
      <c r="H1496" s="670">
        <v>0.1</v>
      </c>
      <c r="I1496" s="669">
        <v>2.2000000000000002</v>
      </c>
      <c r="J1496" s="669">
        <v>0.22</v>
      </c>
    </row>
    <row r="1497" spans="1:10" ht="24" customHeight="1">
      <c r="A1497" s="672" t="s">
        <v>13467</v>
      </c>
      <c r="B1497" s="673" t="s">
        <v>15028</v>
      </c>
      <c r="C1497" s="672" t="s">
        <v>7</v>
      </c>
      <c r="D1497" s="672" t="s">
        <v>15027</v>
      </c>
      <c r="E1497" s="919" t="s">
        <v>13464</v>
      </c>
      <c r="F1497" s="919"/>
      <c r="G1497" s="671" t="s">
        <v>14</v>
      </c>
      <c r="H1497" s="670">
        <v>1.05</v>
      </c>
      <c r="I1497" s="669">
        <v>4.8</v>
      </c>
      <c r="J1497" s="669">
        <v>5.04</v>
      </c>
    </row>
    <row r="1498" spans="1:10" ht="25.5">
      <c r="A1498" s="668"/>
      <c r="B1498" s="668"/>
      <c r="C1498" s="668"/>
      <c r="D1498" s="668"/>
      <c r="E1498" s="668" t="s">
        <v>13463</v>
      </c>
      <c r="F1498" s="667">
        <v>3.9769640334673477</v>
      </c>
      <c r="G1498" s="668" t="s">
        <v>13462</v>
      </c>
      <c r="H1498" s="667">
        <v>3.34</v>
      </c>
      <c r="I1498" s="668" t="s">
        <v>13461</v>
      </c>
      <c r="J1498" s="667">
        <v>7.32</v>
      </c>
    </row>
    <row r="1499" spans="1:10" ht="15" thickBot="1">
      <c r="A1499" s="668"/>
      <c r="B1499" s="668"/>
      <c r="C1499" s="668"/>
      <c r="D1499" s="668"/>
      <c r="E1499" s="668" t="s">
        <v>13460</v>
      </c>
      <c r="F1499" s="667">
        <v>4.12</v>
      </c>
      <c r="G1499" s="668"/>
      <c r="H1499" s="925" t="s">
        <v>13459</v>
      </c>
      <c r="I1499" s="925"/>
      <c r="J1499" s="667">
        <v>18.71</v>
      </c>
    </row>
    <row r="1500" spans="1:10" ht="0.95" customHeight="1" thickTop="1">
      <c r="A1500" s="666"/>
      <c r="B1500" s="666"/>
      <c r="C1500" s="666"/>
      <c r="D1500" s="666"/>
      <c r="E1500" s="666"/>
      <c r="F1500" s="666"/>
      <c r="G1500" s="666"/>
      <c r="H1500" s="666"/>
      <c r="I1500" s="666"/>
      <c r="J1500" s="666"/>
    </row>
    <row r="1501" spans="1:10" ht="18" customHeight="1">
      <c r="A1501" s="686" t="s">
        <v>15026</v>
      </c>
      <c r="B1501" s="684" t="s">
        <v>13484</v>
      </c>
      <c r="C1501" s="686" t="s">
        <v>13483</v>
      </c>
      <c r="D1501" s="686" t="s">
        <v>13482</v>
      </c>
      <c r="E1501" s="924" t="s">
        <v>13481</v>
      </c>
      <c r="F1501" s="924"/>
      <c r="G1501" s="685" t="s">
        <v>13480</v>
      </c>
      <c r="H1501" s="684" t="s">
        <v>13479</v>
      </c>
      <c r="I1501" s="684" t="s">
        <v>13478</v>
      </c>
      <c r="J1501" s="684" t="s">
        <v>13477</v>
      </c>
    </row>
    <row r="1502" spans="1:10" ht="36" customHeight="1">
      <c r="A1502" s="682" t="s">
        <v>13476</v>
      </c>
      <c r="B1502" s="683" t="s">
        <v>15025</v>
      </c>
      <c r="C1502" s="682" t="s">
        <v>7</v>
      </c>
      <c r="D1502" s="682" t="s">
        <v>1618</v>
      </c>
      <c r="E1502" s="917" t="s">
        <v>13474</v>
      </c>
      <c r="F1502" s="917"/>
      <c r="G1502" s="681" t="s">
        <v>14</v>
      </c>
      <c r="H1502" s="680">
        <v>1</v>
      </c>
      <c r="I1502" s="679">
        <v>17.440000000000001</v>
      </c>
      <c r="J1502" s="679">
        <v>17.440000000000001</v>
      </c>
    </row>
    <row r="1503" spans="1:10" ht="24" customHeight="1">
      <c r="A1503" s="677" t="s">
        <v>13472</v>
      </c>
      <c r="B1503" s="678" t="s">
        <v>13526</v>
      </c>
      <c r="C1503" s="677" t="s">
        <v>7</v>
      </c>
      <c r="D1503" s="677" t="s">
        <v>1093</v>
      </c>
      <c r="E1503" s="918" t="s">
        <v>13470</v>
      </c>
      <c r="F1503" s="918"/>
      <c r="G1503" s="676" t="s">
        <v>19</v>
      </c>
      <c r="H1503" s="675">
        <v>0.11</v>
      </c>
      <c r="I1503" s="674">
        <v>13.48</v>
      </c>
      <c r="J1503" s="674">
        <v>1.48</v>
      </c>
    </row>
    <row r="1504" spans="1:10" ht="24" customHeight="1">
      <c r="A1504" s="677" t="s">
        <v>13472</v>
      </c>
      <c r="B1504" s="678" t="s">
        <v>13473</v>
      </c>
      <c r="C1504" s="677" t="s">
        <v>7</v>
      </c>
      <c r="D1504" s="677" t="s">
        <v>44</v>
      </c>
      <c r="E1504" s="918" t="s">
        <v>13470</v>
      </c>
      <c r="F1504" s="918"/>
      <c r="G1504" s="676" t="s">
        <v>19</v>
      </c>
      <c r="H1504" s="675">
        <v>0.11</v>
      </c>
      <c r="I1504" s="674">
        <v>17.66</v>
      </c>
      <c r="J1504" s="674">
        <v>1.94</v>
      </c>
    </row>
    <row r="1505" spans="1:10" ht="24" customHeight="1">
      <c r="A1505" s="672" t="s">
        <v>13467</v>
      </c>
      <c r="B1505" s="673" t="s">
        <v>14762</v>
      </c>
      <c r="C1505" s="672" t="s">
        <v>7</v>
      </c>
      <c r="D1505" s="672" t="s">
        <v>14761</v>
      </c>
      <c r="E1505" s="919" t="s">
        <v>13464</v>
      </c>
      <c r="F1505" s="919"/>
      <c r="G1505" s="671" t="s">
        <v>34</v>
      </c>
      <c r="H1505" s="670">
        <v>8.0000000000000002E-3</v>
      </c>
      <c r="I1505" s="669">
        <v>83.11</v>
      </c>
      <c r="J1505" s="669">
        <v>0.66</v>
      </c>
    </row>
    <row r="1506" spans="1:10" ht="24" customHeight="1">
      <c r="A1506" s="672" t="s">
        <v>13467</v>
      </c>
      <c r="B1506" s="673" t="s">
        <v>13523</v>
      </c>
      <c r="C1506" s="672" t="s">
        <v>7</v>
      </c>
      <c r="D1506" s="672" t="s">
        <v>13522</v>
      </c>
      <c r="E1506" s="919" t="s">
        <v>13464</v>
      </c>
      <c r="F1506" s="919"/>
      <c r="G1506" s="671" t="s">
        <v>34</v>
      </c>
      <c r="H1506" s="670">
        <v>3.6999999999999998E-2</v>
      </c>
      <c r="I1506" s="669">
        <v>2.2000000000000002</v>
      </c>
      <c r="J1506" s="669">
        <v>0.08</v>
      </c>
    </row>
    <row r="1507" spans="1:10" ht="24" customHeight="1">
      <c r="A1507" s="672" t="s">
        <v>13467</v>
      </c>
      <c r="B1507" s="673" t="s">
        <v>13521</v>
      </c>
      <c r="C1507" s="672" t="s">
        <v>7</v>
      </c>
      <c r="D1507" s="672" t="s">
        <v>13520</v>
      </c>
      <c r="E1507" s="919" t="s">
        <v>13464</v>
      </c>
      <c r="F1507" s="919"/>
      <c r="G1507" s="671" t="s">
        <v>34</v>
      </c>
      <c r="H1507" s="670">
        <v>1.24E-2</v>
      </c>
      <c r="I1507" s="669">
        <v>72.17</v>
      </c>
      <c r="J1507" s="669">
        <v>0.89</v>
      </c>
    </row>
    <row r="1508" spans="1:10" ht="24" customHeight="1">
      <c r="A1508" s="672" t="s">
        <v>13467</v>
      </c>
      <c r="B1508" s="673" t="s">
        <v>15024</v>
      </c>
      <c r="C1508" s="672" t="s">
        <v>7</v>
      </c>
      <c r="D1508" s="672" t="s">
        <v>15023</v>
      </c>
      <c r="E1508" s="919" t="s">
        <v>13464</v>
      </c>
      <c r="F1508" s="919"/>
      <c r="G1508" s="671" t="s">
        <v>14</v>
      </c>
      <c r="H1508" s="670">
        <v>1.05</v>
      </c>
      <c r="I1508" s="669">
        <v>11.8</v>
      </c>
      <c r="J1508" s="669">
        <v>12.39</v>
      </c>
    </row>
    <row r="1509" spans="1:10" ht="25.5">
      <c r="A1509" s="668"/>
      <c r="B1509" s="668"/>
      <c r="C1509" s="668"/>
      <c r="D1509" s="668"/>
      <c r="E1509" s="668" t="s">
        <v>13463</v>
      </c>
      <c r="F1509" s="667">
        <v>1.4560469412148211</v>
      </c>
      <c r="G1509" s="668" t="s">
        <v>13462</v>
      </c>
      <c r="H1509" s="667">
        <v>1.22</v>
      </c>
      <c r="I1509" s="668" t="s">
        <v>13461</v>
      </c>
      <c r="J1509" s="667">
        <v>2.68</v>
      </c>
    </row>
    <row r="1510" spans="1:10" ht="15" thickBot="1">
      <c r="A1510" s="668"/>
      <c r="B1510" s="668"/>
      <c r="C1510" s="668"/>
      <c r="D1510" s="668"/>
      <c r="E1510" s="668" t="s">
        <v>13460</v>
      </c>
      <c r="F1510" s="667">
        <v>4.92</v>
      </c>
      <c r="G1510" s="668"/>
      <c r="H1510" s="925" t="s">
        <v>13459</v>
      </c>
      <c r="I1510" s="925"/>
      <c r="J1510" s="667">
        <v>22.36</v>
      </c>
    </row>
    <row r="1511" spans="1:10" ht="0.95" customHeight="1" thickTop="1">
      <c r="A1511" s="666"/>
      <c r="B1511" s="666"/>
      <c r="C1511" s="666"/>
      <c r="D1511" s="666"/>
      <c r="E1511" s="666"/>
      <c r="F1511" s="666"/>
      <c r="G1511" s="666"/>
      <c r="H1511" s="666"/>
      <c r="I1511" s="666"/>
      <c r="J1511" s="666"/>
    </row>
    <row r="1512" spans="1:10" ht="18" customHeight="1">
      <c r="A1512" s="686" t="s">
        <v>15022</v>
      </c>
      <c r="B1512" s="684" t="s">
        <v>13484</v>
      </c>
      <c r="C1512" s="686" t="s">
        <v>13483</v>
      </c>
      <c r="D1512" s="686" t="s">
        <v>13482</v>
      </c>
      <c r="E1512" s="924" t="s">
        <v>13481</v>
      </c>
      <c r="F1512" s="924"/>
      <c r="G1512" s="685" t="s">
        <v>13480</v>
      </c>
      <c r="H1512" s="684" t="s">
        <v>13479</v>
      </c>
      <c r="I1512" s="684" t="s">
        <v>13478</v>
      </c>
      <c r="J1512" s="684" t="s">
        <v>13477</v>
      </c>
    </row>
    <row r="1513" spans="1:10" ht="36" customHeight="1">
      <c r="A1513" s="682" t="s">
        <v>13476</v>
      </c>
      <c r="B1513" s="683" t="s">
        <v>15021</v>
      </c>
      <c r="C1513" s="682" t="s">
        <v>7</v>
      </c>
      <c r="D1513" s="682" t="s">
        <v>1644</v>
      </c>
      <c r="E1513" s="917" t="s">
        <v>13474</v>
      </c>
      <c r="F1513" s="917"/>
      <c r="G1513" s="681" t="s">
        <v>34</v>
      </c>
      <c r="H1513" s="680">
        <v>1</v>
      </c>
      <c r="I1513" s="679">
        <v>15.68</v>
      </c>
      <c r="J1513" s="679">
        <v>15.68</v>
      </c>
    </row>
    <row r="1514" spans="1:10" ht="24" customHeight="1">
      <c r="A1514" s="677" t="s">
        <v>13472</v>
      </c>
      <c r="B1514" s="678" t="s">
        <v>13526</v>
      </c>
      <c r="C1514" s="677" t="s">
        <v>7</v>
      </c>
      <c r="D1514" s="677" t="s">
        <v>1093</v>
      </c>
      <c r="E1514" s="918" t="s">
        <v>13470</v>
      </c>
      <c r="F1514" s="918"/>
      <c r="G1514" s="676" t="s">
        <v>19</v>
      </c>
      <c r="H1514" s="675">
        <v>0.06</v>
      </c>
      <c r="I1514" s="674">
        <v>13.48</v>
      </c>
      <c r="J1514" s="674">
        <v>0.8</v>
      </c>
    </row>
    <row r="1515" spans="1:10" ht="24" customHeight="1">
      <c r="A1515" s="677" t="s">
        <v>13472</v>
      </c>
      <c r="B1515" s="678" t="s">
        <v>13473</v>
      </c>
      <c r="C1515" s="677" t="s">
        <v>7</v>
      </c>
      <c r="D1515" s="677" t="s">
        <v>44</v>
      </c>
      <c r="E1515" s="918" t="s">
        <v>13470</v>
      </c>
      <c r="F1515" s="918"/>
      <c r="G1515" s="676" t="s">
        <v>19</v>
      </c>
      <c r="H1515" s="675">
        <v>0.06</v>
      </c>
      <c r="I1515" s="674">
        <v>17.66</v>
      </c>
      <c r="J1515" s="674">
        <v>1.05</v>
      </c>
    </row>
    <row r="1516" spans="1:10" ht="24" customHeight="1">
      <c r="A1516" s="672" t="s">
        <v>13467</v>
      </c>
      <c r="B1516" s="673" t="s">
        <v>15020</v>
      </c>
      <c r="C1516" s="672" t="s">
        <v>7</v>
      </c>
      <c r="D1516" s="672" t="s">
        <v>15019</v>
      </c>
      <c r="E1516" s="919" t="s">
        <v>13464</v>
      </c>
      <c r="F1516" s="919"/>
      <c r="G1516" s="671" t="s">
        <v>34</v>
      </c>
      <c r="H1516" s="670">
        <v>2</v>
      </c>
      <c r="I1516" s="669">
        <v>3.08</v>
      </c>
      <c r="J1516" s="669">
        <v>6.16</v>
      </c>
    </row>
    <row r="1517" spans="1:10" ht="36" customHeight="1">
      <c r="A1517" s="672" t="s">
        <v>13467</v>
      </c>
      <c r="B1517" s="673" t="s">
        <v>15018</v>
      </c>
      <c r="C1517" s="672" t="s">
        <v>7</v>
      </c>
      <c r="D1517" s="672" t="s">
        <v>15017</v>
      </c>
      <c r="E1517" s="919" t="s">
        <v>13464</v>
      </c>
      <c r="F1517" s="919"/>
      <c r="G1517" s="671" t="s">
        <v>34</v>
      </c>
      <c r="H1517" s="670">
        <v>0.04</v>
      </c>
      <c r="I1517" s="669">
        <v>30.43</v>
      </c>
      <c r="J1517" s="669">
        <v>1.21</v>
      </c>
    </row>
    <row r="1518" spans="1:10" ht="24" customHeight="1">
      <c r="A1518" s="672" t="s">
        <v>13467</v>
      </c>
      <c r="B1518" s="673" t="s">
        <v>15016</v>
      </c>
      <c r="C1518" s="672" t="s">
        <v>7</v>
      </c>
      <c r="D1518" s="672" t="s">
        <v>15015</v>
      </c>
      <c r="E1518" s="919" t="s">
        <v>13464</v>
      </c>
      <c r="F1518" s="919"/>
      <c r="G1518" s="671" t="s">
        <v>34</v>
      </c>
      <c r="H1518" s="670">
        <v>1</v>
      </c>
      <c r="I1518" s="669">
        <v>6.46</v>
      </c>
      <c r="J1518" s="669">
        <v>6.46</v>
      </c>
    </row>
    <row r="1519" spans="1:10" ht="25.5">
      <c r="A1519" s="668"/>
      <c r="B1519" s="668"/>
      <c r="C1519" s="668"/>
      <c r="D1519" s="668"/>
      <c r="E1519" s="668" t="s">
        <v>13463</v>
      </c>
      <c r="F1519" s="667">
        <v>0.78778659132891449</v>
      </c>
      <c r="G1519" s="668" t="s">
        <v>13462</v>
      </c>
      <c r="H1519" s="667">
        <v>0.66</v>
      </c>
      <c r="I1519" s="668" t="s">
        <v>13461</v>
      </c>
      <c r="J1519" s="667">
        <v>1.45</v>
      </c>
    </row>
    <row r="1520" spans="1:10" ht="15" thickBot="1">
      <c r="A1520" s="668"/>
      <c r="B1520" s="668"/>
      <c r="C1520" s="668"/>
      <c r="D1520" s="668"/>
      <c r="E1520" s="668" t="s">
        <v>13460</v>
      </c>
      <c r="F1520" s="667">
        <v>4.42</v>
      </c>
      <c r="G1520" s="668"/>
      <c r="H1520" s="925" t="s">
        <v>13459</v>
      </c>
      <c r="I1520" s="925"/>
      <c r="J1520" s="667">
        <v>20.100000000000001</v>
      </c>
    </row>
    <row r="1521" spans="1:10" ht="0.95" customHeight="1" thickTop="1">
      <c r="A1521" s="666"/>
      <c r="B1521" s="666"/>
      <c r="C1521" s="666"/>
      <c r="D1521" s="666"/>
      <c r="E1521" s="666"/>
      <c r="F1521" s="666"/>
      <c r="G1521" s="666"/>
      <c r="H1521" s="666"/>
      <c r="I1521" s="666"/>
      <c r="J1521" s="666"/>
    </row>
    <row r="1522" spans="1:10" ht="18" customHeight="1">
      <c r="A1522" s="686" t="s">
        <v>15014</v>
      </c>
      <c r="B1522" s="684" t="s">
        <v>13484</v>
      </c>
      <c r="C1522" s="686" t="s">
        <v>13483</v>
      </c>
      <c r="D1522" s="686" t="s">
        <v>13482</v>
      </c>
      <c r="E1522" s="924" t="s">
        <v>13481</v>
      </c>
      <c r="F1522" s="924"/>
      <c r="G1522" s="685" t="s">
        <v>13480</v>
      </c>
      <c r="H1522" s="684" t="s">
        <v>13479</v>
      </c>
      <c r="I1522" s="684" t="s">
        <v>13478</v>
      </c>
      <c r="J1522" s="684" t="s">
        <v>13477</v>
      </c>
    </row>
    <row r="1523" spans="1:10" ht="48" customHeight="1">
      <c r="A1523" s="682" t="s">
        <v>13476</v>
      </c>
      <c r="B1523" s="683" t="s">
        <v>15013</v>
      </c>
      <c r="C1523" s="682" t="s">
        <v>7</v>
      </c>
      <c r="D1523" s="682" t="s">
        <v>6632</v>
      </c>
      <c r="E1523" s="917" t="s">
        <v>13474</v>
      </c>
      <c r="F1523" s="917"/>
      <c r="G1523" s="681" t="s">
        <v>34</v>
      </c>
      <c r="H1523" s="680">
        <v>1</v>
      </c>
      <c r="I1523" s="679">
        <v>7706.18</v>
      </c>
      <c r="J1523" s="679">
        <v>7706.18</v>
      </c>
    </row>
    <row r="1524" spans="1:10" ht="60" customHeight="1">
      <c r="A1524" s="677" t="s">
        <v>13472</v>
      </c>
      <c r="B1524" s="678" t="s">
        <v>13604</v>
      </c>
      <c r="C1524" s="677" t="s">
        <v>7</v>
      </c>
      <c r="D1524" s="677" t="s">
        <v>702</v>
      </c>
      <c r="E1524" s="918" t="s">
        <v>13491</v>
      </c>
      <c r="F1524" s="918"/>
      <c r="G1524" s="676" t="s">
        <v>38</v>
      </c>
      <c r="H1524" s="675">
        <v>0.70040000000000002</v>
      </c>
      <c r="I1524" s="674">
        <v>101.95</v>
      </c>
      <c r="J1524" s="674">
        <v>71.400000000000006</v>
      </c>
    </row>
    <row r="1525" spans="1:10" ht="60" customHeight="1">
      <c r="A1525" s="677" t="s">
        <v>13472</v>
      </c>
      <c r="B1525" s="678" t="s">
        <v>13602</v>
      </c>
      <c r="C1525" s="677" t="s">
        <v>7</v>
      </c>
      <c r="D1525" s="677" t="s">
        <v>703</v>
      </c>
      <c r="E1525" s="918" t="s">
        <v>13491</v>
      </c>
      <c r="F1525" s="918"/>
      <c r="G1525" s="676" t="s">
        <v>53</v>
      </c>
      <c r="H1525" s="675">
        <v>2.3557000000000001</v>
      </c>
      <c r="I1525" s="674">
        <v>36.340000000000003</v>
      </c>
      <c r="J1525" s="674">
        <v>85.6</v>
      </c>
    </row>
    <row r="1526" spans="1:10" ht="36" customHeight="1">
      <c r="A1526" s="677" t="s">
        <v>13472</v>
      </c>
      <c r="B1526" s="678" t="s">
        <v>14289</v>
      </c>
      <c r="C1526" s="677" t="s">
        <v>7</v>
      </c>
      <c r="D1526" s="677" t="s">
        <v>3774</v>
      </c>
      <c r="E1526" s="918" t="s">
        <v>13646</v>
      </c>
      <c r="F1526" s="918"/>
      <c r="G1526" s="676" t="s">
        <v>13515</v>
      </c>
      <c r="H1526" s="675">
        <v>1.54E-2</v>
      </c>
      <c r="I1526" s="674">
        <v>3665.35</v>
      </c>
      <c r="J1526" s="674">
        <v>56.44</v>
      </c>
    </row>
    <row r="1527" spans="1:10" ht="36" customHeight="1">
      <c r="A1527" s="677" t="s">
        <v>13472</v>
      </c>
      <c r="B1527" s="678" t="s">
        <v>14284</v>
      </c>
      <c r="C1527" s="677" t="s">
        <v>7</v>
      </c>
      <c r="D1527" s="677" t="s">
        <v>3776</v>
      </c>
      <c r="E1527" s="918" t="s">
        <v>13646</v>
      </c>
      <c r="F1527" s="918"/>
      <c r="G1527" s="676" t="s">
        <v>13515</v>
      </c>
      <c r="H1527" s="675">
        <v>0.55420000000000003</v>
      </c>
      <c r="I1527" s="674">
        <v>1853.25</v>
      </c>
      <c r="J1527" s="674">
        <v>1027.07</v>
      </c>
    </row>
    <row r="1528" spans="1:10" ht="36" customHeight="1">
      <c r="A1528" s="677" t="s">
        <v>13472</v>
      </c>
      <c r="B1528" s="678" t="s">
        <v>14172</v>
      </c>
      <c r="C1528" s="677" t="s">
        <v>7</v>
      </c>
      <c r="D1528" s="677" t="s">
        <v>5324</v>
      </c>
      <c r="E1528" s="918" t="s">
        <v>13516</v>
      </c>
      <c r="F1528" s="918"/>
      <c r="G1528" s="676" t="s">
        <v>13515</v>
      </c>
      <c r="H1528" s="675">
        <v>0.79420000000000002</v>
      </c>
      <c r="I1528" s="674">
        <v>117.8</v>
      </c>
      <c r="J1528" s="674">
        <v>93.55</v>
      </c>
    </row>
    <row r="1529" spans="1:10" ht="36" customHeight="1">
      <c r="A1529" s="677" t="s">
        <v>13472</v>
      </c>
      <c r="B1529" s="678" t="s">
        <v>14121</v>
      </c>
      <c r="C1529" s="677" t="s">
        <v>7</v>
      </c>
      <c r="D1529" s="677" t="s">
        <v>4434</v>
      </c>
      <c r="E1529" s="918" t="s">
        <v>13470</v>
      </c>
      <c r="F1529" s="918"/>
      <c r="G1529" s="676" t="s">
        <v>13515</v>
      </c>
      <c r="H1529" s="675">
        <v>0.53569999999999995</v>
      </c>
      <c r="I1529" s="674">
        <v>547.29999999999995</v>
      </c>
      <c r="J1529" s="674">
        <v>293.18</v>
      </c>
    </row>
    <row r="1530" spans="1:10" ht="24" customHeight="1">
      <c r="A1530" s="677" t="s">
        <v>13472</v>
      </c>
      <c r="B1530" s="678" t="s">
        <v>13600</v>
      </c>
      <c r="C1530" s="677" t="s">
        <v>7</v>
      </c>
      <c r="D1530" s="677" t="s">
        <v>41</v>
      </c>
      <c r="E1530" s="918" t="s">
        <v>13470</v>
      </c>
      <c r="F1530" s="918"/>
      <c r="G1530" s="676" t="s">
        <v>19</v>
      </c>
      <c r="H1530" s="675">
        <v>7.1330999999999998</v>
      </c>
      <c r="I1530" s="674">
        <v>17.670000000000002</v>
      </c>
      <c r="J1530" s="674">
        <v>126.04</v>
      </c>
    </row>
    <row r="1531" spans="1:10" ht="24" customHeight="1">
      <c r="A1531" s="677" t="s">
        <v>13472</v>
      </c>
      <c r="B1531" s="678" t="s">
        <v>13471</v>
      </c>
      <c r="C1531" s="677" t="s">
        <v>7</v>
      </c>
      <c r="D1531" s="677" t="s">
        <v>21</v>
      </c>
      <c r="E1531" s="918" t="s">
        <v>13470</v>
      </c>
      <c r="F1531" s="918"/>
      <c r="G1531" s="676" t="s">
        <v>19</v>
      </c>
      <c r="H1531" s="675">
        <v>7.1330999999999998</v>
      </c>
      <c r="I1531" s="674">
        <v>14.02</v>
      </c>
      <c r="J1531" s="674">
        <v>100</v>
      </c>
    </row>
    <row r="1532" spans="1:10" ht="36" customHeight="1">
      <c r="A1532" s="672" t="s">
        <v>13467</v>
      </c>
      <c r="B1532" s="673" t="s">
        <v>15008</v>
      </c>
      <c r="C1532" s="672" t="s">
        <v>7</v>
      </c>
      <c r="D1532" s="672" t="s">
        <v>15007</v>
      </c>
      <c r="E1532" s="919" t="s">
        <v>13464</v>
      </c>
      <c r="F1532" s="919"/>
      <c r="G1532" s="671" t="s">
        <v>34</v>
      </c>
      <c r="H1532" s="670">
        <v>5</v>
      </c>
      <c r="I1532" s="669">
        <v>1170.58</v>
      </c>
      <c r="J1532" s="669">
        <v>5852.9</v>
      </c>
    </row>
    <row r="1533" spans="1:10" ht="25.5">
      <c r="A1533" s="668"/>
      <c r="B1533" s="668"/>
      <c r="C1533" s="668"/>
      <c r="D1533" s="668"/>
      <c r="E1533" s="668" t="s">
        <v>13463</v>
      </c>
      <c r="F1533" s="667">
        <v>270.1673367380202</v>
      </c>
      <c r="G1533" s="668" t="s">
        <v>13462</v>
      </c>
      <c r="H1533" s="667">
        <v>227.1</v>
      </c>
      <c r="I1533" s="668" t="s">
        <v>13461</v>
      </c>
      <c r="J1533" s="667">
        <v>497.27</v>
      </c>
    </row>
    <row r="1534" spans="1:10" ht="15" thickBot="1">
      <c r="A1534" s="668"/>
      <c r="B1534" s="668"/>
      <c r="C1534" s="668"/>
      <c r="D1534" s="668"/>
      <c r="E1534" s="668" t="s">
        <v>13460</v>
      </c>
      <c r="F1534" s="667">
        <v>2176.2199999999998</v>
      </c>
      <c r="G1534" s="668"/>
      <c r="H1534" s="925" t="s">
        <v>13459</v>
      </c>
      <c r="I1534" s="925"/>
      <c r="J1534" s="667">
        <v>9882.4</v>
      </c>
    </row>
    <row r="1535" spans="1:10" ht="0.95" customHeight="1" thickTop="1">
      <c r="A1535" s="666"/>
      <c r="B1535" s="666"/>
      <c r="C1535" s="666"/>
      <c r="D1535" s="666"/>
      <c r="E1535" s="666"/>
      <c r="F1535" s="666"/>
      <c r="G1535" s="666"/>
      <c r="H1535" s="666"/>
      <c r="I1535" s="666"/>
      <c r="J1535" s="666"/>
    </row>
    <row r="1536" spans="1:10" ht="18" customHeight="1">
      <c r="A1536" s="686" t="s">
        <v>15012</v>
      </c>
      <c r="B1536" s="684" t="s">
        <v>13484</v>
      </c>
      <c r="C1536" s="686" t="s">
        <v>13483</v>
      </c>
      <c r="D1536" s="686" t="s">
        <v>13482</v>
      </c>
      <c r="E1536" s="924" t="s">
        <v>13481</v>
      </c>
      <c r="F1536" s="924"/>
      <c r="G1536" s="685" t="s">
        <v>13480</v>
      </c>
      <c r="H1536" s="684" t="s">
        <v>13479</v>
      </c>
      <c r="I1536" s="684" t="s">
        <v>13478</v>
      </c>
      <c r="J1536" s="684" t="s">
        <v>13477</v>
      </c>
    </row>
    <row r="1537" spans="1:10" ht="48" customHeight="1">
      <c r="A1537" s="682" t="s">
        <v>13476</v>
      </c>
      <c r="B1537" s="683" t="s">
        <v>15011</v>
      </c>
      <c r="C1537" s="682" t="s">
        <v>7</v>
      </c>
      <c r="D1537" s="682" t="s">
        <v>6636</v>
      </c>
      <c r="E1537" s="917" t="s">
        <v>13474</v>
      </c>
      <c r="F1537" s="917"/>
      <c r="G1537" s="681" t="s">
        <v>34</v>
      </c>
      <c r="H1537" s="680">
        <v>1</v>
      </c>
      <c r="I1537" s="679">
        <v>6462.74</v>
      </c>
      <c r="J1537" s="679">
        <v>6462.74</v>
      </c>
    </row>
    <row r="1538" spans="1:10" ht="60" customHeight="1">
      <c r="A1538" s="677" t="s">
        <v>13472</v>
      </c>
      <c r="B1538" s="678" t="s">
        <v>13604</v>
      </c>
      <c r="C1538" s="677" t="s">
        <v>7</v>
      </c>
      <c r="D1538" s="677" t="s">
        <v>702</v>
      </c>
      <c r="E1538" s="918" t="s">
        <v>13491</v>
      </c>
      <c r="F1538" s="918"/>
      <c r="G1538" s="676" t="s">
        <v>38</v>
      </c>
      <c r="H1538" s="675">
        <v>1.5450999999999999</v>
      </c>
      <c r="I1538" s="674">
        <v>101.95</v>
      </c>
      <c r="J1538" s="674">
        <v>157.52000000000001</v>
      </c>
    </row>
    <row r="1539" spans="1:10" ht="60" customHeight="1">
      <c r="A1539" s="677" t="s">
        <v>13472</v>
      </c>
      <c r="B1539" s="678" t="s">
        <v>13602</v>
      </c>
      <c r="C1539" s="677" t="s">
        <v>7</v>
      </c>
      <c r="D1539" s="677" t="s">
        <v>703</v>
      </c>
      <c r="E1539" s="918" t="s">
        <v>13491</v>
      </c>
      <c r="F1539" s="918"/>
      <c r="G1539" s="676" t="s">
        <v>53</v>
      </c>
      <c r="H1539" s="675">
        <v>5.1970999999999998</v>
      </c>
      <c r="I1539" s="674">
        <v>36.340000000000003</v>
      </c>
      <c r="J1539" s="674">
        <v>188.86</v>
      </c>
    </row>
    <row r="1540" spans="1:10" ht="36" customHeight="1">
      <c r="A1540" s="677" t="s">
        <v>13472</v>
      </c>
      <c r="B1540" s="678" t="s">
        <v>14289</v>
      </c>
      <c r="C1540" s="677" t="s">
        <v>7</v>
      </c>
      <c r="D1540" s="677" t="s">
        <v>3774</v>
      </c>
      <c r="E1540" s="918" t="s">
        <v>13646</v>
      </c>
      <c r="F1540" s="918"/>
      <c r="G1540" s="676" t="s">
        <v>13515</v>
      </c>
      <c r="H1540" s="675">
        <v>1.54E-2</v>
      </c>
      <c r="I1540" s="674">
        <v>3665.35</v>
      </c>
      <c r="J1540" s="674">
        <v>56.44</v>
      </c>
    </row>
    <row r="1541" spans="1:10" ht="36" customHeight="1">
      <c r="A1541" s="677" t="s">
        <v>13472</v>
      </c>
      <c r="B1541" s="678" t="s">
        <v>14284</v>
      </c>
      <c r="C1541" s="677" t="s">
        <v>7</v>
      </c>
      <c r="D1541" s="677" t="s">
        <v>3776</v>
      </c>
      <c r="E1541" s="918" t="s">
        <v>13646</v>
      </c>
      <c r="F1541" s="918"/>
      <c r="G1541" s="676" t="s">
        <v>13515</v>
      </c>
      <c r="H1541" s="675">
        <v>0.80910000000000004</v>
      </c>
      <c r="I1541" s="674">
        <v>1853.25</v>
      </c>
      <c r="J1541" s="674">
        <v>1499.46</v>
      </c>
    </row>
    <row r="1542" spans="1:10" ht="36" customHeight="1">
      <c r="A1542" s="677" t="s">
        <v>13472</v>
      </c>
      <c r="B1542" s="678" t="s">
        <v>14172</v>
      </c>
      <c r="C1542" s="677" t="s">
        <v>7</v>
      </c>
      <c r="D1542" s="677" t="s">
        <v>5324</v>
      </c>
      <c r="E1542" s="918" t="s">
        <v>13516</v>
      </c>
      <c r="F1542" s="918"/>
      <c r="G1542" s="676" t="s">
        <v>13515</v>
      </c>
      <c r="H1542" s="675">
        <v>0.79420000000000002</v>
      </c>
      <c r="I1542" s="674">
        <v>117.8</v>
      </c>
      <c r="J1542" s="674">
        <v>93.55</v>
      </c>
    </row>
    <row r="1543" spans="1:10" ht="36" customHeight="1">
      <c r="A1543" s="677" t="s">
        <v>13472</v>
      </c>
      <c r="B1543" s="678" t="s">
        <v>14121</v>
      </c>
      <c r="C1543" s="677" t="s">
        <v>7</v>
      </c>
      <c r="D1543" s="677" t="s">
        <v>4434</v>
      </c>
      <c r="E1543" s="918" t="s">
        <v>13470</v>
      </c>
      <c r="F1543" s="918"/>
      <c r="G1543" s="676" t="s">
        <v>13515</v>
      </c>
      <c r="H1543" s="675">
        <v>0.37569999999999998</v>
      </c>
      <c r="I1543" s="674">
        <v>547.29999999999995</v>
      </c>
      <c r="J1543" s="674">
        <v>205.62</v>
      </c>
    </row>
    <row r="1544" spans="1:10" ht="24" customHeight="1">
      <c r="A1544" s="677" t="s">
        <v>13472</v>
      </c>
      <c r="B1544" s="678" t="s">
        <v>13600</v>
      </c>
      <c r="C1544" s="677" t="s">
        <v>7</v>
      </c>
      <c r="D1544" s="677" t="s">
        <v>41</v>
      </c>
      <c r="E1544" s="918" t="s">
        <v>13470</v>
      </c>
      <c r="F1544" s="918"/>
      <c r="G1544" s="676" t="s">
        <v>19</v>
      </c>
      <c r="H1544" s="675">
        <v>5.7202000000000002</v>
      </c>
      <c r="I1544" s="674">
        <v>17.670000000000002</v>
      </c>
      <c r="J1544" s="674">
        <v>101.07</v>
      </c>
    </row>
    <row r="1545" spans="1:10" ht="24" customHeight="1">
      <c r="A1545" s="677" t="s">
        <v>13472</v>
      </c>
      <c r="B1545" s="678" t="s">
        <v>13471</v>
      </c>
      <c r="C1545" s="677" t="s">
        <v>7</v>
      </c>
      <c r="D1545" s="677" t="s">
        <v>21</v>
      </c>
      <c r="E1545" s="918" t="s">
        <v>13470</v>
      </c>
      <c r="F1545" s="918"/>
      <c r="G1545" s="676" t="s">
        <v>19</v>
      </c>
      <c r="H1545" s="675">
        <v>5.7202000000000002</v>
      </c>
      <c r="I1545" s="674">
        <v>14.02</v>
      </c>
      <c r="J1545" s="674">
        <v>80.19</v>
      </c>
    </row>
    <row r="1546" spans="1:10" ht="36" customHeight="1">
      <c r="A1546" s="672" t="s">
        <v>13467</v>
      </c>
      <c r="B1546" s="673" t="s">
        <v>15010</v>
      </c>
      <c r="C1546" s="672" t="s">
        <v>7</v>
      </c>
      <c r="D1546" s="672" t="s">
        <v>15009</v>
      </c>
      <c r="E1546" s="919" t="s">
        <v>13464</v>
      </c>
      <c r="F1546" s="919"/>
      <c r="G1546" s="671" t="s">
        <v>34</v>
      </c>
      <c r="H1546" s="670">
        <v>1</v>
      </c>
      <c r="I1546" s="669">
        <v>108.32</v>
      </c>
      <c r="J1546" s="669">
        <v>108.32</v>
      </c>
    </row>
    <row r="1547" spans="1:10" ht="36" customHeight="1">
      <c r="A1547" s="672" t="s">
        <v>13467</v>
      </c>
      <c r="B1547" s="673" t="s">
        <v>15008</v>
      </c>
      <c r="C1547" s="672" t="s">
        <v>7</v>
      </c>
      <c r="D1547" s="672" t="s">
        <v>15007</v>
      </c>
      <c r="E1547" s="919" t="s">
        <v>13464</v>
      </c>
      <c r="F1547" s="919"/>
      <c r="G1547" s="671" t="s">
        <v>34</v>
      </c>
      <c r="H1547" s="670">
        <v>3</v>
      </c>
      <c r="I1547" s="669">
        <v>1170.58</v>
      </c>
      <c r="J1547" s="669">
        <v>3511.74</v>
      </c>
    </row>
    <row r="1548" spans="1:10" ht="24" customHeight="1">
      <c r="A1548" s="672" t="s">
        <v>13467</v>
      </c>
      <c r="B1548" s="673" t="s">
        <v>13599</v>
      </c>
      <c r="C1548" s="672" t="s">
        <v>7</v>
      </c>
      <c r="D1548" s="672" t="s">
        <v>13598</v>
      </c>
      <c r="E1548" s="919" t="s">
        <v>13464</v>
      </c>
      <c r="F1548" s="919"/>
      <c r="G1548" s="671" t="s">
        <v>13515</v>
      </c>
      <c r="H1548" s="670">
        <v>5.0160999999999998</v>
      </c>
      <c r="I1548" s="669">
        <v>91.7</v>
      </c>
      <c r="J1548" s="669">
        <v>459.97</v>
      </c>
    </row>
    <row r="1549" spans="1:10" ht="25.5">
      <c r="A1549" s="668"/>
      <c r="B1549" s="668"/>
      <c r="C1549" s="668"/>
      <c r="D1549" s="668"/>
      <c r="E1549" s="668" t="s">
        <v>13463</v>
      </c>
      <c r="F1549" s="667">
        <v>333.26632619797891</v>
      </c>
      <c r="G1549" s="668" t="s">
        <v>13462</v>
      </c>
      <c r="H1549" s="667">
        <v>280.14</v>
      </c>
      <c r="I1549" s="668" t="s">
        <v>13461</v>
      </c>
      <c r="J1549" s="667">
        <v>613.41</v>
      </c>
    </row>
    <row r="1550" spans="1:10" ht="15" thickBot="1">
      <c r="A1550" s="668"/>
      <c r="B1550" s="668"/>
      <c r="C1550" s="668"/>
      <c r="D1550" s="668"/>
      <c r="E1550" s="668" t="s">
        <v>13460</v>
      </c>
      <c r="F1550" s="667">
        <v>1825.07</v>
      </c>
      <c r="G1550" s="668"/>
      <c r="H1550" s="925" t="s">
        <v>13459</v>
      </c>
      <c r="I1550" s="925"/>
      <c r="J1550" s="667">
        <v>8287.81</v>
      </c>
    </row>
    <row r="1551" spans="1:10" ht="0.95" customHeight="1" thickTop="1">
      <c r="A1551" s="666"/>
      <c r="B1551" s="666"/>
      <c r="C1551" s="666"/>
      <c r="D1551" s="666"/>
      <c r="E1551" s="666"/>
      <c r="F1551" s="666"/>
      <c r="G1551" s="666"/>
      <c r="H1551" s="666"/>
      <c r="I1551" s="666"/>
      <c r="J1551" s="666"/>
    </row>
    <row r="1552" spans="1:10" ht="18" customHeight="1">
      <c r="A1552" s="686" t="s">
        <v>15006</v>
      </c>
      <c r="B1552" s="684" t="s">
        <v>13484</v>
      </c>
      <c r="C1552" s="686" t="s">
        <v>13483</v>
      </c>
      <c r="D1552" s="686" t="s">
        <v>13482</v>
      </c>
      <c r="E1552" s="924" t="s">
        <v>13481</v>
      </c>
      <c r="F1552" s="924"/>
      <c r="G1552" s="685" t="s">
        <v>13480</v>
      </c>
      <c r="H1552" s="684" t="s">
        <v>13479</v>
      </c>
      <c r="I1552" s="684" t="s">
        <v>13478</v>
      </c>
      <c r="J1552" s="684" t="s">
        <v>13477</v>
      </c>
    </row>
    <row r="1553" spans="1:10" ht="48" customHeight="1">
      <c r="A1553" s="682" t="s">
        <v>13476</v>
      </c>
      <c r="B1553" s="683" t="s">
        <v>15005</v>
      </c>
      <c r="C1553" s="682" t="s">
        <v>7</v>
      </c>
      <c r="D1553" s="682" t="s">
        <v>6640</v>
      </c>
      <c r="E1553" s="917" t="s">
        <v>13474</v>
      </c>
      <c r="F1553" s="917"/>
      <c r="G1553" s="681" t="s">
        <v>34</v>
      </c>
      <c r="H1553" s="680">
        <v>1</v>
      </c>
      <c r="I1553" s="679">
        <v>6402.16</v>
      </c>
      <c r="J1553" s="679">
        <v>6402.16</v>
      </c>
    </row>
    <row r="1554" spans="1:10" ht="60" customHeight="1">
      <c r="A1554" s="677" t="s">
        <v>13472</v>
      </c>
      <c r="B1554" s="678" t="s">
        <v>13604</v>
      </c>
      <c r="C1554" s="677" t="s">
        <v>7</v>
      </c>
      <c r="D1554" s="677" t="s">
        <v>702</v>
      </c>
      <c r="E1554" s="918" t="s">
        <v>13491</v>
      </c>
      <c r="F1554" s="918"/>
      <c r="G1554" s="676" t="s">
        <v>38</v>
      </c>
      <c r="H1554" s="675">
        <v>0.83760000000000001</v>
      </c>
      <c r="I1554" s="674">
        <v>101.95</v>
      </c>
      <c r="J1554" s="674">
        <v>85.39</v>
      </c>
    </row>
    <row r="1555" spans="1:10" ht="60" customHeight="1">
      <c r="A1555" s="677" t="s">
        <v>13472</v>
      </c>
      <c r="B1555" s="678" t="s">
        <v>13602</v>
      </c>
      <c r="C1555" s="677" t="s">
        <v>7</v>
      </c>
      <c r="D1555" s="677" t="s">
        <v>703</v>
      </c>
      <c r="E1555" s="918" t="s">
        <v>13491</v>
      </c>
      <c r="F1555" s="918"/>
      <c r="G1555" s="676" t="s">
        <v>53</v>
      </c>
      <c r="H1555" s="675">
        <v>2.8172999999999999</v>
      </c>
      <c r="I1555" s="674">
        <v>36.340000000000003</v>
      </c>
      <c r="J1555" s="674">
        <v>102.38</v>
      </c>
    </row>
    <row r="1556" spans="1:10" ht="36" customHeight="1">
      <c r="A1556" s="677" t="s">
        <v>13472</v>
      </c>
      <c r="B1556" s="678" t="s">
        <v>14284</v>
      </c>
      <c r="C1556" s="677" t="s">
        <v>7</v>
      </c>
      <c r="D1556" s="677" t="s">
        <v>3776</v>
      </c>
      <c r="E1556" s="918" t="s">
        <v>13646</v>
      </c>
      <c r="F1556" s="918"/>
      <c r="G1556" s="676" t="s">
        <v>13515</v>
      </c>
      <c r="H1556" s="675">
        <v>0.54800000000000004</v>
      </c>
      <c r="I1556" s="674">
        <v>1853.25</v>
      </c>
      <c r="J1556" s="674">
        <v>1015.58</v>
      </c>
    </row>
    <row r="1557" spans="1:10" ht="36" customHeight="1">
      <c r="A1557" s="677" t="s">
        <v>13472</v>
      </c>
      <c r="B1557" s="678" t="s">
        <v>14289</v>
      </c>
      <c r="C1557" s="677" t="s">
        <v>7</v>
      </c>
      <c r="D1557" s="677" t="s">
        <v>3774</v>
      </c>
      <c r="E1557" s="918" t="s">
        <v>13646</v>
      </c>
      <c r="F1557" s="918"/>
      <c r="G1557" s="676" t="s">
        <v>13515</v>
      </c>
      <c r="H1557" s="675">
        <v>1.54E-2</v>
      </c>
      <c r="I1557" s="674">
        <v>3665.35</v>
      </c>
      <c r="J1557" s="674">
        <v>56.44</v>
      </c>
    </row>
    <row r="1558" spans="1:10" ht="36" customHeight="1">
      <c r="A1558" s="677" t="s">
        <v>13472</v>
      </c>
      <c r="B1558" s="678" t="s">
        <v>14172</v>
      </c>
      <c r="C1558" s="677" t="s">
        <v>7</v>
      </c>
      <c r="D1558" s="677" t="s">
        <v>5324</v>
      </c>
      <c r="E1558" s="918" t="s">
        <v>13516</v>
      </c>
      <c r="F1558" s="918"/>
      <c r="G1558" s="676" t="s">
        <v>13515</v>
      </c>
      <c r="H1558" s="675">
        <v>0.79420000000000002</v>
      </c>
      <c r="I1558" s="674">
        <v>117.8</v>
      </c>
      <c r="J1558" s="674">
        <v>93.55</v>
      </c>
    </row>
    <row r="1559" spans="1:10" ht="36" customHeight="1">
      <c r="A1559" s="677" t="s">
        <v>13472</v>
      </c>
      <c r="B1559" s="678" t="s">
        <v>14117</v>
      </c>
      <c r="C1559" s="677" t="s">
        <v>7</v>
      </c>
      <c r="D1559" s="677" t="s">
        <v>4421</v>
      </c>
      <c r="E1559" s="918" t="s">
        <v>13470</v>
      </c>
      <c r="F1559" s="918"/>
      <c r="G1559" s="676" t="s">
        <v>13515</v>
      </c>
      <c r="H1559" s="675">
        <v>8.9300000000000004E-2</v>
      </c>
      <c r="I1559" s="674">
        <v>435.13</v>
      </c>
      <c r="J1559" s="674">
        <v>38.85</v>
      </c>
    </row>
    <row r="1560" spans="1:10" ht="24" customHeight="1">
      <c r="A1560" s="677" t="s">
        <v>13472</v>
      </c>
      <c r="B1560" s="678" t="s">
        <v>13471</v>
      </c>
      <c r="C1560" s="677" t="s">
        <v>7</v>
      </c>
      <c r="D1560" s="677" t="s">
        <v>21</v>
      </c>
      <c r="E1560" s="918" t="s">
        <v>13470</v>
      </c>
      <c r="F1560" s="918"/>
      <c r="G1560" s="676" t="s">
        <v>19</v>
      </c>
      <c r="H1560" s="675">
        <v>2.9510999999999998</v>
      </c>
      <c r="I1560" s="674">
        <v>14.02</v>
      </c>
      <c r="J1560" s="674">
        <v>41.37</v>
      </c>
    </row>
    <row r="1561" spans="1:10" ht="24" customHeight="1">
      <c r="A1561" s="677" t="s">
        <v>13472</v>
      </c>
      <c r="B1561" s="678" t="s">
        <v>13600</v>
      </c>
      <c r="C1561" s="677" t="s">
        <v>7</v>
      </c>
      <c r="D1561" s="677" t="s">
        <v>41</v>
      </c>
      <c r="E1561" s="918" t="s">
        <v>13470</v>
      </c>
      <c r="F1561" s="918"/>
      <c r="G1561" s="676" t="s">
        <v>19</v>
      </c>
      <c r="H1561" s="675">
        <v>2.9510999999999998</v>
      </c>
      <c r="I1561" s="674">
        <v>17.670000000000002</v>
      </c>
      <c r="J1561" s="674">
        <v>52.14</v>
      </c>
    </row>
    <row r="1562" spans="1:10" ht="36" customHeight="1">
      <c r="A1562" s="672" t="s">
        <v>13467</v>
      </c>
      <c r="B1562" s="673" t="s">
        <v>15004</v>
      </c>
      <c r="C1562" s="672" t="s">
        <v>7</v>
      </c>
      <c r="D1562" s="672" t="s">
        <v>15003</v>
      </c>
      <c r="E1562" s="919" t="s">
        <v>13464</v>
      </c>
      <c r="F1562" s="919"/>
      <c r="G1562" s="671" t="s">
        <v>34</v>
      </c>
      <c r="H1562" s="670">
        <v>6</v>
      </c>
      <c r="I1562" s="669">
        <v>819.41</v>
      </c>
      <c r="J1562" s="669">
        <v>4916.46</v>
      </c>
    </row>
    <row r="1563" spans="1:10" ht="25.5">
      <c r="A1563" s="668"/>
      <c r="B1563" s="668"/>
      <c r="C1563" s="668"/>
      <c r="D1563" s="668"/>
      <c r="E1563" s="668" t="s">
        <v>13463</v>
      </c>
      <c r="F1563" s="667">
        <v>209.23611865695969</v>
      </c>
      <c r="G1563" s="668" t="s">
        <v>13462</v>
      </c>
      <c r="H1563" s="667">
        <v>175.88</v>
      </c>
      <c r="I1563" s="668" t="s">
        <v>13461</v>
      </c>
      <c r="J1563" s="667">
        <v>385.12</v>
      </c>
    </row>
    <row r="1564" spans="1:10" ht="15" thickBot="1">
      <c r="A1564" s="668"/>
      <c r="B1564" s="668"/>
      <c r="C1564" s="668"/>
      <c r="D1564" s="668"/>
      <c r="E1564" s="668" t="s">
        <v>13460</v>
      </c>
      <c r="F1564" s="667">
        <v>1807.96</v>
      </c>
      <c r="G1564" s="668"/>
      <c r="H1564" s="925" t="s">
        <v>13459</v>
      </c>
      <c r="I1564" s="925"/>
      <c r="J1564" s="667">
        <v>8210.1200000000008</v>
      </c>
    </row>
    <row r="1565" spans="1:10" ht="0.95" customHeight="1" thickTop="1">
      <c r="A1565" s="666"/>
      <c r="B1565" s="666"/>
      <c r="C1565" s="666"/>
      <c r="D1565" s="666"/>
      <c r="E1565" s="666"/>
      <c r="F1565" s="666"/>
      <c r="G1565" s="666"/>
      <c r="H1565" s="666"/>
      <c r="I1565" s="666"/>
      <c r="J1565" s="666"/>
    </row>
    <row r="1566" spans="1:10" ht="18" customHeight="1">
      <c r="A1566" s="686" t="s">
        <v>15002</v>
      </c>
      <c r="B1566" s="684" t="s">
        <v>13484</v>
      </c>
      <c r="C1566" s="686" t="s">
        <v>13483</v>
      </c>
      <c r="D1566" s="686" t="s">
        <v>13482</v>
      </c>
      <c r="E1566" s="924" t="s">
        <v>13481</v>
      </c>
      <c r="F1566" s="924"/>
      <c r="G1566" s="685" t="s">
        <v>13480</v>
      </c>
      <c r="H1566" s="684" t="s">
        <v>13479</v>
      </c>
      <c r="I1566" s="684" t="s">
        <v>13478</v>
      </c>
      <c r="J1566" s="684" t="s">
        <v>13477</v>
      </c>
    </row>
    <row r="1567" spans="1:10" ht="48" customHeight="1">
      <c r="A1567" s="682" t="s">
        <v>13476</v>
      </c>
      <c r="B1567" s="683" t="s">
        <v>15001</v>
      </c>
      <c r="C1567" s="682" t="s">
        <v>7</v>
      </c>
      <c r="D1567" s="682" t="s">
        <v>6531</v>
      </c>
      <c r="E1567" s="917" t="s">
        <v>15000</v>
      </c>
      <c r="F1567" s="917"/>
      <c r="G1567" s="681" t="s">
        <v>34</v>
      </c>
      <c r="H1567" s="680">
        <v>1</v>
      </c>
      <c r="I1567" s="679">
        <v>437.08</v>
      </c>
      <c r="J1567" s="679">
        <v>437.08</v>
      </c>
    </row>
    <row r="1568" spans="1:10" ht="60" customHeight="1">
      <c r="A1568" s="677" t="s">
        <v>13472</v>
      </c>
      <c r="B1568" s="678" t="s">
        <v>13604</v>
      </c>
      <c r="C1568" s="677" t="s">
        <v>7</v>
      </c>
      <c r="D1568" s="677" t="s">
        <v>702</v>
      </c>
      <c r="E1568" s="918" t="s">
        <v>13491</v>
      </c>
      <c r="F1568" s="918"/>
      <c r="G1568" s="676" t="s">
        <v>38</v>
      </c>
      <c r="H1568" s="675">
        <v>4.36E-2</v>
      </c>
      <c r="I1568" s="674">
        <v>101.95</v>
      </c>
      <c r="J1568" s="674">
        <v>4.4400000000000004</v>
      </c>
    </row>
    <row r="1569" spans="1:10" ht="60" customHeight="1">
      <c r="A1569" s="677" t="s">
        <v>13472</v>
      </c>
      <c r="B1569" s="678" t="s">
        <v>13602</v>
      </c>
      <c r="C1569" s="677" t="s">
        <v>7</v>
      </c>
      <c r="D1569" s="677" t="s">
        <v>703</v>
      </c>
      <c r="E1569" s="918" t="s">
        <v>13491</v>
      </c>
      <c r="F1569" s="918"/>
      <c r="G1569" s="676" t="s">
        <v>53</v>
      </c>
      <c r="H1569" s="675">
        <v>8.8800000000000004E-2</v>
      </c>
      <c r="I1569" s="674">
        <v>36.340000000000003</v>
      </c>
      <c r="J1569" s="674">
        <v>3.22</v>
      </c>
    </row>
    <row r="1570" spans="1:10" ht="36" customHeight="1">
      <c r="A1570" s="677" t="s">
        <v>13472</v>
      </c>
      <c r="B1570" s="678" t="s">
        <v>13653</v>
      </c>
      <c r="C1570" s="677" t="s">
        <v>7</v>
      </c>
      <c r="D1570" s="677" t="s">
        <v>3771</v>
      </c>
      <c r="E1570" s="918" t="s">
        <v>13646</v>
      </c>
      <c r="F1570" s="918"/>
      <c r="G1570" s="676" t="s">
        <v>13515</v>
      </c>
      <c r="H1570" s="675">
        <v>3.2399999999999998E-2</v>
      </c>
      <c r="I1570" s="674">
        <v>1971.46</v>
      </c>
      <c r="J1570" s="674">
        <v>63.87</v>
      </c>
    </row>
    <row r="1571" spans="1:10" ht="24" customHeight="1">
      <c r="A1571" s="677" t="s">
        <v>13472</v>
      </c>
      <c r="B1571" s="678" t="s">
        <v>13611</v>
      </c>
      <c r="C1571" s="677" t="s">
        <v>7</v>
      </c>
      <c r="D1571" s="677" t="s">
        <v>5315</v>
      </c>
      <c r="E1571" s="918" t="s">
        <v>13516</v>
      </c>
      <c r="F1571" s="918"/>
      <c r="G1571" s="676" t="s">
        <v>13610</v>
      </c>
      <c r="H1571" s="675">
        <v>4.7999999999999996E-3</v>
      </c>
      <c r="I1571" s="674">
        <v>4.0599999999999996</v>
      </c>
      <c r="J1571" s="674">
        <v>0.01</v>
      </c>
    </row>
    <row r="1572" spans="1:10" ht="36" customHeight="1">
      <c r="A1572" s="677" t="s">
        <v>13472</v>
      </c>
      <c r="B1572" s="678" t="s">
        <v>14117</v>
      </c>
      <c r="C1572" s="677" t="s">
        <v>7</v>
      </c>
      <c r="D1572" s="677" t="s">
        <v>4421</v>
      </c>
      <c r="E1572" s="918" t="s">
        <v>13470</v>
      </c>
      <c r="F1572" s="918"/>
      <c r="G1572" s="676" t="s">
        <v>13515</v>
      </c>
      <c r="H1572" s="675">
        <v>1.5E-3</v>
      </c>
      <c r="I1572" s="674">
        <v>435.13</v>
      </c>
      <c r="J1572" s="674">
        <v>0.65</v>
      </c>
    </row>
    <row r="1573" spans="1:10" ht="24" customHeight="1">
      <c r="A1573" s="677" t="s">
        <v>13472</v>
      </c>
      <c r="B1573" s="678" t="s">
        <v>13600</v>
      </c>
      <c r="C1573" s="677" t="s">
        <v>7</v>
      </c>
      <c r="D1573" s="677" t="s">
        <v>41</v>
      </c>
      <c r="E1573" s="918" t="s">
        <v>13470</v>
      </c>
      <c r="F1573" s="918"/>
      <c r="G1573" s="676" t="s">
        <v>19</v>
      </c>
      <c r="H1573" s="675">
        <v>0.12870000000000001</v>
      </c>
      <c r="I1573" s="674">
        <v>17.670000000000002</v>
      </c>
      <c r="J1573" s="674">
        <v>2.27</v>
      </c>
    </row>
    <row r="1574" spans="1:10" ht="24" customHeight="1">
      <c r="A1574" s="677" t="s">
        <v>13472</v>
      </c>
      <c r="B1574" s="678" t="s">
        <v>13471</v>
      </c>
      <c r="C1574" s="677" t="s">
        <v>7</v>
      </c>
      <c r="D1574" s="677" t="s">
        <v>21</v>
      </c>
      <c r="E1574" s="918" t="s">
        <v>13470</v>
      </c>
      <c r="F1574" s="918"/>
      <c r="G1574" s="676" t="s">
        <v>19</v>
      </c>
      <c r="H1574" s="675">
        <v>0.1011</v>
      </c>
      <c r="I1574" s="674">
        <v>14.02</v>
      </c>
      <c r="J1574" s="674">
        <v>1.41</v>
      </c>
    </row>
    <row r="1575" spans="1:10" ht="24" customHeight="1">
      <c r="A1575" s="672" t="s">
        <v>13467</v>
      </c>
      <c r="B1575" s="673" t="s">
        <v>14999</v>
      </c>
      <c r="C1575" s="672" t="s">
        <v>7</v>
      </c>
      <c r="D1575" s="672" t="s">
        <v>14998</v>
      </c>
      <c r="E1575" s="919" t="s">
        <v>13464</v>
      </c>
      <c r="F1575" s="919"/>
      <c r="G1575" s="671" t="s">
        <v>34</v>
      </c>
      <c r="H1575" s="670">
        <v>1</v>
      </c>
      <c r="I1575" s="669">
        <v>361.21</v>
      </c>
      <c r="J1575" s="669">
        <v>361.21</v>
      </c>
    </row>
    <row r="1576" spans="1:10" ht="25.5">
      <c r="A1576" s="668"/>
      <c r="B1576" s="668"/>
      <c r="C1576" s="668"/>
      <c r="D1576" s="668"/>
      <c r="E1576" s="668" t="s">
        <v>13463</v>
      </c>
      <c r="F1576" s="667">
        <v>16.418559165489516</v>
      </c>
      <c r="G1576" s="668" t="s">
        <v>13462</v>
      </c>
      <c r="H1576" s="667">
        <v>13.8</v>
      </c>
      <c r="I1576" s="668" t="s">
        <v>13461</v>
      </c>
      <c r="J1576" s="667">
        <v>30.22</v>
      </c>
    </row>
    <row r="1577" spans="1:10" ht="15" thickBot="1">
      <c r="A1577" s="668"/>
      <c r="B1577" s="668"/>
      <c r="C1577" s="668"/>
      <c r="D1577" s="668"/>
      <c r="E1577" s="668" t="s">
        <v>13460</v>
      </c>
      <c r="F1577" s="667">
        <v>123.43</v>
      </c>
      <c r="G1577" s="668"/>
      <c r="H1577" s="925" t="s">
        <v>13459</v>
      </c>
      <c r="I1577" s="925"/>
      <c r="J1577" s="667">
        <v>560.51</v>
      </c>
    </row>
    <row r="1578" spans="1:10" ht="0.95" customHeight="1" thickTop="1">
      <c r="A1578" s="666"/>
      <c r="B1578" s="666"/>
      <c r="C1578" s="666"/>
      <c r="D1578" s="666"/>
      <c r="E1578" s="666"/>
      <c r="F1578" s="666"/>
      <c r="G1578" s="666"/>
      <c r="H1578" s="666"/>
      <c r="I1578" s="666"/>
      <c r="J1578" s="666"/>
    </row>
    <row r="1579" spans="1:10" ht="18" customHeight="1">
      <c r="A1579" s="686" t="s">
        <v>14997</v>
      </c>
      <c r="B1579" s="684" t="s">
        <v>13484</v>
      </c>
      <c r="C1579" s="686" t="s">
        <v>13483</v>
      </c>
      <c r="D1579" s="686" t="s">
        <v>13482</v>
      </c>
      <c r="E1579" s="924" t="s">
        <v>13481</v>
      </c>
      <c r="F1579" s="924"/>
      <c r="G1579" s="685" t="s">
        <v>13480</v>
      </c>
      <c r="H1579" s="684" t="s">
        <v>13479</v>
      </c>
      <c r="I1579" s="684" t="s">
        <v>13478</v>
      </c>
      <c r="J1579" s="684" t="s">
        <v>13477</v>
      </c>
    </row>
    <row r="1580" spans="1:10" ht="48" customHeight="1">
      <c r="A1580" s="682" t="s">
        <v>13476</v>
      </c>
      <c r="B1580" s="683" t="s">
        <v>14996</v>
      </c>
      <c r="C1580" s="682" t="s">
        <v>7</v>
      </c>
      <c r="D1580" s="682" t="s">
        <v>2542</v>
      </c>
      <c r="E1580" s="917" t="s">
        <v>13474</v>
      </c>
      <c r="F1580" s="917"/>
      <c r="G1580" s="681" t="s">
        <v>34</v>
      </c>
      <c r="H1580" s="680">
        <v>1</v>
      </c>
      <c r="I1580" s="679">
        <v>66.59</v>
      </c>
      <c r="J1580" s="679">
        <v>66.59</v>
      </c>
    </row>
    <row r="1581" spans="1:10" ht="24" customHeight="1">
      <c r="A1581" s="677" t="s">
        <v>13472</v>
      </c>
      <c r="B1581" s="678" t="s">
        <v>13526</v>
      </c>
      <c r="C1581" s="677" t="s">
        <v>7</v>
      </c>
      <c r="D1581" s="677" t="s">
        <v>1093</v>
      </c>
      <c r="E1581" s="918" t="s">
        <v>13470</v>
      </c>
      <c r="F1581" s="918"/>
      <c r="G1581" s="676" t="s">
        <v>19</v>
      </c>
      <c r="H1581" s="675">
        <v>0.78900000000000003</v>
      </c>
      <c r="I1581" s="674">
        <v>13.48</v>
      </c>
      <c r="J1581" s="674">
        <v>10.63</v>
      </c>
    </row>
    <row r="1582" spans="1:10" ht="24" customHeight="1">
      <c r="A1582" s="677" t="s">
        <v>13472</v>
      </c>
      <c r="B1582" s="678" t="s">
        <v>13473</v>
      </c>
      <c r="C1582" s="677" t="s">
        <v>7</v>
      </c>
      <c r="D1582" s="677" t="s">
        <v>44</v>
      </c>
      <c r="E1582" s="918" t="s">
        <v>13470</v>
      </c>
      <c r="F1582" s="918"/>
      <c r="G1582" s="676" t="s">
        <v>19</v>
      </c>
      <c r="H1582" s="675">
        <v>0.78900000000000003</v>
      </c>
      <c r="I1582" s="674">
        <v>17.66</v>
      </c>
      <c r="J1582" s="674">
        <v>13.93</v>
      </c>
    </row>
    <row r="1583" spans="1:10" ht="24" customHeight="1">
      <c r="A1583" s="672" t="s">
        <v>13467</v>
      </c>
      <c r="B1583" s="673" t="s">
        <v>13534</v>
      </c>
      <c r="C1583" s="672" t="s">
        <v>7</v>
      </c>
      <c r="D1583" s="672" t="s">
        <v>13533</v>
      </c>
      <c r="E1583" s="919" t="s">
        <v>13464</v>
      </c>
      <c r="F1583" s="919"/>
      <c r="G1583" s="671" t="s">
        <v>34</v>
      </c>
      <c r="H1583" s="670">
        <v>1.9E-2</v>
      </c>
      <c r="I1583" s="669">
        <v>18.440000000000001</v>
      </c>
      <c r="J1583" s="669">
        <v>0.35</v>
      </c>
    </row>
    <row r="1584" spans="1:10" ht="24" customHeight="1">
      <c r="A1584" s="672" t="s">
        <v>13467</v>
      </c>
      <c r="B1584" s="673" t="s">
        <v>14995</v>
      </c>
      <c r="C1584" s="672" t="s">
        <v>7</v>
      </c>
      <c r="D1584" s="672" t="s">
        <v>14994</v>
      </c>
      <c r="E1584" s="919" t="s">
        <v>13464</v>
      </c>
      <c r="F1584" s="919"/>
      <c r="G1584" s="671" t="s">
        <v>34</v>
      </c>
      <c r="H1584" s="670">
        <v>1</v>
      </c>
      <c r="I1584" s="669">
        <v>41.68</v>
      </c>
      <c r="J1584" s="669">
        <v>41.68</v>
      </c>
    </row>
    <row r="1585" spans="1:10" ht="25.5">
      <c r="A1585" s="668"/>
      <c r="B1585" s="668"/>
      <c r="C1585" s="668"/>
      <c r="D1585" s="668"/>
      <c r="E1585" s="668" t="s">
        <v>13463</v>
      </c>
      <c r="F1585" s="667">
        <v>10.463979137237857</v>
      </c>
      <c r="G1585" s="668" t="s">
        <v>13462</v>
      </c>
      <c r="H1585" s="667">
        <v>8.8000000000000007</v>
      </c>
      <c r="I1585" s="668" t="s">
        <v>13461</v>
      </c>
      <c r="J1585" s="667">
        <v>19.260000000000002</v>
      </c>
    </row>
    <row r="1586" spans="1:10" ht="15" thickBot="1">
      <c r="A1586" s="668"/>
      <c r="B1586" s="668"/>
      <c r="C1586" s="668"/>
      <c r="D1586" s="668"/>
      <c r="E1586" s="668" t="s">
        <v>13460</v>
      </c>
      <c r="F1586" s="667">
        <v>18.8</v>
      </c>
      <c r="G1586" s="668"/>
      <c r="H1586" s="925" t="s">
        <v>13459</v>
      </c>
      <c r="I1586" s="925"/>
      <c r="J1586" s="667">
        <v>85.39</v>
      </c>
    </row>
    <row r="1587" spans="1:10" ht="0.95" customHeight="1" thickTop="1">
      <c r="A1587" s="666"/>
      <c r="B1587" s="666"/>
      <c r="C1587" s="666"/>
      <c r="D1587" s="666"/>
      <c r="E1587" s="666"/>
      <c r="F1587" s="666"/>
      <c r="G1587" s="666"/>
      <c r="H1587" s="666"/>
      <c r="I1587" s="666"/>
      <c r="J1587" s="666"/>
    </row>
    <row r="1588" spans="1:10" ht="18" customHeight="1">
      <c r="A1588" s="686" t="s">
        <v>14993</v>
      </c>
      <c r="B1588" s="684" t="s">
        <v>13484</v>
      </c>
      <c r="C1588" s="686" t="s">
        <v>13483</v>
      </c>
      <c r="D1588" s="686" t="s">
        <v>13482</v>
      </c>
      <c r="E1588" s="924" t="s">
        <v>13481</v>
      </c>
      <c r="F1588" s="924"/>
      <c r="G1588" s="685" t="s">
        <v>13480</v>
      </c>
      <c r="H1588" s="684" t="s">
        <v>13479</v>
      </c>
      <c r="I1588" s="684" t="s">
        <v>13478</v>
      </c>
      <c r="J1588" s="684" t="s">
        <v>13477</v>
      </c>
    </row>
    <row r="1589" spans="1:10" ht="48" customHeight="1">
      <c r="A1589" s="682" t="s">
        <v>13476</v>
      </c>
      <c r="B1589" s="683" t="s">
        <v>14992</v>
      </c>
      <c r="C1589" s="682" t="s">
        <v>7</v>
      </c>
      <c r="D1589" s="682" t="s">
        <v>2541</v>
      </c>
      <c r="E1589" s="917" t="s">
        <v>13474</v>
      </c>
      <c r="F1589" s="917"/>
      <c r="G1589" s="681" t="s">
        <v>34</v>
      </c>
      <c r="H1589" s="680">
        <v>1</v>
      </c>
      <c r="I1589" s="679">
        <v>57.92</v>
      </c>
      <c r="J1589" s="679">
        <v>57.92</v>
      </c>
    </row>
    <row r="1590" spans="1:10" ht="24" customHeight="1">
      <c r="A1590" s="677" t="s">
        <v>13472</v>
      </c>
      <c r="B1590" s="678" t="s">
        <v>13526</v>
      </c>
      <c r="C1590" s="677" t="s">
        <v>7</v>
      </c>
      <c r="D1590" s="677" t="s">
        <v>1093</v>
      </c>
      <c r="E1590" s="918" t="s">
        <v>13470</v>
      </c>
      <c r="F1590" s="918"/>
      <c r="G1590" s="676" t="s">
        <v>19</v>
      </c>
      <c r="H1590" s="675">
        <v>0.78900000000000003</v>
      </c>
      <c r="I1590" s="674">
        <v>13.48</v>
      </c>
      <c r="J1590" s="674">
        <v>10.63</v>
      </c>
    </row>
    <row r="1591" spans="1:10" ht="24" customHeight="1">
      <c r="A1591" s="677" t="s">
        <v>13472</v>
      </c>
      <c r="B1591" s="678" t="s">
        <v>13473</v>
      </c>
      <c r="C1591" s="677" t="s">
        <v>7</v>
      </c>
      <c r="D1591" s="677" t="s">
        <v>44</v>
      </c>
      <c r="E1591" s="918" t="s">
        <v>13470</v>
      </c>
      <c r="F1591" s="918"/>
      <c r="G1591" s="676" t="s">
        <v>19</v>
      </c>
      <c r="H1591" s="675">
        <v>0.78900000000000003</v>
      </c>
      <c r="I1591" s="674">
        <v>17.66</v>
      </c>
      <c r="J1591" s="674">
        <v>13.93</v>
      </c>
    </row>
    <row r="1592" spans="1:10" ht="24" customHeight="1">
      <c r="A1592" s="672" t="s">
        <v>13467</v>
      </c>
      <c r="B1592" s="673" t="s">
        <v>13534</v>
      </c>
      <c r="C1592" s="672" t="s">
        <v>7</v>
      </c>
      <c r="D1592" s="672" t="s">
        <v>13533</v>
      </c>
      <c r="E1592" s="919" t="s">
        <v>13464</v>
      </c>
      <c r="F1592" s="919"/>
      <c r="G1592" s="671" t="s">
        <v>34</v>
      </c>
      <c r="H1592" s="670">
        <v>1.9E-2</v>
      </c>
      <c r="I1592" s="669">
        <v>18.440000000000001</v>
      </c>
      <c r="J1592" s="669">
        <v>0.35</v>
      </c>
    </row>
    <row r="1593" spans="1:10" ht="24" customHeight="1">
      <c r="A1593" s="672" t="s">
        <v>13467</v>
      </c>
      <c r="B1593" s="673" t="s">
        <v>14195</v>
      </c>
      <c r="C1593" s="672" t="s">
        <v>7</v>
      </c>
      <c r="D1593" s="672" t="s">
        <v>14194</v>
      </c>
      <c r="E1593" s="919" t="s">
        <v>13464</v>
      </c>
      <c r="F1593" s="919"/>
      <c r="G1593" s="671" t="s">
        <v>34</v>
      </c>
      <c r="H1593" s="670">
        <v>1</v>
      </c>
      <c r="I1593" s="669">
        <v>33.01</v>
      </c>
      <c r="J1593" s="669">
        <v>33.01</v>
      </c>
    </row>
    <row r="1594" spans="1:10" ht="25.5">
      <c r="A1594" s="668"/>
      <c r="B1594" s="668"/>
      <c r="C1594" s="668"/>
      <c r="D1594" s="668"/>
      <c r="E1594" s="668" t="s">
        <v>13463</v>
      </c>
      <c r="F1594" s="667">
        <v>10.463979137237857</v>
      </c>
      <c r="G1594" s="668" t="s">
        <v>13462</v>
      </c>
      <c r="H1594" s="667">
        <v>8.8000000000000007</v>
      </c>
      <c r="I1594" s="668" t="s">
        <v>13461</v>
      </c>
      <c r="J1594" s="667">
        <v>19.260000000000002</v>
      </c>
    </row>
    <row r="1595" spans="1:10" ht="15" thickBot="1">
      <c r="A1595" s="668"/>
      <c r="B1595" s="668"/>
      <c r="C1595" s="668"/>
      <c r="D1595" s="668"/>
      <c r="E1595" s="668" t="s">
        <v>13460</v>
      </c>
      <c r="F1595" s="667">
        <v>16.350000000000001</v>
      </c>
      <c r="G1595" s="668"/>
      <c r="H1595" s="925" t="s">
        <v>13459</v>
      </c>
      <c r="I1595" s="925"/>
      <c r="J1595" s="667">
        <v>74.27</v>
      </c>
    </row>
    <row r="1596" spans="1:10" ht="0.95" customHeight="1" thickTop="1">
      <c r="A1596" s="666"/>
      <c r="B1596" s="666"/>
      <c r="C1596" s="666"/>
      <c r="D1596" s="666"/>
      <c r="E1596" s="666"/>
      <c r="F1596" s="666"/>
      <c r="G1596" s="666"/>
      <c r="H1596" s="666"/>
      <c r="I1596" s="666"/>
      <c r="J1596" s="666"/>
    </row>
    <row r="1597" spans="1:10" ht="18" customHeight="1">
      <c r="A1597" s="686" t="s">
        <v>14991</v>
      </c>
      <c r="B1597" s="684" t="s">
        <v>13484</v>
      </c>
      <c r="C1597" s="686" t="s">
        <v>13483</v>
      </c>
      <c r="D1597" s="686" t="s">
        <v>13482</v>
      </c>
      <c r="E1597" s="924" t="s">
        <v>13481</v>
      </c>
      <c r="F1597" s="924"/>
      <c r="G1597" s="685" t="s">
        <v>13480</v>
      </c>
      <c r="H1597" s="684" t="s">
        <v>13479</v>
      </c>
      <c r="I1597" s="684" t="s">
        <v>13478</v>
      </c>
      <c r="J1597" s="684" t="s">
        <v>13477</v>
      </c>
    </row>
    <row r="1598" spans="1:10" ht="48" customHeight="1">
      <c r="A1598" s="682" t="s">
        <v>13476</v>
      </c>
      <c r="B1598" s="683" t="s">
        <v>14990</v>
      </c>
      <c r="C1598" s="682" t="s">
        <v>7</v>
      </c>
      <c r="D1598" s="682" t="s">
        <v>2539</v>
      </c>
      <c r="E1598" s="917" t="s">
        <v>13474</v>
      </c>
      <c r="F1598" s="917"/>
      <c r="G1598" s="681" t="s">
        <v>34</v>
      </c>
      <c r="H1598" s="680">
        <v>1</v>
      </c>
      <c r="I1598" s="679">
        <v>39.619999999999997</v>
      </c>
      <c r="J1598" s="679">
        <v>39.619999999999997</v>
      </c>
    </row>
    <row r="1599" spans="1:10" ht="24" customHeight="1">
      <c r="A1599" s="677" t="s">
        <v>13472</v>
      </c>
      <c r="B1599" s="678" t="s">
        <v>13526</v>
      </c>
      <c r="C1599" s="677" t="s">
        <v>7</v>
      </c>
      <c r="D1599" s="677" t="s">
        <v>1093</v>
      </c>
      <c r="E1599" s="918" t="s">
        <v>13470</v>
      </c>
      <c r="F1599" s="918"/>
      <c r="G1599" s="676" t="s">
        <v>19</v>
      </c>
      <c r="H1599" s="675">
        <v>0.77449999999999997</v>
      </c>
      <c r="I1599" s="674">
        <v>13.48</v>
      </c>
      <c r="J1599" s="674">
        <v>10.44</v>
      </c>
    </row>
    <row r="1600" spans="1:10" ht="24" customHeight="1">
      <c r="A1600" s="677" t="s">
        <v>13472</v>
      </c>
      <c r="B1600" s="678" t="s">
        <v>13473</v>
      </c>
      <c r="C1600" s="677" t="s">
        <v>7</v>
      </c>
      <c r="D1600" s="677" t="s">
        <v>44</v>
      </c>
      <c r="E1600" s="918" t="s">
        <v>13470</v>
      </c>
      <c r="F1600" s="918"/>
      <c r="G1600" s="676" t="s">
        <v>19</v>
      </c>
      <c r="H1600" s="675">
        <v>0.77449999999999997</v>
      </c>
      <c r="I1600" s="674">
        <v>17.66</v>
      </c>
      <c r="J1600" s="674">
        <v>13.67</v>
      </c>
    </row>
    <row r="1601" spans="1:10" ht="24" customHeight="1">
      <c r="A1601" s="672" t="s">
        <v>13467</v>
      </c>
      <c r="B1601" s="673" t="s">
        <v>13534</v>
      </c>
      <c r="C1601" s="672" t="s">
        <v>7</v>
      </c>
      <c r="D1601" s="672" t="s">
        <v>13533</v>
      </c>
      <c r="E1601" s="919" t="s">
        <v>13464</v>
      </c>
      <c r="F1601" s="919"/>
      <c r="G1601" s="671" t="s">
        <v>34</v>
      </c>
      <c r="H1601" s="670">
        <v>9.4999999999999998E-3</v>
      </c>
      <c r="I1601" s="669">
        <v>18.440000000000001</v>
      </c>
      <c r="J1601" s="669">
        <v>0.17</v>
      </c>
    </row>
    <row r="1602" spans="1:10" ht="24" customHeight="1">
      <c r="A1602" s="672" t="s">
        <v>13467</v>
      </c>
      <c r="B1602" s="673" t="s">
        <v>13588</v>
      </c>
      <c r="C1602" s="672" t="s">
        <v>7</v>
      </c>
      <c r="D1602" s="672" t="s">
        <v>13587</v>
      </c>
      <c r="E1602" s="919" t="s">
        <v>13464</v>
      </c>
      <c r="F1602" s="919"/>
      <c r="G1602" s="671" t="s">
        <v>34</v>
      </c>
      <c r="H1602" s="670">
        <v>1</v>
      </c>
      <c r="I1602" s="669">
        <v>15.34</v>
      </c>
      <c r="J1602" s="669">
        <v>15.34</v>
      </c>
    </row>
    <row r="1603" spans="1:10" ht="25.5">
      <c r="A1603" s="668"/>
      <c r="B1603" s="668"/>
      <c r="C1603" s="668"/>
      <c r="D1603" s="668"/>
      <c r="E1603" s="668" t="s">
        <v>13463</v>
      </c>
      <c r="F1603" s="667">
        <v>10.268390742149299</v>
      </c>
      <c r="G1603" s="668" t="s">
        <v>13462</v>
      </c>
      <c r="H1603" s="667">
        <v>8.6300000000000008</v>
      </c>
      <c r="I1603" s="668" t="s">
        <v>13461</v>
      </c>
      <c r="J1603" s="667">
        <v>18.899999999999999</v>
      </c>
    </row>
    <row r="1604" spans="1:10" ht="15" thickBot="1">
      <c r="A1604" s="668"/>
      <c r="B1604" s="668"/>
      <c r="C1604" s="668"/>
      <c r="D1604" s="668"/>
      <c r="E1604" s="668" t="s">
        <v>13460</v>
      </c>
      <c r="F1604" s="667">
        <v>11.18</v>
      </c>
      <c r="G1604" s="668"/>
      <c r="H1604" s="925" t="s">
        <v>13459</v>
      </c>
      <c r="I1604" s="925"/>
      <c r="J1604" s="667">
        <v>50.8</v>
      </c>
    </row>
    <row r="1605" spans="1:10" ht="0.95" customHeight="1" thickTop="1">
      <c r="A1605" s="666"/>
      <c r="B1605" s="666"/>
      <c r="C1605" s="666"/>
      <c r="D1605" s="666"/>
      <c r="E1605" s="666"/>
      <c r="F1605" s="666"/>
      <c r="G1605" s="666"/>
      <c r="H1605" s="666"/>
      <c r="I1605" s="666"/>
      <c r="J1605" s="666"/>
    </row>
    <row r="1606" spans="1:10" ht="18" customHeight="1">
      <c r="A1606" s="686" t="s">
        <v>14989</v>
      </c>
      <c r="B1606" s="684" t="s">
        <v>13484</v>
      </c>
      <c r="C1606" s="686" t="s">
        <v>13483</v>
      </c>
      <c r="D1606" s="686" t="s">
        <v>13482</v>
      </c>
      <c r="E1606" s="924" t="s">
        <v>13481</v>
      </c>
      <c r="F1606" s="924"/>
      <c r="G1606" s="685" t="s">
        <v>13480</v>
      </c>
      <c r="H1606" s="684" t="s">
        <v>13479</v>
      </c>
      <c r="I1606" s="684" t="s">
        <v>13478</v>
      </c>
      <c r="J1606" s="684" t="s">
        <v>13477</v>
      </c>
    </row>
    <row r="1607" spans="1:10" ht="60" customHeight="1">
      <c r="A1607" s="682" t="s">
        <v>13476</v>
      </c>
      <c r="B1607" s="683" t="s">
        <v>14988</v>
      </c>
      <c r="C1607" s="682" t="s">
        <v>7</v>
      </c>
      <c r="D1607" s="682" t="s">
        <v>2655</v>
      </c>
      <c r="E1607" s="917" t="s">
        <v>13474</v>
      </c>
      <c r="F1607" s="917"/>
      <c r="G1607" s="681" t="s">
        <v>34</v>
      </c>
      <c r="H1607" s="680">
        <v>1</v>
      </c>
      <c r="I1607" s="679">
        <v>91.56</v>
      </c>
      <c r="J1607" s="679">
        <v>91.56</v>
      </c>
    </row>
    <row r="1608" spans="1:10" ht="24" customHeight="1">
      <c r="A1608" s="677" t="s">
        <v>13472</v>
      </c>
      <c r="B1608" s="678" t="s">
        <v>13526</v>
      </c>
      <c r="C1608" s="677" t="s">
        <v>7</v>
      </c>
      <c r="D1608" s="677" t="s">
        <v>1093</v>
      </c>
      <c r="E1608" s="918" t="s">
        <v>13470</v>
      </c>
      <c r="F1608" s="918"/>
      <c r="G1608" s="676" t="s">
        <v>19</v>
      </c>
      <c r="H1608" s="675">
        <v>0.78900000000000003</v>
      </c>
      <c r="I1608" s="674">
        <v>13.48</v>
      </c>
      <c r="J1608" s="674">
        <v>10.63</v>
      </c>
    </row>
    <row r="1609" spans="1:10" ht="24" customHeight="1">
      <c r="A1609" s="677" t="s">
        <v>13472</v>
      </c>
      <c r="B1609" s="678" t="s">
        <v>13473</v>
      </c>
      <c r="C1609" s="677" t="s">
        <v>7</v>
      </c>
      <c r="D1609" s="677" t="s">
        <v>44</v>
      </c>
      <c r="E1609" s="918" t="s">
        <v>13470</v>
      </c>
      <c r="F1609" s="918"/>
      <c r="G1609" s="676" t="s">
        <v>19</v>
      </c>
      <c r="H1609" s="675">
        <v>0.78900000000000003</v>
      </c>
      <c r="I1609" s="674">
        <v>17.66</v>
      </c>
      <c r="J1609" s="674">
        <v>13.93</v>
      </c>
    </row>
    <row r="1610" spans="1:10" ht="24" customHeight="1">
      <c r="A1610" s="672" t="s">
        <v>13467</v>
      </c>
      <c r="B1610" s="673" t="s">
        <v>13534</v>
      </c>
      <c r="C1610" s="672" t="s">
        <v>7</v>
      </c>
      <c r="D1610" s="672" t="s">
        <v>13533</v>
      </c>
      <c r="E1610" s="919" t="s">
        <v>13464</v>
      </c>
      <c r="F1610" s="919"/>
      <c r="G1610" s="671" t="s">
        <v>34</v>
      </c>
      <c r="H1610" s="670">
        <v>1.9E-2</v>
      </c>
      <c r="I1610" s="669">
        <v>18.440000000000001</v>
      </c>
      <c r="J1610" s="669">
        <v>0.35</v>
      </c>
    </row>
    <row r="1611" spans="1:10" ht="24" customHeight="1">
      <c r="A1611" s="672" t="s">
        <v>13467</v>
      </c>
      <c r="B1611" s="673" t="s">
        <v>14987</v>
      </c>
      <c r="C1611" s="672" t="s">
        <v>7</v>
      </c>
      <c r="D1611" s="672" t="s">
        <v>14986</v>
      </c>
      <c r="E1611" s="919" t="s">
        <v>13464</v>
      </c>
      <c r="F1611" s="919"/>
      <c r="G1611" s="671" t="s">
        <v>34</v>
      </c>
      <c r="H1611" s="670">
        <v>1</v>
      </c>
      <c r="I1611" s="669">
        <v>66.650000000000006</v>
      </c>
      <c r="J1611" s="669">
        <v>66.650000000000006</v>
      </c>
    </row>
    <row r="1612" spans="1:10" ht="25.5">
      <c r="A1612" s="668"/>
      <c r="B1612" s="668"/>
      <c r="C1612" s="668"/>
      <c r="D1612" s="668"/>
      <c r="E1612" s="668" t="s">
        <v>13463</v>
      </c>
      <c r="F1612" s="667">
        <v>10.463979137237857</v>
      </c>
      <c r="G1612" s="668" t="s">
        <v>13462</v>
      </c>
      <c r="H1612" s="667">
        <v>8.8000000000000007</v>
      </c>
      <c r="I1612" s="668" t="s">
        <v>13461</v>
      </c>
      <c r="J1612" s="667">
        <v>19.260000000000002</v>
      </c>
    </row>
    <row r="1613" spans="1:10" ht="15" thickBot="1">
      <c r="A1613" s="668"/>
      <c r="B1613" s="668"/>
      <c r="C1613" s="668"/>
      <c r="D1613" s="668"/>
      <c r="E1613" s="668" t="s">
        <v>13460</v>
      </c>
      <c r="F1613" s="667">
        <v>25.85</v>
      </c>
      <c r="G1613" s="668"/>
      <c r="H1613" s="925" t="s">
        <v>13459</v>
      </c>
      <c r="I1613" s="925"/>
      <c r="J1613" s="667">
        <v>117.41</v>
      </c>
    </row>
    <row r="1614" spans="1:10" ht="0.95" customHeight="1" thickTop="1">
      <c r="A1614" s="666"/>
      <c r="B1614" s="666"/>
      <c r="C1614" s="666"/>
      <c r="D1614" s="666"/>
      <c r="E1614" s="666"/>
      <c r="F1614" s="666"/>
      <c r="G1614" s="666"/>
      <c r="H1614" s="666"/>
      <c r="I1614" s="666"/>
      <c r="J1614" s="666"/>
    </row>
    <row r="1615" spans="1:10" ht="18" customHeight="1">
      <c r="A1615" s="686" t="s">
        <v>14985</v>
      </c>
      <c r="B1615" s="684" t="s">
        <v>13484</v>
      </c>
      <c r="C1615" s="686" t="s">
        <v>13483</v>
      </c>
      <c r="D1615" s="686" t="s">
        <v>13482</v>
      </c>
      <c r="E1615" s="924" t="s">
        <v>13481</v>
      </c>
      <c r="F1615" s="924"/>
      <c r="G1615" s="685" t="s">
        <v>13480</v>
      </c>
      <c r="H1615" s="684" t="s">
        <v>13479</v>
      </c>
      <c r="I1615" s="684" t="s">
        <v>13478</v>
      </c>
      <c r="J1615" s="684" t="s">
        <v>13477</v>
      </c>
    </row>
    <row r="1616" spans="1:10" ht="36" customHeight="1">
      <c r="A1616" s="682" t="s">
        <v>13476</v>
      </c>
      <c r="B1616" s="683" t="s">
        <v>14984</v>
      </c>
      <c r="C1616" s="682" t="s">
        <v>7</v>
      </c>
      <c r="D1616" s="682" t="s">
        <v>1700</v>
      </c>
      <c r="E1616" s="917" t="s">
        <v>13474</v>
      </c>
      <c r="F1616" s="917"/>
      <c r="G1616" s="681" t="s">
        <v>34</v>
      </c>
      <c r="H1616" s="680">
        <v>1</v>
      </c>
      <c r="I1616" s="679">
        <v>46.06</v>
      </c>
      <c r="J1616" s="679">
        <v>46.06</v>
      </c>
    </row>
    <row r="1617" spans="1:10" ht="24" customHeight="1">
      <c r="A1617" s="677" t="s">
        <v>13472</v>
      </c>
      <c r="B1617" s="678" t="s">
        <v>13526</v>
      </c>
      <c r="C1617" s="677" t="s">
        <v>7</v>
      </c>
      <c r="D1617" s="677" t="s">
        <v>1093</v>
      </c>
      <c r="E1617" s="918" t="s">
        <v>13470</v>
      </c>
      <c r="F1617" s="918"/>
      <c r="G1617" s="676" t="s">
        <v>19</v>
      </c>
      <c r="H1617" s="675">
        <v>0.23</v>
      </c>
      <c r="I1617" s="674">
        <v>13.48</v>
      </c>
      <c r="J1617" s="674">
        <v>3.1</v>
      </c>
    </row>
    <row r="1618" spans="1:10" ht="24" customHeight="1">
      <c r="A1618" s="677" t="s">
        <v>13472</v>
      </c>
      <c r="B1618" s="678" t="s">
        <v>13473</v>
      </c>
      <c r="C1618" s="677" t="s">
        <v>7</v>
      </c>
      <c r="D1618" s="677" t="s">
        <v>44</v>
      </c>
      <c r="E1618" s="918" t="s">
        <v>13470</v>
      </c>
      <c r="F1618" s="918"/>
      <c r="G1618" s="676" t="s">
        <v>19</v>
      </c>
      <c r="H1618" s="675">
        <v>0.3</v>
      </c>
      <c r="I1618" s="674">
        <v>17.66</v>
      </c>
      <c r="J1618" s="674">
        <v>5.29</v>
      </c>
    </row>
    <row r="1619" spans="1:10" ht="24" customHeight="1">
      <c r="A1619" s="672" t="s">
        <v>13467</v>
      </c>
      <c r="B1619" s="673" t="s">
        <v>13534</v>
      </c>
      <c r="C1619" s="672" t="s">
        <v>7</v>
      </c>
      <c r="D1619" s="672" t="s">
        <v>13533</v>
      </c>
      <c r="E1619" s="919" t="s">
        <v>13464</v>
      </c>
      <c r="F1619" s="919"/>
      <c r="G1619" s="671" t="s">
        <v>34</v>
      </c>
      <c r="H1619" s="670">
        <v>1.2999999999999999E-2</v>
      </c>
      <c r="I1619" s="669">
        <v>18.440000000000001</v>
      </c>
      <c r="J1619" s="669">
        <v>0.23</v>
      </c>
    </row>
    <row r="1620" spans="1:10" ht="24" customHeight="1">
      <c r="A1620" s="672" t="s">
        <v>13467</v>
      </c>
      <c r="B1620" s="673" t="s">
        <v>14983</v>
      </c>
      <c r="C1620" s="672" t="s">
        <v>7</v>
      </c>
      <c r="D1620" s="672" t="s">
        <v>14982</v>
      </c>
      <c r="E1620" s="919" t="s">
        <v>13464</v>
      </c>
      <c r="F1620" s="919"/>
      <c r="G1620" s="671" t="s">
        <v>34</v>
      </c>
      <c r="H1620" s="670">
        <v>1</v>
      </c>
      <c r="I1620" s="669">
        <v>37.44</v>
      </c>
      <c r="J1620" s="669">
        <v>37.44</v>
      </c>
    </row>
    <row r="1621" spans="1:10" ht="25.5">
      <c r="A1621" s="668"/>
      <c r="B1621" s="668"/>
      <c r="C1621" s="668"/>
      <c r="D1621" s="668"/>
      <c r="E1621" s="668" t="s">
        <v>13463</v>
      </c>
      <c r="F1621" s="667">
        <v>3.5912202542649134</v>
      </c>
      <c r="G1621" s="668" t="s">
        <v>13462</v>
      </c>
      <c r="H1621" s="667">
        <v>3.02</v>
      </c>
      <c r="I1621" s="668" t="s">
        <v>13461</v>
      </c>
      <c r="J1621" s="667">
        <v>6.61</v>
      </c>
    </row>
    <row r="1622" spans="1:10" ht="15" thickBot="1">
      <c r="A1622" s="668"/>
      <c r="B1622" s="668"/>
      <c r="C1622" s="668"/>
      <c r="D1622" s="668"/>
      <c r="E1622" s="668" t="s">
        <v>13460</v>
      </c>
      <c r="F1622" s="667">
        <v>13</v>
      </c>
      <c r="G1622" s="668"/>
      <c r="H1622" s="925" t="s">
        <v>13459</v>
      </c>
      <c r="I1622" s="925"/>
      <c r="J1622" s="667">
        <v>59.06</v>
      </c>
    </row>
    <row r="1623" spans="1:10" ht="0.95" customHeight="1" thickTop="1">
      <c r="A1623" s="666"/>
      <c r="B1623" s="666"/>
      <c r="C1623" s="666"/>
      <c r="D1623" s="666"/>
      <c r="E1623" s="666"/>
      <c r="F1623" s="666"/>
      <c r="G1623" s="666"/>
      <c r="H1623" s="666"/>
      <c r="I1623" s="666"/>
      <c r="J1623" s="666"/>
    </row>
    <row r="1624" spans="1:10" ht="18" customHeight="1">
      <c r="A1624" s="686" t="s">
        <v>14981</v>
      </c>
      <c r="B1624" s="684" t="s">
        <v>13484</v>
      </c>
      <c r="C1624" s="686" t="s">
        <v>13483</v>
      </c>
      <c r="D1624" s="686" t="s">
        <v>13482</v>
      </c>
      <c r="E1624" s="924" t="s">
        <v>13481</v>
      </c>
      <c r="F1624" s="924"/>
      <c r="G1624" s="685" t="s">
        <v>13480</v>
      </c>
      <c r="H1624" s="684" t="s">
        <v>13479</v>
      </c>
      <c r="I1624" s="684" t="s">
        <v>13478</v>
      </c>
      <c r="J1624" s="684" t="s">
        <v>13477</v>
      </c>
    </row>
    <row r="1625" spans="1:10" ht="36" customHeight="1">
      <c r="A1625" s="682" t="s">
        <v>13476</v>
      </c>
      <c r="B1625" s="683" t="s">
        <v>14980</v>
      </c>
      <c r="C1625" s="682" t="s">
        <v>7</v>
      </c>
      <c r="D1625" s="682" t="s">
        <v>1698</v>
      </c>
      <c r="E1625" s="917" t="s">
        <v>13474</v>
      </c>
      <c r="F1625" s="917"/>
      <c r="G1625" s="681" t="s">
        <v>34</v>
      </c>
      <c r="H1625" s="680">
        <v>1</v>
      </c>
      <c r="I1625" s="679">
        <v>43.93</v>
      </c>
      <c r="J1625" s="679">
        <v>43.93</v>
      </c>
    </row>
    <row r="1626" spans="1:10" ht="24" customHeight="1">
      <c r="A1626" s="677" t="s">
        <v>13472</v>
      </c>
      <c r="B1626" s="678" t="s">
        <v>13526</v>
      </c>
      <c r="C1626" s="677" t="s">
        <v>7</v>
      </c>
      <c r="D1626" s="677" t="s">
        <v>1093</v>
      </c>
      <c r="E1626" s="918" t="s">
        <v>13470</v>
      </c>
      <c r="F1626" s="918"/>
      <c r="G1626" s="676" t="s">
        <v>19</v>
      </c>
      <c r="H1626" s="675">
        <v>0.23</v>
      </c>
      <c r="I1626" s="674">
        <v>13.48</v>
      </c>
      <c r="J1626" s="674">
        <v>3.1</v>
      </c>
    </row>
    <row r="1627" spans="1:10" ht="24" customHeight="1">
      <c r="A1627" s="677" t="s">
        <v>13472</v>
      </c>
      <c r="B1627" s="678" t="s">
        <v>13473</v>
      </c>
      <c r="C1627" s="677" t="s">
        <v>7</v>
      </c>
      <c r="D1627" s="677" t="s">
        <v>44</v>
      </c>
      <c r="E1627" s="918" t="s">
        <v>13470</v>
      </c>
      <c r="F1627" s="918"/>
      <c r="G1627" s="676" t="s">
        <v>19</v>
      </c>
      <c r="H1627" s="675">
        <v>0.3</v>
      </c>
      <c r="I1627" s="674">
        <v>17.66</v>
      </c>
      <c r="J1627" s="674">
        <v>5.29</v>
      </c>
    </row>
    <row r="1628" spans="1:10" ht="24" customHeight="1">
      <c r="A1628" s="672" t="s">
        <v>13467</v>
      </c>
      <c r="B1628" s="673" t="s">
        <v>13534</v>
      </c>
      <c r="C1628" s="672" t="s">
        <v>7</v>
      </c>
      <c r="D1628" s="672" t="s">
        <v>13533</v>
      </c>
      <c r="E1628" s="919" t="s">
        <v>13464</v>
      </c>
      <c r="F1628" s="919"/>
      <c r="G1628" s="671" t="s">
        <v>34</v>
      </c>
      <c r="H1628" s="670">
        <v>1.2999999999999999E-2</v>
      </c>
      <c r="I1628" s="669">
        <v>18.440000000000001</v>
      </c>
      <c r="J1628" s="669">
        <v>0.23</v>
      </c>
    </row>
    <row r="1629" spans="1:10" ht="24" customHeight="1">
      <c r="A1629" s="672" t="s">
        <v>13467</v>
      </c>
      <c r="B1629" s="673" t="s">
        <v>14979</v>
      </c>
      <c r="C1629" s="672" t="s">
        <v>7</v>
      </c>
      <c r="D1629" s="672" t="s">
        <v>14978</v>
      </c>
      <c r="E1629" s="919" t="s">
        <v>13464</v>
      </c>
      <c r="F1629" s="919"/>
      <c r="G1629" s="671" t="s">
        <v>34</v>
      </c>
      <c r="H1629" s="670">
        <v>1</v>
      </c>
      <c r="I1629" s="669">
        <v>35.31</v>
      </c>
      <c r="J1629" s="669">
        <v>35.31</v>
      </c>
    </row>
    <row r="1630" spans="1:10" ht="25.5">
      <c r="A1630" s="668"/>
      <c r="B1630" s="668"/>
      <c r="C1630" s="668"/>
      <c r="D1630" s="668"/>
      <c r="E1630" s="668" t="s">
        <v>13463</v>
      </c>
      <c r="F1630" s="667">
        <v>3.5912202542649134</v>
      </c>
      <c r="G1630" s="668" t="s">
        <v>13462</v>
      </c>
      <c r="H1630" s="667">
        <v>3.02</v>
      </c>
      <c r="I1630" s="668" t="s">
        <v>13461</v>
      </c>
      <c r="J1630" s="667">
        <v>6.61</v>
      </c>
    </row>
    <row r="1631" spans="1:10" ht="15" thickBot="1">
      <c r="A1631" s="668"/>
      <c r="B1631" s="668"/>
      <c r="C1631" s="668"/>
      <c r="D1631" s="668"/>
      <c r="E1631" s="668" t="s">
        <v>13460</v>
      </c>
      <c r="F1631" s="667">
        <v>12.4</v>
      </c>
      <c r="G1631" s="668"/>
      <c r="H1631" s="925" t="s">
        <v>13459</v>
      </c>
      <c r="I1631" s="925"/>
      <c r="J1631" s="667">
        <v>56.33</v>
      </c>
    </row>
    <row r="1632" spans="1:10" ht="0.95" customHeight="1" thickTop="1">
      <c r="A1632" s="666"/>
      <c r="B1632" s="666"/>
      <c r="C1632" s="666"/>
      <c r="D1632" s="666"/>
      <c r="E1632" s="666"/>
      <c r="F1632" s="666"/>
      <c r="G1632" s="666"/>
      <c r="H1632" s="666"/>
      <c r="I1632" s="666"/>
      <c r="J1632" s="666"/>
    </row>
    <row r="1633" spans="1:10" ht="18" customHeight="1">
      <c r="A1633" s="686" t="s">
        <v>14977</v>
      </c>
      <c r="B1633" s="684" t="s">
        <v>13484</v>
      </c>
      <c r="C1633" s="686" t="s">
        <v>13483</v>
      </c>
      <c r="D1633" s="686" t="s">
        <v>13482</v>
      </c>
      <c r="E1633" s="924" t="s">
        <v>13481</v>
      </c>
      <c r="F1633" s="924"/>
      <c r="G1633" s="685" t="s">
        <v>13480</v>
      </c>
      <c r="H1633" s="684" t="s">
        <v>13479</v>
      </c>
      <c r="I1633" s="684" t="s">
        <v>13478</v>
      </c>
      <c r="J1633" s="684" t="s">
        <v>13477</v>
      </c>
    </row>
    <row r="1634" spans="1:10" ht="24" customHeight="1">
      <c r="A1634" s="682" t="s">
        <v>13476</v>
      </c>
      <c r="B1634" s="683" t="s">
        <v>14976</v>
      </c>
      <c r="C1634" s="682" t="s">
        <v>7</v>
      </c>
      <c r="D1634" s="682" t="s">
        <v>1717</v>
      </c>
      <c r="E1634" s="917" t="s">
        <v>13474</v>
      </c>
      <c r="F1634" s="917"/>
      <c r="G1634" s="681" t="s">
        <v>34</v>
      </c>
      <c r="H1634" s="680">
        <v>1</v>
      </c>
      <c r="I1634" s="679">
        <v>19.59</v>
      </c>
      <c r="J1634" s="679">
        <v>19.59</v>
      </c>
    </row>
    <row r="1635" spans="1:10" ht="24" customHeight="1">
      <c r="A1635" s="677" t="s">
        <v>13472</v>
      </c>
      <c r="B1635" s="678" t="s">
        <v>13526</v>
      </c>
      <c r="C1635" s="677" t="s">
        <v>7</v>
      </c>
      <c r="D1635" s="677" t="s">
        <v>1093</v>
      </c>
      <c r="E1635" s="918" t="s">
        <v>13470</v>
      </c>
      <c r="F1635" s="918"/>
      <c r="G1635" s="676" t="s">
        <v>19</v>
      </c>
      <c r="H1635" s="675">
        <v>0.2</v>
      </c>
      <c r="I1635" s="674">
        <v>13.48</v>
      </c>
      <c r="J1635" s="674">
        <v>2.69</v>
      </c>
    </row>
    <row r="1636" spans="1:10" ht="24" customHeight="1">
      <c r="A1636" s="677" t="s">
        <v>13472</v>
      </c>
      <c r="B1636" s="678" t="s">
        <v>13473</v>
      </c>
      <c r="C1636" s="677" t="s">
        <v>7</v>
      </c>
      <c r="D1636" s="677" t="s">
        <v>44</v>
      </c>
      <c r="E1636" s="918" t="s">
        <v>13470</v>
      </c>
      <c r="F1636" s="918"/>
      <c r="G1636" s="676" t="s">
        <v>19</v>
      </c>
      <c r="H1636" s="675">
        <v>0.2</v>
      </c>
      <c r="I1636" s="674">
        <v>17.66</v>
      </c>
      <c r="J1636" s="674">
        <v>3.53</v>
      </c>
    </row>
    <row r="1637" spans="1:10" ht="24" customHeight="1">
      <c r="A1637" s="672" t="s">
        <v>13467</v>
      </c>
      <c r="B1637" s="673" t="s">
        <v>13534</v>
      </c>
      <c r="C1637" s="672" t="s">
        <v>7</v>
      </c>
      <c r="D1637" s="672" t="s">
        <v>13533</v>
      </c>
      <c r="E1637" s="919" t="s">
        <v>13464</v>
      </c>
      <c r="F1637" s="919"/>
      <c r="G1637" s="671" t="s">
        <v>34</v>
      </c>
      <c r="H1637" s="670">
        <v>1.2999999999999999E-2</v>
      </c>
      <c r="I1637" s="669">
        <v>18.440000000000001</v>
      </c>
      <c r="J1637" s="669">
        <v>0.23</v>
      </c>
    </row>
    <row r="1638" spans="1:10" ht="24" customHeight="1">
      <c r="A1638" s="672" t="s">
        <v>13467</v>
      </c>
      <c r="B1638" s="673" t="s">
        <v>14975</v>
      </c>
      <c r="C1638" s="672" t="s">
        <v>7</v>
      </c>
      <c r="D1638" s="672" t="s">
        <v>14974</v>
      </c>
      <c r="E1638" s="919" t="s">
        <v>13464</v>
      </c>
      <c r="F1638" s="919"/>
      <c r="G1638" s="671" t="s">
        <v>34</v>
      </c>
      <c r="H1638" s="670">
        <v>1</v>
      </c>
      <c r="I1638" s="669">
        <v>13.14</v>
      </c>
      <c r="J1638" s="669">
        <v>13.14</v>
      </c>
    </row>
    <row r="1639" spans="1:10" ht="25.5">
      <c r="A1639" s="668"/>
      <c r="B1639" s="668"/>
      <c r="C1639" s="668"/>
      <c r="D1639" s="668"/>
      <c r="E1639" s="668" t="s">
        <v>13463</v>
      </c>
      <c r="F1639" s="667">
        <v>2.6513093556448983</v>
      </c>
      <c r="G1639" s="668" t="s">
        <v>13462</v>
      </c>
      <c r="H1639" s="667">
        <v>2.23</v>
      </c>
      <c r="I1639" s="668" t="s">
        <v>13461</v>
      </c>
      <c r="J1639" s="667">
        <v>4.88</v>
      </c>
    </row>
    <row r="1640" spans="1:10" ht="15" thickBot="1">
      <c r="A1640" s="668"/>
      <c r="B1640" s="668"/>
      <c r="C1640" s="668"/>
      <c r="D1640" s="668"/>
      <c r="E1640" s="668" t="s">
        <v>13460</v>
      </c>
      <c r="F1640" s="667">
        <v>5.53</v>
      </c>
      <c r="G1640" s="668"/>
      <c r="H1640" s="925" t="s">
        <v>13459</v>
      </c>
      <c r="I1640" s="925"/>
      <c r="J1640" s="667">
        <v>25.12</v>
      </c>
    </row>
    <row r="1641" spans="1:10" ht="0.95" customHeight="1" thickTop="1">
      <c r="A1641" s="666"/>
      <c r="B1641" s="666"/>
      <c r="C1641" s="666"/>
      <c r="D1641" s="666"/>
      <c r="E1641" s="666"/>
      <c r="F1641" s="666"/>
      <c r="G1641" s="666"/>
      <c r="H1641" s="666"/>
      <c r="I1641" s="666"/>
      <c r="J1641" s="666"/>
    </row>
    <row r="1642" spans="1:10" ht="18" customHeight="1">
      <c r="A1642" s="686" t="s">
        <v>14973</v>
      </c>
      <c r="B1642" s="684" t="s">
        <v>13484</v>
      </c>
      <c r="C1642" s="686" t="s">
        <v>13483</v>
      </c>
      <c r="D1642" s="686" t="s">
        <v>13482</v>
      </c>
      <c r="E1642" s="924" t="s">
        <v>13481</v>
      </c>
      <c r="F1642" s="924"/>
      <c r="G1642" s="685" t="s">
        <v>13480</v>
      </c>
      <c r="H1642" s="684" t="s">
        <v>13479</v>
      </c>
      <c r="I1642" s="684" t="s">
        <v>13478</v>
      </c>
      <c r="J1642" s="684" t="s">
        <v>13477</v>
      </c>
    </row>
    <row r="1643" spans="1:10" ht="24" customHeight="1">
      <c r="A1643" s="682" t="s">
        <v>13476</v>
      </c>
      <c r="B1643" s="683" t="s">
        <v>14972</v>
      </c>
      <c r="C1643" s="682" t="s">
        <v>7</v>
      </c>
      <c r="D1643" s="682" t="s">
        <v>4063</v>
      </c>
      <c r="E1643" s="917" t="s">
        <v>13474</v>
      </c>
      <c r="F1643" s="917"/>
      <c r="G1643" s="681" t="s">
        <v>34</v>
      </c>
      <c r="H1643" s="680">
        <v>1</v>
      </c>
      <c r="I1643" s="679">
        <v>116.69</v>
      </c>
      <c r="J1643" s="679">
        <v>116.69</v>
      </c>
    </row>
    <row r="1644" spans="1:10" ht="24" customHeight="1">
      <c r="A1644" s="677" t="s">
        <v>13472</v>
      </c>
      <c r="B1644" s="678" t="s">
        <v>13526</v>
      </c>
      <c r="C1644" s="677" t="s">
        <v>7</v>
      </c>
      <c r="D1644" s="677" t="s">
        <v>1093</v>
      </c>
      <c r="E1644" s="918" t="s">
        <v>13470</v>
      </c>
      <c r="F1644" s="918"/>
      <c r="G1644" s="676" t="s">
        <v>19</v>
      </c>
      <c r="H1644" s="675">
        <v>0.78900000000000003</v>
      </c>
      <c r="I1644" s="674">
        <v>13.48</v>
      </c>
      <c r="J1644" s="674">
        <v>10.63</v>
      </c>
    </row>
    <row r="1645" spans="1:10" ht="24" customHeight="1">
      <c r="A1645" s="677" t="s">
        <v>13472</v>
      </c>
      <c r="B1645" s="678" t="s">
        <v>13473</v>
      </c>
      <c r="C1645" s="677" t="s">
        <v>7</v>
      </c>
      <c r="D1645" s="677" t="s">
        <v>44</v>
      </c>
      <c r="E1645" s="918" t="s">
        <v>13470</v>
      </c>
      <c r="F1645" s="918"/>
      <c r="G1645" s="676" t="s">
        <v>19</v>
      </c>
      <c r="H1645" s="675">
        <v>0.78900000000000003</v>
      </c>
      <c r="I1645" s="674">
        <v>17.66</v>
      </c>
      <c r="J1645" s="674">
        <v>13.93</v>
      </c>
    </row>
    <row r="1646" spans="1:10" ht="24" customHeight="1">
      <c r="A1646" s="672" t="s">
        <v>13467</v>
      </c>
      <c r="B1646" s="673" t="s">
        <v>13534</v>
      </c>
      <c r="C1646" s="672" t="s">
        <v>7</v>
      </c>
      <c r="D1646" s="672" t="s">
        <v>13533</v>
      </c>
      <c r="E1646" s="919" t="s">
        <v>13464</v>
      </c>
      <c r="F1646" s="919"/>
      <c r="G1646" s="671" t="s">
        <v>34</v>
      </c>
      <c r="H1646" s="670">
        <v>1.9E-2</v>
      </c>
      <c r="I1646" s="669">
        <v>18.440000000000001</v>
      </c>
      <c r="J1646" s="669">
        <v>0.35</v>
      </c>
    </row>
    <row r="1647" spans="1:10" ht="24" customHeight="1">
      <c r="A1647" s="672" t="s">
        <v>13467</v>
      </c>
      <c r="B1647" s="673" t="s">
        <v>14971</v>
      </c>
      <c r="C1647" s="672" t="s">
        <v>7</v>
      </c>
      <c r="D1647" s="672" t="s">
        <v>14970</v>
      </c>
      <c r="E1647" s="919" t="s">
        <v>13464</v>
      </c>
      <c r="F1647" s="919"/>
      <c r="G1647" s="671" t="s">
        <v>34</v>
      </c>
      <c r="H1647" s="670">
        <v>1</v>
      </c>
      <c r="I1647" s="669">
        <v>91.78</v>
      </c>
      <c r="J1647" s="669">
        <v>91.78</v>
      </c>
    </row>
    <row r="1648" spans="1:10" ht="25.5">
      <c r="A1648" s="668"/>
      <c r="B1648" s="668"/>
      <c r="C1648" s="668"/>
      <c r="D1648" s="668"/>
      <c r="E1648" s="668" t="s">
        <v>13463</v>
      </c>
      <c r="F1648" s="667">
        <v>10.463979137237857</v>
      </c>
      <c r="G1648" s="668" t="s">
        <v>13462</v>
      </c>
      <c r="H1648" s="667">
        <v>8.8000000000000007</v>
      </c>
      <c r="I1648" s="668" t="s">
        <v>13461</v>
      </c>
      <c r="J1648" s="667">
        <v>19.260000000000002</v>
      </c>
    </row>
    <row r="1649" spans="1:10" ht="15" thickBot="1">
      <c r="A1649" s="668"/>
      <c r="B1649" s="668"/>
      <c r="C1649" s="668"/>
      <c r="D1649" s="668"/>
      <c r="E1649" s="668" t="s">
        <v>13460</v>
      </c>
      <c r="F1649" s="667">
        <v>32.950000000000003</v>
      </c>
      <c r="G1649" s="668"/>
      <c r="H1649" s="925" t="s">
        <v>13459</v>
      </c>
      <c r="I1649" s="925"/>
      <c r="J1649" s="667">
        <v>149.63999999999999</v>
      </c>
    </row>
    <row r="1650" spans="1:10" ht="0.95" customHeight="1" thickTop="1">
      <c r="A1650" s="666"/>
      <c r="B1650" s="666"/>
      <c r="C1650" s="666"/>
      <c r="D1650" s="666"/>
      <c r="E1650" s="666"/>
      <c r="F1650" s="666"/>
      <c r="G1650" s="666"/>
      <c r="H1650" s="666"/>
      <c r="I1650" s="666"/>
      <c r="J1650" s="666"/>
    </row>
    <row r="1651" spans="1:10" ht="18" customHeight="1">
      <c r="A1651" s="686" t="s">
        <v>14969</v>
      </c>
      <c r="B1651" s="684" t="s">
        <v>13484</v>
      </c>
      <c r="C1651" s="686" t="s">
        <v>13483</v>
      </c>
      <c r="D1651" s="686" t="s">
        <v>13482</v>
      </c>
      <c r="E1651" s="924" t="s">
        <v>13481</v>
      </c>
      <c r="F1651" s="924"/>
      <c r="G1651" s="685" t="s">
        <v>13480</v>
      </c>
      <c r="H1651" s="684" t="s">
        <v>13479</v>
      </c>
      <c r="I1651" s="684" t="s">
        <v>13478</v>
      </c>
      <c r="J1651" s="684" t="s">
        <v>13477</v>
      </c>
    </row>
    <row r="1652" spans="1:10" ht="36" customHeight="1">
      <c r="A1652" s="682" t="s">
        <v>13476</v>
      </c>
      <c r="B1652" s="683" t="s">
        <v>14968</v>
      </c>
      <c r="C1652" s="682" t="s">
        <v>7</v>
      </c>
      <c r="D1652" s="682" t="s">
        <v>4068</v>
      </c>
      <c r="E1652" s="917" t="s">
        <v>13474</v>
      </c>
      <c r="F1652" s="917"/>
      <c r="G1652" s="681" t="s">
        <v>34</v>
      </c>
      <c r="H1652" s="680">
        <v>1</v>
      </c>
      <c r="I1652" s="679">
        <v>175.9</v>
      </c>
      <c r="J1652" s="679">
        <v>175.9</v>
      </c>
    </row>
    <row r="1653" spans="1:10" ht="24" customHeight="1">
      <c r="A1653" s="677" t="s">
        <v>13472</v>
      </c>
      <c r="B1653" s="678" t="s">
        <v>13526</v>
      </c>
      <c r="C1653" s="677" t="s">
        <v>7</v>
      </c>
      <c r="D1653" s="677" t="s">
        <v>1093</v>
      </c>
      <c r="E1653" s="918" t="s">
        <v>13470</v>
      </c>
      <c r="F1653" s="918"/>
      <c r="G1653" s="676" t="s">
        <v>19</v>
      </c>
      <c r="H1653" s="675">
        <v>0.78900000000000003</v>
      </c>
      <c r="I1653" s="674">
        <v>13.48</v>
      </c>
      <c r="J1653" s="674">
        <v>10.63</v>
      </c>
    </row>
    <row r="1654" spans="1:10" ht="24" customHeight="1">
      <c r="A1654" s="677" t="s">
        <v>13472</v>
      </c>
      <c r="B1654" s="678" t="s">
        <v>13473</v>
      </c>
      <c r="C1654" s="677" t="s">
        <v>7</v>
      </c>
      <c r="D1654" s="677" t="s">
        <v>44</v>
      </c>
      <c r="E1654" s="918" t="s">
        <v>13470</v>
      </c>
      <c r="F1654" s="918"/>
      <c r="G1654" s="676" t="s">
        <v>19</v>
      </c>
      <c r="H1654" s="675">
        <v>0.78900000000000003</v>
      </c>
      <c r="I1654" s="674">
        <v>17.66</v>
      </c>
      <c r="J1654" s="674">
        <v>13.93</v>
      </c>
    </row>
    <row r="1655" spans="1:10" ht="24" customHeight="1">
      <c r="A1655" s="672" t="s">
        <v>13467</v>
      </c>
      <c r="B1655" s="673" t="s">
        <v>13534</v>
      </c>
      <c r="C1655" s="672" t="s">
        <v>7</v>
      </c>
      <c r="D1655" s="672" t="s">
        <v>13533</v>
      </c>
      <c r="E1655" s="919" t="s">
        <v>13464</v>
      </c>
      <c r="F1655" s="919"/>
      <c r="G1655" s="671" t="s">
        <v>34</v>
      </c>
      <c r="H1655" s="670">
        <v>1.9E-2</v>
      </c>
      <c r="I1655" s="669">
        <v>18.440000000000001</v>
      </c>
      <c r="J1655" s="669">
        <v>0.35</v>
      </c>
    </row>
    <row r="1656" spans="1:10" ht="24" customHeight="1">
      <c r="A1656" s="672" t="s">
        <v>13467</v>
      </c>
      <c r="B1656" s="673" t="s">
        <v>14967</v>
      </c>
      <c r="C1656" s="672" t="s">
        <v>7</v>
      </c>
      <c r="D1656" s="672" t="s">
        <v>14966</v>
      </c>
      <c r="E1656" s="919" t="s">
        <v>13464</v>
      </c>
      <c r="F1656" s="919"/>
      <c r="G1656" s="671" t="s">
        <v>34</v>
      </c>
      <c r="H1656" s="670">
        <v>1</v>
      </c>
      <c r="I1656" s="669">
        <v>150.99</v>
      </c>
      <c r="J1656" s="669">
        <v>150.99</v>
      </c>
    </row>
    <row r="1657" spans="1:10" ht="25.5">
      <c r="A1657" s="668"/>
      <c r="B1657" s="668"/>
      <c r="C1657" s="668"/>
      <c r="D1657" s="668"/>
      <c r="E1657" s="668" t="s">
        <v>13463</v>
      </c>
      <c r="F1657" s="667">
        <v>10.463979137237857</v>
      </c>
      <c r="G1657" s="668" t="s">
        <v>13462</v>
      </c>
      <c r="H1657" s="667">
        <v>8.8000000000000007</v>
      </c>
      <c r="I1657" s="668" t="s">
        <v>13461</v>
      </c>
      <c r="J1657" s="667">
        <v>19.260000000000002</v>
      </c>
    </row>
    <row r="1658" spans="1:10" ht="15" thickBot="1">
      <c r="A1658" s="668"/>
      <c r="B1658" s="668"/>
      <c r="C1658" s="668"/>
      <c r="D1658" s="668"/>
      <c r="E1658" s="668" t="s">
        <v>13460</v>
      </c>
      <c r="F1658" s="667">
        <v>49.67</v>
      </c>
      <c r="G1658" s="668"/>
      <c r="H1658" s="925" t="s">
        <v>13459</v>
      </c>
      <c r="I1658" s="925"/>
      <c r="J1658" s="667">
        <v>225.57</v>
      </c>
    </row>
    <row r="1659" spans="1:10" ht="0.95" customHeight="1" thickTop="1">
      <c r="A1659" s="666"/>
      <c r="B1659" s="666"/>
      <c r="C1659" s="666"/>
      <c r="D1659" s="666"/>
      <c r="E1659" s="666"/>
      <c r="F1659" s="666"/>
      <c r="G1659" s="666"/>
      <c r="H1659" s="666"/>
      <c r="I1659" s="666"/>
      <c r="J1659" s="666"/>
    </row>
    <row r="1660" spans="1:10" ht="18" customHeight="1">
      <c r="A1660" s="686" t="s">
        <v>14965</v>
      </c>
      <c r="B1660" s="684" t="s">
        <v>13484</v>
      </c>
      <c r="C1660" s="686" t="s">
        <v>13483</v>
      </c>
      <c r="D1660" s="686" t="s">
        <v>13482</v>
      </c>
      <c r="E1660" s="924" t="s">
        <v>13481</v>
      </c>
      <c r="F1660" s="924"/>
      <c r="G1660" s="685" t="s">
        <v>13480</v>
      </c>
      <c r="H1660" s="684" t="s">
        <v>13479</v>
      </c>
      <c r="I1660" s="684" t="s">
        <v>13478</v>
      </c>
      <c r="J1660" s="684" t="s">
        <v>13477</v>
      </c>
    </row>
    <row r="1661" spans="1:10" ht="24" customHeight="1">
      <c r="A1661" s="682" t="s">
        <v>13476</v>
      </c>
      <c r="B1661" s="683" t="s">
        <v>14964</v>
      </c>
      <c r="C1661" s="682" t="s">
        <v>7</v>
      </c>
      <c r="D1661" s="682" t="s">
        <v>4064</v>
      </c>
      <c r="E1661" s="917" t="s">
        <v>13474</v>
      </c>
      <c r="F1661" s="917"/>
      <c r="G1661" s="681" t="s">
        <v>34</v>
      </c>
      <c r="H1661" s="680">
        <v>1</v>
      </c>
      <c r="I1661" s="679">
        <v>130.65</v>
      </c>
      <c r="J1661" s="679">
        <v>130.65</v>
      </c>
    </row>
    <row r="1662" spans="1:10" ht="24" customHeight="1">
      <c r="A1662" s="677" t="s">
        <v>13472</v>
      </c>
      <c r="B1662" s="678" t="s">
        <v>13526</v>
      </c>
      <c r="C1662" s="677" t="s">
        <v>7</v>
      </c>
      <c r="D1662" s="677" t="s">
        <v>1093</v>
      </c>
      <c r="E1662" s="918" t="s">
        <v>13470</v>
      </c>
      <c r="F1662" s="918"/>
      <c r="G1662" s="676" t="s">
        <v>19</v>
      </c>
      <c r="H1662" s="675">
        <v>0.78900000000000003</v>
      </c>
      <c r="I1662" s="674">
        <v>13.48</v>
      </c>
      <c r="J1662" s="674">
        <v>10.63</v>
      </c>
    </row>
    <row r="1663" spans="1:10" ht="24" customHeight="1">
      <c r="A1663" s="677" t="s">
        <v>13472</v>
      </c>
      <c r="B1663" s="678" t="s">
        <v>13473</v>
      </c>
      <c r="C1663" s="677" t="s">
        <v>7</v>
      </c>
      <c r="D1663" s="677" t="s">
        <v>44</v>
      </c>
      <c r="E1663" s="918" t="s">
        <v>13470</v>
      </c>
      <c r="F1663" s="918"/>
      <c r="G1663" s="676" t="s">
        <v>19</v>
      </c>
      <c r="H1663" s="675">
        <v>0.78900000000000003</v>
      </c>
      <c r="I1663" s="674">
        <v>17.66</v>
      </c>
      <c r="J1663" s="674">
        <v>13.93</v>
      </c>
    </row>
    <row r="1664" spans="1:10" ht="24" customHeight="1">
      <c r="A1664" s="672" t="s">
        <v>13467</v>
      </c>
      <c r="B1664" s="673" t="s">
        <v>13534</v>
      </c>
      <c r="C1664" s="672" t="s">
        <v>7</v>
      </c>
      <c r="D1664" s="672" t="s">
        <v>13533</v>
      </c>
      <c r="E1664" s="919" t="s">
        <v>13464</v>
      </c>
      <c r="F1664" s="919"/>
      <c r="G1664" s="671" t="s">
        <v>34</v>
      </c>
      <c r="H1664" s="670">
        <v>1.9E-2</v>
      </c>
      <c r="I1664" s="669">
        <v>18.440000000000001</v>
      </c>
      <c r="J1664" s="669">
        <v>0.35</v>
      </c>
    </row>
    <row r="1665" spans="1:10" ht="24" customHeight="1">
      <c r="A1665" s="672" t="s">
        <v>13467</v>
      </c>
      <c r="B1665" s="673" t="s">
        <v>14963</v>
      </c>
      <c r="C1665" s="672" t="s">
        <v>7</v>
      </c>
      <c r="D1665" s="672" t="s">
        <v>14962</v>
      </c>
      <c r="E1665" s="919" t="s">
        <v>13464</v>
      </c>
      <c r="F1665" s="919"/>
      <c r="G1665" s="671" t="s">
        <v>34</v>
      </c>
      <c r="H1665" s="670">
        <v>1</v>
      </c>
      <c r="I1665" s="669">
        <v>105.74</v>
      </c>
      <c r="J1665" s="669">
        <v>105.74</v>
      </c>
    </row>
    <row r="1666" spans="1:10" ht="25.5">
      <c r="A1666" s="668"/>
      <c r="B1666" s="668"/>
      <c r="C1666" s="668"/>
      <c r="D1666" s="668"/>
      <c r="E1666" s="668" t="s">
        <v>13463</v>
      </c>
      <c r="F1666" s="667">
        <v>10.463979137237857</v>
      </c>
      <c r="G1666" s="668" t="s">
        <v>13462</v>
      </c>
      <c r="H1666" s="667">
        <v>8.8000000000000007</v>
      </c>
      <c r="I1666" s="668" t="s">
        <v>13461</v>
      </c>
      <c r="J1666" s="667">
        <v>19.260000000000002</v>
      </c>
    </row>
    <row r="1667" spans="1:10" ht="15" thickBot="1">
      <c r="A1667" s="668"/>
      <c r="B1667" s="668"/>
      <c r="C1667" s="668"/>
      <c r="D1667" s="668"/>
      <c r="E1667" s="668" t="s">
        <v>13460</v>
      </c>
      <c r="F1667" s="667">
        <v>36.89</v>
      </c>
      <c r="G1667" s="668"/>
      <c r="H1667" s="925" t="s">
        <v>13459</v>
      </c>
      <c r="I1667" s="925"/>
      <c r="J1667" s="667">
        <v>167.54</v>
      </c>
    </row>
    <row r="1668" spans="1:10" ht="0.95" customHeight="1" thickTop="1">
      <c r="A1668" s="666"/>
      <c r="B1668" s="666"/>
      <c r="C1668" s="666"/>
      <c r="D1668" s="666"/>
      <c r="E1668" s="666"/>
      <c r="F1668" s="666"/>
      <c r="G1668" s="666"/>
      <c r="H1668" s="666"/>
      <c r="I1668" s="666"/>
      <c r="J1668" s="666"/>
    </row>
    <row r="1669" spans="1:10" ht="18" customHeight="1">
      <c r="A1669" s="686" t="s">
        <v>14961</v>
      </c>
      <c r="B1669" s="684" t="s">
        <v>13484</v>
      </c>
      <c r="C1669" s="686" t="s">
        <v>13483</v>
      </c>
      <c r="D1669" s="686" t="s">
        <v>13482</v>
      </c>
      <c r="E1669" s="924" t="s">
        <v>13481</v>
      </c>
      <c r="F1669" s="924"/>
      <c r="G1669" s="685" t="s">
        <v>13480</v>
      </c>
      <c r="H1669" s="684" t="s">
        <v>13479</v>
      </c>
      <c r="I1669" s="684" t="s">
        <v>13478</v>
      </c>
      <c r="J1669" s="684" t="s">
        <v>13477</v>
      </c>
    </row>
    <row r="1670" spans="1:10" ht="36" customHeight="1">
      <c r="A1670" s="682" t="s">
        <v>13476</v>
      </c>
      <c r="B1670" s="683" t="s">
        <v>14960</v>
      </c>
      <c r="C1670" s="682" t="s">
        <v>7</v>
      </c>
      <c r="D1670" s="682" t="s">
        <v>1340</v>
      </c>
      <c r="E1670" s="917" t="s">
        <v>13474</v>
      </c>
      <c r="F1670" s="917"/>
      <c r="G1670" s="681" t="s">
        <v>34</v>
      </c>
      <c r="H1670" s="680">
        <v>1</v>
      </c>
      <c r="I1670" s="679">
        <v>3.83</v>
      </c>
      <c r="J1670" s="679">
        <v>3.83</v>
      </c>
    </row>
    <row r="1671" spans="1:10" ht="24" customHeight="1">
      <c r="A1671" s="677" t="s">
        <v>13472</v>
      </c>
      <c r="B1671" s="678" t="s">
        <v>13526</v>
      </c>
      <c r="C1671" s="677" t="s">
        <v>7</v>
      </c>
      <c r="D1671" s="677" t="s">
        <v>1093</v>
      </c>
      <c r="E1671" s="918" t="s">
        <v>13470</v>
      </c>
      <c r="F1671" s="918"/>
      <c r="G1671" s="676" t="s">
        <v>19</v>
      </c>
      <c r="H1671" s="675">
        <v>0.06</v>
      </c>
      <c r="I1671" s="674">
        <v>13.48</v>
      </c>
      <c r="J1671" s="674">
        <v>0.8</v>
      </c>
    </row>
    <row r="1672" spans="1:10" ht="24" customHeight="1">
      <c r="A1672" s="677" t="s">
        <v>13472</v>
      </c>
      <c r="B1672" s="678" t="s">
        <v>13473</v>
      </c>
      <c r="C1672" s="677" t="s">
        <v>7</v>
      </c>
      <c r="D1672" s="677" t="s">
        <v>44</v>
      </c>
      <c r="E1672" s="918" t="s">
        <v>13470</v>
      </c>
      <c r="F1672" s="918"/>
      <c r="G1672" s="676" t="s">
        <v>19</v>
      </c>
      <c r="H1672" s="675">
        <v>0.06</v>
      </c>
      <c r="I1672" s="674">
        <v>17.66</v>
      </c>
      <c r="J1672" s="674">
        <v>1.05</v>
      </c>
    </row>
    <row r="1673" spans="1:10" ht="24" customHeight="1">
      <c r="A1673" s="672" t="s">
        <v>13467</v>
      </c>
      <c r="B1673" s="673" t="s">
        <v>14762</v>
      </c>
      <c r="C1673" s="672" t="s">
        <v>7</v>
      </c>
      <c r="D1673" s="672" t="s">
        <v>14761</v>
      </c>
      <c r="E1673" s="919" t="s">
        <v>13464</v>
      </c>
      <c r="F1673" s="919"/>
      <c r="G1673" s="671" t="s">
        <v>34</v>
      </c>
      <c r="H1673" s="670">
        <v>7.0000000000000001E-3</v>
      </c>
      <c r="I1673" s="669">
        <v>83.11</v>
      </c>
      <c r="J1673" s="669">
        <v>0.57999999999999996</v>
      </c>
    </row>
    <row r="1674" spans="1:10" ht="24" customHeight="1">
      <c r="A1674" s="672" t="s">
        <v>13467</v>
      </c>
      <c r="B1674" s="673" t="s">
        <v>13523</v>
      </c>
      <c r="C1674" s="672" t="s">
        <v>7</v>
      </c>
      <c r="D1674" s="672" t="s">
        <v>13522</v>
      </c>
      <c r="E1674" s="919" t="s">
        <v>13464</v>
      </c>
      <c r="F1674" s="919"/>
      <c r="G1674" s="671" t="s">
        <v>34</v>
      </c>
      <c r="H1674" s="670">
        <v>0.03</v>
      </c>
      <c r="I1674" s="669">
        <v>2.2000000000000002</v>
      </c>
      <c r="J1674" s="669">
        <v>0.06</v>
      </c>
    </row>
    <row r="1675" spans="1:10" ht="24" customHeight="1">
      <c r="A1675" s="672" t="s">
        <v>13467</v>
      </c>
      <c r="B1675" s="673" t="s">
        <v>14959</v>
      </c>
      <c r="C1675" s="672" t="s">
        <v>7</v>
      </c>
      <c r="D1675" s="672" t="s">
        <v>14958</v>
      </c>
      <c r="E1675" s="919" t="s">
        <v>13464</v>
      </c>
      <c r="F1675" s="919"/>
      <c r="G1675" s="671" t="s">
        <v>34</v>
      </c>
      <c r="H1675" s="670">
        <v>1</v>
      </c>
      <c r="I1675" s="669">
        <v>0.77</v>
      </c>
      <c r="J1675" s="669">
        <v>0.77</v>
      </c>
    </row>
    <row r="1676" spans="1:10" ht="24" customHeight="1">
      <c r="A1676" s="672" t="s">
        <v>13467</v>
      </c>
      <c r="B1676" s="673" t="s">
        <v>13521</v>
      </c>
      <c r="C1676" s="672" t="s">
        <v>7</v>
      </c>
      <c r="D1676" s="672" t="s">
        <v>13520</v>
      </c>
      <c r="E1676" s="919" t="s">
        <v>13464</v>
      </c>
      <c r="F1676" s="919"/>
      <c r="G1676" s="671" t="s">
        <v>34</v>
      </c>
      <c r="H1676" s="670">
        <v>8.0000000000000002E-3</v>
      </c>
      <c r="I1676" s="669">
        <v>72.17</v>
      </c>
      <c r="J1676" s="669">
        <v>0.56999999999999995</v>
      </c>
    </row>
    <row r="1677" spans="1:10" ht="25.5">
      <c r="A1677" s="668"/>
      <c r="B1677" s="668"/>
      <c r="C1677" s="668"/>
      <c r="D1677" s="668"/>
      <c r="E1677" s="668" t="s">
        <v>13463</v>
      </c>
      <c r="F1677" s="667">
        <v>0.78778659132891449</v>
      </c>
      <c r="G1677" s="668" t="s">
        <v>13462</v>
      </c>
      <c r="H1677" s="667">
        <v>0.66</v>
      </c>
      <c r="I1677" s="668" t="s">
        <v>13461</v>
      </c>
      <c r="J1677" s="667">
        <v>1.45</v>
      </c>
    </row>
    <row r="1678" spans="1:10" ht="15" thickBot="1">
      <c r="A1678" s="668"/>
      <c r="B1678" s="668"/>
      <c r="C1678" s="668"/>
      <c r="D1678" s="668"/>
      <c r="E1678" s="668" t="s">
        <v>13460</v>
      </c>
      <c r="F1678" s="667">
        <v>1.08</v>
      </c>
      <c r="G1678" s="668"/>
      <c r="H1678" s="925" t="s">
        <v>13459</v>
      </c>
      <c r="I1678" s="925"/>
      <c r="J1678" s="667">
        <v>4.91</v>
      </c>
    </row>
    <row r="1679" spans="1:10" ht="0.95" customHeight="1" thickTop="1">
      <c r="A1679" s="666"/>
      <c r="B1679" s="666"/>
      <c r="C1679" s="666"/>
      <c r="D1679" s="666"/>
      <c r="E1679" s="666"/>
      <c r="F1679" s="666"/>
      <c r="G1679" s="666"/>
      <c r="H1679" s="666"/>
      <c r="I1679" s="666"/>
      <c r="J1679" s="666"/>
    </row>
    <row r="1680" spans="1:10" ht="18" customHeight="1">
      <c r="A1680" s="686" t="s">
        <v>14957</v>
      </c>
      <c r="B1680" s="684" t="s">
        <v>13484</v>
      </c>
      <c r="C1680" s="686" t="s">
        <v>13483</v>
      </c>
      <c r="D1680" s="686" t="s">
        <v>13482</v>
      </c>
      <c r="E1680" s="924" t="s">
        <v>13481</v>
      </c>
      <c r="F1680" s="924"/>
      <c r="G1680" s="685" t="s">
        <v>13480</v>
      </c>
      <c r="H1680" s="684" t="s">
        <v>13479</v>
      </c>
      <c r="I1680" s="684" t="s">
        <v>13478</v>
      </c>
      <c r="J1680" s="684" t="s">
        <v>13477</v>
      </c>
    </row>
    <row r="1681" spans="1:10" ht="36" customHeight="1">
      <c r="A1681" s="682" t="s">
        <v>13476</v>
      </c>
      <c r="B1681" s="683" t="s">
        <v>14956</v>
      </c>
      <c r="C1681" s="682" t="s">
        <v>7</v>
      </c>
      <c r="D1681" s="682" t="s">
        <v>1325</v>
      </c>
      <c r="E1681" s="917" t="s">
        <v>13474</v>
      </c>
      <c r="F1681" s="917"/>
      <c r="G1681" s="681" t="s">
        <v>34</v>
      </c>
      <c r="H1681" s="680">
        <v>1</v>
      </c>
      <c r="I1681" s="679">
        <v>4.72</v>
      </c>
      <c r="J1681" s="679">
        <v>4.72</v>
      </c>
    </row>
    <row r="1682" spans="1:10" ht="24" customHeight="1">
      <c r="A1682" s="677" t="s">
        <v>13472</v>
      </c>
      <c r="B1682" s="678" t="s">
        <v>13526</v>
      </c>
      <c r="C1682" s="677" t="s">
        <v>7</v>
      </c>
      <c r="D1682" s="677" t="s">
        <v>1093</v>
      </c>
      <c r="E1682" s="918" t="s">
        <v>13470</v>
      </c>
      <c r="F1682" s="918"/>
      <c r="G1682" s="676" t="s">
        <v>19</v>
      </c>
      <c r="H1682" s="675">
        <v>0.09</v>
      </c>
      <c r="I1682" s="674">
        <v>13.48</v>
      </c>
      <c r="J1682" s="674">
        <v>1.21</v>
      </c>
    </row>
    <row r="1683" spans="1:10" ht="24" customHeight="1">
      <c r="A1683" s="677" t="s">
        <v>13472</v>
      </c>
      <c r="B1683" s="678" t="s">
        <v>13473</v>
      </c>
      <c r="C1683" s="677" t="s">
        <v>7</v>
      </c>
      <c r="D1683" s="677" t="s">
        <v>44</v>
      </c>
      <c r="E1683" s="918" t="s">
        <v>13470</v>
      </c>
      <c r="F1683" s="918"/>
      <c r="G1683" s="676" t="s">
        <v>19</v>
      </c>
      <c r="H1683" s="675">
        <v>0.09</v>
      </c>
      <c r="I1683" s="674">
        <v>17.66</v>
      </c>
      <c r="J1683" s="674">
        <v>1.58</v>
      </c>
    </row>
    <row r="1684" spans="1:10" ht="24" customHeight="1">
      <c r="A1684" s="672" t="s">
        <v>13467</v>
      </c>
      <c r="B1684" s="673" t="s">
        <v>14762</v>
      </c>
      <c r="C1684" s="672" t="s">
        <v>7</v>
      </c>
      <c r="D1684" s="672" t="s">
        <v>14761</v>
      </c>
      <c r="E1684" s="919" t="s">
        <v>13464</v>
      </c>
      <c r="F1684" s="919"/>
      <c r="G1684" s="671" t="s">
        <v>34</v>
      </c>
      <c r="H1684" s="670">
        <v>7.0000000000000001E-3</v>
      </c>
      <c r="I1684" s="669">
        <v>83.11</v>
      </c>
      <c r="J1684" s="669">
        <v>0.57999999999999996</v>
      </c>
    </row>
    <row r="1685" spans="1:10" ht="24" customHeight="1">
      <c r="A1685" s="672" t="s">
        <v>13467</v>
      </c>
      <c r="B1685" s="673" t="s">
        <v>14906</v>
      </c>
      <c r="C1685" s="672" t="s">
        <v>7</v>
      </c>
      <c r="D1685" s="672" t="s">
        <v>14905</v>
      </c>
      <c r="E1685" s="919" t="s">
        <v>13464</v>
      </c>
      <c r="F1685" s="919"/>
      <c r="G1685" s="671" t="s">
        <v>34</v>
      </c>
      <c r="H1685" s="670">
        <v>1</v>
      </c>
      <c r="I1685" s="669">
        <v>0.72</v>
      </c>
      <c r="J1685" s="669">
        <v>0.72</v>
      </c>
    </row>
    <row r="1686" spans="1:10" ht="24" customHeight="1">
      <c r="A1686" s="672" t="s">
        <v>13467</v>
      </c>
      <c r="B1686" s="673" t="s">
        <v>13523</v>
      </c>
      <c r="C1686" s="672" t="s">
        <v>7</v>
      </c>
      <c r="D1686" s="672" t="s">
        <v>13522</v>
      </c>
      <c r="E1686" s="919" t="s">
        <v>13464</v>
      </c>
      <c r="F1686" s="919"/>
      <c r="G1686" s="671" t="s">
        <v>34</v>
      </c>
      <c r="H1686" s="670">
        <v>0.03</v>
      </c>
      <c r="I1686" s="669">
        <v>2.2000000000000002</v>
      </c>
      <c r="J1686" s="669">
        <v>0.06</v>
      </c>
    </row>
    <row r="1687" spans="1:10" ht="24" customHeight="1">
      <c r="A1687" s="672" t="s">
        <v>13467</v>
      </c>
      <c r="B1687" s="673" t="s">
        <v>13521</v>
      </c>
      <c r="C1687" s="672" t="s">
        <v>7</v>
      </c>
      <c r="D1687" s="672" t="s">
        <v>13520</v>
      </c>
      <c r="E1687" s="919" t="s">
        <v>13464</v>
      </c>
      <c r="F1687" s="919"/>
      <c r="G1687" s="671" t="s">
        <v>34</v>
      </c>
      <c r="H1687" s="670">
        <v>8.0000000000000002E-3</v>
      </c>
      <c r="I1687" s="669">
        <v>72.17</v>
      </c>
      <c r="J1687" s="669">
        <v>0.56999999999999995</v>
      </c>
    </row>
    <row r="1688" spans="1:10" ht="25.5">
      <c r="A1688" s="668"/>
      <c r="B1688" s="668"/>
      <c r="C1688" s="668"/>
      <c r="D1688" s="668"/>
      <c r="E1688" s="668" t="s">
        <v>13463</v>
      </c>
      <c r="F1688" s="667">
        <v>1.1898294034553949</v>
      </c>
      <c r="G1688" s="668" t="s">
        <v>13462</v>
      </c>
      <c r="H1688" s="667">
        <v>1</v>
      </c>
      <c r="I1688" s="668" t="s">
        <v>13461</v>
      </c>
      <c r="J1688" s="667">
        <v>2.19</v>
      </c>
    </row>
    <row r="1689" spans="1:10" ht="15" thickBot="1">
      <c r="A1689" s="668"/>
      <c r="B1689" s="668"/>
      <c r="C1689" s="668"/>
      <c r="D1689" s="668"/>
      <c r="E1689" s="668" t="s">
        <v>13460</v>
      </c>
      <c r="F1689" s="667">
        <v>1.33</v>
      </c>
      <c r="G1689" s="668"/>
      <c r="H1689" s="925" t="s">
        <v>13459</v>
      </c>
      <c r="I1689" s="925"/>
      <c r="J1689" s="667">
        <v>6.05</v>
      </c>
    </row>
    <row r="1690" spans="1:10" ht="0.95" customHeight="1" thickTop="1">
      <c r="A1690" s="666"/>
      <c r="B1690" s="666"/>
      <c r="C1690" s="666"/>
      <c r="D1690" s="666"/>
      <c r="E1690" s="666"/>
      <c r="F1690" s="666"/>
      <c r="G1690" s="666"/>
      <c r="H1690" s="666"/>
      <c r="I1690" s="666"/>
      <c r="J1690" s="666"/>
    </row>
    <row r="1691" spans="1:10" ht="18" customHeight="1">
      <c r="A1691" s="686" t="s">
        <v>14955</v>
      </c>
      <c r="B1691" s="684" t="s">
        <v>13484</v>
      </c>
      <c r="C1691" s="686" t="s">
        <v>13483</v>
      </c>
      <c r="D1691" s="686" t="s">
        <v>13482</v>
      </c>
      <c r="E1691" s="924" t="s">
        <v>13481</v>
      </c>
      <c r="F1691" s="924"/>
      <c r="G1691" s="685" t="s">
        <v>13480</v>
      </c>
      <c r="H1691" s="684" t="s">
        <v>13479</v>
      </c>
      <c r="I1691" s="684" t="s">
        <v>13478</v>
      </c>
      <c r="J1691" s="684" t="s">
        <v>13477</v>
      </c>
    </row>
    <row r="1692" spans="1:10" ht="48" customHeight="1">
      <c r="A1692" s="682" t="s">
        <v>13476</v>
      </c>
      <c r="B1692" s="683" t="s">
        <v>14954</v>
      </c>
      <c r="C1692" s="682" t="s">
        <v>7</v>
      </c>
      <c r="D1692" s="682" t="s">
        <v>2605</v>
      </c>
      <c r="E1692" s="917" t="s">
        <v>13474</v>
      </c>
      <c r="F1692" s="917"/>
      <c r="G1692" s="681" t="s">
        <v>34</v>
      </c>
      <c r="H1692" s="680">
        <v>1</v>
      </c>
      <c r="I1692" s="679">
        <v>21.55</v>
      </c>
      <c r="J1692" s="679">
        <v>21.55</v>
      </c>
    </row>
    <row r="1693" spans="1:10" ht="24" customHeight="1">
      <c r="A1693" s="677" t="s">
        <v>13472</v>
      </c>
      <c r="B1693" s="678" t="s">
        <v>13526</v>
      </c>
      <c r="C1693" s="677" t="s">
        <v>7</v>
      </c>
      <c r="D1693" s="677" t="s">
        <v>1093</v>
      </c>
      <c r="E1693" s="918" t="s">
        <v>13470</v>
      </c>
      <c r="F1693" s="918"/>
      <c r="G1693" s="676" t="s">
        <v>19</v>
      </c>
      <c r="H1693" s="675">
        <v>0.23100000000000001</v>
      </c>
      <c r="I1693" s="674">
        <v>13.48</v>
      </c>
      <c r="J1693" s="674">
        <v>3.11</v>
      </c>
    </row>
    <row r="1694" spans="1:10" ht="24" customHeight="1">
      <c r="A1694" s="677" t="s">
        <v>13472</v>
      </c>
      <c r="B1694" s="678" t="s">
        <v>13473</v>
      </c>
      <c r="C1694" s="677" t="s">
        <v>7</v>
      </c>
      <c r="D1694" s="677" t="s">
        <v>44</v>
      </c>
      <c r="E1694" s="918" t="s">
        <v>13470</v>
      </c>
      <c r="F1694" s="918"/>
      <c r="G1694" s="676" t="s">
        <v>19</v>
      </c>
      <c r="H1694" s="675">
        <v>0.23100000000000001</v>
      </c>
      <c r="I1694" s="674">
        <v>17.66</v>
      </c>
      <c r="J1694" s="674">
        <v>4.07</v>
      </c>
    </row>
    <row r="1695" spans="1:10" ht="24" customHeight="1">
      <c r="A1695" s="672" t="s">
        <v>13467</v>
      </c>
      <c r="B1695" s="673" t="s">
        <v>13525</v>
      </c>
      <c r="C1695" s="672" t="s">
        <v>7</v>
      </c>
      <c r="D1695" s="672" t="s">
        <v>13524</v>
      </c>
      <c r="E1695" s="919" t="s">
        <v>13464</v>
      </c>
      <c r="F1695" s="919"/>
      <c r="G1695" s="671" t="s">
        <v>34</v>
      </c>
      <c r="H1695" s="670">
        <v>4.5999999999999999E-2</v>
      </c>
      <c r="I1695" s="669">
        <v>26.38</v>
      </c>
      <c r="J1695" s="669">
        <v>1.21</v>
      </c>
    </row>
    <row r="1696" spans="1:10" ht="24" customHeight="1">
      <c r="A1696" s="672" t="s">
        <v>13467</v>
      </c>
      <c r="B1696" s="673" t="s">
        <v>14953</v>
      </c>
      <c r="C1696" s="672" t="s">
        <v>7</v>
      </c>
      <c r="D1696" s="672" t="s">
        <v>14952</v>
      </c>
      <c r="E1696" s="919" t="s">
        <v>13464</v>
      </c>
      <c r="F1696" s="919"/>
      <c r="G1696" s="671" t="s">
        <v>34</v>
      </c>
      <c r="H1696" s="670">
        <v>1</v>
      </c>
      <c r="I1696" s="669">
        <v>12.32</v>
      </c>
      <c r="J1696" s="669">
        <v>12.32</v>
      </c>
    </row>
    <row r="1697" spans="1:10" ht="24" customHeight="1">
      <c r="A1697" s="672" t="s">
        <v>13467</v>
      </c>
      <c r="B1697" s="673" t="s">
        <v>13523</v>
      </c>
      <c r="C1697" s="672" t="s">
        <v>7</v>
      </c>
      <c r="D1697" s="672" t="s">
        <v>13522</v>
      </c>
      <c r="E1697" s="919" t="s">
        <v>13464</v>
      </c>
      <c r="F1697" s="919"/>
      <c r="G1697" s="671" t="s">
        <v>34</v>
      </c>
      <c r="H1697" s="670">
        <v>2.3E-2</v>
      </c>
      <c r="I1697" s="669">
        <v>2.2000000000000002</v>
      </c>
      <c r="J1697" s="669">
        <v>0.05</v>
      </c>
    </row>
    <row r="1698" spans="1:10" ht="24" customHeight="1">
      <c r="A1698" s="672" t="s">
        <v>13467</v>
      </c>
      <c r="B1698" s="673" t="s">
        <v>13521</v>
      </c>
      <c r="C1698" s="672" t="s">
        <v>7</v>
      </c>
      <c r="D1698" s="672" t="s">
        <v>13520</v>
      </c>
      <c r="E1698" s="919" t="s">
        <v>13464</v>
      </c>
      <c r="F1698" s="919"/>
      <c r="G1698" s="671" t="s">
        <v>34</v>
      </c>
      <c r="H1698" s="670">
        <v>1.0999999999999999E-2</v>
      </c>
      <c r="I1698" s="669">
        <v>72.17</v>
      </c>
      <c r="J1698" s="669">
        <v>0.79</v>
      </c>
    </row>
    <row r="1699" spans="1:10" ht="25.5">
      <c r="A1699" s="668"/>
      <c r="B1699" s="668"/>
      <c r="C1699" s="668"/>
      <c r="D1699" s="668"/>
      <c r="E1699" s="668" t="s">
        <v>13463</v>
      </c>
      <c r="F1699" s="667">
        <v>3.0587851787460609</v>
      </c>
      <c r="G1699" s="668" t="s">
        <v>13462</v>
      </c>
      <c r="H1699" s="667">
        <v>2.57</v>
      </c>
      <c r="I1699" s="668" t="s">
        <v>13461</v>
      </c>
      <c r="J1699" s="667">
        <v>5.63</v>
      </c>
    </row>
    <row r="1700" spans="1:10" ht="15" thickBot="1">
      <c r="A1700" s="668"/>
      <c r="B1700" s="668"/>
      <c r="C1700" s="668"/>
      <c r="D1700" s="668"/>
      <c r="E1700" s="668" t="s">
        <v>13460</v>
      </c>
      <c r="F1700" s="667">
        <v>6.08</v>
      </c>
      <c r="G1700" s="668"/>
      <c r="H1700" s="925" t="s">
        <v>13459</v>
      </c>
      <c r="I1700" s="925"/>
      <c r="J1700" s="667">
        <v>27.63</v>
      </c>
    </row>
    <row r="1701" spans="1:10" ht="0.95" customHeight="1" thickTop="1">
      <c r="A1701" s="666"/>
      <c r="B1701" s="666"/>
      <c r="C1701" s="666"/>
      <c r="D1701" s="666"/>
      <c r="E1701" s="666"/>
      <c r="F1701" s="666"/>
      <c r="G1701" s="666"/>
      <c r="H1701" s="666"/>
      <c r="I1701" s="666"/>
      <c r="J1701" s="666"/>
    </row>
    <row r="1702" spans="1:10" ht="18" customHeight="1">
      <c r="A1702" s="686" t="s">
        <v>14951</v>
      </c>
      <c r="B1702" s="684" t="s">
        <v>13484</v>
      </c>
      <c r="C1702" s="686" t="s">
        <v>13483</v>
      </c>
      <c r="D1702" s="686" t="s">
        <v>13482</v>
      </c>
      <c r="E1702" s="924" t="s">
        <v>13481</v>
      </c>
      <c r="F1702" s="924"/>
      <c r="G1702" s="685" t="s">
        <v>13480</v>
      </c>
      <c r="H1702" s="684" t="s">
        <v>13479</v>
      </c>
      <c r="I1702" s="684" t="s">
        <v>13478</v>
      </c>
      <c r="J1702" s="684" t="s">
        <v>13477</v>
      </c>
    </row>
    <row r="1703" spans="1:10" ht="48" customHeight="1">
      <c r="A1703" s="682" t="s">
        <v>13476</v>
      </c>
      <c r="B1703" s="683" t="s">
        <v>14950</v>
      </c>
      <c r="C1703" s="682" t="s">
        <v>7</v>
      </c>
      <c r="D1703" s="682" t="s">
        <v>2606</v>
      </c>
      <c r="E1703" s="917" t="s">
        <v>13474</v>
      </c>
      <c r="F1703" s="917"/>
      <c r="G1703" s="681" t="s">
        <v>34</v>
      </c>
      <c r="H1703" s="680">
        <v>1</v>
      </c>
      <c r="I1703" s="679">
        <v>28.07</v>
      </c>
      <c r="J1703" s="679">
        <v>28.07</v>
      </c>
    </row>
    <row r="1704" spans="1:10" ht="24" customHeight="1">
      <c r="A1704" s="677" t="s">
        <v>13472</v>
      </c>
      <c r="B1704" s="678" t="s">
        <v>13526</v>
      </c>
      <c r="C1704" s="677" t="s">
        <v>7</v>
      </c>
      <c r="D1704" s="677" t="s">
        <v>1093</v>
      </c>
      <c r="E1704" s="918" t="s">
        <v>13470</v>
      </c>
      <c r="F1704" s="918"/>
      <c r="G1704" s="676" t="s">
        <v>19</v>
      </c>
      <c r="H1704" s="675">
        <v>0.23100000000000001</v>
      </c>
      <c r="I1704" s="674">
        <v>13.48</v>
      </c>
      <c r="J1704" s="674">
        <v>3.11</v>
      </c>
    </row>
    <row r="1705" spans="1:10" ht="24" customHeight="1">
      <c r="A1705" s="677" t="s">
        <v>13472</v>
      </c>
      <c r="B1705" s="678" t="s">
        <v>13473</v>
      </c>
      <c r="C1705" s="677" t="s">
        <v>7</v>
      </c>
      <c r="D1705" s="677" t="s">
        <v>44</v>
      </c>
      <c r="E1705" s="918" t="s">
        <v>13470</v>
      </c>
      <c r="F1705" s="918"/>
      <c r="G1705" s="676" t="s">
        <v>19</v>
      </c>
      <c r="H1705" s="675">
        <v>0.23100000000000001</v>
      </c>
      <c r="I1705" s="674">
        <v>17.66</v>
      </c>
      <c r="J1705" s="674">
        <v>4.07</v>
      </c>
    </row>
    <row r="1706" spans="1:10" ht="24" customHeight="1">
      <c r="A1706" s="672" t="s">
        <v>13467</v>
      </c>
      <c r="B1706" s="673" t="s">
        <v>13525</v>
      </c>
      <c r="C1706" s="672" t="s">
        <v>7</v>
      </c>
      <c r="D1706" s="672" t="s">
        <v>13524</v>
      </c>
      <c r="E1706" s="919" t="s">
        <v>13464</v>
      </c>
      <c r="F1706" s="919"/>
      <c r="G1706" s="671" t="s">
        <v>34</v>
      </c>
      <c r="H1706" s="670">
        <v>4.5999999999999999E-2</v>
      </c>
      <c r="I1706" s="669">
        <v>26.38</v>
      </c>
      <c r="J1706" s="669">
        <v>1.21</v>
      </c>
    </row>
    <row r="1707" spans="1:10" ht="24" customHeight="1">
      <c r="A1707" s="672" t="s">
        <v>13467</v>
      </c>
      <c r="B1707" s="673" t="s">
        <v>14949</v>
      </c>
      <c r="C1707" s="672" t="s">
        <v>7</v>
      </c>
      <c r="D1707" s="672" t="s">
        <v>14948</v>
      </c>
      <c r="E1707" s="919" t="s">
        <v>13464</v>
      </c>
      <c r="F1707" s="919"/>
      <c r="G1707" s="671" t="s">
        <v>34</v>
      </c>
      <c r="H1707" s="670">
        <v>1</v>
      </c>
      <c r="I1707" s="669">
        <v>18.84</v>
      </c>
      <c r="J1707" s="669">
        <v>18.84</v>
      </c>
    </row>
    <row r="1708" spans="1:10" ht="24" customHeight="1">
      <c r="A1708" s="672" t="s">
        <v>13467</v>
      </c>
      <c r="B1708" s="673" t="s">
        <v>13523</v>
      </c>
      <c r="C1708" s="672" t="s">
        <v>7</v>
      </c>
      <c r="D1708" s="672" t="s">
        <v>13522</v>
      </c>
      <c r="E1708" s="919" t="s">
        <v>13464</v>
      </c>
      <c r="F1708" s="919"/>
      <c r="G1708" s="671" t="s">
        <v>34</v>
      </c>
      <c r="H1708" s="670">
        <v>2.3E-2</v>
      </c>
      <c r="I1708" s="669">
        <v>2.2000000000000002</v>
      </c>
      <c r="J1708" s="669">
        <v>0.05</v>
      </c>
    </row>
    <row r="1709" spans="1:10" ht="24" customHeight="1">
      <c r="A1709" s="672" t="s">
        <v>13467</v>
      </c>
      <c r="B1709" s="673" t="s">
        <v>13521</v>
      </c>
      <c r="C1709" s="672" t="s">
        <v>7</v>
      </c>
      <c r="D1709" s="672" t="s">
        <v>13520</v>
      </c>
      <c r="E1709" s="919" t="s">
        <v>13464</v>
      </c>
      <c r="F1709" s="919"/>
      <c r="G1709" s="671" t="s">
        <v>34</v>
      </c>
      <c r="H1709" s="670">
        <v>1.0999999999999999E-2</v>
      </c>
      <c r="I1709" s="669">
        <v>72.17</v>
      </c>
      <c r="J1709" s="669">
        <v>0.79</v>
      </c>
    </row>
    <row r="1710" spans="1:10" ht="25.5">
      <c r="A1710" s="668"/>
      <c r="B1710" s="668"/>
      <c r="C1710" s="668"/>
      <c r="D1710" s="668"/>
      <c r="E1710" s="668" t="s">
        <v>13463</v>
      </c>
      <c r="F1710" s="667">
        <v>3.0587851787460609</v>
      </c>
      <c r="G1710" s="668" t="s">
        <v>13462</v>
      </c>
      <c r="H1710" s="667">
        <v>2.57</v>
      </c>
      <c r="I1710" s="668" t="s">
        <v>13461</v>
      </c>
      <c r="J1710" s="667">
        <v>5.63</v>
      </c>
    </row>
    <row r="1711" spans="1:10" ht="15" thickBot="1">
      <c r="A1711" s="668"/>
      <c r="B1711" s="668"/>
      <c r="C1711" s="668"/>
      <c r="D1711" s="668"/>
      <c r="E1711" s="668" t="s">
        <v>13460</v>
      </c>
      <c r="F1711" s="667">
        <v>7.92</v>
      </c>
      <c r="G1711" s="668"/>
      <c r="H1711" s="925" t="s">
        <v>13459</v>
      </c>
      <c r="I1711" s="925"/>
      <c r="J1711" s="667">
        <v>35.99</v>
      </c>
    </row>
    <row r="1712" spans="1:10" ht="0.95" customHeight="1" thickTop="1">
      <c r="A1712" s="666"/>
      <c r="B1712" s="666"/>
      <c r="C1712" s="666"/>
      <c r="D1712" s="666"/>
      <c r="E1712" s="666"/>
      <c r="F1712" s="666"/>
      <c r="G1712" s="666"/>
      <c r="H1712" s="666"/>
      <c r="I1712" s="666"/>
      <c r="J1712" s="666"/>
    </row>
    <row r="1713" spans="1:10" ht="18" customHeight="1">
      <c r="A1713" s="686" t="s">
        <v>14947</v>
      </c>
      <c r="B1713" s="684" t="s">
        <v>13484</v>
      </c>
      <c r="C1713" s="686" t="s">
        <v>13483</v>
      </c>
      <c r="D1713" s="686" t="s">
        <v>13482</v>
      </c>
      <c r="E1713" s="924" t="s">
        <v>13481</v>
      </c>
      <c r="F1713" s="924"/>
      <c r="G1713" s="685" t="s">
        <v>13480</v>
      </c>
      <c r="H1713" s="684" t="s">
        <v>13479</v>
      </c>
      <c r="I1713" s="684" t="s">
        <v>13478</v>
      </c>
      <c r="J1713" s="684" t="s">
        <v>13477</v>
      </c>
    </row>
    <row r="1714" spans="1:10" ht="48" customHeight="1">
      <c r="A1714" s="682" t="s">
        <v>13476</v>
      </c>
      <c r="B1714" s="683" t="s">
        <v>14946</v>
      </c>
      <c r="C1714" s="682" t="s">
        <v>7</v>
      </c>
      <c r="D1714" s="682" t="s">
        <v>2607</v>
      </c>
      <c r="E1714" s="917" t="s">
        <v>13474</v>
      </c>
      <c r="F1714" s="917"/>
      <c r="G1714" s="681" t="s">
        <v>34</v>
      </c>
      <c r="H1714" s="680">
        <v>1</v>
      </c>
      <c r="I1714" s="679">
        <v>44.26</v>
      </c>
      <c r="J1714" s="679">
        <v>44.26</v>
      </c>
    </row>
    <row r="1715" spans="1:10" ht="24" customHeight="1">
      <c r="A1715" s="677" t="s">
        <v>13472</v>
      </c>
      <c r="B1715" s="678" t="s">
        <v>13526</v>
      </c>
      <c r="C1715" s="677" t="s">
        <v>7</v>
      </c>
      <c r="D1715" s="677" t="s">
        <v>1093</v>
      </c>
      <c r="E1715" s="918" t="s">
        <v>13470</v>
      </c>
      <c r="F1715" s="918"/>
      <c r="G1715" s="676" t="s">
        <v>19</v>
      </c>
      <c r="H1715" s="675">
        <v>0.23100000000000001</v>
      </c>
      <c r="I1715" s="674">
        <v>13.48</v>
      </c>
      <c r="J1715" s="674">
        <v>3.11</v>
      </c>
    </row>
    <row r="1716" spans="1:10" ht="24" customHeight="1">
      <c r="A1716" s="677" t="s">
        <v>13472</v>
      </c>
      <c r="B1716" s="678" t="s">
        <v>13473</v>
      </c>
      <c r="C1716" s="677" t="s">
        <v>7</v>
      </c>
      <c r="D1716" s="677" t="s">
        <v>44</v>
      </c>
      <c r="E1716" s="918" t="s">
        <v>13470</v>
      </c>
      <c r="F1716" s="918"/>
      <c r="G1716" s="676" t="s">
        <v>19</v>
      </c>
      <c r="H1716" s="675">
        <v>0.23100000000000001</v>
      </c>
      <c r="I1716" s="674">
        <v>17.66</v>
      </c>
      <c r="J1716" s="674">
        <v>4.07</v>
      </c>
    </row>
    <row r="1717" spans="1:10" ht="24" customHeight="1">
      <c r="A1717" s="672" t="s">
        <v>13467</v>
      </c>
      <c r="B1717" s="673" t="s">
        <v>13525</v>
      </c>
      <c r="C1717" s="672" t="s">
        <v>7</v>
      </c>
      <c r="D1717" s="672" t="s">
        <v>13524</v>
      </c>
      <c r="E1717" s="919" t="s">
        <v>13464</v>
      </c>
      <c r="F1717" s="919"/>
      <c r="G1717" s="671" t="s">
        <v>34</v>
      </c>
      <c r="H1717" s="670">
        <v>4.5999999999999999E-2</v>
      </c>
      <c r="I1717" s="669">
        <v>26.38</v>
      </c>
      <c r="J1717" s="669">
        <v>1.21</v>
      </c>
    </row>
    <row r="1718" spans="1:10" ht="24" customHeight="1">
      <c r="A1718" s="672" t="s">
        <v>13467</v>
      </c>
      <c r="B1718" s="673" t="s">
        <v>14945</v>
      </c>
      <c r="C1718" s="672" t="s">
        <v>7</v>
      </c>
      <c r="D1718" s="672" t="s">
        <v>14944</v>
      </c>
      <c r="E1718" s="919" t="s">
        <v>13464</v>
      </c>
      <c r="F1718" s="919"/>
      <c r="G1718" s="671" t="s">
        <v>34</v>
      </c>
      <c r="H1718" s="670">
        <v>1</v>
      </c>
      <c r="I1718" s="669">
        <v>35.03</v>
      </c>
      <c r="J1718" s="669">
        <v>35.03</v>
      </c>
    </row>
    <row r="1719" spans="1:10" ht="24" customHeight="1">
      <c r="A1719" s="672" t="s">
        <v>13467</v>
      </c>
      <c r="B1719" s="673" t="s">
        <v>13523</v>
      </c>
      <c r="C1719" s="672" t="s">
        <v>7</v>
      </c>
      <c r="D1719" s="672" t="s">
        <v>13522</v>
      </c>
      <c r="E1719" s="919" t="s">
        <v>13464</v>
      </c>
      <c r="F1719" s="919"/>
      <c r="G1719" s="671" t="s">
        <v>34</v>
      </c>
      <c r="H1719" s="670">
        <v>2.3E-2</v>
      </c>
      <c r="I1719" s="669">
        <v>2.2000000000000002</v>
      </c>
      <c r="J1719" s="669">
        <v>0.05</v>
      </c>
    </row>
    <row r="1720" spans="1:10" ht="24" customHeight="1">
      <c r="A1720" s="672" t="s">
        <v>13467</v>
      </c>
      <c r="B1720" s="673" t="s">
        <v>13521</v>
      </c>
      <c r="C1720" s="672" t="s">
        <v>7</v>
      </c>
      <c r="D1720" s="672" t="s">
        <v>13520</v>
      </c>
      <c r="E1720" s="919" t="s">
        <v>13464</v>
      </c>
      <c r="F1720" s="919"/>
      <c r="G1720" s="671" t="s">
        <v>34</v>
      </c>
      <c r="H1720" s="670">
        <v>1.0999999999999999E-2</v>
      </c>
      <c r="I1720" s="669">
        <v>72.17</v>
      </c>
      <c r="J1720" s="669">
        <v>0.79</v>
      </c>
    </row>
    <row r="1721" spans="1:10" ht="25.5">
      <c r="A1721" s="668"/>
      <c r="B1721" s="668"/>
      <c r="C1721" s="668"/>
      <c r="D1721" s="668"/>
      <c r="E1721" s="668" t="s">
        <v>13463</v>
      </c>
      <c r="F1721" s="667">
        <v>3.0587851787460609</v>
      </c>
      <c r="G1721" s="668" t="s">
        <v>13462</v>
      </c>
      <c r="H1721" s="667">
        <v>2.57</v>
      </c>
      <c r="I1721" s="668" t="s">
        <v>13461</v>
      </c>
      <c r="J1721" s="667">
        <v>5.63</v>
      </c>
    </row>
    <row r="1722" spans="1:10" ht="15" thickBot="1">
      <c r="A1722" s="668"/>
      <c r="B1722" s="668"/>
      <c r="C1722" s="668"/>
      <c r="D1722" s="668"/>
      <c r="E1722" s="668" t="s">
        <v>13460</v>
      </c>
      <c r="F1722" s="667">
        <v>12.49</v>
      </c>
      <c r="G1722" s="668"/>
      <c r="H1722" s="925" t="s">
        <v>13459</v>
      </c>
      <c r="I1722" s="925"/>
      <c r="J1722" s="667">
        <v>56.75</v>
      </c>
    </row>
    <row r="1723" spans="1:10" ht="0.95" customHeight="1" thickTop="1">
      <c r="A1723" s="666"/>
      <c r="B1723" s="666"/>
      <c r="C1723" s="666"/>
      <c r="D1723" s="666"/>
      <c r="E1723" s="666"/>
      <c r="F1723" s="666"/>
      <c r="G1723" s="666"/>
      <c r="H1723" s="666"/>
      <c r="I1723" s="666"/>
      <c r="J1723" s="666"/>
    </row>
    <row r="1724" spans="1:10" ht="18" customHeight="1">
      <c r="A1724" s="686" t="s">
        <v>14943</v>
      </c>
      <c r="B1724" s="684" t="s">
        <v>13484</v>
      </c>
      <c r="C1724" s="686" t="s">
        <v>13483</v>
      </c>
      <c r="D1724" s="686" t="s">
        <v>13482</v>
      </c>
      <c r="E1724" s="924" t="s">
        <v>13481</v>
      </c>
      <c r="F1724" s="924"/>
      <c r="G1724" s="685" t="s">
        <v>13480</v>
      </c>
      <c r="H1724" s="684" t="s">
        <v>13479</v>
      </c>
      <c r="I1724" s="684" t="s">
        <v>13478</v>
      </c>
      <c r="J1724" s="684" t="s">
        <v>13477</v>
      </c>
    </row>
    <row r="1725" spans="1:10" ht="48" customHeight="1">
      <c r="A1725" s="682" t="s">
        <v>13476</v>
      </c>
      <c r="B1725" s="683" t="s">
        <v>14942</v>
      </c>
      <c r="C1725" s="682" t="s">
        <v>7</v>
      </c>
      <c r="D1725" s="682" t="s">
        <v>2608</v>
      </c>
      <c r="E1725" s="917" t="s">
        <v>13474</v>
      </c>
      <c r="F1725" s="917"/>
      <c r="G1725" s="681" t="s">
        <v>34</v>
      </c>
      <c r="H1725" s="680">
        <v>1</v>
      </c>
      <c r="I1725" s="679">
        <v>53.65</v>
      </c>
      <c r="J1725" s="679">
        <v>53.65</v>
      </c>
    </row>
    <row r="1726" spans="1:10" ht="24" customHeight="1">
      <c r="A1726" s="677" t="s">
        <v>13472</v>
      </c>
      <c r="B1726" s="678" t="s">
        <v>13526</v>
      </c>
      <c r="C1726" s="677" t="s">
        <v>7</v>
      </c>
      <c r="D1726" s="677" t="s">
        <v>1093</v>
      </c>
      <c r="E1726" s="918" t="s">
        <v>13470</v>
      </c>
      <c r="F1726" s="918"/>
      <c r="G1726" s="676" t="s">
        <v>19</v>
      </c>
      <c r="H1726" s="675">
        <v>0.308</v>
      </c>
      <c r="I1726" s="674">
        <v>13.48</v>
      </c>
      <c r="J1726" s="674">
        <v>4.1500000000000004</v>
      </c>
    </row>
    <row r="1727" spans="1:10" ht="24" customHeight="1">
      <c r="A1727" s="677" t="s">
        <v>13472</v>
      </c>
      <c r="B1727" s="678" t="s">
        <v>13473</v>
      </c>
      <c r="C1727" s="677" t="s">
        <v>7</v>
      </c>
      <c r="D1727" s="677" t="s">
        <v>44</v>
      </c>
      <c r="E1727" s="918" t="s">
        <v>13470</v>
      </c>
      <c r="F1727" s="918"/>
      <c r="G1727" s="676" t="s">
        <v>19</v>
      </c>
      <c r="H1727" s="675">
        <v>0.308</v>
      </c>
      <c r="I1727" s="674">
        <v>17.66</v>
      </c>
      <c r="J1727" s="674">
        <v>5.43</v>
      </c>
    </row>
    <row r="1728" spans="1:10" ht="24" customHeight="1">
      <c r="A1728" s="672" t="s">
        <v>13467</v>
      </c>
      <c r="B1728" s="673" t="s">
        <v>14941</v>
      </c>
      <c r="C1728" s="672" t="s">
        <v>7</v>
      </c>
      <c r="D1728" s="672" t="s">
        <v>14940</v>
      </c>
      <c r="E1728" s="919" t="s">
        <v>13464</v>
      </c>
      <c r="F1728" s="919"/>
      <c r="G1728" s="671" t="s">
        <v>34</v>
      </c>
      <c r="H1728" s="670">
        <v>1</v>
      </c>
      <c r="I1728" s="669">
        <v>35.15</v>
      </c>
      <c r="J1728" s="669">
        <v>35.15</v>
      </c>
    </row>
    <row r="1729" spans="1:10" ht="24" customHeight="1">
      <c r="A1729" s="672" t="s">
        <v>13467</v>
      </c>
      <c r="B1729" s="673" t="s">
        <v>13525</v>
      </c>
      <c r="C1729" s="672" t="s">
        <v>7</v>
      </c>
      <c r="D1729" s="672" t="s">
        <v>13524</v>
      </c>
      <c r="E1729" s="919" t="s">
        <v>13464</v>
      </c>
      <c r="F1729" s="919"/>
      <c r="G1729" s="671" t="s">
        <v>34</v>
      </c>
      <c r="H1729" s="670">
        <v>0.19400000000000001</v>
      </c>
      <c r="I1729" s="669">
        <v>26.38</v>
      </c>
      <c r="J1729" s="669">
        <v>5.1100000000000003</v>
      </c>
    </row>
    <row r="1730" spans="1:10" ht="24" customHeight="1">
      <c r="A1730" s="672" t="s">
        <v>13467</v>
      </c>
      <c r="B1730" s="673" t="s">
        <v>13523</v>
      </c>
      <c r="C1730" s="672" t="s">
        <v>7</v>
      </c>
      <c r="D1730" s="672" t="s">
        <v>13522</v>
      </c>
      <c r="E1730" s="919" t="s">
        <v>13464</v>
      </c>
      <c r="F1730" s="919"/>
      <c r="G1730" s="671" t="s">
        <v>34</v>
      </c>
      <c r="H1730" s="670">
        <v>3.1E-2</v>
      </c>
      <c r="I1730" s="669">
        <v>2.2000000000000002</v>
      </c>
      <c r="J1730" s="669">
        <v>0.06</v>
      </c>
    </row>
    <row r="1731" spans="1:10" ht="24" customHeight="1">
      <c r="A1731" s="672" t="s">
        <v>13467</v>
      </c>
      <c r="B1731" s="673" t="s">
        <v>13521</v>
      </c>
      <c r="C1731" s="672" t="s">
        <v>7</v>
      </c>
      <c r="D1731" s="672" t="s">
        <v>13520</v>
      </c>
      <c r="E1731" s="919" t="s">
        <v>13464</v>
      </c>
      <c r="F1731" s="919"/>
      <c r="G1731" s="671" t="s">
        <v>34</v>
      </c>
      <c r="H1731" s="670">
        <v>5.1999999999999998E-2</v>
      </c>
      <c r="I1731" s="669">
        <v>72.17</v>
      </c>
      <c r="J1731" s="669">
        <v>3.75</v>
      </c>
    </row>
    <row r="1732" spans="1:10" ht="25.5">
      <c r="A1732" s="668"/>
      <c r="B1732" s="668"/>
      <c r="C1732" s="668"/>
      <c r="D1732" s="668"/>
      <c r="E1732" s="668" t="s">
        <v>13463</v>
      </c>
      <c r="F1732" s="667">
        <v>4.0801912419863084</v>
      </c>
      <c r="G1732" s="668" t="s">
        <v>13462</v>
      </c>
      <c r="H1732" s="667">
        <v>3.43</v>
      </c>
      <c r="I1732" s="668" t="s">
        <v>13461</v>
      </c>
      <c r="J1732" s="667">
        <v>7.51</v>
      </c>
    </row>
    <row r="1733" spans="1:10" ht="15" thickBot="1">
      <c r="A1733" s="668"/>
      <c r="B1733" s="668"/>
      <c r="C1733" s="668"/>
      <c r="D1733" s="668"/>
      <c r="E1733" s="668" t="s">
        <v>13460</v>
      </c>
      <c r="F1733" s="667">
        <v>15.15</v>
      </c>
      <c r="G1733" s="668"/>
      <c r="H1733" s="925" t="s">
        <v>13459</v>
      </c>
      <c r="I1733" s="925"/>
      <c r="J1733" s="667">
        <v>68.8</v>
      </c>
    </row>
    <row r="1734" spans="1:10" ht="0.95" customHeight="1" thickTop="1">
      <c r="A1734" s="666"/>
      <c r="B1734" s="666"/>
      <c r="C1734" s="666"/>
      <c r="D1734" s="666"/>
      <c r="E1734" s="666"/>
      <c r="F1734" s="666"/>
      <c r="G1734" s="666"/>
      <c r="H1734" s="666"/>
      <c r="I1734" s="666"/>
      <c r="J1734" s="666"/>
    </row>
    <row r="1735" spans="1:10" ht="18" customHeight="1">
      <c r="A1735" s="686" t="s">
        <v>14939</v>
      </c>
      <c r="B1735" s="684" t="s">
        <v>13484</v>
      </c>
      <c r="C1735" s="686" t="s">
        <v>13483</v>
      </c>
      <c r="D1735" s="686" t="s">
        <v>13482</v>
      </c>
      <c r="E1735" s="924" t="s">
        <v>13481</v>
      </c>
      <c r="F1735" s="924"/>
      <c r="G1735" s="685" t="s">
        <v>13480</v>
      </c>
      <c r="H1735" s="684" t="s">
        <v>13479</v>
      </c>
      <c r="I1735" s="684" t="s">
        <v>13478</v>
      </c>
      <c r="J1735" s="684" t="s">
        <v>13477</v>
      </c>
    </row>
    <row r="1736" spans="1:10" ht="48" customHeight="1">
      <c r="A1736" s="682" t="s">
        <v>13476</v>
      </c>
      <c r="B1736" s="683" t="s">
        <v>14938</v>
      </c>
      <c r="C1736" s="682" t="s">
        <v>7</v>
      </c>
      <c r="D1736" s="682" t="s">
        <v>2611</v>
      </c>
      <c r="E1736" s="917" t="s">
        <v>13474</v>
      </c>
      <c r="F1736" s="917"/>
      <c r="G1736" s="681" t="s">
        <v>34</v>
      </c>
      <c r="H1736" s="680">
        <v>1</v>
      </c>
      <c r="I1736" s="679">
        <v>258.08999999999997</v>
      </c>
      <c r="J1736" s="679">
        <v>258.08999999999997</v>
      </c>
    </row>
    <row r="1737" spans="1:10" ht="24" customHeight="1">
      <c r="A1737" s="677" t="s">
        <v>13472</v>
      </c>
      <c r="B1737" s="678" t="s">
        <v>13526</v>
      </c>
      <c r="C1737" s="677" t="s">
        <v>7</v>
      </c>
      <c r="D1737" s="677" t="s">
        <v>1093</v>
      </c>
      <c r="E1737" s="918" t="s">
        <v>13470</v>
      </c>
      <c r="F1737" s="918"/>
      <c r="G1737" s="676" t="s">
        <v>19</v>
      </c>
      <c r="H1737" s="675">
        <v>0.308</v>
      </c>
      <c r="I1737" s="674">
        <v>13.48</v>
      </c>
      <c r="J1737" s="674">
        <v>4.1500000000000004</v>
      </c>
    </row>
    <row r="1738" spans="1:10" ht="24" customHeight="1">
      <c r="A1738" s="677" t="s">
        <v>13472</v>
      </c>
      <c r="B1738" s="678" t="s">
        <v>13473</v>
      </c>
      <c r="C1738" s="677" t="s">
        <v>7</v>
      </c>
      <c r="D1738" s="677" t="s">
        <v>44</v>
      </c>
      <c r="E1738" s="918" t="s">
        <v>13470</v>
      </c>
      <c r="F1738" s="918"/>
      <c r="G1738" s="676" t="s">
        <v>19</v>
      </c>
      <c r="H1738" s="675">
        <v>0.308</v>
      </c>
      <c r="I1738" s="674">
        <v>17.66</v>
      </c>
      <c r="J1738" s="674">
        <v>5.43</v>
      </c>
    </row>
    <row r="1739" spans="1:10" ht="24" customHeight="1">
      <c r="A1739" s="672" t="s">
        <v>13467</v>
      </c>
      <c r="B1739" s="673" t="s">
        <v>13525</v>
      </c>
      <c r="C1739" s="672" t="s">
        <v>7</v>
      </c>
      <c r="D1739" s="672" t="s">
        <v>13524</v>
      </c>
      <c r="E1739" s="919" t="s">
        <v>13464</v>
      </c>
      <c r="F1739" s="919"/>
      <c r="G1739" s="671" t="s">
        <v>34</v>
      </c>
      <c r="H1739" s="670">
        <v>0.19400000000000001</v>
      </c>
      <c r="I1739" s="669">
        <v>26.38</v>
      </c>
      <c r="J1739" s="669">
        <v>5.1100000000000003</v>
      </c>
    </row>
    <row r="1740" spans="1:10" ht="24" customHeight="1">
      <c r="A1740" s="672" t="s">
        <v>13467</v>
      </c>
      <c r="B1740" s="673" t="s">
        <v>14937</v>
      </c>
      <c r="C1740" s="672" t="s">
        <v>7</v>
      </c>
      <c r="D1740" s="672" t="s">
        <v>14936</v>
      </c>
      <c r="E1740" s="919" t="s">
        <v>13464</v>
      </c>
      <c r="F1740" s="919"/>
      <c r="G1740" s="671" t="s">
        <v>34</v>
      </c>
      <c r="H1740" s="670">
        <v>1</v>
      </c>
      <c r="I1740" s="669">
        <v>239.59</v>
      </c>
      <c r="J1740" s="669">
        <v>239.59</v>
      </c>
    </row>
    <row r="1741" spans="1:10" ht="24" customHeight="1">
      <c r="A1741" s="672" t="s">
        <v>13467</v>
      </c>
      <c r="B1741" s="673" t="s">
        <v>13523</v>
      </c>
      <c r="C1741" s="672" t="s">
        <v>7</v>
      </c>
      <c r="D1741" s="672" t="s">
        <v>13522</v>
      </c>
      <c r="E1741" s="919" t="s">
        <v>13464</v>
      </c>
      <c r="F1741" s="919"/>
      <c r="G1741" s="671" t="s">
        <v>34</v>
      </c>
      <c r="H1741" s="670">
        <v>3.1E-2</v>
      </c>
      <c r="I1741" s="669">
        <v>2.2000000000000002</v>
      </c>
      <c r="J1741" s="669">
        <v>0.06</v>
      </c>
    </row>
    <row r="1742" spans="1:10" ht="24" customHeight="1">
      <c r="A1742" s="672" t="s">
        <v>13467</v>
      </c>
      <c r="B1742" s="673" t="s">
        <v>13521</v>
      </c>
      <c r="C1742" s="672" t="s">
        <v>7</v>
      </c>
      <c r="D1742" s="672" t="s">
        <v>13520</v>
      </c>
      <c r="E1742" s="919" t="s">
        <v>13464</v>
      </c>
      <c r="F1742" s="919"/>
      <c r="G1742" s="671" t="s">
        <v>34</v>
      </c>
      <c r="H1742" s="670">
        <v>5.1999999999999998E-2</v>
      </c>
      <c r="I1742" s="669">
        <v>72.17</v>
      </c>
      <c r="J1742" s="669">
        <v>3.75</v>
      </c>
    </row>
    <row r="1743" spans="1:10" ht="25.5">
      <c r="A1743" s="668"/>
      <c r="B1743" s="668"/>
      <c r="C1743" s="668"/>
      <c r="D1743" s="668"/>
      <c r="E1743" s="668" t="s">
        <v>13463</v>
      </c>
      <c r="F1743" s="667">
        <v>4.0801912419863084</v>
      </c>
      <c r="G1743" s="668" t="s">
        <v>13462</v>
      </c>
      <c r="H1743" s="667">
        <v>3.43</v>
      </c>
      <c r="I1743" s="668" t="s">
        <v>13461</v>
      </c>
      <c r="J1743" s="667">
        <v>7.51</v>
      </c>
    </row>
    <row r="1744" spans="1:10" ht="15" thickBot="1">
      <c r="A1744" s="668"/>
      <c r="B1744" s="668"/>
      <c r="C1744" s="668"/>
      <c r="D1744" s="668"/>
      <c r="E1744" s="668" t="s">
        <v>13460</v>
      </c>
      <c r="F1744" s="667">
        <v>72.88</v>
      </c>
      <c r="G1744" s="668"/>
      <c r="H1744" s="925" t="s">
        <v>13459</v>
      </c>
      <c r="I1744" s="925"/>
      <c r="J1744" s="667">
        <v>330.97</v>
      </c>
    </row>
    <row r="1745" spans="1:10" ht="0.95" customHeight="1" thickTop="1">
      <c r="A1745" s="666"/>
      <c r="B1745" s="666"/>
      <c r="C1745" s="666"/>
      <c r="D1745" s="666"/>
      <c r="E1745" s="666"/>
      <c r="F1745" s="666"/>
      <c r="G1745" s="666"/>
      <c r="H1745" s="666"/>
      <c r="I1745" s="666"/>
      <c r="J1745" s="666"/>
    </row>
    <row r="1746" spans="1:10" ht="18" customHeight="1">
      <c r="A1746" s="686" t="s">
        <v>14935</v>
      </c>
      <c r="B1746" s="684" t="s">
        <v>13484</v>
      </c>
      <c r="C1746" s="686" t="s">
        <v>13483</v>
      </c>
      <c r="D1746" s="686" t="s">
        <v>13482</v>
      </c>
      <c r="E1746" s="924" t="s">
        <v>13481</v>
      </c>
      <c r="F1746" s="924"/>
      <c r="G1746" s="685" t="s">
        <v>13480</v>
      </c>
      <c r="H1746" s="684" t="s">
        <v>13479</v>
      </c>
      <c r="I1746" s="684" t="s">
        <v>13478</v>
      </c>
      <c r="J1746" s="684" t="s">
        <v>13477</v>
      </c>
    </row>
    <row r="1747" spans="1:10" ht="48" customHeight="1">
      <c r="A1747" s="682" t="s">
        <v>13476</v>
      </c>
      <c r="B1747" s="683" t="s">
        <v>13745</v>
      </c>
      <c r="C1747" s="682" t="s">
        <v>7</v>
      </c>
      <c r="D1747" s="682" t="s">
        <v>1306</v>
      </c>
      <c r="E1747" s="917" t="s">
        <v>13474</v>
      </c>
      <c r="F1747" s="917"/>
      <c r="G1747" s="681" t="s">
        <v>34</v>
      </c>
      <c r="H1747" s="680">
        <v>1</v>
      </c>
      <c r="I1747" s="679">
        <v>5.22</v>
      </c>
      <c r="J1747" s="679">
        <v>5.22</v>
      </c>
    </row>
    <row r="1748" spans="1:10" ht="24" customHeight="1">
      <c r="A1748" s="677" t="s">
        <v>13472</v>
      </c>
      <c r="B1748" s="678" t="s">
        <v>13526</v>
      </c>
      <c r="C1748" s="677" t="s">
        <v>7</v>
      </c>
      <c r="D1748" s="677" t="s">
        <v>1093</v>
      </c>
      <c r="E1748" s="918" t="s">
        <v>13470</v>
      </c>
      <c r="F1748" s="918"/>
      <c r="G1748" s="676" t="s">
        <v>19</v>
      </c>
      <c r="H1748" s="675">
        <v>0.1</v>
      </c>
      <c r="I1748" s="674">
        <v>13.48</v>
      </c>
      <c r="J1748" s="674">
        <v>1.34</v>
      </c>
    </row>
    <row r="1749" spans="1:10" ht="24" customHeight="1">
      <c r="A1749" s="677" t="s">
        <v>13472</v>
      </c>
      <c r="B1749" s="678" t="s">
        <v>13473</v>
      </c>
      <c r="C1749" s="677" t="s">
        <v>7</v>
      </c>
      <c r="D1749" s="677" t="s">
        <v>44</v>
      </c>
      <c r="E1749" s="918" t="s">
        <v>13470</v>
      </c>
      <c r="F1749" s="918"/>
      <c r="G1749" s="676" t="s">
        <v>19</v>
      </c>
      <c r="H1749" s="675">
        <v>0.1</v>
      </c>
      <c r="I1749" s="674">
        <v>17.66</v>
      </c>
      <c r="J1749" s="674">
        <v>1.76</v>
      </c>
    </row>
    <row r="1750" spans="1:10" ht="24" customHeight="1">
      <c r="A1750" s="672" t="s">
        <v>13467</v>
      </c>
      <c r="B1750" s="673" t="s">
        <v>14934</v>
      </c>
      <c r="C1750" s="672" t="s">
        <v>7</v>
      </c>
      <c r="D1750" s="672" t="s">
        <v>14933</v>
      </c>
      <c r="E1750" s="919" t="s">
        <v>13464</v>
      </c>
      <c r="F1750" s="919"/>
      <c r="G1750" s="671" t="s">
        <v>34</v>
      </c>
      <c r="H1750" s="670">
        <v>1</v>
      </c>
      <c r="I1750" s="669">
        <v>0.86</v>
      </c>
      <c r="J1750" s="669">
        <v>0.86</v>
      </c>
    </row>
    <row r="1751" spans="1:10" ht="24" customHeight="1">
      <c r="A1751" s="672" t="s">
        <v>13467</v>
      </c>
      <c r="B1751" s="673" t="s">
        <v>14762</v>
      </c>
      <c r="C1751" s="672" t="s">
        <v>7</v>
      </c>
      <c r="D1751" s="672" t="s">
        <v>14761</v>
      </c>
      <c r="E1751" s="919" t="s">
        <v>13464</v>
      </c>
      <c r="F1751" s="919"/>
      <c r="G1751" s="671" t="s">
        <v>34</v>
      </c>
      <c r="H1751" s="670">
        <v>7.0000000000000001E-3</v>
      </c>
      <c r="I1751" s="669">
        <v>83.11</v>
      </c>
      <c r="J1751" s="669">
        <v>0.57999999999999996</v>
      </c>
    </row>
    <row r="1752" spans="1:10" ht="24" customHeight="1">
      <c r="A1752" s="672" t="s">
        <v>13467</v>
      </c>
      <c r="B1752" s="673" t="s">
        <v>13523</v>
      </c>
      <c r="C1752" s="672" t="s">
        <v>7</v>
      </c>
      <c r="D1752" s="672" t="s">
        <v>13522</v>
      </c>
      <c r="E1752" s="919" t="s">
        <v>13464</v>
      </c>
      <c r="F1752" s="919"/>
      <c r="G1752" s="671" t="s">
        <v>34</v>
      </c>
      <c r="H1752" s="670">
        <v>0.05</v>
      </c>
      <c r="I1752" s="669">
        <v>2.2000000000000002</v>
      </c>
      <c r="J1752" s="669">
        <v>0.11</v>
      </c>
    </row>
    <row r="1753" spans="1:10" ht="24" customHeight="1">
      <c r="A1753" s="672" t="s">
        <v>13467</v>
      </c>
      <c r="B1753" s="673" t="s">
        <v>13521</v>
      </c>
      <c r="C1753" s="672" t="s">
        <v>7</v>
      </c>
      <c r="D1753" s="672" t="s">
        <v>13520</v>
      </c>
      <c r="E1753" s="919" t="s">
        <v>13464</v>
      </c>
      <c r="F1753" s="919"/>
      <c r="G1753" s="671" t="s">
        <v>34</v>
      </c>
      <c r="H1753" s="670">
        <v>8.0000000000000002E-3</v>
      </c>
      <c r="I1753" s="669">
        <v>72.17</v>
      </c>
      <c r="J1753" s="669">
        <v>0.56999999999999995</v>
      </c>
    </row>
    <row r="1754" spans="1:10" ht="25.5">
      <c r="A1754" s="668"/>
      <c r="B1754" s="668"/>
      <c r="C1754" s="668"/>
      <c r="D1754" s="668"/>
      <c r="E1754" s="668" t="s">
        <v>13463</v>
      </c>
      <c r="F1754" s="667">
        <v>1.3256546778224492</v>
      </c>
      <c r="G1754" s="668" t="s">
        <v>13462</v>
      </c>
      <c r="H1754" s="667">
        <v>1.1100000000000001</v>
      </c>
      <c r="I1754" s="668" t="s">
        <v>13461</v>
      </c>
      <c r="J1754" s="667">
        <v>2.44</v>
      </c>
    </row>
    <row r="1755" spans="1:10" ht="15" thickBot="1">
      <c r="A1755" s="668"/>
      <c r="B1755" s="668"/>
      <c r="C1755" s="668"/>
      <c r="D1755" s="668"/>
      <c r="E1755" s="668" t="s">
        <v>13460</v>
      </c>
      <c r="F1755" s="667">
        <v>1.47</v>
      </c>
      <c r="G1755" s="668"/>
      <c r="H1755" s="925" t="s">
        <v>13459</v>
      </c>
      <c r="I1755" s="925"/>
      <c r="J1755" s="667">
        <v>6.69</v>
      </c>
    </row>
    <row r="1756" spans="1:10" ht="0.95" customHeight="1" thickTop="1">
      <c r="A1756" s="666"/>
      <c r="B1756" s="666"/>
      <c r="C1756" s="666"/>
      <c r="D1756" s="666"/>
      <c r="E1756" s="666"/>
      <c r="F1756" s="666"/>
      <c r="G1756" s="666"/>
      <c r="H1756" s="666"/>
      <c r="I1756" s="666"/>
      <c r="J1756" s="666"/>
    </row>
    <row r="1757" spans="1:10" ht="18" customHeight="1">
      <c r="A1757" s="686" t="s">
        <v>14932</v>
      </c>
      <c r="B1757" s="684" t="s">
        <v>13484</v>
      </c>
      <c r="C1757" s="686" t="s">
        <v>13483</v>
      </c>
      <c r="D1757" s="686" t="s">
        <v>13482</v>
      </c>
      <c r="E1757" s="924" t="s">
        <v>13481</v>
      </c>
      <c r="F1757" s="924"/>
      <c r="G1757" s="685" t="s">
        <v>13480</v>
      </c>
      <c r="H1757" s="684" t="s">
        <v>13479</v>
      </c>
      <c r="I1757" s="684" t="s">
        <v>13478</v>
      </c>
      <c r="J1757" s="684" t="s">
        <v>13477</v>
      </c>
    </row>
    <row r="1758" spans="1:10" ht="48" customHeight="1">
      <c r="A1758" s="682" t="s">
        <v>13476</v>
      </c>
      <c r="B1758" s="683" t="s">
        <v>14931</v>
      </c>
      <c r="C1758" s="682" t="s">
        <v>7</v>
      </c>
      <c r="D1758" s="682" t="s">
        <v>1429</v>
      </c>
      <c r="E1758" s="917" t="s">
        <v>13474</v>
      </c>
      <c r="F1758" s="917"/>
      <c r="G1758" s="681" t="s">
        <v>34</v>
      </c>
      <c r="H1758" s="680">
        <v>1</v>
      </c>
      <c r="I1758" s="679">
        <v>10.79</v>
      </c>
      <c r="J1758" s="679">
        <v>10.79</v>
      </c>
    </row>
    <row r="1759" spans="1:10" ht="24" customHeight="1">
      <c r="A1759" s="677" t="s">
        <v>13472</v>
      </c>
      <c r="B1759" s="678" t="s">
        <v>13526</v>
      </c>
      <c r="C1759" s="677" t="s">
        <v>7</v>
      </c>
      <c r="D1759" s="677" t="s">
        <v>1093</v>
      </c>
      <c r="E1759" s="918" t="s">
        <v>13470</v>
      </c>
      <c r="F1759" s="918"/>
      <c r="G1759" s="676" t="s">
        <v>19</v>
      </c>
      <c r="H1759" s="675">
        <v>5.8999999999999997E-2</v>
      </c>
      <c r="I1759" s="674">
        <v>13.48</v>
      </c>
      <c r="J1759" s="674">
        <v>0.79</v>
      </c>
    </row>
    <row r="1760" spans="1:10" ht="24" customHeight="1">
      <c r="A1760" s="677" t="s">
        <v>13472</v>
      </c>
      <c r="B1760" s="678" t="s">
        <v>13473</v>
      </c>
      <c r="C1760" s="677" t="s">
        <v>7</v>
      </c>
      <c r="D1760" s="677" t="s">
        <v>44</v>
      </c>
      <c r="E1760" s="918" t="s">
        <v>13470</v>
      </c>
      <c r="F1760" s="918"/>
      <c r="G1760" s="676" t="s">
        <v>19</v>
      </c>
      <c r="H1760" s="675">
        <v>5.8999999999999997E-2</v>
      </c>
      <c r="I1760" s="674">
        <v>17.66</v>
      </c>
      <c r="J1760" s="674">
        <v>1.04</v>
      </c>
    </row>
    <row r="1761" spans="1:10" ht="24" customHeight="1">
      <c r="A1761" s="672" t="s">
        <v>13467</v>
      </c>
      <c r="B1761" s="673" t="s">
        <v>14930</v>
      </c>
      <c r="C1761" s="672" t="s">
        <v>7</v>
      </c>
      <c r="D1761" s="672" t="s">
        <v>14929</v>
      </c>
      <c r="E1761" s="919" t="s">
        <v>13464</v>
      </c>
      <c r="F1761" s="919"/>
      <c r="G1761" s="671" t="s">
        <v>34</v>
      </c>
      <c r="H1761" s="670">
        <v>1</v>
      </c>
      <c r="I1761" s="669">
        <v>6.92</v>
      </c>
      <c r="J1761" s="669">
        <v>6.92</v>
      </c>
    </row>
    <row r="1762" spans="1:10" ht="24" customHeight="1">
      <c r="A1762" s="672" t="s">
        <v>13467</v>
      </c>
      <c r="B1762" s="673" t="s">
        <v>14762</v>
      </c>
      <c r="C1762" s="672" t="s">
        <v>7</v>
      </c>
      <c r="D1762" s="672" t="s">
        <v>14761</v>
      </c>
      <c r="E1762" s="919" t="s">
        <v>13464</v>
      </c>
      <c r="F1762" s="919"/>
      <c r="G1762" s="671" t="s">
        <v>34</v>
      </c>
      <c r="H1762" s="670">
        <v>1.2E-2</v>
      </c>
      <c r="I1762" s="669">
        <v>83.11</v>
      </c>
      <c r="J1762" s="669">
        <v>0.99</v>
      </c>
    </row>
    <row r="1763" spans="1:10" ht="24" customHeight="1">
      <c r="A1763" s="672" t="s">
        <v>13467</v>
      </c>
      <c r="B1763" s="673" t="s">
        <v>13523</v>
      </c>
      <c r="C1763" s="672" t="s">
        <v>7</v>
      </c>
      <c r="D1763" s="672" t="s">
        <v>13522</v>
      </c>
      <c r="E1763" s="919" t="s">
        <v>13464</v>
      </c>
      <c r="F1763" s="919"/>
      <c r="G1763" s="671" t="s">
        <v>34</v>
      </c>
      <c r="H1763" s="670">
        <v>0.02</v>
      </c>
      <c r="I1763" s="669">
        <v>2.2000000000000002</v>
      </c>
      <c r="J1763" s="669">
        <v>0.04</v>
      </c>
    </row>
    <row r="1764" spans="1:10" ht="24" customHeight="1">
      <c r="A1764" s="672" t="s">
        <v>13467</v>
      </c>
      <c r="B1764" s="673" t="s">
        <v>13521</v>
      </c>
      <c r="C1764" s="672" t="s">
        <v>7</v>
      </c>
      <c r="D1764" s="672" t="s">
        <v>13520</v>
      </c>
      <c r="E1764" s="919" t="s">
        <v>13464</v>
      </c>
      <c r="F1764" s="919"/>
      <c r="G1764" s="671" t="s">
        <v>34</v>
      </c>
      <c r="H1764" s="670">
        <v>1.4E-2</v>
      </c>
      <c r="I1764" s="669">
        <v>72.17</v>
      </c>
      <c r="J1764" s="669">
        <v>1.01</v>
      </c>
    </row>
    <row r="1765" spans="1:10" ht="25.5">
      <c r="A1765" s="668"/>
      <c r="B1765" s="668"/>
      <c r="C1765" s="668"/>
      <c r="D1765" s="668"/>
      <c r="E1765" s="668" t="s">
        <v>13463</v>
      </c>
      <c r="F1765" s="667">
        <v>0.77692056937955012</v>
      </c>
      <c r="G1765" s="668" t="s">
        <v>13462</v>
      </c>
      <c r="H1765" s="667">
        <v>0.65</v>
      </c>
      <c r="I1765" s="668" t="s">
        <v>13461</v>
      </c>
      <c r="J1765" s="667">
        <v>1.43</v>
      </c>
    </row>
    <row r="1766" spans="1:10" ht="15" thickBot="1">
      <c r="A1766" s="668"/>
      <c r="B1766" s="668"/>
      <c r="C1766" s="668"/>
      <c r="D1766" s="668"/>
      <c r="E1766" s="668" t="s">
        <v>13460</v>
      </c>
      <c r="F1766" s="667">
        <v>3.04</v>
      </c>
      <c r="G1766" s="668"/>
      <c r="H1766" s="925" t="s">
        <v>13459</v>
      </c>
      <c r="I1766" s="925"/>
      <c r="J1766" s="667">
        <v>13.83</v>
      </c>
    </row>
    <row r="1767" spans="1:10" ht="0.95" customHeight="1" thickTop="1">
      <c r="A1767" s="666"/>
      <c r="B1767" s="666"/>
      <c r="C1767" s="666"/>
      <c r="D1767" s="666"/>
      <c r="E1767" s="666"/>
      <c r="F1767" s="666"/>
      <c r="G1767" s="666"/>
      <c r="H1767" s="666"/>
      <c r="I1767" s="666"/>
      <c r="J1767" s="666"/>
    </row>
    <row r="1768" spans="1:10" ht="18" customHeight="1">
      <c r="A1768" s="686" t="s">
        <v>14928</v>
      </c>
      <c r="B1768" s="684" t="s">
        <v>13484</v>
      </c>
      <c r="C1768" s="686" t="s">
        <v>13483</v>
      </c>
      <c r="D1768" s="686" t="s">
        <v>13482</v>
      </c>
      <c r="E1768" s="924" t="s">
        <v>13481</v>
      </c>
      <c r="F1768" s="924"/>
      <c r="G1768" s="685" t="s">
        <v>13480</v>
      </c>
      <c r="H1768" s="684" t="s">
        <v>13479</v>
      </c>
      <c r="I1768" s="684" t="s">
        <v>13478</v>
      </c>
      <c r="J1768" s="684" t="s">
        <v>13477</v>
      </c>
    </row>
    <row r="1769" spans="1:10" ht="48" customHeight="1">
      <c r="A1769" s="682" t="s">
        <v>13476</v>
      </c>
      <c r="B1769" s="683" t="s">
        <v>14927</v>
      </c>
      <c r="C1769" s="682" t="s">
        <v>7</v>
      </c>
      <c r="D1769" s="682" t="s">
        <v>1451</v>
      </c>
      <c r="E1769" s="917" t="s">
        <v>13474</v>
      </c>
      <c r="F1769" s="917"/>
      <c r="G1769" s="681" t="s">
        <v>34</v>
      </c>
      <c r="H1769" s="680">
        <v>1</v>
      </c>
      <c r="I1769" s="679">
        <v>13.34</v>
      </c>
      <c r="J1769" s="679">
        <v>13.34</v>
      </c>
    </row>
    <row r="1770" spans="1:10" ht="24" customHeight="1">
      <c r="A1770" s="677" t="s">
        <v>13472</v>
      </c>
      <c r="B1770" s="678" t="s">
        <v>13526</v>
      </c>
      <c r="C1770" s="677" t="s">
        <v>7</v>
      </c>
      <c r="D1770" s="677" t="s">
        <v>1093</v>
      </c>
      <c r="E1770" s="918" t="s">
        <v>13470</v>
      </c>
      <c r="F1770" s="918"/>
      <c r="G1770" s="676" t="s">
        <v>19</v>
      </c>
      <c r="H1770" s="675">
        <v>7.1999999999999995E-2</v>
      </c>
      <c r="I1770" s="674">
        <v>13.48</v>
      </c>
      <c r="J1770" s="674">
        <v>0.97</v>
      </c>
    </row>
    <row r="1771" spans="1:10" ht="24" customHeight="1">
      <c r="A1771" s="677" t="s">
        <v>13472</v>
      </c>
      <c r="B1771" s="678" t="s">
        <v>13473</v>
      </c>
      <c r="C1771" s="677" t="s">
        <v>7</v>
      </c>
      <c r="D1771" s="677" t="s">
        <v>44</v>
      </c>
      <c r="E1771" s="918" t="s">
        <v>13470</v>
      </c>
      <c r="F1771" s="918"/>
      <c r="G1771" s="676" t="s">
        <v>19</v>
      </c>
      <c r="H1771" s="675">
        <v>7.1999999999999995E-2</v>
      </c>
      <c r="I1771" s="674">
        <v>17.66</v>
      </c>
      <c r="J1771" s="674">
        <v>1.27</v>
      </c>
    </row>
    <row r="1772" spans="1:10" ht="24" customHeight="1">
      <c r="A1772" s="672" t="s">
        <v>13467</v>
      </c>
      <c r="B1772" s="673" t="s">
        <v>14926</v>
      </c>
      <c r="C1772" s="672" t="s">
        <v>7</v>
      </c>
      <c r="D1772" s="672" t="s">
        <v>14925</v>
      </c>
      <c r="E1772" s="919" t="s">
        <v>13464</v>
      </c>
      <c r="F1772" s="919"/>
      <c r="G1772" s="671" t="s">
        <v>34</v>
      </c>
      <c r="H1772" s="670">
        <v>1</v>
      </c>
      <c r="I1772" s="669">
        <v>7.98</v>
      </c>
      <c r="J1772" s="669">
        <v>7.98</v>
      </c>
    </row>
    <row r="1773" spans="1:10" ht="24" customHeight="1">
      <c r="A1773" s="672" t="s">
        <v>13467</v>
      </c>
      <c r="B1773" s="673" t="s">
        <v>14762</v>
      </c>
      <c r="C1773" s="672" t="s">
        <v>7</v>
      </c>
      <c r="D1773" s="672" t="s">
        <v>14761</v>
      </c>
      <c r="E1773" s="919" t="s">
        <v>13464</v>
      </c>
      <c r="F1773" s="919"/>
      <c r="G1773" s="671" t="s">
        <v>34</v>
      </c>
      <c r="H1773" s="670">
        <v>1.7999999999999999E-2</v>
      </c>
      <c r="I1773" s="669">
        <v>83.11</v>
      </c>
      <c r="J1773" s="669">
        <v>1.49</v>
      </c>
    </row>
    <row r="1774" spans="1:10" ht="24" customHeight="1">
      <c r="A1774" s="672" t="s">
        <v>13467</v>
      </c>
      <c r="B1774" s="673" t="s">
        <v>13523</v>
      </c>
      <c r="C1774" s="672" t="s">
        <v>7</v>
      </c>
      <c r="D1774" s="672" t="s">
        <v>13522</v>
      </c>
      <c r="E1774" s="919" t="s">
        <v>13464</v>
      </c>
      <c r="F1774" s="919"/>
      <c r="G1774" s="671" t="s">
        <v>34</v>
      </c>
      <c r="H1774" s="670">
        <v>2.4E-2</v>
      </c>
      <c r="I1774" s="669">
        <v>2.2000000000000002</v>
      </c>
      <c r="J1774" s="669">
        <v>0.05</v>
      </c>
    </row>
    <row r="1775" spans="1:10" ht="24" customHeight="1">
      <c r="A1775" s="672" t="s">
        <v>13467</v>
      </c>
      <c r="B1775" s="673" t="s">
        <v>13521</v>
      </c>
      <c r="C1775" s="672" t="s">
        <v>7</v>
      </c>
      <c r="D1775" s="672" t="s">
        <v>13520</v>
      </c>
      <c r="E1775" s="919" t="s">
        <v>13464</v>
      </c>
      <c r="F1775" s="919"/>
      <c r="G1775" s="671" t="s">
        <v>34</v>
      </c>
      <c r="H1775" s="670">
        <v>2.1999999999999999E-2</v>
      </c>
      <c r="I1775" s="669">
        <v>72.17</v>
      </c>
      <c r="J1775" s="669">
        <v>1.58</v>
      </c>
    </row>
    <row r="1776" spans="1:10" ht="25.5">
      <c r="A1776" s="668"/>
      <c r="B1776" s="668"/>
      <c r="C1776" s="668"/>
      <c r="D1776" s="668"/>
      <c r="E1776" s="668" t="s">
        <v>13463</v>
      </c>
      <c r="F1776" s="667">
        <v>0.94534390959469738</v>
      </c>
      <c r="G1776" s="668" t="s">
        <v>13462</v>
      </c>
      <c r="H1776" s="667">
        <v>0.79</v>
      </c>
      <c r="I1776" s="668" t="s">
        <v>13461</v>
      </c>
      <c r="J1776" s="667">
        <v>1.74</v>
      </c>
    </row>
    <row r="1777" spans="1:10" ht="15" thickBot="1">
      <c r="A1777" s="668"/>
      <c r="B1777" s="668"/>
      <c r="C1777" s="668"/>
      <c r="D1777" s="668"/>
      <c r="E1777" s="668" t="s">
        <v>13460</v>
      </c>
      <c r="F1777" s="667">
        <v>3.76</v>
      </c>
      <c r="G1777" s="668"/>
      <c r="H1777" s="925" t="s">
        <v>13459</v>
      </c>
      <c r="I1777" s="925"/>
      <c r="J1777" s="667">
        <v>17.100000000000001</v>
      </c>
    </row>
    <row r="1778" spans="1:10" ht="0.95" customHeight="1" thickTop="1">
      <c r="A1778" s="666"/>
      <c r="B1778" s="666"/>
      <c r="C1778" s="666"/>
      <c r="D1778" s="666"/>
      <c r="E1778" s="666"/>
      <c r="F1778" s="666"/>
      <c r="G1778" s="666"/>
      <c r="H1778" s="666"/>
      <c r="I1778" s="666"/>
      <c r="J1778" s="666"/>
    </row>
    <row r="1779" spans="1:10" ht="18" customHeight="1">
      <c r="A1779" s="686" t="s">
        <v>14924</v>
      </c>
      <c r="B1779" s="684" t="s">
        <v>13484</v>
      </c>
      <c r="C1779" s="686" t="s">
        <v>13483</v>
      </c>
      <c r="D1779" s="686" t="s">
        <v>13482</v>
      </c>
      <c r="E1779" s="924" t="s">
        <v>13481</v>
      </c>
      <c r="F1779" s="924"/>
      <c r="G1779" s="685" t="s">
        <v>13480</v>
      </c>
      <c r="H1779" s="684" t="s">
        <v>13479</v>
      </c>
      <c r="I1779" s="684" t="s">
        <v>13478</v>
      </c>
      <c r="J1779" s="684" t="s">
        <v>13477</v>
      </c>
    </row>
    <row r="1780" spans="1:10" ht="36" customHeight="1">
      <c r="A1780" s="682" t="s">
        <v>13476</v>
      </c>
      <c r="B1780" s="683" t="s">
        <v>14923</v>
      </c>
      <c r="C1780" s="682" t="s">
        <v>7</v>
      </c>
      <c r="D1780" s="682" t="s">
        <v>1457</v>
      </c>
      <c r="E1780" s="917" t="s">
        <v>13474</v>
      </c>
      <c r="F1780" s="917"/>
      <c r="G1780" s="681" t="s">
        <v>34</v>
      </c>
      <c r="H1780" s="680">
        <v>1</v>
      </c>
      <c r="I1780" s="679">
        <v>18.170000000000002</v>
      </c>
      <c r="J1780" s="679">
        <v>18.170000000000002</v>
      </c>
    </row>
    <row r="1781" spans="1:10" ht="24" customHeight="1">
      <c r="A1781" s="677" t="s">
        <v>13472</v>
      </c>
      <c r="B1781" s="678" t="s">
        <v>13526</v>
      </c>
      <c r="C1781" s="677" t="s">
        <v>7</v>
      </c>
      <c r="D1781" s="677" t="s">
        <v>1093</v>
      </c>
      <c r="E1781" s="918" t="s">
        <v>13470</v>
      </c>
      <c r="F1781" s="918"/>
      <c r="G1781" s="676" t="s">
        <v>19</v>
      </c>
      <c r="H1781" s="675">
        <v>8.5000000000000006E-2</v>
      </c>
      <c r="I1781" s="674">
        <v>13.48</v>
      </c>
      <c r="J1781" s="674">
        <v>1.1399999999999999</v>
      </c>
    </row>
    <row r="1782" spans="1:10" ht="24" customHeight="1">
      <c r="A1782" s="677" t="s">
        <v>13472</v>
      </c>
      <c r="B1782" s="678" t="s">
        <v>13473</v>
      </c>
      <c r="C1782" s="677" t="s">
        <v>7</v>
      </c>
      <c r="D1782" s="677" t="s">
        <v>44</v>
      </c>
      <c r="E1782" s="918" t="s">
        <v>13470</v>
      </c>
      <c r="F1782" s="918"/>
      <c r="G1782" s="676" t="s">
        <v>19</v>
      </c>
      <c r="H1782" s="675">
        <v>8.5000000000000006E-2</v>
      </c>
      <c r="I1782" s="674">
        <v>17.66</v>
      </c>
      <c r="J1782" s="674">
        <v>1.5</v>
      </c>
    </row>
    <row r="1783" spans="1:10" ht="24" customHeight="1">
      <c r="A1783" s="672" t="s">
        <v>13467</v>
      </c>
      <c r="B1783" s="673" t="s">
        <v>14762</v>
      </c>
      <c r="C1783" s="672" t="s">
        <v>7</v>
      </c>
      <c r="D1783" s="672" t="s">
        <v>14761</v>
      </c>
      <c r="E1783" s="919" t="s">
        <v>13464</v>
      </c>
      <c r="F1783" s="919"/>
      <c r="G1783" s="671" t="s">
        <v>34</v>
      </c>
      <c r="H1783" s="670">
        <v>2.4E-2</v>
      </c>
      <c r="I1783" s="669">
        <v>83.11</v>
      </c>
      <c r="J1783" s="669">
        <v>1.99</v>
      </c>
    </row>
    <row r="1784" spans="1:10" ht="24" customHeight="1">
      <c r="A1784" s="672" t="s">
        <v>13467</v>
      </c>
      <c r="B1784" s="673" t="s">
        <v>14922</v>
      </c>
      <c r="C1784" s="672" t="s">
        <v>7</v>
      </c>
      <c r="D1784" s="672" t="s">
        <v>14921</v>
      </c>
      <c r="E1784" s="919" t="s">
        <v>13464</v>
      </c>
      <c r="F1784" s="919"/>
      <c r="G1784" s="671" t="s">
        <v>34</v>
      </c>
      <c r="H1784" s="670">
        <v>1</v>
      </c>
      <c r="I1784" s="669">
        <v>11.32</v>
      </c>
      <c r="J1784" s="669">
        <v>11.32</v>
      </c>
    </row>
    <row r="1785" spans="1:10" ht="24" customHeight="1">
      <c r="A1785" s="672" t="s">
        <v>13467</v>
      </c>
      <c r="B1785" s="673" t="s">
        <v>13523</v>
      </c>
      <c r="C1785" s="672" t="s">
        <v>7</v>
      </c>
      <c r="D1785" s="672" t="s">
        <v>13522</v>
      </c>
      <c r="E1785" s="919" t="s">
        <v>13464</v>
      </c>
      <c r="F1785" s="919"/>
      <c r="G1785" s="671" t="s">
        <v>34</v>
      </c>
      <c r="H1785" s="670">
        <v>2.8000000000000001E-2</v>
      </c>
      <c r="I1785" s="669">
        <v>2.2000000000000002</v>
      </c>
      <c r="J1785" s="669">
        <v>0.06</v>
      </c>
    </row>
    <row r="1786" spans="1:10" ht="24" customHeight="1">
      <c r="A1786" s="672" t="s">
        <v>13467</v>
      </c>
      <c r="B1786" s="673" t="s">
        <v>13521</v>
      </c>
      <c r="C1786" s="672" t="s">
        <v>7</v>
      </c>
      <c r="D1786" s="672" t="s">
        <v>13520</v>
      </c>
      <c r="E1786" s="919" t="s">
        <v>13464</v>
      </c>
      <c r="F1786" s="919"/>
      <c r="G1786" s="671" t="s">
        <v>34</v>
      </c>
      <c r="H1786" s="670">
        <v>0.03</v>
      </c>
      <c r="I1786" s="669">
        <v>72.17</v>
      </c>
      <c r="J1786" s="669">
        <v>2.16</v>
      </c>
    </row>
    <row r="1787" spans="1:10" ht="25.5">
      <c r="A1787" s="668"/>
      <c r="B1787" s="668"/>
      <c r="C1787" s="668"/>
      <c r="D1787" s="668"/>
      <c r="E1787" s="668" t="s">
        <v>13463</v>
      </c>
      <c r="F1787" s="667">
        <v>1.1246332717592089</v>
      </c>
      <c r="G1787" s="668" t="s">
        <v>13462</v>
      </c>
      <c r="H1787" s="667">
        <v>0.95</v>
      </c>
      <c r="I1787" s="668" t="s">
        <v>13461</v>
      </c>
      <c r="J1787" s="667">
        <v>2.0699999999999998</v>
      </c>
    </row>
    <row r="1788" spans="1:10" ht="15" thickBot="1">
      <c r="A1788" s="668"/>
      <c r="B1788" s="668"/>
      <c r="C1788" s="668"/>
      <c r="D1788" s="668"/>
      <c r="E1788" s="668" t="s">
        <v>13460</v>
      </c>
      <c r="F1788" s="667">
        <v>5.13</v>
      </c>
      <c r="G1788" s="668"/>
      <c r="H1788" s="925" t="s">
        <v>13459</v>
      </c>
      <c r="I1788" s="925"/>
      <c r="J1788" s="667">
        <v>23.3</v>
      </c>
    </row>
    <row r="1789" spans="1:10" ht="0.95" customHeight="1" thickTop="1">
      <c r="A1789" s="666"/>
      <c r="B1789" s="666"/>
      <c r="C1789" s="666"/>
      <c r="D1789" s="666"/>
      <c r="E1789" s="666"/>
      <c r="F1789" s="666"/>
      <c r="G1789" s="666"/>
      <c r="H1789" s="666"/>
      <c r="I1789" s="666"/>
      <c r="J1789" s="666"/>
    </row>
    <row r="1790" spans="1:10" ht="18" customHeight="1">
      <c r="A1790" s="686" t="s">
        <v>14920</v>
      </c>
      <c r="B1790" s="684" t="s">
        <v>13484</v>
      </c>
      <c r="C1790" s="686" t="s">
        <v>13483</v>
      </c>
      <c r="D1790" s="686" t="s">
        <v>13482</v>
      </c>
      <c r="E1790" s="924" t="s">
        <v>13481</v>
      </c>
      <c r="F1790" s="924"/>
      <c r="G1790" s="685" t="s">
        <v>13480</v>
      </c>
      <c r="H1790" s="684" t="s">
        <v>13479</v>
      </c>
      <c r="I1790" s="684" t="s">
        <v>13478</v>
      </c>
      <c r="J1790" s="684" t="s">
        <v>13477</v>
      </c>
    </row>
    <row r="1791" spans="1:10" ht="36" customHeight="1">
      <c r="A1791" s="682" t="s">
        <v>13476</v>
      </c>
      <c r="B1791" s="683" t="s">
        <v>14919</v>
      </c>
      <c r="C1791" s="682" t="s">
        <v>7</v>
      </c>
      <c r="D1791" s="682" t="s">
        <v>1437</v>
      </c>
      <c r="E1791" s="917" t="s">
        <v>13474</v>
      </c>
      <c r="F1791" s="917"/>
      <c r="G1791" s="681" t="s">
        <v>34</v>
      </c>
      <c r="H1791" s="680">
        <v>1</v>
      </c>
      <c r="I1791" s="679">
        <v>10.130000000000001</v>
      </c>
      <c r="J1791" s="679">
        <v>10.130000000000001</v>
      </c>
    </row>
    <row r="1792" spans="1:10" ht="24" customHeight="1">
      <c r="A1792" s="677" t="s">
        <v>13472</v>
      </c>
      <c r="B1792" s="678" t="s">
        <v>13526</v>
      </c>
      <c r="C1792" s="677" t="s">
        <v>7</v>
      </c>
      <c r="D1792" s="677" t="s">
        <v>1093</v>
      </c>
      <c r="E1792" s="918" t="s">
        <v>13470</v>
      </c>
      <c r="F1792" s="918"/>
      <c r="G1792" s="676" t="s">
        <v>19</v>
      </c>
      <c r="H1792" s="675">
        <v>7.1999999999999995E-2</v>
      </c>
      <c r="I1792" s="674">
        <v>13.48</v>
      </c>
      <c r="J1792" s="674">
        <v>0.97</v>
      </c>
    </row>
    <row r="1793" spans="1:10" ht="24" customHeight="1">
      <c r="A1793" s="677" t="s">
        <v>13472</v>
      </c>
      <c r="B1793" s="678" t="s">
        <v>13473</v>
      </c>
      <c r="C1793" s="677" t="s">
        <v>7</v>
      </c>
      <c r="D1793" s="677" t="s">
        <v>44</v>
      </c>
      <c r="E1793" s="918" t="s">
        <v>13470</v>
      </c>
      <c r="F1793" s="918"/>
      <c r="G1793" s="676" t="s">
        <v>19</v>
      </c>
      <c r="H1793" s="675">
        <v>7.1999999999999995E-2</v>
      </c>
      <c r="I1793" s="674">
        <v>17.66</v>
      </c>
      <c r="J1793" s="674">
        <v>1.27</v>
      </c>
    </row>
    <row r="1794" spans="1:10" ht="24" customHeight="1">
      <c r="A1794" s="672" t="s">
        <v>13467</v>
      </c>
      <c r="B1794" s="673" t="s">
        <v>14762</v>
      </c>
      <c r="C1794" s="672" t="s">
        <v>7</v>
      </c>
      <c r="D1794" s="672" t="s">
        <v>14761</v>
      </c>
      <c r="E1794" s="919" t="s">
        <v>13464</v>
      </c>
      <c r="F1794" s="919"/>
      <c r="G1794" s="671" t="s">
        <v>34</v>
      </c>
      <c r="H1794" s="670">
        <v>1.7999999999999999E-2</v>
      </c>
      <c r="I1794" s="669">
        <v>83.11</v>
      </c>
      <c r="J1794" s="669">
        <v>1.49</v>
      </c>
    </row>
    <row r="1795" spans="1:10" ht="24" customHeight="1">
      <c r="A1795" s="672" t="s">
        <v>13467</v>
      </c>
      <c r="B1795" s="673" t="s">
        <v>13523</v>
      </c>
      <c r="C1795" s="672" t="s">
        <v>7</v>
      </c>
      <c r="D1795" s="672" t="s">
        <v>13522</v>
      </c>
      <c r="E1795" s="919" t="s">
        <v>13464</v>
      </c>
      <c r="F1795" s="919"/>
      <c r="G1795" s="671" t="s">
        <v>34</v>
      </c>
      <c r="H1795" s="670">
        <v>2.4E-2</v>
      </c>
      <c r="I1795" s="669">
        <v>2.2000000000000002</v>
      </c>
      <c r="J1795" s="669">
        <v>0.05</v>
      </c>
    </row>
    <row r="1796" spans="1:10" ht="24" customHeight="1">
      <c r="A1796" s="672" t="s">
        <v>13467</v>
      </c>
      <c r="B1796" s="673" t="s">
        <v>14918</v>
      </c>
      <c r="C1796" s="672" t="s">
        <v>7</v>
      </c>
      <c r="D1796" s="672" t="s">
        <v>14917</v>
      </c>
      <c r="E1796" s="919" t="s">
        <v>13464</v>
      </c>
      <c r="F1796" s="919"/>
      <c r="G1796" s="671" t="s">
        <v>34</v>
      </c>
      <c r="H1796" s="670">
        <v>1</v>
      </c>
      <c r="I1796" s="669">
        <v>4.7699999999999996</v>
      </c>
      <c r="J1796" s="669">
        <v>4.7699999999999996</v>
      </c>
    </row>
    <row r="1797" spans="1:10" ht="24" customHeight="1">
      <c r="A1797" s="672" t="s">
        <v>13467</v>
      </c>
      <c r="B1797" s="673" t="s">
        <v>13521</v>
      </c>
      <c r="C1797" s="672" t="s">
        <v>7</v>
      </c>
      <c r="D1797" s="672" t="s">
        <v>13520</v>
      </c>
      <c r="E1797" s="919" t="s">
        <v>13464</v>
      </c>
      <c r="F1797" s="919"/>
      <c r="G1797" s="671" t="s">
        <v>34</v>
      </c>
      <c r="H1797" s="670">
        <v>2.1999999999999999E-2</v>
      </c>
      <c r="I1797" s="669">
        <v>72.17</v>
      </c>
      <c r="J1797" s="669">
        <v>1.58</v>
      </c>
    </row>
    <row r="1798" spans="1:10" ht="25.5">
      <c r="A1798" s="668"/>
      <c r="B1798" s="668"/>
      <c r="C1798" s="668"/>
      <c r="D1798" s="668"/>
      <c r="E1798" s="668" t="s">
        <v>13463</v>
      </c>
      <c r="F1798" s="667">
        <v>0.94534390959469738</v>
      </c>
      <c r="G1798" s="668" t="s">
        <v>13462</v>
      </c>
      <c r="H1798" s="667">
        <v>0.79</v>
      </c>
      <c r="I1798" s="668" t="s">
        <v>13461</v>
      </c>
      <c r="J1798" s="667">
        <v>1.74</v>
      </c>
    </row>
    <row r="1799" spans="1:10" ht="15" thickBot="1">
      <c r="A1799" s="668"/>
      <c r="B1799" s="668"/>
      <c r="C1799" s="668"/>
      <c r="D1799" s="668"/>
      <c r="E1799" s="668" t="s">
        <v>13460</v>
      </c>
      <c r="F1799" s="667">
        <v>2.86</v>
      </c>
      <c r="G1799" s="668"/>
      <c r="H1799" s="925" t="s">
        <v>13459</v>
      </c>
      <c r="I1799" s="925"/>
      <c r="J1799" s="667">
        <v>12.99</v>
      </c>
    </row>
    <row r="1800" spans="1:10" ht="0.95" customHeight="1" thickTop="1">
      <c r="A1800" s="666"/>
      <c r="B1800" s="666"/>
      <c r="C1800" s="666"/>
      <c r="D1800" s="666"/>
      <c r="E1800" s="666"/>
      <c r="F1800" s="666"/>
      <c r="G1800" s="666"/>
      <c r="H1800" s="666"/>
      <c r="I1800" s="666"/>
      <c r="J1800" s="666"/>
    </row>
    <row r="1801" spans="1:10" ht="18" customHeight="1">
      <c r="A1801" s="686" t="s">
        <v>14916</v>
      </c>
      <c r="B1801" s="684" t="s">
        <v>13484</v>
      </c>
      <c r="C1801" s="686" t="s">
        <v>13483</v>
      </c>
      <c r="D1801" s="686" t="s">
        <v>13482</v>
      </c>
      <c r="E1801" s="924" t="s">
        <v>13481</v>
      </c>
      <c r="F1801" s="924"/>
      <c r="G1801" s="685" t="s">
        <v>13480</v>
      </c>
      <c r="H1801" s="684" t="s">
        <v>13479</v>
      </c>
      <c r="I1801" s="684" t="s">
        <v>13478</v>
      </c>
      <c r="J1801" s="684" t="s">
        <v>13477</v>
      </c>
    </row>
    <row r="1802" spans="1:10" ht="36" customHeight="1">
      <c r="A1802" s="682" t="s">
        <v>13476</v>
      </c>
      <c r="B1802" s="683" t="s">
        <v>14915</v>
      </c>
      <c r="C1802" s="682" t="s">
        <v>7</v>
      </c>
      <c r="D1802" s="682" t="s">
        <v>279</v>
      </c>
      <c r="E1802" s="917" t="s">
        <v>13474</v>
      </c>
      <c r="F1802" s="917"/>
      <c r="G1802" s="681" t="s">
        <v>34</v>
      </c>
      <c r="H1802" s="680">
        <v>1</v>
      </c>
      <c r="I1802" s="679">
        <v>88.86</v>
      </c>
      <c r="J1802" s="679">
        <v>88.86</v>
      </c>
    </row>
    <row r="1803" spans="1:10" ht="24" customHeight="1">
      <c r="A1803" s="677" t="s">
        <v>13472</v>
      </c>
      <c r="B1803" s="678" t="s">
        <v>13526</v>
      </c>
      <c r="C1803" s="677" t="s">
        <v>7</v>
      </c>
      <c r="D1803" s="677" t="s">
        <v>1093</v>
      </c>
      <c r="E1803" s="918" t="s">
        <v>13470</v>
      </c>
      <c r="F1803" s="918"/>
      <c r="G1803" s="676" t="s">
        <v>19</v>
      </c>
      <c r="H1803" s="675">
        <v>0.17599999999999999</v>
      </c>
      <c r="I1803" s="674">
        <v>13.48</v>
      </c>
      <c r="J1803" s="674">
        <v>2.37</v>
      </c>
    </row>
    <row r="1804" spans="1:10" ht="24" customHeight="1">
      <c r="A1804" s="677" t="s">
        <v>13472</v>
      </c>
      <c r="B1804" s="678" t="s">
        <v>13473</v>
      </c>
      <c r="C1804" s="677" t="s">
        <v>7</v>
      </c>
      <c r="D1804" s="677" t="s">
        <v>44</v>
      </c>
      <c r="E1804" s="918" t="s">
        <v>13470</v>
      </c>
      <c r="F1804" s="918"/>
      <c r="G1804" s="676" t="s">
        <v>19</v>
      </c>
      <c r="H1804" s="675">
        <v>0.17599999999999999</v>
      </c>
      <c r="I1804" s="674">
        <v>17.66</v>
      </c>
      <c r="J1804" s="674">
        <v>3.1</v>
      </c>
    </row>
    <row r="1805" spans="1:10" ht="24" customHeight="1">
      <c r="A1805" s="672" t="s">
        <v>13467</v>
      </c>
      <c r="B1805" s="673" t="s">
        <v>14762</v>
      </c>
      <c r="C1805" s="672" t="s">
        <v>7</v>
      </c>
      <c r="D1805" s="672" t="s">
        <v>14761</v>
      </c>
      <c r="E1805" s="919" t="s">
        <v>13464</v>
      </c>
      <c r="F1805" s="919"/>
      <c r="G1805" s="671" t="s">
        <v>34</v>
      </c>
      <c r="H1805" s="670">
        <v>4.7E-2</v>
      </c>
      <c r="I1805" s="669">
        <v>83.11</v>
      </c>
      <c r="J1805" s="669">
        <v>3.9</v>
      </c>
    </row>
    <row r="1806" spans="1:10" ht="24" customHeight="1">
      <c r="A1806" s="672" t="s">
        <v>13467</v>
      </c>
      <c r="B1806" s="673" t="s">
        <v>14914</v>
      </c>
      <c r="C1806" s="672" t="s">
        <v>7</v>
      </c>
      <c r="D1806" s="672" t="s">
        <v>14913</v>
      </c>
      <c r="E1806" s="919" t="s">
        <v>13464</v>
      </c>
      <c r="F1806" s="919"/>
      <c r="G1806" s="671" t="s">
        <v>34</v>
      </c>
      <c r="H1806" s="670">
        <v>1</v>
      </c>
      <c r="I1806" s="669">
        <v>75.08</v>
      </c>
      <c r="J1806" s="669">
        <v>75.08</v>
      </c>
    </row>
    <row r="1807" spans="1:10" ht="24" customHeight="1">
      <c r="A1807" s="672" t="s">
        <v>13467</v>
      </c>
      <c r="B1807" s="673" t="s">
        <v>13523</v>
      </c>
      <c r="C1807" s="672" t="s">
        <v>7</v>
      </c>
      <c r="D1807" s="672" t="s">
        <v>13522</v>
      </c>
      <c r="E1807" s="919" t="s">
        <v>13464</v>
      </c>
      <c r="F1807" s="919"/>
      <c r="G1807" s="671" t="s">
        <v>34</v>
      </c>
      <c r="H1807" s="670">
        <v>3.9E-2</v>
      </c>
      <c r="I1807" s="669">
        <v>2.2000000000000002</v>
      </c>
      <c r="J1807" s="669">
        <v>0.08</v>
      </c>
    </row>
    <row r="1808" spans="1:10" ht="24" customHeight="1">
      <c r="A1808" s="672" t="s">
        <v>13467</v>
      </c>
      <c r="B1808" s="673" t="s">
        <v>13521</v>
      </c>
      <c r="C1808" s="672" t="s">
        <v>7</v>
      </c>
      <c r="D1808" s="672" t="s">
        <v>13520</v>
      </c>
      <c r="E1808" s="919" t="s">
        <v>13464</v>
      </c>
      <c r="F1808" s="919"/>
      <c r="G1808" s="671" t="s">
        <v>34</v>
      </c>
      <c r="H1808" s="670">
        <v>0.06</v>
      </c>
      <c r="I1808" s="669">
        <v>72.17</v>
      </c>
      <c r="J1808" s="669">
        <v>4.33</v>
      </c>
    </row>
    <row r="1809" spans="1:10" ht="25.5">
      <c r="A1809" s="668"/>
      <c r="B1809" s="668"/>
      <c r="C1809" s="668"/>
      <c r="D1809" s="668"/>
      <c r="E1809" s="668" t="s">
        <v>13463</v>
      </c>
      <c r="F1809" s="667">
        <v>2.3307617081386502</v>
      </c>
      <c r="G1809" s="668" t="s">
        <v>13462</v>
      </c>
      <c r="H1809" s="667">
        <v>1.96</v>
      </c>
      <c r="I1809" s="668" t="s">
        <v>13461</v>
      </c>
      <c r="J1809" s="667">
        <v>4.29</v>
      </c>
    </row>
    <row r="1810" spans="1:10" ht="15" thickBot="1">
      <c r="A1810" s="668"/>
      <c r="B1810" s="668"/>
      <c r="C1810" s="668"/>
      <c r="D1810" s="668"/>
      <c r="E1810" s="668" t="s">
        <v>13460</v>
      </c>
      <c r="F1810" s="667">
        <v>25.09</v>
      </c>
      <c r="G1810" s="668"/>
      <c r="H1810" s="925" t="s">
        <v>13459</v>
      </c>
      <c r="I1810" s="925"/>
      <c r="J1810" s="667">
        <v>113.95</v>
      </c>
    </row>
    <row r="1811" spans="1:10" ht="0.95" customHeight="1" thickTop="1">
      <c r="A1811" s="666"/>
      <c r="B1811" s="666"/>
      <c r="C1811" s="666"/>
      <c r="D1811" s="666"/>
      <c r="E1811" s="666"/>
      <c r="F1811" s="666"/>
      <c r="G1811" s="666"/>
      <c r="H1811" s="666"/>
      <c r="I1811" s="666"/>
      <c r="J1811" s="666"/>
    </row>
    <row r="1812" spans="1:10" ht="18" customHeight="1">
      <c r="A1812" s="686" t="s">
        <v>14912</v>
      </c>
      <c r="B1812" s="684" t="s">
        <v>13484</v>
      </c>
      <c r="C1812" s="686" t="s">
        <v>13483</v>
      </c>
      <c r="D1812" s="686" t="s">
        <v>13482</v>
      </c>
      <c r="E1812" s="924" t="s">
        <v>13481</v>
      </c>
      <c r="F1812" s="924"/>
      <c r="G1812" s="685" t="s">
        <v>13480</v>
      </c>
      <c r="H1812" s="684" t="s">
        <v>13479</v>
      </c>
      <c r="I1812" s="684" t="s">
        <v>13478</v>
      </c>
      <c r="J1812" s="684" t="s">
        <v>13477</v>
      </c>
    </row>
    <row r="1813" spans="1:10" ht="36" customHeight="1">
      <c r="A1813" s="682" t="s">
        <v>13476</v>
      </c>
      <c r="B1813" s="683" t="s">
        <v>14911</v>
      </c>
      <c r="C1813" s="682" t="s">
        <v>7</v>
      </c>
      <c r="D1813" s="682" t="s">
        <v>1718</v>
      </c>
      <c r="E1813" s="917" t="s">
        <v>13474</v>
      </c>
      <c r="F1813" s="917"/>
      <c r="G1813" s="681" t="s">
        <v>34</v>
      </c>
      <c r="H1813" s="680">
        <v>1</v>
      </c>
      <c r="I1813" s="679">
        <v>11.93</v>
      </c>
      <c r="J1813" s="679">
        <v>11.93</v>
      </c>
    </row>
    <row r="1814" spans="1:10" ht="24" customHeight="1">
      <c r="A1814" s="677" t="s">
        <v>13472</v>
      </c>
      <c r="B1814" s="678" t="s">
        <v>13526</v>
      </c>
      <c r="C1814" s="677" t="s">
        <v>7</v>
      </c>
      <c r="D1814" s="677" t="s">
        <v>1093</v>
      </c>
      <c r="E1814" s="918" t="s">
        <v>13470</v>
      </c>
      <c r="F1814" s="918"/>
      <c r="G1814" s="676" t="s">
        <v>19</v>
      </c>
      <c r="H1814" s="675">
        <v>0.15</v>
      </c>
      <c r="I1814" s="674">
        <v>13.48</v>
      </c>
      <c r="J1814" s="674">
        <v>2.02</v>
      </c>
    </row>
    <row r="1815" spans="1:10" ht="24" customHeight="1">
      <c r="A1815" s="677" t="s">
        <v>13472</v>
      </c>
      <c r="B1815" s="678" t="s">
        <v>13473</v>
      </c>
      <c r="C1815" s="677" t="s">
        <v>7</v>
      </c>
      <c r="D1815" s="677" t="s">
        <v>44</v>
      </c>
      <c r="E1815" s="918" t="s">
        <v>13470</v>
      </c>
      <c r="F1815" s="918"/>
      <c r="G1815" s="676" t="s">
        <v>19</v>
      </c>
      <c r="H1815" s="675">
        <v>0.15</v>
      </c>
      <c r="I1815" s="674">
        <v>17.66</v>
      </c>
      <c r="J1815" s="674">
        <v>2.64</v>
      </c>
    </row>
    <row r="1816" spans="1:10" ht="24" customHeight="1">
      <c r="A1816" s="672" t="s">
        <v>13467</v>
      </c>
      <c r="B1816" s="673" t="s">
        <v>14762</v>
      </c>
      <c r="C1816" s="672" t="s">
        <v>7</v>
      </c>
      <c r="D1816" s="672" t="s">
        <v>14761</v>
      </c>
      <c r="E1816" s="919" t="s">
        <v>13464</v>
      </c>
      <c r="F1816" s="919"/>
      <c r="G1816" s="671" t="s">
        <v>34</v>
      </c>
      <c r="H1816" s="670">
        <v>7.0000000000000001E-3</v>
      </c>
      <c r="I1816" s="669">
        <v>83.11</v>
      </c>
      <c r="J1816" s="669">
        <v>0.57999999999999996</v>
      </c>
    </row>
    <row r="1817" spans="1:10" ht="24" customHeight="1">
      <c r="A1817" s="672" t="s">
        <v>13467</v>
      </c>
      <c r="B1817" s="673" t="s">
        <v>14910</v>
      </c>
      <c r="C1817" s="672" t="s">
        <v>7</v>
      </c>
      <c r="D1817" s="672" t="s">
        <v>14909</v>
      </c>
      <c r="E1817" s="919" t="s">
        <v>13464</v>
      </c>
      <c r="F1817" s="919"/>
      <c r="G1817" s="671" t="s">
        <v>34</v>
      </c>
      <c r="H1817" s="670">
        <v>1</v>
      </c>
      <c r="I1817" s="669">
        <v>6.01</v>
      </c>
      <c r="J1817" s="669">
        <v>6.01</v>
      </c>
    </row>
    <row r="1818" spans="1:10" ht="24" customHeight="1">
      <c r="A1818" s="672" t="s">
        <v>13467</v>
      </c>
      <c r="B1818" s="673" t="s">
        <v>13523</v>
      </c>
      <c r="C1818" s="672" t="s">
        <v>7</v>
      </c>
      <c r="D1818" s="672" t="s">
        <v>13522</v>
      </c>
      <c r="E1818" s="919" t="s">
        <v>13464</v>
      </c>
      <c r="F1818" s="919"/>
      <c r="G1818" s="671" t="s">
        <v>34</v>
      </c>
      <c r="H1818" s="670">
        <v>0.05</v>
      </c>
      <c r="I1818" s="669">
        <v>2.2000000000000002</v>
      </c>
      <c r="J1818" s="669">
        <v>0.11</v>
      </c>
    </row>
    <row r="1819" spans="1:10" ht="24" customHeight="1">
      <c r="A1819" s="672" t="s">
        <v>13467</v>
      </c>
      <c r="B1819" s="673" t="s">
        <v>13521</v>
      </c>
      <c r="C1819" s="672" t="s">
        <v>7</v>
      </c>
      <c r="D1819" s="672" t="s">
        <v>13520</v>
      </c>
      <c r="E1819" s="919" t="s">
        <v>13464</v>
      </c>
      <c r="F1819" s="919"/>
      <c r="G1819" s="671" t="s">
        <v>34</v>
      </c>
      <c r="H1819" s="670">
        <v>8.0000000000000002E-3</v>
      </c>
      <c r="I1819" s="669">
        <v>72.17</v>
      </c>
      <c r="J1819" s="669">
        <v>0.56999999999999995</v>
      </c>
    </row>
    <row r="1820" spans="1:10" ht="25.5">
      <c r="A1820" s="668"/>
      <c r="B1820" s="668"/>
      <c r="C1820" s="668"/>
      <c r="D1820" s="668"/>
      <c r="E1820" s="668" t="s">
        <v>13463</v>
      </c>
      <c r="F1820" s="667">
        <v>1.9830490057589916</v>
      </c>
      <c r="G1820" s="668" t="s">
        <v>13462</v>
      </c>
      <c r="H1820" s="667">
        <v>1.67</v>
      </c>
      <c r="I1820" s="668" t="s">
        <v>13461</v>
      </c>
      <c r="J1820" s="667">
        <v>3.65</v>
      </c>
    </row>
    <row r="1821" spans="1:10" ht="15" thickBot="1">
      <c r="A1821" s="668"/>
      <c r="B1821" s="668"/>
      <c r="C1821" s="668"/>
      <c r="D1821" s="668"/>
      <c r="E1821" s="668" t="s">
        <v>13460</v>
      </c>
      <c r="F1821" s="667">
        <v>3.36</v>
      </c>
      <c r="G1821" s="668"/>
      <c r="H1821" s="925" t="s">
        <v>13459</v>
      </c>
      <c r="I1821" s="925"/>
      <c r="J1821" s="667">
        <v>15.29</v>
      </c>
    </row>
    <row r="1822" spans="1:10" ht="0.95" customHeight="1" thickTop="1">
      <c r="A1822" s="666"/>
      <c r="B1822" s="666"/>
      <c r="C1822" s="666"/>
      <c r="D1822" s="666"/>
      <c r="E1822" s="666"/>
      <c r="F1822" s="666"/>
      <c r="G1822" s="666"/>
      <c r="H1822" s="666"/>
      <c r="I1822" s="666"/>
      <c r="J1822" s="666"/>
    </row>
    <row r="1823" spans="1:10" ht="18" customHeight="1">
      <c r="A1823" s="686" t="s">
        <v>14908</v>
      </c>
      <c r="B1823" s="684" t="s">
        <v>13484</v>
      </c>
      <c r="C1823" s="686" t="s">
        <v>13483</v>
      </c>
      <c r="D1823" s="686" t="s">
        <v>13482</v>
      </c>
      <c r="E1823" s="924" t="s">
        <v>13481</v>
      </c>
      <c r="F1823" s="924"/>
      <c r="G1823" s="685" t="s">
        <v>13480</v>
      </c>
      <c r="H1823" s="684" t="s">
        <v>13479</v>
      </c>
      <c r="I1823" s="684" t="s">
        <v>13478</v>
      </c>
      <c r="J1823" s="684" t="s">
        <v>13477</v>
      </c>
    </row>
    <row r="1824" spans="1:10" ht="36" customHeight="1">
      <c r="A1824" s="682" t="s">
        <v>13476</v>
      </c>
      <c r="B1824" s="683" t="s">
        <v>14907</v>
      </c>
      <c r="C1824" s="682" t="s">
        <v>7</v>
      </c>
      <c r="D1824" s="682" t="s">
        <v>247</v>
      </c>
      <c r="E1824" s="917" t="s">
        <v>13474</v>
      </c>
      <c r="F1824" s="917"/>
      <c r="G1824" s="681" t="s">
        <v>34</v>
      </c>
      <c r="H1824" s="680">
        <v>1</v>
      </c>
      <c r="I1824" s="679">
        <v>3.74</v>
      </c>
      <c r="J1824" s="679">
        <v>3.74</v>
      </c>
    </row>
    <row r="1825" spans="1:10" ht="24" customHeight="1">
      <c r="A1825" s="677" t="s">
        <v>13472</v>
      </c>
      <c r="B1825" s="678" t="s">
        <v>13526</v>
      </c>
      <c r="C1825" s="677" t="s">
        <v>7</v>
      </c>
      <c r="D1825" s="677" t="s">
        <v>1093</v>
      </c>
      <c r="E1825" s="918" t="s">
        <v>13470</v>
      </c>
      <c r="F1825" s="918"/>
      <c r="G1825" s="676" t="s">
        <v>19</v>
      </c>
      <c r="H1825" s="675">
        <v>0.06</v>
      </c>
      <c r="I1825" s="674">
        <v>13.48</v>
      </c>
      <c r="J1825" s="674">
        <v>0.8</v>
      </c>
    </row>
    <row r="1826" spans="1:10" ht="24" customHeight="1">
      <c r="A1826" s="677" t="s">
        <v>13472</v>
      </c>
      <c r="B1826" s="678" t="s">
        <v>13473</v>
      </c>
      <c r="C1826" s="677" t="s">
        <v>7</v>
      </c>
      <c r="D1826" s="677" t="s">
        <v>44</v>
      </c>
      <c r="E1826" s="918" t="s">
        <v>13470</v>
      </c>
      <c r="F1826" s="918"/>
      <c r="G1826" s="676" t="s">
        <v>19</v>
      </c>
      <c r="H1826" s="675">
        <v>0.06</v>
      </c>
      <c r="I1826" s="674">
        <v>17.66</v>
      </c>
      <c r="J1826" s="674">
        <v>1.05</v>
      </c>
    </row>
    <row r="1827" spans="1:10" ht="24" customHeight="1">
      <c r="A1827" s="672" t="s">
        <v>13467</v>
      </c>
      <c r="B1827" s="673" t="s">
        <v>14762</v>
      </c>
      <c r="C1827" s="672" t="s">
        <v>7</v>
      </c>
      <c r="D1827" s="672" t="s">
        <v>14761</v>
      </c>
      <c r="E1827" s="919" t="s">
        <v>13464</v>
      </c>
      <c r="F1827" s="919"/>
      <c r="G1827" s="671" t="s">
        <v>34</v>
      </c>
      <c r="H1827" s="670">
        <v>7.0000000000000001E-3</v>
      </c>
      <c r="I1827" s="669">
        <v>83.11</v>
      </c>
      <c r="J1827" s="669">
        <v>0.57999999999999996</v>
      </c>
    </row>
    <row r="1828" spans="1:10" ht="24" customHeight="1">
      <c r="A1828" s="672" t="s">
        <v>13467</v>
      </c>
      <c r="B1828" s="673" t="s">
        <v>14906</v>
      </c>
      <c r="C1828" s="672" t="s">
        <v>7</v>
      </c>
      <c r="D1828" s="672" t="s">
        <v>14905</v>
      </c>
      <c r="E1828" s="919" t="s">
        <v>13464</v>
      </c>
      <c r="F1828" s="919"/>
      <c r="G1828" s="671" t="s">
        <v>34</v>
      </c>
      <c r="H1828" s="670">
        <v>1</v>
      </c>
      <c r="I1828" s="669">
        <v>0.72</v>
      </c>
      <c r="J1828" s="669">
        <v>0.72</v>
      </c>
    </row>
    <row r="1829" spans="1:10" ht="24" customHeight="1">
      <c r="A1829" s="672" t="s">
        <v>13467</v>
      </c>
      <c r="B1829" s="673" t="s">
        <v>13523</v>
      </c>
      <c r="C1829" s="672" t="s">
        <v>7</v>
      </c>
      <c r="D1829" s="672" t="s">
        <v>13522</v>
      </c>
      <c r="E1829" s="919" t="s">
        <v>13464</v>
      </c>
      <c r="F1829" s="919"/>
      <c r="G1829" s="671" t="s">
        <v>34</v>
      </c>
      <c r="H1829" s="670">
        <v>1.2999999999999999E-2</v>
      </c>
      <c r="I1829" s="669">
        <v>2.2000000000000002</v>
      </c>
      <c r="J1829" s="669">
        <v>0.02</v>
      </c>
    </row>
    <row r="1830" spans="1:10" ht="24" customHeight="1">
      <c r="A1830" s="672" t="s">
        <v>13467</v>
      </c>
      <c r="B1830" s="673" t="s">
        <v>13521</v>
      </c>
      <c r="C1830" s="672" t="s">
        <v>7</v>
      </c>
      <c r="D1830" s="672" t="s">
        <v>13520</v>
      </c>
      <c r="E1830" s="919" t="s">
        <v>13464</v>
      </c>
      <c r="F1830" s="919"/>
      <c r="G1830" s="671" t="s">
        <v>34</v>
      </c>
      <c r="H1830" s="670">
        <v>8.0000000000000002E-3</v>
      </c>
      <c r="I1830" s="669">
        <v>72.17</v>
      </c>
      <c r="J1830" s="669">
        <v>0.56999999999999995</v>
      </c>
    </row>
    <row r="1831" spans="1:10" ht="25.5">
      <c r="A1831" s="668"/>
      <c r="B1831" s="668"/>
      <c r="C1831" s="668"/>
      <c r="D1831" s="668"/>
      <c r="E1831" s="668" t="s">
        <v>13463</v>
      </c>
      <c r="F1831" s="667">
        <v>0.78778659132891449</v>
      </c>
      <c r="G1831" s="668" t="s">
        <v>13462</v>
      </c>
      <c r="H1831" s="667">
        <v>0.66</v>
      </c>
      <c r="I1831" s="668" t="s">
        <v>13461</v>
      </c>
      <c r="J1831" s="667">
        <v>1.45</v>
      </c>
    </row>
    <row r="1832" spans="1:10" ht="15" thickBot="1">
      <c r="A1832" s="668"/>
      <c r="B1832" s="668"/>
      <c r="C1832" s="668"/>
      <c r="D1832" s="668"/>
      <c r="E1832" s="668" t="s">
        <v>13460</v>
      </c>
      <c r="F1832" s="667">
        <v>1.05</v>
      </c>
      <c r="G1832" s="668"/>
      <c r="H1832" s="925" t="s">
        <v>13459</v>
      </c>
      <c r="I1832" s="925"/>
      <c r="J1832" s="667">
        <v>4.79</v>
      </c>
    </row>
    <row r="1833" spans="1:10" ht="0.95" customHeight="1" thickTop="1">
      <c r="A1833" s="666"/>
      <c r="B1833" s="666"/>
      <c r="C1833" s="666"/>
      <c r="D1833" s="666"/>
      <c r="E1833" s="666"/>
      <c r="F1833" s="666"/>
      <c r="G1833" s="666"/>
      <c r="H1833" s="666"/>
      <c r="I1833" s="666"/>
      <c r="J1833" s="666"/>
    </row>
    <row r="1834" spans="1:10" ht="18" customHeight="1">
      <c r="A1834" s="686" t="s">
        <v>14904</v>
      </c>
      <c r="B1834" s="684" t="s">
        <v>13484</v>
      </c>
      <c r="C1834" s="686" t="s">
        <v>13483</v>
      </c>
      <c r="D1834" s="686" t="s">
        <v>13482</v>
      </c>
      <c r="E1834" s="924" t="s">
        <v>13481</v>
      </c>
      <c r="F1834" s="924"/>
      <c r="G1834" s="685" t="s">
        <v>13480</v>
      </c>
      <c r="H1834" s="684" t="s">
        <v>13479</v>
      </c>
      <c r="I1834" s="684" t="s">
        <v>13478</v>
      </c>
      <c r="J1834" s="684" t="s">
        <v>13477</v>
      </c>
    </row>
    <row r="1835" spans="1:10" ht="36" customHeight="1">
      <c r="A1835" s="682" t="s">
        <v>13476</v>
      </c>
      <c r="B1835" s="683" t="s">
        <v>14903</v>
      </c>
      <c r="C1835" s="682" t="s">
        <v>7</v>
      </c>
      <c r="D1835" s="682" t="s">
        <v>255</v>
      </c>
      <c r="E1835" s="917" t="s">
        <v>13474</v>
      </c>
      <c r="F1835" s="917"/>
      <c r="G1835" s="681" t="s">
        <v>34</v>
      </c>
      <c r="H1835" s="680">
        <v>1</v>
      </c>
      <c r="I1835" s="679">
        <v>9.9</v>
      </c>
      <c r="J1835" s="679">
        <v>9.9</v>
      </c>
    </row>
    <row r="1836" spans="1:10" ht="24" customHeight="1">
      <c r="A1836" s="677" t="s">
        <v>13472</v>
      </c>
      <c r="B1836" s="678" t="s">
        <v>13526</v>
      </c>
      <c r="C1836" s="677" t="s">
        <v>7</v>
      </c>
      <c r="D1836" s="677" t="s">
        <v>1093</v>
      </c>
      <c r="E1836" s="918" t="s">
        <v>13470</v>
      </c>
      <c r="F1836" s="918"/>
      <c r="G1836" s="676" t="s">
        <v>19</v>
      </c>
      <c r="H1836" s="675">
        <v>8.8999999999999996E-2</v>
      </c>
      <c r="I1836" s="674">
        <v>13.48</v>
      </c>
      <c r="J1836" s="674">
        <v>1.19</v>
      </c>
    </row>
    <row r="1837" spans="1:10" ht="24" customHeight="1">
      <c r="A1837" s="677" t="s">
        <v>13472</v>
      </c>
      <c r="B1837" s="678" t="s">
        <v>13473</v>
      </c>
      <c r="C1837" s="677" t="s">
        <v>7</v>
      </c>
      <c r="D1837" s="677" t="s">
        <v>44</v>
      </c>
      <c r="E1837" s="918" t="s">
        <v>13470</v>
      </c>
      <c r="F1837" s="918"/>
      <c r="G1837" s="676" t="s">
        <v>19</v>
      </c>
      <c r="H1837" s="675">
        <v>8.8999999999999996E-2</v>
      </c>
      <c r="I1837" s="674">
        <v>17.66</v>
      </c>
      <c r="J1837" s="674">
        <v>1.57</v>
      </c>
    </row>
    <row r="1838" spans="1:10" ht="24" customHeight="1">
      <c r="A1838" s="672" t="s">
        <v>13467</v>
      </c>
      <c r="B1838" s="673" t="s">
        <v>14762</v>
      </c>
      <c r="C1838" s="672" t="s">
        <v>7</v>
      </c>
      <c r="D1838" s="672" t="s">
        <v>14761</v>
      </c>
      <c r="E1838" s="919" t="s">
        <v>13464</v>
      </c>
      <c r="F1838" s="919"/>
      <c r="G1838" s="671" t="s">
        <v>34</v>
      </c>
      <c r="H1838" s="670">
        <v>1.2E-2</v>
      </c>
      <c r="I1838" s="669">
        <v>83.11</v>
      </c>
      <c r="J1838" s="669">
        <v>0.99</v>
      </c>
    </row>
    <row r="1839" spans="1:10" ht="24" customHeight="1">
      <c r="A1839" s="672" t="s">
        <v>13467</v>
      </c>
      <c r="B1839" s="673" t="s">
        <v>14902</v>
      </c>
      <c r="C1839" s="672" t="s">
        <v>7</v>
      </c>
      <c r="D1839" s="672" t="s">
        <v>14901</v>
      </c>
      <c r="E1839" s="919" t="s">
        <v>13464</v>
      </c>
      <c r="F1839" s="919"/>
      <c r="G1839" s="671" t="s">
        <v>34</v>
      </c>
      <c r="H1839" s="670">
        <v>1</v>
      </c>
      <c r="I1839" s="669">
        <v>5.0999999999999996</v>
      </c>
      <c r="J1839" s="669">
        <v>5.0999999999999996</v>
      </c>
    </row>
    <row r="1840" spans="1:10" ht="24" customHeight="1">
      <c r="A1840" s="672" t="s">
        <v>13467</v>
      </c>
      <c r="B1840" s="673" t="s">
        <v>13523</v>
      </c>
      <c r="C1840" s="672" t="s">
        <v>7</v>
      </c>
      <c r="D1840" s="672" t="s">
        <v>13522</v>
      </c>
      <c r="E1840" s="919" t="s">
        <v>13464</v>
      </c>
      <c r="F1840" s="919"/>
      <c r="G1840" s="671" t="s">
        <v>34</v>
      </c>
      <c r="H1840" s="670">
        <v>0.02</v>
      </c>
      <c r="I1840" s="669">
        <v>2.2000000000000002</v>
      </c>
      <c r="J1840" s="669">
        <v>0.04</v>
      </c>
    </row>
    <row r="1841" spans="1:10" ht="24" customHeight="1">
      <c r="A1841" s="672" t="s">
        <v>13467</v>
      </c>
      <c r="B1841" s="673" t="s">
        <v>13521</v>
      </c>
      <c r="C1841" s="672" t="s">
        <v>7</v>
      </c>
      <c r="D1841" s="672" t="s">
        <v>13520</v>
      </c>
      <c r="E1841" s="919" t="s">
        <v>13464</v>
      </c>
      <c r="F1841" s="919"/>
      <c r="G1841" s="671" t="s">
        <v>34</v>
      </c>
      <c r="H1841" s="670">
        <v>1.4E-2</v>
      </c>
      <c r="I1841" s="669">
        <v>72.17</v>
      </c>
      <c r="J1841" s="669">
        <v>1.01</v>
      </c>
    </row>
    <row r="1842" spans="1:10" ht="25.5">
      <c r="A1842" s="668"/>
      <c r="B1842" s="668"/>
      <c r="C1842" s="668"/>
      <c r="D1842" s="668"/>
      <c r="E1842" s="668" t="s">
        <v>13463</v>
      </c>
      <c r="F1842" s="667">
        <v>1.1789633815060307</v>
      </c>
      <c r="G1842" s="668" t="s">
        <v>13462</v>
      </c>
      <c r="H1842" s="667">
        <v>0.99</v>
      </c>
      <c r="I1842" s="668" t="s">
        <v>13461</v>
      </c>
      <c r="J1842" s="667">
        <v>2.17</v>
      </c>
    </row>
    <row r="1843" spans="1:10" ht="15" thickBot="1">
      <c r="A1843" s="668"/>
      <c r="B1843" s="668"/>
      <c r="C1843" s="668"/>
      <c r="D1843" s="668"/>
      <c r="E1843" s="668" t="s">
        <v>13460</v>
      </c>
      <c r="F1843" s="667">
        <v>2.79</v>
      </c>
      <c r="G1843" s="668"/>
      <c r="H1843" s="925" t="s">
        <v>13459</v>
      </c>
      <c r="I1843" s="925"/>
      <c r="J1843" s="667">
        <v>12.69</v>
      </c>
    </row>
    <row r="1844" spans="1:10" ht="0.95" customHeight="1" thickTop="1">
      <c r="A1844" s="666"/>
      <c r="B1844" s="666"/>
      <c r="C1844" s="666"/>
      <c r="D1844" s="666"/>
      <c r="E1844" s="666"/>
      <c r="F1844" s="666"/>
      <c r="G1844" s="666"/>
      <c r="H1844" s="666"/>
      <c r="I1844" s="666"/>
      <c r="J1844" s="666"/>
    </row>
    <row r="1845" spans="1:10" ht="18" customHeight="1">
      <c r="A1845" s="686" t="s">
        <v>14900</v>
      </c>
      <c r="B1845" s="684" t="s">
        <v>13484</v>
      </c>
      <c r="C1845" s="686" t="s">
        <v>13483</v>
      </c>
      <c r="D1845" s="686" t="s">
        <v>13482</v>
      </c>
      <c r="E1845" s="924" t="s">
        <v>13481</v>
      </c>
      <c r="F1845" s="924"/>
      <c r="G1845" s="685" t="s">
        <v>13480</v>
      </c>
      <c r="H1845" s="684" t="s">
        <v>13479</v>
      </c>
      <c r="I1845" s="684" t="s">
        <v>13478</v>
      </c>
      <c r="J1845" s="684" t="s">
        <v>13477</v>
      </c>
    </row>
    <row r="1846" spans="1:10" ht="36" customHeight="1">
      <c r="A1846" s="682" t="s">
        <v>13476</v>
      </c>
      <c r="B1846" s="683" t="s">
        <v>14899</v>
      </c>
      <c r="C1846" s="682" t="s">
        <v>7</v>
      </c>
      <c r="D1846" s="682" t="s">
        <v>259</v>
      </c>
      <c r="E1846" s="917" t="s">
        <v>13474</v>
      </c>
      <c r="F1846" s="917"/>
      <c r="G1846" s="681" t="s">
        <v>34</v>
      </c>
      <c r="H1846" s="680">
        <v>1</v>
      </c>
      <c r="I1846" s="679">
        <v>11.98</v>
      </c>
      <c r="J1846" s="679">
        <v>11.98</v>
      </c>
    </row>
    <row r="1847" spans="1:10" ht="24" customHeight="1">
      <c r="A1847" s="677" t="s">
        <v>13472</v>
      </c>
      <c r="B1847" s="678" t="s">
        <v>13526</v>
      </c>
      <c r="C1847" s="677" t="s">
        <v>7</v>
      </c>
      <c r="D1847" s="677" t="s">
        <v>1093</v>
      </c>
      <c r="E1847" s="918" t="s">
        <v>13470</v>
      </c>
      <c r="F1847" s="918"/>
      <c r="G1847" s="676" t="s">
        <v>19</v>
      </c>
      <c r="H1847" s="675">
        <v>0.108</v>
      </c>
      <c r="I1847" s="674">
        <v>13.48</v>
      </c>
      <c r="J1847" s="674">
        <v>1.45</v>
      </c>
    </row>
    <row r="1848" spans="1:10" ht="24" customHeight="1">
      <c r="A1848" s="677" t="s">
        <v>13472</v>
      </c>
      <c r="B1848" s="678" t="s">
        <v>13473</v>
      </c>
      <c r="C1848" s="677" t="s">
        <v>7</v>
      </c>
      <c r="D1848" s="677" t="s">
        <v>44</v>
      </c>
      <c r="E1848" s="918" t="s">
        <v>13470</v>
      </c>
      <c r="F1848" s="918"/>
      <c r="G1848" s="676" t="s">
        <v>19</v>
      </c>
      <c r="H1848" s="675">
        <v>0.108</v>
      </c>
      <c r="I1848" s="674">
        <v>17.66</v>
      </c>
      <c r="J1848" s="674">
        <v>1.9</v>
      </c>
    </row>
    <row r="1849" spans="1:10" ht="24" customHeight="1">
      <c r="A1849" s="672" t="s">
        <v>13467</v>
      </c>
      <c r="B1849" s="673" t="s">
        <v>14762</v>
      </c>
      <c r="C1849" s="672" t="s">
        <v>7</v>
      </c>
      <c r="D1849" s="672" t="s">
        <v>14761</v>
      </c>
      <c r="E1849" s="919" t="s">
        <v>13464</v>
      </c>
      <c r="F1849" s="919"/>
      <c r="G1849" s="671" t="s">
        <v>34</v>
      </c>
      <c r="H1849" s="670">
        <v>1.7999999999999999E-2</v>
      </c>
      <c r="I1849" s="669">
        <v>83.11</v>
      </c>
      <c r="J1849" s="669">
        <v>1.49</v>
      </c>
    </row>
    <row r="1850" spans="1:10" ht="24" customHeight="1">
      <c r="A1850" s="672" t="s">
        <v>13467</v>
      </c>
      <c r="B1850" s="673" t="s">
        <v>14898</v>
      </c>
      <c r="C1850" s="672" t="s">
        <v>7</v>
      </c>
      <c r="D1850" s="672" t="s">
        <v>14897</v>
      </c>
      <c r="E1850" s="919" t="s">
        <v>13464</v>
      </c>
      <c r="F1850" s="919"/>
      <c r="G1850" s="671" t="s">
        <v>34</v>
      </c>
      <c r="H1850" s="670">
        <v>1</v>
      </c>
      <c r="I1850" s="669">
        <v>5.51</v>
      </c>
      <c r="J1850" s="669">
        <v>5.51</v>
      </c>
    </row>
    <row r="1851" spans="1:10" ht="24" customHeight="1">
      <c r="A1851" s="672" t="s">
        <v>13467</v>
      </c>
      <c r="B1851" s="673" t="s">
        <v>13523</v>
      </c>
      <c r="C1851" s="672" t="s">
        <v>7</v>
      </c>
      <c r="D1851" s="672" t="s">
        <v>13522</v>
      </c>
      <c r="E1851" s="919" t="s">
        <v>13464</v>
      </c>
      <c r="F1851" s="919"/>
      <c r="G1851" s="671" t="s">
        <v>34</v>
      </c>
      <c r="H1851" s="670">
        <v>2.4E-2</v>
      </c>
      <c r="I1851" s="669">
        <v>2.2000000000000002</v>
      </c>
      <c r="J1851" s="669">
        <v>0.05</v>
      </c>
    </row>
    <row r="1852" spans="1:10" ht="24" customHeight="1">
      <c r="A1852" s="672" t="s">
        <v>13467</v>
      </c>
      <c r="B1852" s="673" t="s">
        <v>13521</v>
      </c>
      <c r="C1852" s="672" t="s">
        <v>7</v>
      </c>
      <c r="D1852" s="672" t="s">
        <v>13520</v>
      </c>
      <c r="E1852" s="919" t="s">
        <v>13464</v>
      </c>
      <c r="F1852" s="919"/>
      <c r="G1852" s="671" t="s">
        <v>34</v>
      </c>
      <c r="H1852" s="670">
        <v>2.1999999999999999E-2</v>
      </c>
      <c r="I1852" s="669">
        <v>72.17</v>
      </c>
      <c r="J1852" s="669">
        <v>1.58</v>
      </c>
    </row>
    <row r="1853" spans="1:10" ht="25.5">
      <c r="A1853" s="668"/>
      <c r="B1853" s="668"/>
      <c r="C1853" s="668"/>
      <c r="D1853" s="668"/>
      <c r="E1853" s="668" t="s">
        <v>13463</v>
      </c>
      <c r="F1853" s="667">
        <v>1.4288818863414103</v>
      </c>
      <c r="G1853" s="668" t="s">
        <v>13462</v>
      </c>
      <c r="H1853" s="667">
        <v>1.2</v>
      </c>
      <c r="I1853" s="668" t="s">
        <v>13461</v>
      </c>
      <c r="J1853" s="667">
        <v>2.63</v>
      </c>
    </row>
    <row r="1854" spans="1:10" ht="15" thickBot="1">
      <c r="A1854" s="668"/>
      <c r="B1854" s="668"/>
      <c r="C1854" s="668"/>
      <c r="D1854" s="668"/>
      <c r="E1854" s="668" t="s">
        <v>13460</v>
      </c>
      <c r="F1854" s="667">
        <v>3.38</v>
      </c>
      <c r="G1854" s="668"/>
      <c r="H1854" s="925" t="s">
        <v>13459</v>
      </c>
      <c r="I1854" s="925"/>
      <c r="J1854" s="667">
        <v>15.36</v>
      </c>
    </row>
    <row r="1855" spans="1:10" ht="0.95" customHeight="1" thickTop="1">
      <c r="A1855" s="666"/>
      <c r="B1855" s="666"/>
      <c r="C1855" s="666"/>
      <c r="D1855" s="666"/>
      <c r="E1855" s="666"/>
      <c r="F1855" s="666"/>
      <c r="G1855" s="666"/>
      <c r="H1855" s="666"/>
      <c r="I1855" s="666"/>
      <c r="J1855" s="666"/>
    </row>
    <row r="1856" spans="1:10" ht="18" customHeight="1">
      <c r="A1856" s="686" t="s">
        <v>14896</v>
      </c>
      <c r="B1856" s="684" t="s">
        <v>13484</v>
      </c>
      <c r="C1856" s="686" t="s">
        <v>13483</v>
      </c>
      <c r="D1856" s="686" t="s">
        <v>13482</v>
      </c>
      <c r="E1856" s="924" t="s">
        <v>13481</v>
      </c>
      <c r="F1856" s="924"/>
      <c r="G1856" s="685" t="s">
        <v>13480</v>
      </c>
      <c r="H1856" s="684" t="s">
        <v>13479</v>
      </c>
      <c r="I1856" s="684" t="s">
        <v>13478</v>
      </c>
      <c r="J1856" s="684" t="s">
        <v>13477</v>
      </c>
    </row>
    <row r="1857" spans="1:10" ht="36" customHeight="1">
      <c r="A1857" s="682" t="s">
        <v>13476</v>
      </c>
      <c r="B1857" s="683" t="s">
        <v>14895</v>
      </c>
      <c r="C1857" s="682" t="s">
        <v>7</v>
      </c>
      <c r="D1857" s="682" t="s">
        <v>267</v>
      </c>
      <c r="E1857" s="917" t="s">
        <v>13474</v>
      </c>
      <c r="F1857" s="917"/>
      <c r="G1857" s="681" t="s">
        <v>34</v>
      </c>
      <c r="H1857" s="680">
        <v>1</v>
      </c>
      <c r="I1857" s="679">
        <v>101.88</v>
      </c>
      <c r="J1857" s="679">
        <v>101.88</v>
      </c>
    </row>
    <row r="1858" spans="1:10" ht="24" customHeight="1">
      <c r="A1858" s="677" t="s">
        <v>13472</v>
      </c>
      <c r="B1858" s="678" t="s">
        <v>13526</v>
      </c>
      <c r="C1858" s="677" t="s">
        <v>7</v>
      </c>
      <c r="D1858" s="677" t="s">
        <v>1093</v>
      </c>
      <c r="E1858" s="918" t="s">
        <v>13470</v>
      </c>
      <c r="F1858" s="918"/>
      <c r="G1858" s="676" t="s">
        <v>19</v>
      </c>
      <c r="H1858" s="675">
        <v>0.157</v>
      </c>
      <c r="I1858" s="674">
        <v>13.48</v>
      </c>
      <c r="J1858" s="674">
        <v>2.11</v>
      </c>
    </row>
    <row r="1859" spans="1:10" ht="24" customHeight="1">
      <c r="A1859" s="677" t="s">
        <v>13472</v>
      </c>
      <c r="B1859" s="678" t="s">
        <v>13473</v>
      </c>
      <c r="C1859" s="677" t="s">
        <v>7</v>
      </c>
      <c r="D1859" s="677" t="s">
        <v>44</v>
      </c>
      <c r="E1859" s="918" t="s">
        <v>13470</v>
      </c>
      <c r="F1859" s="918"/>
      <c r="G1859" s="676" t="s">
        <v>19</v>
      </c>
      <c r="H1859" s="675">
        <v>0.157</v>
      </c>
      <c r="I1859" s="674">
        <v>17.66</v>
      </c>
      <c r="J1859" s="674">
        <v>2.77</v>
      </c>
    </row>
    <row r="1860" spans="1:10" ht="24" customHeight="1">
      <c r="A1860" s="672" t="s">
        <v>13467</v>
      </c>
      <c r="B1860" s="673" t="s">
        <v>14762</v>
      </c>
      <c r="C1860" s="672" t="s">
        <v>7</v>
      </c>
      <c r="D1860" s="672" t="s">
        <v>14761</v>
      </c>
      <c r="E1860" s="919" t="s">
        <v>13464</v>
      </c>
      <c r="F1860" s="919"/>
      <c r="G1860" s="671" t="s">
        <v>34</v>
      </c>
      <c r="H1860" s="670">
        <v>0.04</v>
      </c>
      <c r="I1860" s="669">
        <v>83.11</v>
      </c>
      <c r="J1860" s="669">
        <v>3.32</v>
      </c>
    </row>
    <row r="1861" spans="1:10" ht="24" customHeight="1">
      <c r="A1861" s="672" t="s">
        <v>13467</v>
      </c>
      <c r="B1861" s="673" t="s">
        <v>14894</v>
      </c>
      <c r="C1861" s="672" t="s">
        <v>7</v>
      </c>
      <c r="D1861" s="672" t="s">
        <v>14893</v>
      </c>
      <c r="E1861" s="919" t="s">
        <v>13464</v>
      </c>
      <c r="F1861" s="919"/>
      <c r="G1861" s="671" t="s">
        <v>34</v>
      </c>
      <c r="H1861" s="670">
        <v>1</v>
      </c>
      <c r="I1861" s="669">
        <v>89.86</v>
      </c>
      <c r="J1861" s="669">
        <v>89.86</v>
      </c>
    </row>
    <row r="1862" spans="1:10" ht="24" customHeight="1">
      <c r="A1862" s="672" t="s">
        <v>13467</v>
      </c>
      <c r="B1862" s="673" t="s">
        <v>13523</v>
      </c>
      <c r="C1862" s="672" t="s">
        <v>7</v>
      </c>
      <c r="D1862" s="672" t="s">
        <v>13522</v>
      </c>
      <c r="E1862" s="919" t="s">
        <v>13464</v>
      </c>
      <c r="F1862" s="919"/>
      <c r="G1862" s="671" t="s">
        <v>34</v>
      </c>
      <c r="H1862" s="670">
        <v>3.5000000000000003E-2</v>
      </c>
      <c r="I1862" s="669">
        <v>2.2000000000000002</v>
      </c>
      <c r="J1862" s="669">
        <v>7.0000000000000007E-2</v>
      </c>
    </row>
    <row r="1863" spans="1:10" ht="24" customHeight="1">
      <c r="A1863" s="672" t="s">
        <v>13467</v>
      </c>
      <c r="B1863" s="673" t="s">
        <v>13521</v>
      </c>
      <c r="C1863" s="672" t="s">
        <v>7</v>
      </c>
      <c r="D1863" s="672" t="s">
        <v>13520</v>
      </c>
      <c r="E1863" s="919" t="s">
        <v>13464</v>
      </c>
      <c r="F1863" s="919"/>
      <c r="G1863" s="671" t="s">
        <v>34</v>
      </c>
      <c r="H1863" s="670">
        <v>5.1999999999999998E-2</v>
      </c>
      <c r="I1863" s="669">
        <v>72.17</v>
      </c>
      <c r="J1863" s="669">
        <v>3.75</v>
      </c>
    </row>
    <row r="1864" spans="1:10" ht="25.5">
      <c r="A1864" s="668"/>
      <c r="B1864" s="668"/>
      <c r="C1864" s="668"/>
      <c r="D1864" s="668"/>
      <c r="E1864" s="668" t="s">
        <v>13463</v>
      </c>
      <c r="F1864" s="667">
        <v>2.0754101923285884</v>
      </c>
      <c r="G1864" s="668" t="s">
        <v>13462</v>
      </c>
      <c r="H1864" s="667">
        <v>1.74</v>
      </c>
      <c r="I1864" s="668" t="s">
        <v>13461</v>
      </c>
      <c r="J1864" s="667">
        <v>3.82</v>
      </c>
    </row>
    <row r="1865" spans="1:10" ht="15" thickBot="1">
      <c r="A1865" s="668"/>
      <c r="B1865" s="668"/>
      <c r="C1865" s="668"/>
      <c r="D1865" s="668"/>
      <c r="E1865" s="668" t="s">
        <v>13460</v>
      </c>
      <c r="F1865" s="667">
        <v>28.77</v>
      </c>
      <c r="G1865" s="668"/>
      <c r="H1865" s="925" t="s">
        <v>13459</v>
      </c>
      <c r="I1865" s="925"/>
      <c r="J1865" s="667">
        <v>130.65</v>
      </c>
    </row>
    <row r="1866" spans="1:10" ht="0.95" customHeight="1" thickTop="1">
      <c r="A1866" s="666"/>
      <c r="B1866" s="666"/>
      <c r="C1866" s="666"/>
      <c r="D1866" s="666"/>
      <c r="E1866" s="666"/>
      <c r="F1866" s="666"/>
      <c r="G1866" s="666"/>
      <c r="H1866" s="666"/>
      <c r="I1866" s="666"/>
      <c r="J1866" s="666"/>
    </row>
    <row r="1867" spans="1:10" ht="18" customHeight="1">
      <c r="A1867" s="686" t="s">
        <v>14892</v>
      </c>
      <c r="B1867" s="684" t="s">
        <v>13484</v>
      </c>
      <c r="C1867" s="686" t="s">
        <v>13483</v>
      </c>
      <c r="D1867" s="686" t="s">
        <v>13482</v>
      </c>
      <c r="E1867" s="924" t="s">
        <v>13481</v>
      </c>
      <c r="F1867" s="924"/>
      <c r="G1867" s="685" t="s">
        <v>13480</v>
      </c>
      <c r="H1867" s="684" t="s">
        <v>13479</v>
      </c>
      <c r="I1867" s="684" t="s">
        <v>13478</v>
      </c>
      <c r="J1867" s="684" t="s">
        <v>13477</v>
      </c>
    </row>
    <row r="1868" spans="1:10" ht="36" customHeight="1">
      <c r="A1868" s="682" t="s">
        <v>13476</v>
      </c>
      <c r="B1868" s="683" t="s">
        <v>14891</v>
      </c>
      <c r="C1868" s="682" t="s">
        <v>7</v>
      </c>
      <c r="D1868" s="682" t="s">
        <v>294</v>
      </c>
      <c r="E1868" s="917" t="s">
        <v>13474</v>
      </c>
      <c r="F1868" s="917"/>
      <c r="G1868" s="681" t="s">
        <v>34</v>
      </c>
      <c r="H1868" s="680">
        <v>1</v>
      </c>
      <c r="I1868" s="679">
        <v>32.61</v>
      </c>
      <c r="J1868" s="679">
        <v>32.61</v>
      </c>
    </row>
    <row r="1869" spans="1:10" ht="24" customHeight="1">
      <c r="A1869" s="677" t="s">
        <v>13472</v>
      </c>
      <c r="B1869" s="678" t="s">
        <v>13526</v>
      </c>
      <c r="C1869" s="677" t="s">
        <v>7</v>
      </c>
      <c r="D1869" s="677" t="s">
        <v>1093</v>
      </c>
      <c r="E1869" s="918" t="s">
        <v>13470</v>
      </c>
      <c r="F1869" s="918"/>
      <c r="G1869" s="676" t="s">
        <v>19</v>
      </c>
      <c r="H1869" s="675">
        <v>7.1999999999999995E-2</v>
      </c>
      <c r="I1869" s="674">
        <v>13.48</v>
      </c>
      <c r="J1869" s="674">
        <v>0.97</v>
      </c>
    </row>
    <row r="1870" spans="1:10" ht="24" customHeight="1">
      <c r="A1870" s="677" t="s">
        <v>13472</v>
      </c>
      <c r="B1870" s="678" t="s">
        <v>13473</v>
      </c>
      <c r="C1870" s="677" t="s">
        <v>7</v>
      </c>
      <c r="D1870" s="677" t="s">
        <v>44</v>
      </c>
      <c r="E1870" s="918" t="s">
        <v>13470</v>
      </c>
      <c r="F1870" s="918"/>
      <c r="G1870" s="676" t="s">
        <v>19</v>
      </c>
      <c r="H1870" s="675">
        <v>7.1999999999999995E-2</v>
      </c>
      <c r="I1870" s="674">
        <v>17.66</v>
      </c>
      <c r="J1870" s="674">
        <v>1.27</v>
      </c>
    </row>
    <row r="1871" spans="1:10" ht="24" customHeight="1">
      <c r="A1871" s="672" t="s">
        <v>13467</v>
      </c>
      <c r="B1871" s="673" t="s">
        <v>14762</v>
      </c>
      <c r="C1871" s="672" t="s">
        <v>7</v>
      </c>
      <c r="D1871" s="672" t="s">
        <v>14761</v>
      </c>
      <c r="E1871" s="919" t="s">
        <v>13464</v>
      </c>
      <c r="F1871" s="919"/>
      <c r="G1871" s="671" t="s">
        <v>34</v>
      </c>
      <c r="H1871" s="670">
        <v>1.7999999999999999E-2</v>
      </c>
      <c r="I1871" s="669">
        <v>83.11</v>
      </c>
      <c r="J1871" s="669">
        <v>1.49</v>
      </c>
    </row>
    <row r="1872" spans="1:10" ht="24" customHeight="1">
      <c r="A1872" s="672" t="s">
        <v>13467</v>
      </c>
      <c r="B1872" s="673" t="s">
        <v>13523</v>
      </c>
      <c r="C1872" s="672" t="s">
        <v>7</v>
      </c>
      <c r="D1872" s="672" t="s">
        <v>13522</v>
      </c>
      <c r="E1872" s="919" t="s">
        <v>13464</v>
      </c>
      <c r="F1872" s="919"/>
      <c r="G1872" s="671" t="s">
        <v>34</v>
      </c>
      <c r="H1872" s="670">
        <v>2.4E-2</v>
      </c>
      <c r="I1872" s="669">
        <v>2.2000000000000002</v>
      </c>
      <c r="J1872" s="669">
        <v>0.05</v>
      </c>
    </row>
    <row r="1873" spans="1:10" ht="24" customHeight="1">
      <c r="A1873" s="672" t="s">
        <v>13467</v>
      </c>
      <c r="B1873" s="673" t="s">
        <v>14890</v>
      </c>
      <c r="C1873" s="672" t="s">
        <v>7</v>
      </c>
      <c r="D1873" s="672" t="s">
        <v>14889</v>
      </c>
      <c r="E1873" s="919" t="s">
        <v>13464</v>
      </c>
      <c r="F1873" s="919"/>
      <c r="G1873" s="671" t="s">
        <v>34</v>
      </c>
      <c r="H1873" s="670">
        <v>1</v>
      </c>
      <c r="I1873" s="669">
        <v>27.25</v>
      </c>
      <c r="J1873" s="669">
        <v>27.25</v>
      </c>
    </row>
    <row r="1874" spans="1:10" ht="24" customHeight="1">
      <c r="A1874" s="672" t="s">
        <v>13467</v>
      </c>
      <c r="B1874" s="673" t="s">
        <v>13521</v>
      </c>
      <c r="C1874" s="672" t="s">
        <v>7</v>
      </c>
      <c r="D1874" s="672" t="s">
        <v>13520</v>
      </c>
      <c r="E1874" s="919" t="s">
        <v>13464</v>
      </c>
      <c r="F1874" s="919"/>
      <c r="G1874" s="671" t="s">
        <v>34</v>
      </c>
      <c r="H1874" s="670">
        <v>2.1999999999999999E-2</v>
      </c>
      <c r="I1874" s="669">
        <v>72.17</v>
      </c>
      <c r="J1874" s="669">
        <v>1.58</v>
      </c>
    </row>
    <row r="1875" spans="1:10" ht="25.5">
      <c r="A1875" s="668"/>
      <c r="B1875" s="668"/>
      <c r="C1875" s="668"/>
      <c r="D1875" s="668"/>
      <c r="E1875" s="668" t="s">
        <v>13463</v>
      </c>
      <c r="F1875" s="667">
        <v>0.94534390959469738</v>
      </c>
      <c r="G1875" s="668" t="s">
        <v>13462</v>
      </c>
      <c r="H1875" s="667">
        <v>0.79</v>
      </c>
      <c r="I1875" s="668" t="s">
        <v>13461</v>
      </c>
      <c r="J1875" s="667">
        <v>1.74</v>
      </c>
    </row>
    <row r="1876" spans="1:10" ht="15" thickBot="1">
      <c r="A1876" s="668"/>
      <c r="B1876" s="668"/>
      <c r="C1876" s="668"/>
      <c r="D1876" s="668"/>
      <c r="E1876" s="668" t="s">
        <v>13460</v>
      </c>
      <c r="F1876" s="667">
        <v>9.1999999999999993</v>
      </c>
      <c r="G1876" s="668"/>
      <c r="H1876" s="925" t="s">
        <v>13459</v>
      </c>
      <c r="I1876" s="925"/>
      <c r="J1876" s="667">
        <v>41.81</v>
      </c>
    </row>
    <row r="1877" spans="1:10" ht="0.95" customHeight="1" thickTop="1">
      <c r="A1877" s="666"/>
      <c r="B1877" s="666"/>
      <c r="C1877" s="666"/>
      <c r="D1877" s="666"/>
      <c r="E1877" s="666"/>
      <c r="F1877" s="666"/>
      <c r="G1877" s="666"/>
      <c r="H1877" s="666"/>
      <c r="I1877" s="666"/>
      <c r="J1877" s="666"/>
    </row>
    <row r="1878" spans="1:10" ht="18" customHeight="1">
      <c r="A1878" s="686" t="s">
        <v>14888</v>
      </c>
      <c r="B1878" s="684" t="s">
        <v>13484</v>
      </c>
      <c r="C1878" s="686" t="s">
        <v>13483</v>
      </c>
      <c r="D1878" s="686" t="s">
        <v>13482</v>
      </c>
      <c r="E1878" s="924" t="s">
        <v>13481</v>
      </c>
      <c r="F1878" s="924"/>
      <c r="G1878" s="685" t="s">
        <v>13480</v>
      </c>
      <c r="H1878" s="684" t="s">
        <v>13479</v>
      </c>
      <c r="I1878" s="684" t="s">
        <v>13478</v>
      </c>
      <c r="J1878" s="684" t="s">
        <v>13477</v>
      </c>
    </row>
    <row r="1879" spans="1:10" ht="36" customHeight="1">
      <c r="A1879" s="682" t="s">
        <v>13476</v>
      </c>
      <c r="B1879" s="683" t="s">
        <v>14887</v>
      </c>
      <c r="C1879" s="682" t="s">
        <v>7</v>
      </c>
      <c r="D1879" s="682" t="s">
        <v>1341</v>
      </c>
      <c r="E1879" s="917" t="s">
        <v>13474</v>
      </c>
      <c r="F1879" s="917"/>
      <c r="G1879" s="681" t="s">
        <v>34</v>
      </c>
      <c r="H1879" s="680">
        <v>1</v>
      </c>
      <c r="I1879" s="679">
        <v>13.1</v>
      </c>
      <c r="J1879" s="679">
        <v>13.1</v>
      </c>
    </row>
    <row r="1880" spans="1:10" ht="24" customHeight="1">
      <c r="A1880" s="677" t="s">
        <v>13472</v>
      </c>
      <c r="B1880" s="678" t="s">
        <v>13526</v>
      </c>
      <c r="C1880" s="677" t="s">
        <v>7</v>
      </c>
      <c r="D1880" s="677" t="s">
        <v>1093</v>
      </c>
      <c r="E1880" s="918" t="s">
        <v>13470</v>
      </c>
      <c r="F1880" s="918"/>
      <c r="G1880" s="676" t="s">
        <v>19</v>
      </c>
      <c r="H1880" s="675">
        <v>0.06</v>
      </c>
      <c r="I1880" s="674">
        <v>13.48</v>
      </c>
      <c r="J1880" s="674">
        <v>0.8</v>
      </c>
    </row>
    <row r="1881" spans="1:10" ht="24" customHeight="1">
      <c r="A1881" s="677" t="s">
        <v>13472</v>
      </c>
      <c r="B1881" s="678" t="s">
        <v>13473</v>
      </c>
      <c r="C1881" s="677" t="s">
        <v>7</v>
      </c>
      <c r="D1881" s="677" t="s">
        <v>44</v>
      </c>
      <c r="E1881" s="918" t="s">
        <v>13470</v>
      </c>
      <c r="F1881" s="918"/>
      <c r="G1881" s="676" t="s">
        <v>19</v>
      </c>
      <c r="H1881" s="675">
        <v>0.06</v>
      </c>
      <c r="I1881" s="674">
        <v>17.66</v>
      </c>
      <c r="J1881" s="674">
        <v>1.05</v>
      </c>
    </row>
    <row r="1882" spans="1:10" ht="24" customHeight="1">
      <c r="A1882" s="672" t="s">
        <v>13467</v>
      </c>
      <c r="B1882" s="673" t="s">
        <v>14762</v>
      </c>
      <c r="C1882" s="672" t="s">
        <v>7</v>
      </c>
      <c r="D1882" s="672" t="s">
        <v>14761</v>
      </c>
      <c r="E1882" s="919" t="s">
        <v>13464</v>
      </c>
      <c r="F1882" s="919"/>
      <c r="G1882" s="671" t="s">
        <v>34</v>
      </c>
      <c r="H1882" s="670">
        <v>7.0000000000000001E-3</v>
      </c>
      <c r="I1882" s="669">
        <v>83.11</v>
      </c>
      <c r="J1882" s="669">
        <v>0.57999999999999996</v>
      </c>
    </row>
    <row r="1883" spans="1:10" ht="24" customHeight="1">
      <c r="A1883" s="672" t="s">
        <v>13467</v>
      </c>
      <c r="B1883" s="673" t="s">
        <v>13523</v>
      </c>
      <c r="C1883" s="672" t="s">
        <v>7</v>
      </c>
      <c r="D1883" s="672" t="s">
        <v>13522</v>
      </c>
      <c r="E1883" s="919" t="s">
        <v>13464</v>
      </c>
      <c r="F1883" s="919"/>
      <c r="G1883" s="671" t="s">
        <v>34</v>
      </c>
      <c r="H1883" s="670">
        <v>0.03</v>
      </c>
      <c r="I1883" s="669">
        <v>2.2000000000000002</v>
      </c>
      <c r="J1883" s="669">
        <v>0.06</v>
      </c>
    </row>
    <row r="1884" spans="1:10" ht="24" customHeight="1">
      <c r="A1884" s="672" t="s">
        <v>13467</v>
      </c>
      <c r="B1884" s="673" t="s">
        <v>14886</v>
      </c>
      <c r="C1884" s="672" t="s">
        <v>7</v>
      </c>
      <c r="D1884" s="672" t="s">
        <v>14885</v>
      </c>
      <c r="E1884" s="919" t="s">
        <v>13464</v>
      </c>
      <c r="F1884" s="919"/>
      <c r="G1884" s="671" t="s">
        <v>34</v>
      </c>
      <c r="H1884" s="670">
        <v>1</v>
      </c>
      <c r="I1884" s="669">
        <v>10.039999999999999</v>
      </c>
      <c r="J1884" s="669">
        <v>10.039999999999999</v>
      </c>
    </row>
    <row r="1885" spans="1:10" ht="24" customHeight="1">
      <c r="A1885" s="672" t="s">
        <v>13467</v>
      </c>
      <c r="B1885" s="673" t="s">
        <v>13521</v>
      </c>
      <c r="C1885" s="672" t="s">
        <v>7</v>
      </c>
      <c r="D1885" s="672" t="s">
        <v>13520</v>
      </c>
      <c r="E1885" s="919" t="s">
        <v>13464</v>
      </c>
      <c r="F1885" s="919"/>
      <c r="G1885" s="671" t="s">
        <v>34</v>
      </c>
      <c r="H1885" s="670">
        <v>8.0000000000000002E-3</v>
      </c>
      <c r="I1885" s="669">
        <v>72.17</v>
      </c>
      <c r="J1885" s="669">
        <v>0.56999999999999995</v>
      </c>
    </row>
    <row r="1886" spans="1:10" ht="25.5">
      <c r="A1886" s="668"/>
      <c r="B1886" s="668"/>
      <c r="C1886" s="668"/>
      <c r="D1886" s="668"/>
      <c r="E1886" s="668" t="s">
        <v>13463</v>
      </c>
      <c r="F1886" s="667">
        <v>0.78778659132891449</v>
      </c>
      <c r="G1886" s="668" t="s">
        <v>13462</v>
      </c>
      <c r="H1886" s="667">
        <v>0.66</v>
      </c>
      <c r="I1886" s="668" t="s">
        <v>13461</v>
      </c>
      <c r="J1886" s="667">
        <v>1.45</v>
      </c>
    </row>
    <row r="1887" spans="1:10" ht="15" thickBot="1">
      <c r="A1887" s="668"/>
      <c r="B1887" s="668"/>
      <c r="C1887" s="668"/>
      <c r="D1887" s="668"/>
      <c r="E1887" s="668" t="s">
        <v>13460</v>
      </c>
      <c r="F1887" s="667">
        <v>3.69</v>
      </c>
      <c r="G1887" s="668"/>
      <c r="H1887" s="925" t="s">
        <v>13459</v>
      </c>
      <c r="I1887" s="925"/>
      <c r="J1887" s="667">
        <v>16.79</v>
      </c>
    </row>
    <row r="1888" spans="1:10" ht="0.95" customHeight="1" thickTop="1">
      <c r="A1888" s="666"/>
      <c r="B1888" s="666"/>
      <c r="C1888" s="666"/>
      <c r="D1888" s="666"/>
      <c r="E1888" s="666"/>
      <c r="F1888" s="666"/>
      <c r="G1888" s="666"/>
      <c r="H1888" s="666"/>
      <c r="I1888" s="666"/>
      <c r="J1888" s="666"/>
    </row>
    <row r="1889" spans="1:10" ht="18" customHeight="1">
      <c r="A1889" s="686" t="s">
        <v>14884</v>
      </c>
      <c r="B1889" s="684" t="s">
        <v>13484</v>
      </c>
      <c r="C1889" s="686" t="s">
        <v>13483</v>
      </c>
      <c r="D1889" s="686" t="s">
        <v>13482</v>
      </c>
      <c r="E1889" s="924" t="s">
        <v>13481</v>
      </c>
      <c r="F1889" s="924"/>
      <c r="G1889" s="685" t="s">
        <v>13480</v>
      </c>
      <c r="H1889" s="684" t="s">
        <v>13479</v>
      </c>
      <c r="I1889" s="684" t="s">
        <v>13478</v>
      </c>
      <c r="J1889" s="684" t="s">
        <v>13477</v>
      </c>
    </row>
    <row r="1890" spans="1:10" ht="36" customHeight="1">
      <c r="A1890" s="682" t="s">
        <v>13476</v>
      </c>
      <c r="B1890" s="683" t="s">
        <v>14883</v>
      </c>
      <c r="C1890" s="682" t="s">
        <v>7</v>
      </c>
      <c r="D1890" s="682" t="s">
        <v>227</v>
      </c>
      <c r="E1890" s="917" t="s">
        <v>13474</v>
      </c>
      <c r="F1890" s="917"/>
      <c r="G1890" s="681" t="s">
        <v>14</v>
      </c>
      <c r="H1890" s="680">
        <v>1</v>
      </c>
      <c r="I1890" s="679">
        <v>15.62</v>
      </c>
      <c r="J1890" s="679">
        <v>15.62</v>
      </c>
    </row>
    <row r="1891" spans="1:10" ht="24" customHeight="1">
      <c r="A1891" s="677" t="s">
        <v>13472</v>
      </c>
      <c r="B1891" s="678" t="s">
        <v>13526</v>
      </c>
      <c r="C1891" s="677" t="s">
        <v>7</v>
      </c>
      <c r="D1891" s="677" t="s">
        <v>1093</v>
      </c>
      <c r="E1891" s="918" t="s">
        <v>13470</v>
      </c>
      <c r="F1891" s="918"/>
      <c r="G1891" s="676" t="s">
        <v>19</v>
      </c>
      <c r="H1891" s="675">
        <v>0.36899999999999999</v>
      </c>
      <c r="I1891" s="674">
        <v>13.48</v>
      </c>
      <c r="J1891" s="674">
        <v>4.97</v>
      </c>
    </row>
    <row r="1892" spans="1:10" ht="24" customHeight="1">
      <c r="A1892" s="677" t="s">
        <v>13472</v>
      </c>
      <c r="B1892" s="678" t="s">
        <v>13473</v>
      </c>
      <c r="C1892" s="677" t="s">
        <v>7</v>
      </c>
      <c r="D1892" s="677" t="s">
        <v>44</v>
      </c>
      <c r="E1892" s="918" t="s">
        <v>13470</v>
      </c>
      <c r="F1892" s="918"/>
      <c r="G1892" s="676" t="s">
        <v>19</v>
      </c>
      <c r="H1892" s="675">
        <v>0.36899999999999999</v>
      </c>
      <c r="I1892" s="674">
        <v>17.66</v>
      </c>
      <c r="J1892" s="674">
        <v>6.51</v>
      </c>
    </row>
    <row r="1893" spans="1:10" ht="24" customHeight="1">
      <c r="A1893" s="672" t="s">
        <v>13467</v>
      </c>
      <c r="B1893" s="673" t="s">
        <v>13523</v>
      </c>
      <c r="C1893" s="672" t="s">
        <v>7</v>
      </c>
      <c r="D1893" s="672" t="s">
        <v>13522</v>
      </c>
      <c r="E1893" s="919" t="s">
        <v>13464</v>
      </c>
      <c r="F1893" s="919"/>
      <c r="G1893" s="671" t="s">
        <v>34</v>
      </c>
      <c r="H1893" s="670">
        <v>0.123</v>
      </c>
      <c r="I1893" s="669">
        <v>2.2000000000000002</v>
      </c>
      <c r="J1893" s="669">
        <v>0.27</v>
      </c>
    </row>
    <row r="1894" spans="1:10" ht="24" customHeight="1">
      <c r="A1894" s="672" t="s">
        <v>13467</v>
      </c>
      <c r="B1894" s="673" t="s">
        <v>13529</v>
      </c>
      <c r="C1894" s="672" t="s">
        <v>7</v>
      </c>
      <c r="D1894" s="672" t="s">
        <v>13528</v>
      </c>
      <c r="E1894" s="919" t="s">
        <v>13464</v>
      </c>
      <c r="F1894" s="919"/>
      <c r="G1894" s="671" t="s">
        <v>14</v>
      </c>
      <c r="H1894" s="670">
        <v>1.0609999999999999</v>
      </c>
      <c r="I1894" s="669">
        <v>3.65</v>
      </c>
      <c r="J1894" s="669">
        <v>3.87</v>
      </c>
    </row>
    <row r="1895" spans="1:10" ht="25.5">
      <c r="A1895" s="668"/>
      <c r="B1895" s="668"/>
      <c r="C1895" s="668"/>
      <c r="D1895" s="668"/>
      <c r="E1895" s="668" t="s">
        <v>13463</v>
      </c>
      <c r="F1895" s="667">
        <v>4.889709877213952</v>
      </c>
      <c r="G1895" s="668" t="s">
        <v>13462</v>
      </c>
      <c r="H1895" s="667">
        <v>4.1100000000000003</v>
      </c>
      <c r="I1895" s="668" t="s">
        <v>13461</v>
      </c>
      <c r="J1895" s="667">
        <v>9</v>
      </c>
    </row>
    <row r="1896" spans="1:10" ht="15" thickBot="1">
      <c r="A1896" s="668"/>
      <c r="B1896" s="668"/>
      <c r="C1896" s="668"/>
      <c r="D1896" s="668"/>
      <c r="E1896" s="668" t="s">
        <v>13460</v>
      </c>
      <c r="F1896" s="667">
        <v>4.41</v>
      </c>
      <c r="G1896" s="668"/>
      <c r="H1896" s="925" t="s">
        <v>13459</v>
      </c>
      <c r="I1896" s="925"/>
      <c r="J1896" s="667">
        <v>20.03</v>
      </c>
    </row>
    <row r="1897" spans="1:10" ht="0.95" customHeight="1" thickTop="1">
      <c r="A1897" s="666"/>
      <c r="B1897" s="666"/>
      <c r="C1897" s="666"/>
      <c r="D1897" s="666"/>
      <c r="E1897" s="666"/>
      <c r="F1897" s="666"/>
      <c r="G1897" s="666"/>
      <c r="H1897" s="666"/>
      <c r="I1897" s="666"/>
      <c r="J1897" s="666"/>
    </row>
    <row r="1898" spans="1:10" ht="18" customHeight="1">
      <c r="A1898" s="686" t="s">
        <v>14882</v>
      </c>
      <c r="B1898" s="684" t="s">
        <v>13484</v>
      </c>
      <c r="C1898" s="686" t="s">
        <v>13483</v>
      </c>
      <c r="D1898" s="686" t="s">
        <v>13482</v>
      </c>
      <c r="E1898" s="924" t="s">
        <v>13481</v>
      </c>
      <c r="F1898" s="924"/>
      <c r="G1898" s="685" t="s">
        <v>13480</v>
      </c>
      <c r="H1898" s="684" t="s">
        <v>13479</v>
      </c>
      <c r="I1898" s="684" t="s">
        <v>13478</v>
      </c>
      <c r="J1898" s="684" t="s">
        <v>13477</v>
      </c>
    </row>
    <row r="1899" spans="1:10" ht="24" customHeight="1">
      <c r="A1899" s="682" t="s">
        <v>13476</v>
      </c>
      <c r="B1899" s="683" t="s">
        <v>14881</v>
      </c>
      <c r="C1899" s="682" t="s">
        <v>7</v>
      </c>
      <c r="D1899" s="682" t="s">
        <v>1359</v>
      </c>
      <c r="E1899" s="917" t="s">
        <v>13474</v>
      </c>
      <c r="F1899" s="917"/>
      <c r="G1899" s="681" t="s">
        <v>14</v>
      </c>
      <c r="H1899" s="680">
        <v>1</v>
      </c>
      <c r="I1899" s="679">
        <v>13.4</v>
      </c>
      <c r="J1899" s="679">
        <v>13.4</v>
      </c>
    </row>
    <row r="1900" spans="1:10" ht="24" customHeight="1">
      <c r="A1900" s="677" t="s">
        <v>13472</v>
      </c>
      <c r="B1900" s="678" t="s">
        <v>13526</v>
      </c>
      <c r="C1900" s="677" t="s">
        <v>7</v>
      </c>
      <c r="D1900" s="677" t="s">
        <v>1093</v>
      </c>
      <c r="E1900" s="918" t="s">
        <v>13470</v>
      </c>
      <c r="F1900" s="918"/>
      <c r="G1900" s="676" t="s">
        <v>19</v>
      </c>
      <c r="H1900" s="675">
        <v>2.4E-2</v>
      </c>
      <c r="I1900" s="674">
        <v>13.48</v>
      </c>
      <c r="J1900" s="674">
        <v>0.32</v>
      </c>
    </row>
    <row r="1901" spans="1:10" ht="24" customHeight="1">
      <c r="A1901" s="677" t="s">
        <v>13472</v>
      </c>
      <c r="B1901" s="678" t="s">
        <v>13473</v>
      </c>
      <c r="C1901" s="677" t="s">
        <v>7</v>
      </c>
      <c r="D1901" s="677" t="s">
        <v>44</v>
      </c>
      <c r="E1901" s="918" t="s">
        <v>13470</v>
      </c>
      <c r="F1901" s="918"/>
      <c r="G1901" s="676" t="s">
        <v>19</v>
      </c>
      <c r="H1901" s="675">
        <v>2.4E-2</v>
      </c>
      <c r="I1901" s="674">
        <v>17.66</v>
      </c>
      <c r="J1901" s="674">
        <v>0.42</v>
      </c>
    </row>
    <row r="1902" spans="1:10" ht="24" customHeight="1">
      <c r="A1902" s="672" t="s">
        <v>13467</v>
      </c>
      <c r="B1902" s="673" t="s">
        <v>13523</v>
      </c>
      <c r="C1902" s="672" t="s">
        <v>7</v>
      </c>
      <c r="D1902" s="672" t="s">
        <v>13522</v>
      </c>
      <c r="E1902" s="919" t="s">
        <v>13464</v>
      </c>
      <c r="F1902" s="919"/>
      <c r="G1902" s="671" t="s">
        <v>34</v>
      </c>
      <c r="H1902" s="670">
        <v>8.0000000000000002E-3</v>
      </c>
      <c r="I1902" s="669">
        <v>2.2000000000000002</v>
      </c>
      <c r="J1902" s="669">
        <v>0.01</v>
      </c>
    </row>
    <row r="1903" spans="1:10" ht="24" customHeight="1">
      <c r="A1903" s="672" t="s">
        <v>13467</v>
      </c>
      <c r="B1903" s="673" t="s">
        <v>14880</v>
      </c>
      <c r="C1903" s="672" t="s">
        <v>7</v>
      </c>
      <c r="D1903" s="672" t="s">
        <v>14879</v>
      </c>
      <c r="E1903" s="919" t="s">
        <v>13464</v>
      </c>
      <c r="F1903" s="919"/>
      <c r="G1903" s="671" t="s">
        <v>14</v>
      </c>
      <c r="H1903" s="670">
        <v>1.0609999999999999</v>
      </c>
      <c r="I1903" s="669">
        <v>11.93</v>
      </c>
      <c r="J1903" s="669">
        <v>12.65</v>
      </c>
    </row>
    <row r="1904" spans="1:10" ht="25.5">
      <c r="A1904" s="668"/>
      <c r="B1904" s="668"/>
      <c r="C1904" s="668"/>
      <c r="D1904" s="668"/>
      <c r="E1904" s="668" t="s">
        <v>13463</v>
      </c>
      <c r="F1904" s="667">
        <v>0.31511463653156579</v>
      </c>
      <c r="G1904" s="668" t="s">
        <v>13462</v>
      </c>
      <c r="H1904" s="667">
        <v>0.26</v>
      </c>
      <c r="I1904" s="668" t="s">
        <v>13461</v>
      </c>
      <c r="J1904" s="667">
        <v>0.57999999999999996</v>
      </c>
    </row>
    <row r="1905" spans="1:10" ht="15" thickBot="1">
      <c r="A1905" s="668"/>
      <c r="B1905" s="668"/>
      <c r="C1905" s="668"/>
      <c r="D1905" s="668"/>
      <c r="E1905" s="668" t="s">
        <v>13460</v>
      </c>
      <c r="F1905" s="667">
        <v>3.78</v>
      </c>
      <c r="G1905" s="668"/>
      <c r="H1905" s="925" t="s">
        <v>13459</v>
      </c>
      <c r="I1905" s="925"/>
      <c r="J1905" s="667">
        <v>17.18</v>
      </c>
    </row>
    <row r="1906" spans="1:10" ht="0.95" customHeight="1" thickTop="1">
      <c r="A1906" s="666"/>
      <c r="B1906" s="666"/>
      <c r="C1906" s="666"/>
      <c r="D1906" s="666"/>
      <c r="E1906" s="666"/>
      <c r="F1906" s="666"/>
      <c r="G1906" s="666"/>
      <c r="H1906" s="666"/>
      <c r="I1906" s="666"/>
      <c r="J1906" s="666"/>
    </row>
    <row r="1907" spans="1:10" ht="18" customHeight="1">
      <c r="A1907" s="686" t="s">
        <v>14878</v>
      </c>
      <c r="B1907" s="684" t="s">
        <v>13484</v>
      </c>
      <c r="C1907" s="686" t="s">
        <v>13483</v>
      </c>
      <c r="D1907" s="686" t="s">
        <v>13482</v>
      </c>
      <c r="E1907" s="924" t="s">
        <v>13481</v>
      </c>
      <c r="F1907" s="924"/>
      <c r="G1907" s="685" t="s">
        <v>13480</v>
      </c>
      <c r="H1907" s="684" t="s">
        <v>13479</v>
      </c>
      <c r="I1907" s="684" t="s">
        <v>13478</v>
      </c>
      <c r="J1907" s="684" t="s">
        <v>13477</v>
      </c>
    </row>
    <row r="1908" spans="1:10" ht="24" customHeight="1">
      <c r="A1908" s="682" t="s">
        <v>13476</v>
      </c>
      <c r="B1908" s="683" t="s">
        <v>14877</v>
      </c>
      <c r="C1908" s="682" t="s">
        <v>7</v>
      </c>
      <c r="D1908" s="682" t="s">
        <v>1360</v>
      </c>
      <c r="E1908" s="917" t="s">
        <v>13474</v>
      </c>
      <c r="F1908" s="917"/>
      <c r="G1908" s="681" t="s">
        <v>14</v>
      </c>
      <c r="H1908" s="680">
        <v>1</v>
      </c>
      <c r="I1908" s="679">
        <v>15.42</v>
      </c>
      <c r="J1908" s="679">
        <v>15.42</v>
      </c>
    </row>
    <row r="1909" spans="1:10" ht="24" customHeight="1">
      <c r="A1909" s="677" t="s">
        <v>13472</v>
      </c>
      <c r="B1909" s="678" t="s">
        <v>13526</v>
      </c>
      <c r="C1909" s="677" t="s">
        <v>7</v>
      </c>
      <c r="D1909" s="677" t="s">
        <v>1093</v>
      </c>
      <c r="E1909" s="918" t="s">
        <v>13470</v>
      </c>
      <c r="F1909" s="918"/>
      <c r="G1909" s="676" t="s">
        <v>19</v>
      </c>
      <c r="H1909" s="675">
        <v>2.9000000000000001E-2</v>
      </c>
      <c r="I1909" s="674">
        <v>13.48</v>
      </c>
      <c r="J1909" s="674">
        <v>0.39</v>
      </c>
    </row>
    <row r="1910" spans="1:10" ht="24" customHeight="1">
      <c r="A1910" s="677" t="s">
        <v>13472</v>
      </c>
      <c r="B1910" s="678" t="s">
        <v>13473</v>
      </c>
      <c r="C1910" s="677" t="s">
        <v>7</v>
      </c>
      <c r="D1910" s="677" t="s">
        <v>44</v>
      </c>
      <c r="E1910" s="918" t="s">
        <v>13470</v>
      </c>
      <c r="F1910" s="918"/>
      <c r="G1910" s="676" t="s">
        <v>19</v>
      </c>
      <c r="H1910" s="675">
        <v>2.9000000000000001E-2</v>
      </c>
      <c r="I1910" s="674">
        <v>17.66</v>
      </c>
      <c r="J1910" s="674">
        <v>0.51</v>
      </c>
    </row>
    <row r="1911" spans="1:10" ht="24" customHeight="1">
      <c r="A1911" s="672" t="s">
        <v>13467</v>
      </c>
      <c r="B1911" s="673" t="s">
        <v>13523</v>
      </c>
      <c r="C1911" s="672" t="s">
        <v>7</v>
      </c>
      <c r="D1911" s="672" t="s">
        <v>13522</v>
      </c>
      <c r="E1911" s="919" t="s">
        <v>13464</v>
      </c>
      <c r="F1911" s="919"/>
      <c r="G1911" s="671" t="s">
        <v>34</v>
      </c>
      <c r="H1911" s="670">
        <v>0.01</v>
      </c>
      <c r="I1911" s="669">
        <v>2.2000000000000002</v>
      </c>
      <c r="J1911" s="669">
        <v>0.02</v>
      </c>
    </row>
    <row r="1912" spans="1:10" ht="24" customHeight="1">
      <c r="A1912" s="672" t="s">
        <v>13467</v>
      </c>
      <c r="B1912" s="673" t="s">
        <v>14876</v>
      </c>
      <c r="C1912" s="672" t="s">
        <v>7</v>
      </c>
      <c r="D1912" s="672" t="s">
        <v>14875</v>
      </c>
      <c r="E1912" s="919" t="s">
        <v>13464</v>
      </c>
      <c r="F1912" s="919"/>
      <c r="G1912" s="671" t="s">
        <v>14</v>
      </c>
      <c r="H1912" s="670">
        <v>1.0609999999999999</v>
      </c>
      <c r="I1912" s="669">
        <v>13.67</v>
      </c>
      <c r="J1912" s="669">
        <v>14.5</v>
      </c>
    </row>
    <row r="1913" spans="1:10" ht="25.5">
      <c r="A1913" s="668"/>
      <c r="B1913" s="668"/>
      <c r="C1913" s="668"/>
      <c r="D1913" s="668"/>
      <c r="E1913" s="668" t="s">
        <v>13463</v>
      </c>
      <c r="F1913" s="667">
        <v>0.38031076822775184</v>
      </c>
      <c r="G1913" s="668" t="s">
        <v>13462</v>
      </c>
      <c r="H1913" s="667">
        <v>0.32</v>
      </c>
      <c r="I1913" s="668" t="s">
        <v>13461</v>
      </c>
      <c r="J1913" s="667">
        <v>0.7</v>
      </c>
    </row>
    <row r="1914" spans="1:10" ht="15" thickBot="1">
      <c r="A1914" s="668"/>
      <c r="B1914" s="668"/>
      <c r="C1914" s="668"/>
      <c r="D1914" s="668"/>
      <c r="E1914" s="668" t="s">
        <v>13460</v>
      </c>
      <c r="F1914" s="667">
        <v>4.3499999999999996</v>
      </c>
      <c r="G1914" s="668"/>
      <c r="H1914" s="925" t="s">
        <v>13459</v>
      </c>
      <c r="I1914" s="925"/>
      <c r="J1914" s="667">
        <v>19.77</v>
      </c>
    </row>
    <row r="1915" spans="1:10" ht="0.95" customHeight="1" thickTop="1">
      <c r="A1915" s="666"/>
      <c r="B1915" s="666"/>
      <c r="C1915" s="666"/>
      <c r="D1915" s="666"/>
      <c r="E1915" s="666"/>
      <c r="F1915" s="666"/>
      <c r="G1915" s="666"/>
      <c r="H1915" s="666"/>
      <c r="I1915" s="666"/>
      <c r="J1915" s="666"/>
    </row>
    <row r="1916" spans="1:10" ht="18" customHeight="1">
      <c r="A1916" s="686" t="s">
        <v>14874</v>
      </c>
      <c r="B1916" s="684" t="s">
        <v>13484</v>
      </c>
      <c r="C1916" s="686" t="s">
        <v>13483</v>
      </c>
      <c r="D1916" s="686" t="s">
        <v>13482</v>
      </c>
      <c r="E1916" s="924" t="s">
        <v>13481</v>
      </c>
      <c r="F1916" s="924"/>
      <c r="G1916" s="685" t="s">
        <v>13480</v>
      </c>
      <c r="H1916" s="684" t="s">
        <v>13479</v>
      </c>
      <c r="I1916" s="684" t="s">
        <v>13478</v>
      </c>
      <c r="J1916" s="684" t="s">
        <v>13477</v>
      </c>
    </row>
    <row r="1917" spans="1:10" ht="24" customHeight="1">
      <c r="A1917" s="682" t="s">
        <v>13476</v>
      </c>
      <c r="B1917" s="683" t="s">
        <v>14873</v>
      </c>
      <c r="C1917" s="682" t="s">
        <v>7</v>
      </c>
      <c r="D1917" s="682" t="s">
        <v>1361</v>
      </c>
      <c r="E1917" s="917" t="s">
        <v>13474</v>
      </c>
      <c r="F1917" s="917"/>
      <c r="G1917" s="681" t="s">
        <v>14</v>
      </c>
      <c r="H1917" s="680">
        <v>1</v>
      </c>
      <c r="I1917" s="679">
        <v>25.53</v>
      </c>
      <c r="J1917" s="679">
        <v>25.53</v>
      </c>
    </row>
    <row r="1918" spans="1:10" ht="24" customHeight="1">
      <c r="A1918" s="677" t="s">
        <v>13472</v>
      </c>
      <c r="B1918" s="678" t="s">
        <v>13526</v>
      </c>
      <c r="C1918" s="677" t="s">
        <v>7</v>
      </c>
      <c r="D1918" s="677" t="s">
        <v>1093</v>
      </c>
      <c r="E1918" s="918" t="s">
        <v>13470</v>
      </c>
      <c r="F1918" s="918"/>
      <c r="G1918" s="676" t="s">
        <v>19</v>
      </c>
      <c r="H1918" s="675">
        <v>3.4000000000000002E-2</v>
      </c>
      <c r="I1918" s="674">
        <v>13.48</v>
      </c>
      <c r="J1918" s="674">
        <v>0.45</v>
      </c>
    </row>
    <row r="1919" spans="1:10" ht="24" customHeight="1">
      <c r="A1919" s="677" t="s">
        <v>13472</v>
      </c>
      <c r="B1919" s="678" t="s">
        <v>13473</v>
      </c>
      <c r="C1919" s="677" t="s">
        <v>7</v>
      </c>
      <c r="D1919" s="677" t="s">
        <v>44</v>
      </c>
      <c r="E1919" s="918" t="s">
        <v>13470</v>
      </c>
      <c r="F1919" s="918"/>
      <c r="G1919" s="676" t="s">
        <v>19</v>
      </c>
      <c r="H1919" s="675">
        <v>3.4000000000000002E-2</v>
      </c>
      <c r="I1919" s="674">
        <v>17.66</v>
      </c>
      <c r="J1919" s="674">
        <v>0.6</v>
      </c>
    </row>
    <row r="1920" spans="1:10" ht="24" customHeight="1">
      <c r="A1920" s="672" t="s">
        <v>13467</v>
      </c>
      <c r="B1920" s="673" t="s">
        <v>13523</v>
      </c>
      <c r="C1920" s="672" t="s">
        <v>7</v>
      </c>
      <c r="D1920" s="672" t="s">
        <v>13522</v>
      </c>
      <c r="E1920" s="919" t="s">
        <v>13464</v>
      </c>
      <c r="F1920" s="919"/>
      <c r="G1920" s="671" t="s">
        <v>34</v>
      </c>
      <c r="H1920" s="670">
        <v>1.0999999999999999E-2</v>
      </c>
      <c r="I1920" s="669">
        <v>2.2000000000000002</v>
      </c>
      <c r="J1920" s="669">
        <v>0.02</v>
      </c>
    </row>
    <row r="1921" spans="1:10" ht="24" customHeight="1">
      <c r="A1921" s="672" t="s">
        <v>13467</v>
      </c>
      <c r="B1921" s="673" t="s">
        <v>14872</v>
      </c>
      <c r="C1921" s="672" t="s">
        <v>7</v>
      </c>
      <c r="D1921" s="672" t="s">
        <v>14871</v>
      </c>
      <c r="E1921" s="919" t="s">
        <v>13464</v>
      </c>
      <c r="F1921" s="919"/>
      <c r="G1921" s="671" t="s">
        <v>14</v>
      </c>
      <c r="H1921" s="670">
        <v>1.0609999999999999</v>
      </c>
      <c r="I1921" s="669">
        <v>23.06</v>
      </c>
      <c r="J1921" s="669">
        <v>24.46</v>
      </c>
    </row>
    <row r="1922" spans="1:10" ht="25.5">
      <c r="A1922" s="668"/>
      <c r="B1922" s="668"/>
      <c r="C1922" s="668"/>
      <c r="D1922" s="668"/>
      <c r="E1922" s="668" t="s">
        <v>13463</v>
      </c>
      <c r="F1922" s="667">
        <v>0.44550689992393783</v>
      </c>
      <c r="G1922" s="668" t="s">
        <v>13462</v>
      </c>
      <c r="H1922" s="667">
        <v>0.37</v>
      </c>
      <c r="I1922" s="668" t="s">
        <v>13461</v>
      </c>
      <c r="J1922" s="667">
        <v>0.82</v>
      </c>
    </row>
    <row r="1923" spans="1:10" ht="15" thickBot="1">
      <c r="A1923" s="668"/>
      <c r="B1923" s="668"/>
      <c r="C1923" s="668"/>
      <c r="D1923" s="668"/>
      <c r="E1923" s="668" t="s">
        <v>13460</v>
      </c>
      <c r="F1923" s="667">
        <v>7.2</v>
      </c>
      <c r="G1923" s="668"/>
      <c r="H1923" s="925" t="s">
        <v>13459</v>
      </c>
      <c r="I1923" s="925"/>
      <c r="J1923" s="667">
        <v>32.729999999999997</v>
      </c>
    </row>
    <row r="1924" spans="1:10" ht="0.95" customHeight="1" thickTop="1">
      <c r="A1924" s="666"/>
      <c r="B1924" s="666"/>
      <c r="C1924" s="666"/>
      <c r="D1924" s="666"/>
      <c r="E1924" s="666"/>
      <c r="F1924" s="666"/>
      <c r="G1924" s="666"/>
      <c r="H1924" s="666"/>
      <c r="I1924" s="666"/>
      <c r="J1924" s="666"/>
    </row>
    <row r="1925" spans="1:10" ht="18" customHeight="1">
      <c r="A1925" s="686" t="s">
        <v>14870</v>
      </c>
      <c r="B1925" s="684" t="s">
        <v>13484</v>
      </c>
      <c r="C1925" s="686" t="s">
        <v>13483</v>
      </c>
      <c r="D1925" s="686" t="s">
        <v>13482</v>
      </c>
      <c r="E1925" s="924" t="s">
        <v>13481</v>
      </c>
      <c r="F1925" s="924"/>
      <c r="G1925" s="685" t="s">
        <v>13480</v>
      </c>
      <c r="H1925" s="684" t="s">
        <v>13479</v>
      </c>
      <c r="I1925" s="684" t="s">
        <v>13478</v>
      </c>
      <c r="J1925" s="684" t="s">
        <v>13477</v>
      </c>
    </row>
    <row r="1926" spans="1:10" ht="24" customHeight="1">
      <c r="A1926" s="682" t="s">
        <v>13476</v>
      </c>
      <c r="B1926" s="683" t="s">
        <v>14869</v>
      </c>
      <c r="C1926" s="682" t="s">
        <v>7</v>
      </c>
      <c r="D1926" s="682" t="s">
        <v>1362</v>
      </c>
      <c r="E1926" s="917" t="s">
        <v>13474</v>
      </c>
      <c r="F1926" s="917"/>
      <c r="G1926" s="681" t="s">
        <v>14</v>
      </c>
      <c r="H1926" s="680">
        <v>1</v>
      </c>
      <c r="I1926" s="679">
        <v>42.31</v>
      </c>
      <c r="J1926" s="679">
        <v>42.31</v>
      </c>
    </row>
    <row r="1927" spans="1:10" ht="24" customHeight="1">
      <c r="A1927" s="677" t="s">
        <v>13472</v>
      </c>
      <c r="B1927" s="678" t="s">
        <v>13526</v>
      </c>
      <c r="C1927" s="677" t="s">
        <v>7</v>
      </c>
      <c r="D1927" s="677" t="s">
        <v>1093</v>
      </c>
      <c r="E1927" s="918" t="s">
        <v>13470</v>
      </c>
      <c r="F1927" s="918"/>
      <c r="G1927" s="676" t="s">
        <v>19</v>
      </c>
      <c r="H1927" s="675">
        <v>4.2000000000000003E-2</v>
      </c>
      <c r="I1927" s="674">
        <v>13.48</v>
      </c>
      <c r="J1927" s="674">
        <v>0.56000000000000005</v>
      </c>
    </row>
    <row r="1928" spans="1:10" ht="24" customHeight="1">
      <c r="A1928" s="677" t="s">
        <v>13472</v>
      </c>
      <c r="B1928" s="678" t="s">
        <v>13473</v>
      </c>
      <c r="C1928" s="677" t="s">
        <v>7</v>
      </c>
      <c r="D1928" s="677" t="s">
        <v>44</v>
      </c>
      <c r="E1928" s="918" t="s">
        <v>13470</v>
      </c>
      <c r="F1928" s="918"/>
      <c r="G1928" s="676" t="s">
        <v>19</v>
      </c>
      <c r="H1928" s="675">
        <v>4.2000000000000003E-2</v>
      </c>
      <c r="I1928" s="674">
        <v>17.66</v>
      </c>
      <c r="J1928" s="674">
        <v>0.74</v>
      </c>
    </row>
    <row r="1929" spans="1:10" ht="24" customHeight="1">
      <c r="A1929" s="672" t="s">
        <v>13467</v>
      </c>
      <c r="B1929" s="673" t="s">
        <v>13523</v>
      </c>
      <c r="C1929" s="672" t="s">
        <v>7</v>
      </c>
      <c r="D1929" s="672" t="s">
        <v>13522</v>
      </c>
      <c r="E1929" s="919" t="s">
        <v>13464</v>
      </c>
      <c r="F1929" s="919"/>
      <c r="G1929" s="671" t="s">
        <v>34</v>
      </c>
      <c r="H1929" s="670">
        <v>1.4E-2</v>
      </c>
      <c r="I1929" s="669">
        <v>2.2000000000000002</v>
      </c>
      <c r="J1929" s="669">
        <v>0.03</v>
      </c>
    </row>
    <row r="1930" spans="1:10" ht="24" customHeight="1">
      <c r="A1930" s="672" t="s">
        <v>13467</v>
      </c>
      <c r="B1930" s="673" t="s">
        <v>14868</v>
      </c>
      <c r="C1930" s="672" t="s">
        <v>7</v>
      </c>
      <c r="D1930" s="672" t="s">
        <v>14867</v>
      </c>
      <c r="E1930" s="919" t="s">
        <v>13464</v>
      </c>
      <c r="F1930" s="919"/>
      <c r="G1930" s="671" t="s">
        <v>14</v>
      </c>
      <c r="H1930" s="670">
        <v>1.0609999999999999</v>
      </c>
      <c r="I1930" s="669">
        <v>38.630000000000003</v>
      </c>
      <c r="J1930" s="669">
        <v>40.98</v>
      </c>
    </row>
    <row r="1931" spans="1:10" ht="25.5">
      <c r="A1931" s="668"/>
      <c r="B1931" s="668"/>
      <c r="C1931" s="668"/>
      <c r="D1931" s="668"/>
      <c r="E1931" s="668" t="s">
        <v>13463</v>
      </c>
      <c r="F1931" s="667">
        <v>0.55416711941758123</v>
      </c>
      <c r="G1931" s="668" t="s">
        <v>13462</v>
      </c>
      <c r="H1931" s="667">
        <v>0.47</v>
      </c>
      <c r="I1931" s="668" t="s">
        <v>13461</v>
      </c>
      <c r="J1931" s="667">
        <v>1.02</v>
      </c>
    </row>
    <row r="1932" spans="1:10" ht="15" thickBot="1">
      <c r="A1932" s="668"/>
      <c r="B1932" s="668"/>
      <c r="C1932" s="668"/>
      <c r="D1932" s="668"/>
      <c r="E1932" s="668" t="s">
        <v>13460</v>
      </c>
      <c r="F1932" s="667">
        <v>11.94</v>
      </c>
      <c r="G1932" s="668"/>
      <c r="H1932" s="925" t="s">
        <v>13459</v>
      </c>
      <c r="I1932" s="925"/>
      <c r="J1932" s="667">
        <v>54.25</v>
      </c>
    </row>
    <row r="1933" spans="1:10" ht="0.95" customHeight="1" thickTop="1">
      <c r="A1933" s="666"/>
      <c r="B1933" s="666"/>
      <c r="C1933" s="666"/>
      <c r="D1933" s="666"/>
      <c r="E1933" s="666"/>
      <c r="F1933" s="666"/>
      <c r="G1933" s="666"/>
      <c r="H1933" s="666"/>
      <c r="I1933" s="666"/>
      <c r="J1933" s="666"/>
    </row>
    <row r="1934" spans="1:10" ht="18" customHeight="1">
      <c r="A1934" s="686" t="s">
        <v>14866</v>
      </c>
      <c r="B1934" s="684" t="s">
        <v>13484</v>
      </c>
      <c r="C1934" s="686" t="s">
        <v>13483</v>
      </c>
      <c r="D1934" s="686" t="s">
        <v>13482</v>
      </c>
      <c r="E1934" s="924" t="s">
        <v>13481</v>
      </c>
      <c r="F1934" s="924"/>
      <c r="G1934" s="685" t="s">
        <v>13480</v>
      </c>
      <c r="H1934" s="684" t="s">
        <v>13479</v>
      </c>
      <c r="I1934" s="684" t="s">
        <v>13478</v>
      </c>
      <c r="J1934" s="684" t="s">
        <v>13477</v>
      </c>
    </row>
    <row r="1935" spans="1:10" ht="24" customHeight="1">
      <c r="A1935" s="682" t="s">
        <v>13476</v>
      </c>
      <c r="B1935" s="683" t="s">
        <v>14865</v>
      </c>
      <c r="C1935" s="682" t="s">
        <v>7</v>
      </c>
      <c r="D1935" s="682" t="s">
        <v>1363</v>
      </c>
      <c r="E1935" s="917" t="s">
        <v>13474</v>
      </c>
      <c r="F1935" s="917"/>
      <c r="G1935" s="681" t="s">
        <v>14</v>
      </c>
      <c r="H1935" s="680">
        <v>1</v>
      </c>
      <c r="I1935" s="679">
        <v>52.7</v>
      </c>
      <c r="J1935" s="679">
        <v>52.7</v>
      </c>
    </row>
    <row r="1936" spans="1:10" ht="24" customHeight="1">
      <c r="A1936" s="677" t="s">
        <v>13472</v>
      </c>
      <c r="B1936" s="678" t="s">
        <v>13526</v>
      </c>
      <c r="C1936" s="677" t="s">
        <v>7</v>
      </c>
      <c r="D1936" s="677" t="s">
        <v>1093</v>
      </c>
      <c r="E1936" s="918" t="s">
        <v>13470</v>
      </c>
      <c r="F1936" s="918"/>
      <c r="G1936" s="676" t="s">
        <v>19</v>
      </c>
      <c r="H1936" s="675">
        <v>4.7E-2</v>
      </c>
      <c r="I1936" s="674">
        <v>13.48</v>
      </c>
      <c r="J1936" s="674">
        <v>0.63</v>
      </c>
    </row>
    <row r="1937" spans="1:10" ht="24" customHeight="1">
      <c r="A1937" s="677" t="s">
        <v>13472</v>
      </c>
      <c r="B1937" s="678" t="s">
        <v>13473</v>
      </c>
      <c r="C1937" s="677" t="s">
        <v>7</v>
      </c>
      <c r="D1937" s="677" t="s">
        <v>44</v>
      </c>
      <c r="E1937" s="918" t="s">
        <v>13470</v>
      </c>
      <c r="F1937" s="918"/>
      <c r="G1937" s="676" t="s">
        <v>19</v>
      </c>
      <c r="H1937" s="675">
        <v>4.7E-2</v>
      </c>
      <c r="I1937" s="674">
        <v>17.66</v>
      </c>
      <c r="J1937" s="674">
        <v>0.83</v>
      </c>
    </row>
    <row r="1938" spans="1:10" ht="24" customHeight="1">
      <c r="A1938" s="672" t="s">
        <v>13467</v>
      </c>
      <c r="B1938" s="673" t="s">
        <v>13523</v>
      </c>
      <c r="C1938" s="672" t="s">
        <v>7</v>
      </c>
      <c r="D1938" s="672" t="s">
        <v>13522</v>
      </c>
      <c r="E1938" s="919" t="s">
        <v>13464</v>
      </c>
      <c r="F1938" s="919"/>
      <c r="G1938" s="671" t="s">
        <v>34</v>
      </c>
      <c r="H1938" s="670">
        <v>1.6E-2</v>
      </c>
      <c r="I1938" s="669">
        <v>2.2000000000000002</v>
      </c>
      <c r="J1938" s="669">
        <v>0.03</v>
      </c>
    </row>
    <row r="1939" spans="1:10" ht="24" customHeight="1">
      <c r="A1939" s="672" t="s">
        <v>13467</v>
      </c>
      <c r="B1939" s="673" t="s">
        <v>14864</v>
      </c>
      <c r="C1939" s="672" t="s">
        <v>7</v>
      </c>
      <c r="D1939" s="672" t="s">
        <v>14863</v>
      </c>
      <c r="E1939" s="919" t="s">
        <v>13464</v>
      </c>
      <c r="F1939" s="919"/>
      <c r="G1939" s="671" t="s">
        <v>14</v>
      </c>
      <c r="H1939" s="670">
        <v>1.0609999999999999</v>
      </c>
      <c r="I1939" s="669">
        <v>48.27</v>
      </c>
      <c r="J1939" s="669">
        <v>51.21</v>
      </c>
    </row>
    <row r="1940" spans="1:10" ht="25.5">
      <c r="A1940" s="668"/>
      <c r="B1940" s="668"/>
      <c r="C1940" s="668"/>
      <c r="D1940" s="668"/>
      <c r="E1940" s="668" t="s">
        <v>13463</v>
      </c>
      <c r="F1940" s="667">
        <v>0.61936325111376722</v>
      </c>
      <c r="G1940" s="668" t="s">
        <v>13462</v>
      </c>
      <c r="H1940" s="667">
        <v>0.52</v>
      </c>
      <c r="I1940" s="668" t="s">
        <v>13461</v>
      </c>
      <c r="J1940" s="667">
        <v>1.1399999999999999</v>
      </c>
    </row>
    <row r="1941" spans="1:10" ht="15" thickBot="1">
      <c r="A1941" s="668"/>
      <c r="B1941" s="668"/>
      <c r="C1941" s="668"/>
      <c r="D1941" s="668"/>
      <c r="E1941" s="668" t="s">
        <v>13460</v>
      </c>
      <c r="F1941" s="667">
        <v>14.88</v>
      </c>
      <c r="G1941" s="668"/>
      <c r="H1941" s="925" t="s">
        <v>13459</v>
      </c>
      <c r="I1941" s="925"/>
      <c r="J1941" s="667">
        <v>67.58</v>
      </c>
    </row>
    <row r="1942" spans="1:10" ht="0.95" customHeight="1" thickTop="1">
      <c r="A1942" s="666"/>
      <c r="B1942" s="666"/>
      <c r="C1942" s="666"/>
      <c r="D1942" s="666"/>
      <c r="E1942" s="666"/>
      <c r="F1942" s="666"/>
      <c r="G1942" s="666"/>
      <c r="H1942" s="666"/>
      <c r="I1942" s="666"/>
      <c r="J1942" s="666"/>
    </row>
    <row r="1943" spans="1:10" ht="18" customHeight="1">
      <c r="A1943" s="686" t="s">
        <v>14862</v>
      </c>
      <c r="B1943" s="684" t="s">
        <v>13484</v>
      </c>
      <c r="C1943" s="686" t="s">
        <v>13483</v>
      </c>
      <c r="D1943" s="686" t="s">
        <v>13482</v>
      </c>
      <c r="E1943" s="924" t="s">
        <v>13481</v>
      </c>
      <c r="F1943" s="924"/>
      <c r="G1943" s="685" t="s">
        <v>13480</v>
      </c>
      <c r="H1943" s="684" t="s">
        <v>13479</v>
      </c>
      <c r="I1943" s="684" t="s">
        <v>13478</v>
      </c>
      <c r="J1943" s="684" t="s">
        <v>13477</v>
      </c>
    </row>
    <row r="1944" spans="1:10" ht="36" customHeight="1">
      <c r="A1944" s="682" t="s">
        <v>13476</v>
      </c>
      <c r="B1944" s="683" t="s">
        <v>14861</v>
      </c>
      <c r="C1944" s="682" t="s">
        <v>7</v>
      </c>
      <c r="D1944" s="682" t="s">
        <v>245</v>
      </c>
      <c r="E1944" s="917" t="s">
        <v>13474</v>
      </c>
      <c r="F1944" s="917"/>
      <c r="G1944" s="681" t="s">
        <v>34</v>
      </c>
      <c r="H1944" s="680">
        <v>1</v>
      </c>
      <c r="I1944" s="679">
        <v>6.8</v>
      </c>
      <c r="J1944" s="679">
        <v>6.8</v>
      </c>
    </row>
    <row r="1945" spans="1:10" ht="24" customHeight="1">
      <c r="A1945" s="677" t="s">
        <v>13472</v>
      </c>
      <c r="B1945" s="678" t="s">
        <v>13526</v>
      </c>
      <c r="C1945" s="677" t="s">
        <v>7</v>
      </c>
      <c r="D1945" s="677" t="s">
        <v>1093</v>
      </c>
      <c r="E1945" s="918" t="s">
        <v>13470</v>
      </c>
      <c r="F1945" s="918"/>
      <c r="G1945" s="676" t="s">
        <v>19</v>
      </c>
      <c r="H1945" s="675">
        <v>0.12</v>
      </c>
      <c r="I1945" s="674">
        <v>13.48</v>
      </c>
      <c r="J1945" s="674">
        <v>1.61</v>
      </c>
    </row>
    <row r="1946" spans="1:10" ht="24" customHeight="1">
      <c r="A1946" s="677" t="s">
        <v>13472</v>
      </c>
      <c r="B1946" s="678" t="s">
        <v>13473</v>
      </c>
      <c r="C1946" s="677" t="s">
        <v>7</v>
      </c>
      <c r="D1946" s="677" t="s">
        <v>44</v>
      </c>
      <c r="E1946" s="918" t="s">
        <v>13470</v>
      </c>
      <c r="F1946" s="918"/>
      <c r="G1946" s="676" t="s">
        <v>19</v>
      </c>
      <c r="H1946" s="675">
        <v>0.12</v>
      </c>
      <c r="I1946" s="674">
        <v>17.66</v>
      </c>
      <c r="J1946" s="674">
        <v>2.11</v>
      </c>
    </row>
    <row r="1947" spans="1:10" ht="24" customHeight="1">
      <c r="A1947" s="672" t="s">
        <v>13467</v>
      </c>
      <c r="B1947" s="673" t="s">
        <v>14762</v>
      </c>
      <c r="C1947" s="672" t="s">
        <v>7</v>
      </c>
      <c r="D1947" s="672" t="s">
        <v>14761</v>
      </c>
      <c r="E1947" s="919" t="s">
        <v>13464</v>
      </c>
      <c r="F1947" s="919"/>
      <c r="G1947" s="671" t="s">
        <v>34</v>
      </c>
      <c r="H1947" s="670">
        <v>1.0999999999999999E-2</v>
      </c>
      <c r="I1947" s="669">
        <v>83.11</v>
      </c>
      <c r="J1947" s="669">
        <v>0.91</v>
      </c>
    </row>
    <row r="1948" spans="1:10" ht="24" customHeight="1">
      <c r="A1948" s="672" t="s">
        <v>13467</v>
      </c>
      <c r="B1948" s="673" t="s">
        <v>13523</v>
      </c>
      <c r="C1948" s="672" t="s">
        <v>7</v>
      </c>
      <c r="D1948" s="672" t="s">
        <v>13522</v>
      </c>
      <c r="E1948" s="919" t="s">
        <v>13464</v>
      </c>
      <c r="F1948" s="919"/>
      <c r="G1948" s="671" t="s">
        <v>34</v>
      </c>
      <c r="H1948" s="670">
        <v>4.4999999999999998E-2</v>
      </c>
      <c r="I1948" s="669">
        <v>2.2000000000000002</v>
      </c>
      <c r="J1948" s="669">
        <v>0.09</v>
      </c>
    </row>
    <row r="1949" spans="1:10" ht="24" customHeight="1">
      <c r="A1949" s="672" t="s">
        <v>13467</v>
      </c>
      <c r="B1949" s="673" t="s">
        <v>13521</v>
      </c>
      <c r="C1949" s="672" t="s">
        <v>7</v>
      </c>
      <c r="D1949" s="672" t="s">
        <v>13520</v>
      </c>
      <c r="E1949" s="919" t="s">
        <v>13464</v>
      </c>
      <c r="F1949" s="919"/>
      <c r="G1949" s="671" t="s">
        <v>34</v>
      </c>
      <c r="H1949" s="670">
        <v>1.2E-2</v>
      </c>
      <c r="I1949" s="669">
        <v>72.17</v>
      </c>
      <c r="J1949" s="669">
        <v>0.86</v>
      </c>
    </row>
    <row r="1950" spans="1:10" ht="24" customHeight="1">
      <c r="A1950" s="672" t="s">
        <v>13467</v>
      </c>
      <c r="B1950" s="673" t="s">
        <v>13519</v>
      </c>
      <c r="C1950" s="672" t="s">
        <v>7</v>
      </c>
      <c r="D1950" s="672" t="s">
        <v>13518</v>
      </c>
      <c r="E1950" s="919" t="s">
        <v>13464</v>
      </c>
      <c r="F1950" s="919"/>
      <c r="G1950" s="671" t="s">
        <v>34</v>
      </c>
      <c r="H1950" s="670">
        <v>1</v>
      </c>
      <c r="I1950" s="669">
        <v>1.22</v>
      </c>
      <c r="J1950" s="669">
        <v>1.22</v>
      </c>
    </row>
    <row r="1951" spans="1:10" ht="25.5">
      <c r="A1951" s="668"/>
      <c r="B1951" s="668"/>
      <c r="C1951" s="668"/>
      <c r="D1951" s="668"/>
      <c r="E1951" s="668" t="s">
        <v>13463</v>
      </c>
      <c r="F1951" s="667">
        <v>1.5864392046071933</v>
      </c>
      <c r="G1951" s="668" t="s">
        <v>13462</v>
      </c>
      <c r="H1951" s="667">
        <v>1.33</v>
      </c>
      <c r="I1951" s="668" t="s">
        <v>13461</v>
      </c>
      <c r="J1951" s="667">
        <v>2.92</v>
      </c>
    </row>
    <row r="1952" spans="1:10" ht="15" thickBot="1">
      <c r="A1952" s="668"/>
      <c r="B1952" s="668"/>
      <c r="C1952" s="668"/>
      <c r="D1952" s="668"/>
      <c r="E1952" s="668" t="s">
        <v>13460</v>
      </c>
      <c r="F1952" s="667">
        <v>1.92</v>
      </c>
      <c r="G1952" s="668"/>
      <c r="H1952" s="925" t="s">
        <v>13459</v>
      </c>
      <c r="I1952" s="925"/>
      <c r="J1952" s="667">
        <v>8.7200000000000006</v>
      </c>
    </row>
    <row r="1953" spans="1:10" ht="0.95" customHeight="1" thickTop="1">
      <c r="A1953" s="666"/>
      <c r="B1953" s="666"/>
      <c r="C1953" s="666"/>
      <c r="D1953" s="666"/>
      <c r="E1953" s="666"/>
      <c r="F1953" s="666"/>
      <c r="G1953" s="666"/>
      <c r="H1953" s="666"/>
      <c r="I1953" s="666"/>
      <c r="J1953" s="666"/>
    </row>
    <row r="1954" spans="1:10" ht="18" customHeight="1">
      <c r="A1954" s="686" t="s">
        <v>14860</v>
      </c>
      <c r="B1954" s="684" t="s">
        <v>13484</v>
      </c>
      <c r="C1954" s="686" t="s">
        <v>13483</v>
      </c>
      <c r="D1954" s="686" t="s">
        <v>13482</v>
      </c>
      <c r="E1954" s="924" t="s">
        <v>13481</v>
      </c>
      <c r="F1954" s="924"/>
      <c r="G1954" s="685" t="s">
        <v>13480</v>
      </c>
      <c r="H1954" s="684" t="s">
        <v>13479</v>
      </c>
      <c r="I1954" s="684" t="s">
        <v>13478</v>
      </c>
      <c r="J1954" s="684" t="s">
        <v>13477</v>
      </c>
    </row>
    <row r="1955" spans="1:10" ht="24" customHeight="1">
      <c r="A1955" s="682" t="s">
        <v>13476</v>
      </c>
      <c r="B1955" s="683" t="s">
        <v>14859</v>
      </c>
      <c r="C1955" s="682" t="s">
        <v>7</v>
      </c>
      <c r="D1955" s="682" t="s">
        <v>1472</v>
      </c>
      <c r="E1955" s="917" t="s">
        <v>13474</v>
      </c>
      <c r="F1955" s="917"/>
      <c r="G1955" s="681" t="s">
        <v>34</v>
      </c>
      <c r="H1955" s="680">
        <v>1</v>
      </c>
      <c r="I1955" s="679">
        <v>41.11</v>
      </c>
      <c r="J1955" s="679">
        <v>41.11</v>
      </c>
    </row>
    <row r="1956" spans="1:10" ht="24" customHeight="1">
      <c r="A1956" s="677" t="s">
        <v>13472</v>
      </c>
      <c r="B1956" s="678" t="s">
        <v>13526</v>
      </c>
      <c r="C1956" s="677" t="s">
        <v>7</v>
      </c>
      <c r="D1956" s="677" t="s">
        <v>1093</v>
      </c>
      <c r="E1956" s="918" t="s">
        <v>13470</v>
      </c>
      <c r="F1956" s="918"/>
      <c r="G1956" s="676" t="s">
        <v>19</v>
      </c>
      <c r="H1956" s="675">
        <v>0.17</v>
      </c>
      <c r="I1956" s="674">
        <v>13.48</v>
      </c>
      <c r="J1956" s="674">
        <v>2.29</v>
      </c>
    </row>
    <row r="1957" spans="1:10" ht="24" customHeight="1">
      <c r="A1957" s="677" t="s">
        <v>13472</v>
      </c>
      <c r="B1957" s="678" t="s">
        <v>13473</v>
      </c>
      <c r="C1957" s="677" t="s">
        <v>7</v>
      </c>
      <c r="D1957" s="677" t="s">
        <v>44</v>
      </c>
      <c r="E1957" s="918" t="s">
        <v>13470</v>
      </c>
      <c r="F1957" s="918"/>
      <c r="G1957" s="676" t="s">
        <v>19</v>
      </c>
      <c r="H1957" s="675">
        <v>0.17</v>
      </c>
      <c r="I1957" s="674">
        <v>17.66</v>
      </c>
      <c r="J1957" s="674">
        <v>3</v>
      </c>
    </row>
    <row r="1958" spans="1:10" ht="24" customHeight="1">
      <c r="A1958" s="672" t="s">
        <v>13467</v>
      </c>
      <c r="B1958" s="673" t="s">
        <v>14762</v>
      </c>
      <c r="C1958" s="672" t="s">
        <v>7</v>
      </c>
      <c r="D1958" s="672" t="s">
        <v>14761</v>
      </c>
      <c r="E1958" s="919" t="s">
        <v>13464</v>
      </c>
      <c r="F1958" s="919"/>
      <c r="G1958" s="671" t="s">
        <v>34</v>
      </c>
      <c r="H1958" s="670">
        <v>3.5000000000000003E-2</v>
      </c>
      <c r="I1958" s="669">
        <v>83.11</v>
      </c>
      <c r="J1958" s="669">
        <v>2.9</v>
      </c>
    </row>
    <row r="1959" spans="1:10" ht="24" customHeight="1">
      <c r="A1959" s="672" t="s">
        <v>13467</v>
      </c>
      <c r="B1959" s="673" t="s">
        <v>13523</v>
      </c>
      <c r="C1959" s="672" t="s">
        <v>7</v>
      </c>
      <c r="D1959" s="672" t="s">
        <v>13522</v>
      </c>
      <c r="E1959" s="919" t="s">
        <v>13464</v>
      </c>
      <c r="F1959" s="919"/>
      <c r="G1959" s="671" t="s">
        <v>34</v>
      </c>
      <c r="H1959" s="670">
        <v>4.2999999999999997E-2</v>
      </c>
      <c r="I1959" s="669">
        <v>2.2000000000000002</v>
      </c>
      <c r="J1959" s="669">
        <v>0.09</v>
      </c>
    </row>
    <row r="1960" spans="1:10" ht="24" customHeight="1">
      <c r="A1960" s="672" t="s">
        <v>13467</v>
      </c>
      <c r="B1960" s="673" t="s">
        <v>13521</v>
      </c>
      <c r="C1960" s="672" t="s">
        <v>7</v>
      </c>
      <c r="D1960" s="672" t="s">
        <v>13520</v>
      </c>
      <c r="E1960" s="919" t="s">
        <v>13464</v>
      </c>
      <c r="F1960" s="919"/>
      <c r="G1960" s="671" t="s">
        <v>34</v>
      </c>
      <c r="H1960" s="670">
        <v>4.4999999999999998E-2</v>
      </c>
      <c r="I1960" s="669">
        <v>72.17</v>
      </c>
      <c r="J1960" s="669">
        <v>3.24</v>
      </c>
    </row>
    <row r="1961" spans="1:10" ht="24" customHeight="1">
      <c r="A1961" s="672" t="s">
        <v>13467</v>
      </c>
      <c r="B1961" s="673" t="s">
        <v>14858</v>
      </c>
      <c r="C1961" s="672" t="s">
        <v>7</v>
      </c>
      <c r="D1961" s="672" t="s">
        <v>14857</v>
      </c>
      <c r="E1961" s="919" t="s">
        <v>13464</v>
      </c>
      <c r="F1961" s="919"/>
      <c r="G1961" s="671" t="s">
        <v>34</v>
      </c>
      <c r="H1961" s="670">
        <v>1</v>
      </c>
      <c r="I1961" s="669">
        <v>29.59</v>
      </c>
      <c r="J1961" s="669">
        <v>29.59</v>
      </c>
    </row>
    <row r="1962" spans="1:10" ht="25.5">
      <c r="A1962" s="668"/>
      <c r="B1962" s="668"/>
      <c r="C1962" s="668"/>
      <c r="D1962" s="668"/>
      <c r="E1962" s="668" t="s">
        <v>13463</v>
      </c>
      <c r="F1962" s="667">
        <v>2.2546995544930999</v>
      </c>
      <c r="G1962" s="668" t="s">
        <v>13462</v>
      </c>
      <c r="H1962" s="667">
        <v>1.9</v>
      </c>
      <c r="I1962" s="668" t="s">
        <v>13461</v>
      </c>
      <c r="J1962" s="667">
        <v>4.1500000000000004</v>
      </c>
    </row>
    <row r="1963" spans="1:10" ht="15" thickBot="1">
      <c r="A1963" s="668"/>
      <c r="B1963" s="668"/>
      <c r="C1963" s="668"/>
      <c r="D1963" s="668"/>
      <c r="E1963" s="668" t="s">
        <v>13460</v>
      </c>
      <c r="F1963" s="667">
        <v>11.6</v>
      </c>
      <c r="G1963" s="668"/>
      <c r="H1963" s="925" t="s">
        <v>13459</v>
      </c>
      <c r="I1963" s="925"/>
      <c r="J1963" s="667">
        <v>52.71</v>
      </c>
    </row>
    <row r="1964" spans="1:10" ht="0.95" customHeight="1" thickTop="1">
      <c r="A1964" s="666"/>
      <c r="B1964" s="666"/>
      <c r="C1964" s="666"/>
      <c r="D1964" s="666"/>
      <c r="E1964" s="666"/>
      <c r="F1964" s="666"/>
      <c r="G1964" s="666"/>
      <c r="H1964" s="666"/>
      <c r="I1964" s="666"/>
      <c r="J1964" s="666"/>
    </row>
    <row r="1965" spans="1:10" ht="18" customHeight="1">
      <c r="A1965" s="686" t="s">
        <v>14856</v>
      </c>
      <c r="B1965" s="684" t="s">
        <v>13484</v>
      </c>
      <c r="C1965" s="686" t="s">
        <v>13483</v>
      </c>
      <c r="D1965" s="686" t="s">
        <v>13482</v>
      </c>
      <c r="E1965" s="924" t="s">
        <v>13481</v>
      </c>
      <c r="F1965" s="924"/>
      <c r="G1965" s="685" t="s">
        <v>13480</v>
      </c>
      <c r="H1965" s="684" t="s">
        <v>13479</v>
      </c>
      <c r="I1965" s="684" t="s">
        <v>13478</v>
      </c>
      <c r="J1965" s="684" t="s">
        <v>13477</v>
      </c>
    </row>
    <row r="1966" spans="1:10" ht="24" customHeight="1">
      <c r="A1966" s="682" t="s">
        <v>13476</v>
      </c>
      <c r="B1966" s="683" t="s">
        <v>14855</v>
      </c>
      <c r="C1966" s="682" t="s">
        <v>7</v>
      </c>
      <c r="D1966" s="682" t="s">
        <v>1473</v>
      </c>
      <c r="E1966" s="917" t="s">
        <v>13474</v>
      </c>
      <c r="F1966" s="917"/>
      <c r="G1966" s="681" t="s">
        <v>34</v>
      </c>
      <c r="H1966" s="680">
        <v>1</v>
      </c>
      <c r="I1966" s="679">
        <v>76.41</v>
      </c>
      <c r="J1966" s="679">
        <v>76.41</v>
      </c>
    </row>
    <row r="1967" spans="1:10" ht="24" customHeight="1">
      <c r="A1967" s="677" t="s">
        <v>13472</v>
      </c>
      <c r="B1967" s="678" t="s">
        <v>13526</v>
      </c>
      <c r="C1967" s="677" t="s">
        <v>7</v>
      </c>
      <c r="D1967" s="677" t="s">
        <v>1093</v>
      </c>
      <c r="E1967" s="918" t="s">
        <v>13470</v>
      </c>
      <c r="F1967" s="918"/>
      <c r="G1967" s="676" t="s">
        <v>19</v>
      </c>
      <c r="H1967" s="675">
        <v>0.20899999999999999</v>
      </c>
      <c r="I1967" s="674">
        <v>13.48</v>
      </c>
      <c r="J1967" s="674">
        <v>2.81</v>
      </c>
    </row>
    <row r="1968" spans="1:10" ht="24" customHeight="1">
      <c r="A1968" s="677" t="s">
        <v>13472</v>
      </c>
      <c r="B1968" s="678" t="s">
        <v>13473</v>
      </c>
      <c r="C1968" s="677" t="s">
        <v>7</v>
      </c>
      <c r="D1968" s="677" t="s">
        <v>44</v>
      </c>
      <c r="E1968" s="918" t="s">
        <v>13470</v>
      </c>
      <c r="F1968" s="918"/>
      <c r="G1968" s="676" t="s">
        <v>19</v>
      </c>
      <c r="H1968" s="675">
        <v>0.20899999999999999</v>
      </c>
      <c r="I1968" s="674">
        <v>17.66</v>
      </c>
      <c r="J1968" s="674">
        <v>3.69</v>
      </c>
    </row>
    <row r="1969" spans="1:10" ht="24" customHeight="1">
      <c r="A1969" s="672" t="s">
        <v>13467</v>
      </c>
      <c r="B1969" s="673" t="s">
        <v>14762</v>
      </c>
      <c r="C1969" s="672" t="s">
        <v>7</v>
      </c>
      <c r="D1969" s="672" t="s">
        <v>14761</v>
      </c>
      <c r="E1969" s="919" t="s">
        <v>13464</v>
      </c>
      <c r="F1969" s="919"/>
      <c r="G1969" s="671" t="s">
        <v>34</v>
      </c>
      <c r="H1969" s="670">
        <v>0.06</v>
      </c>
      <c r="I1969" s="669">
        <v>83.11</v>
      </c>
      <c r="J1969" s="669">
        <v>4.9800000000000004</v>
      </c>
    </row>
    <row r="1970" spans="1:10" ht="24" customHeight="1">
      <c r="A1970" s="672" t="s">
        <v>13467</v>
      </c>
      <c r="B1970" s="673" t="s">
        <v>13523</v>
      </c>
      <c r="C1970" s="672" t="s">
        <v>7</v>
      </c>
      <c r="D1970" s="672" t="s">
        <v>13522</v>
      </c>
      <c r="E1970" s="919" t="s">
        <v>13464</v>
      </c>
      <c r="F1970" s="919"/>
      <c r="G1970" s="671" t="s">
        <v>34</v>
      </c>
      <c r="H1970" s="670">
        <v>5.2999999999999999E-2</v>
      </c>
      <c r="I1970" s="669">
        <v>2.2000000000000002</v>
      </c>
      <c r="J1970" s="669">
        <v>0.11</v>
      </c>
    </row>
    <row r="1971" spans="1:10" ht="24" customHeight="1">
      <c r="A1971" s="672" t="s">
        <v>13467</v>
      </c>
      <c r="B1971" s="673" t="s">
        <v>13521</v>
      </c>
      <c r="C1971" s="672" t="s">
        <v>7</v>
      </c>
      <c r="D1971" s="672" t="s">
        <v>13520</v>
      </c>
      <c r="E1971" s="919" t="s">
        <v>13464</v>
      </c>
      <c r="F1971" s="919"/>
      <c r="G1971" s="671" t="s">
        <v>34</v>
      </c>
      <c r="H1971" s="670">
        <v>7.8E-2</v>
      </c>
      <c r="I1971" s="669">
        <v>72.17</v>
      </c>
      <c r="J1971" s="669">
        <v>5.62</v>
      </c>
    </row>
    <row r="1972" spans="1:10" ht="24" customHeight="1">
      <c r="A1972" s="672" t="s">
        <v>13467</v>
      </c>
      <c r="B1972" s="673" t="s">
        <v>14854</v>
      </c>
      <c r="C1972" s="672" t="s">
        <v>7</v>
      </c>
      <c r="D1972" s="672" t="s">
        <v>14853</v>
      </c>
      <c r="E1972" s="919" t="s">
        <v>13464</v>
      </c>
      <c r="F1972" s="919"/>
      <c r="G1972" s="671" t="s">
        <v>34</v>
      </c>
      <c r="H1972" s="670">
        <v>1</v>
      </c>
      <c r="I1972" s="669">
        <v>59.2</v>
      </c>
      <c r="J1972" s="669">
        <v>59.2</v>
      </c>
    </row>
    <row r="1973" spans="1:10" ht="25.5">
      <c r="A1973" s="668"/>
      <c r="B1973" s="668"/>
      <c r="C1973" s="668"/>
      <c r="D1973" s="668"/>
      <c r="E1973" s="668" t="s">
        <v>13463</v>
      </c>
      <c r="F1973" s="667">
        <v>2.7654025861132241</v>
      </c>
      <c r="G1973" s="668" t="s">
        <v>13462</v>
      </c>
      <c r="H1973" s="667">
        <v>2.3199999999999998</v>
      </c>
      <c r="I1973" s="668" t="s">
        <v>13461</v>
      </c>
      <c r="J1973" s="667">
        <v>5.09</v>
      </c>
    </row>
    <row r="1974" spans="1:10" ht="15" thickBot="1">
      <c r="A1974" s="668"/>
      <c r="B1974" s="668"/>
      <c r="C1974" s="668"/>
      <c r="D1974" s="668"/>
      <c r="E1974" s="668" t="s">
        <v>13460</v>
      </c>
      <c r="F1974" s="667">
        <v>21.57</v>
      </c>
      <c r="G1974" s="668"/>
      <c r="H1974" s="925" t="s">
        <v>13459</v>
      </c>
      <c r="I1974" s="925"/>
      <c r="J1974" s="667">
        <v>97.98</v>
      </c>
    </row>
    <row r="1975" spans="1:10" ht="0.95" customHeight="1" thickTop="1">
      <c r="A1975" s="666"/>
      <c r="B1975" s="666"/>
      <c r="C1975" s="666"/>
      <c r="D1975" s="666"/>
      <c r="E1975" s="666"/>
      <c r="F1975" s="666"/>
      <c r="G1975" s="666"/>
      <c r="H1975" s="666"/>
      <c r="I1975" s="666"/>
      <c r="J1975" s="666"/>
    </row>
    <row r="1976" spans="1:10" ht="18" customHeight="1">
      <c r="A1976" s="686" t="s">
        <v>14852</v>
      </c>
      <c r="B1976" s="684" t="s">
        <v>13484</v>
      </c>
      <c r="C1976" s="686" t="s">
        <v>13483</v>
      </c>
      <c r="D1976" s="686" t="s">
        <v>13482</v>
      </c>
      <c r="E1976" s="924" t="s">
        <v>13481</v>
      </c>
      <c r="F1976" s="924"/>
      <c r="G1976" s="685" t="s">
        <v>13480</v>
      </c>
      <c r="H1976" s="684" t="s">
        <v>13479</v>
      </c>
      <c r="I1976" s="684" t="s">
        <v>13478</v>
      </c>
      <c r="J1976" s="684" t="s">
        <v>13477</v>
      </c>
    </row>
    <row r="1977" spans="1:10" ht="48" customHeight="1">
      <c r="A1977" s="682" t="s">
        <v>13476</v>
      </c>
      <c r="B1977" s="683" t="s">
        <v>14851</v>
      </c>
      <c r="C1977" s="682" t="s">
        <v>7</v>
      </c>
      <c r="D1977" s="682" t="s">
        <v>2598</v>
      </c>
      <c r="E1977" s="917" t="s">
        <v>13474</v>
      </c>
      <c r="F1977" s="917"/>
      <c r="G1977" s="681" t="s">
        <v>34</v>
      </c>
      <c r="H1977" s="680">
        <v>1</v>
      </c>
      <c r="I1977" s="679">
        <v>137.04</v>
      </c>
      <c r="J1977" s="679">
        <v>137.04</v>
      </c>
    </row>
    <row r="1978" spans="1:10" ht="24" customHeight="1">
      <c r="A1978" s="677" t="s">
        <v>13472</v>
      </c>
      <c r="B1978" s="678" t="s">
        <v>13526</v>
      </c>
      <c r="C1978" s="677" t="s">
        <v>7</v>
      </c>
      <c r="D1978" s="677" t="s">
        <v>1093</v>
      </c>
      <c r="E1978" s="918" t="s">
        <v>13470</v>
      </c>
      <c r="F1978" s="918"/>
      <c r="G1978" s="676" t="s">
        <v>19</v>
      </c>
      <c r="H1978" s="675">
        <v>0.64600000000000002</v>
      </c>
      <c r="I1978" s="674">
        <v>13.48</v>
      </c>
      <c r="J1978" s="674">
        <v>8.6999999999999993</v>
      </c>
    </row>
    <row r="1979" spans="1:10" ht="24" customHeight="1">
      <c r="A1979" s="677" t="s">
        <v>13472</v>
      </c>
      <c r="B1979" s="678" t="s">
        <v>13473</v>
      </c>
      <c r="C1979" s="677" t="s">
        <v>7</v>
      </c>
      <c r="D1979" s="677" t="s">
        <v>44</v>
      </c>
      <c r="E1979" s="918" t="s">
        <v>13470</v>
      </c>
      <c r="F1979" s="918"/>
      <c r="G1979" s="676" t="s">
        <v>19</v>
      </c>
      <c r="H1979" s="675">
        <v>0.64600000000000002</v>
      </c>
      <c r="I1979" s="674">
        <v>17.66</v>
      </c>
      <c r="J1979" s="674">
        <v>11.4</v>
      </c>
    </row>
    <row r="1980" spans="1:10" ht="24" customHeight="1">
      <c r="A1980" s="672" t="s">
        <v>13467</v>
      </c>
      <c r="B1980" s="673" t="s">
        <v>13525</v>
      </c>
      <c r="C1980" s="672" t="s">
        <v>7</v>
      </c>
      <c r="D1980" s="672" t="s">
        <v>13524</v>
      </c>
      <c r="E1980" s="919" t="s">
        <v>13464</v>
      </c>
      <c r="F1980" s="919"/>
      <c r="G1980" s="671" t="s">
        <v>34</v>
      </c>
      <c r="H1980" s="670">
        <v>0.433</v>
      </c>
      <c r="I1980" s="669">
        <v>26.38</v>
      </c>
      <c r="J1980" s="669">
        <v>11.42</v>
      </c>
    </row>
    <row r="1981" spans="1:10" ht="24" customHeight="1">
      <c r="A1981" s="672" t="s">
        <v>13467</v>
      </c>
      <c r="B1981" s="673" t="s">
        <v>13523</v>
      </c>
      <c r="C1981" s="672" t="s">
        <v>7</v>
      </c>
      <c r="D1981" s="672" t="s">
        <v>13522</v>
      </c>
      <c r="E1981" s="919" t="s">
        <v>13464</v>
      </c>
      <c r="F1981" s="919"/>
      <c r="G1981" s="671" t="s">
        <v>34</v>
      </c>
      <c r="H1981" s="670">
        <v>9.7000000000000003E-2</v>
      </c>
      <c r="I1981" s="669">
        <v>2.2000000000000002</v>
      </c>
      <c r="J1981" s="669">
        <v>0.21</v>
      </c>
    </row>
    <row r="1982" spans="1:10" ht="24" customHeight="1">
      <c r="A1982" s="672" t="s">
        <v>13467</v>
      </c>
      <c r="B1982" s="673" t="s">
        <v>13521</v>
      </c>
      <c r="C1982" s="672" t="s">
        <v>7</v>
      </c>
      <c r="D1982" s="672" t="s">
        <v>13520</v>
      </c>
      <c r="E1982" s="919" t="s">
        <v>13464</v>
      </c>
      <c r="F1982" s="919"/>
      <c r="G1982" s="671" t="s">
        <v>34</v>
      </c>
      <c r="H1982" s="670">
        <v>0.114</v>
      </c>
      <c r="I1982" s="669">
        <v>72.17</v>
      </c>
      <c r="J1982" s="669">
        <v>8.2200000000000006</v>
      </c>
    </row>
    <row r="1983" spans="1:10" ht="24" customHeight="1">
      <c r="A1983" s="672" t="s">
        <v>13467</v>
      </c>
      <c r="B1983" s="673" t="s">
        <v>14850</v>
      </c>
      <c r="C1983" s="672" t="s">
        <v>7</v>
      </c>
      <c r="D1983" s="672" t="s">
        <v>14849</v>
      </c>
      <c r="E1983" s="919" t="s">
        <v>13464</v>
      </c>
      <c r="F1983" s="919"/>
      <c r="G1983" s="671" t="s">
        <v>34</v>
      </c>
      <c r="H1983" s="670">
        <v>1</v>
      </c>
      <c r="I1983" s="669">
        <v>97.09</v>
      </c>
      <c r="J1983" s="669">
        <v>97.09</v>
      </c>
    </row>
    <row r="1984" spans="1:10" ht="25.5">
      <c r="A1984" s="668"/>
      <c r="B1984" s="668"/>
      <c r="C1984" s="668"/>
      <c r="D1984" s="668"/>
      <c r="E1984" s="668" t="s">
        <v>13463</v>
      </c>
      <c r="F1984" s="667">
        <v>8.5624252960990983</v>
      </c>
      <c r="G1984" s="668" t="s">
        <v>13462</v>
      </c>
      <c r="H1984" s="667">
        <v>7.2</v>
      </c>
      <c r="I1984" s="668" t="s">
        <v>13461</v>
      </c>
      <c r="J1984" s="667">
        <v>15.76</v>
      </c>
    </row>
    <row r="1985" spans="1:10" ht="15" thickBot="1">
      <c r="A1985" s="668"/>
      <c r="B1985" s="668"/>
      <c r="C1985" s="668"/>
      <c r="D1985" s="668"/>
      <c r="E1985" s="668" t="s">
        <v>13460</v>
      </c>
      <c r="F1985" s="667">
        <v>38.700000000000003</v>
      </c>
      <c r="G1985" s="668"/>
      <c r="H1985" s="925" t="s">
        <v>13459</v>
      </c>
      <c r="I1985" s="925"/>
      <c r="J1985" s="667">
        <v>175.74</v>
      </c>
    </row>
    <row r="1986" spans="1:10" ht="0.95" customHeight="1" thickTop="1">
      <c r="A1986" s="666"/>
      <c r="B1986" s="666"/>
      <c r="C1986" s="666"/>
      <c r="D1986" s="666"/>
      <c r="E1986" s="666"/>
      <c r="F1986" s="666"/>
      <c r="G1986" s="666"/>
      <c r="H1986" s="666"/>
      <c r="I1986" s="666"/>
      <c r="J1986" s="666"/>
    </row>
    <row r="1987" spans="1:10" ht="18" customHeight="1">
      <c r="A1987" s="686" t="s">
        <v>14848</v>
      </c>
      <c r="B1987" s="684" t="s">
        <v>13484</v>
      </c>
      <c r="C1987" s="686" t="s">
        <v>13483</v>
      </c>
      <c r="D1987" s="686" t="s">
        <v>13482</v>
      </c>
      <c r="E1987" s="924" t="s">
        <v>13481</v>
      </c>
      <c r="F1987" s="924"/>
      <c r="G1987" s="685" t="s">
        <v>13480</v>
      </c>
      <c r="H1987" s="684" t="s">
        <v>13479</v>
      </c>
      <c r="I1987" s="684" t="s">
        <v>13478</v>
      </c>
      <c r="J1987" s="684" t="s">
        <v>13477</v>
      </c>
    </row>
    <row r="1988" spans="1:10" ht="36" customHeight="1">
      <c r="A1988" s="682" t="s">
        <v>13476</v>
      </c>
      <c r="B1988" s="683" t="s">
        <v>14847</v>
      </c>
      <c r="C1988" s="682" t="s">
        <v>7</v>
      </c>
      <c r="D1988" s="682" t="s">
        <v>299</v>
      </c>
      <c r="E1988" s="917" t="s">
        <v>13474</v>
      </c>
      <c r="F1988" s="917"/>
      <c r="G1988" s="681" t="s">
        <v>34</v>
      </c>
      <c r="H1988" s="680">
        <v>1</v>
      </c>
      <c r="I1988" s="679">
        <v>17.87</v>
      </c>
      <c r="J1988" s="679">
        <v>17.87</v>
      </c>
    </row>
    <row r="1989" spans="1:10" ht="24" customHeight="1">
      <c r="A1989" s="677" t="s">
        <v>13472</v>
      </c>
      <c r="B1989" s="678" t="s">
        <v>13526</v>
      </c>
      <c r="C1989" s="677" t="s">
        <v>7</v>
      </c>
      <c r="D1989" s="677" t="s">
        <v>1093</v>
      </c>
      <c r="E1989" s="918" t="s">
        <v>13470</v>
      </c>
      <c r="F1989" s="918"/>
      <c r="G1989" s="676" t="s">
        <v>19</v>
      </c>
      <c r="H1989" s="675">
        <v>0.14399999999999999</v>
      </c>
      <c r="I1989" s="674">
        <v>13.48</v>
      </c>
      <c r="J1989" s="674">
        <v>1.94</v>
      </c>
    </row>
    <row r="1990" spans="1:10" ht="24" customHeight="1">
      <c r="A1990" s="677" t="s">
        <v>13472</v>
      </c>
      <c r="B1990" s="678" t="s">
        <v>13473</v>
      </c>
      <c r="C1990" s="677" t="s">
        <v>7</v>
      </c>
      <c r="D1990" s="677" t="s">
        <v>44</v>
      </c>
      <c r="E1990" s="918" t="s">
        <v>13470</v>
      </c>
      <c r="F1990" s="918"/>
      <c r="G1990" s="676" t="s">
        <v>19</v>
      </c>
      <c r="H1990" s="675">
        <v>0.14399999999999999</v>
      </c>
      <c r="I1990" s="674">
        <v>17.66</v>
      </c>
      <c r="J1990" s="674">
        <v>2.54</v>
      </c>
    </row>
    <row r="1991" spans="1:10" ht="24" customHeight="1">
      <c r="A1991" s="672" t="s">
        <v>13467</v>
      </c>
      <c r="B1991" s="673" t="s">
        <v>14762</v>
      </c>
      <c r="C1991" s="672" t="s">
        <v>7</v>
      </c>
      <c r="D1991" s="672" t="s">
        <v>14761</v>
      </c>
      <c r="E1991" s="919" t="s">
        <v>13464</v>
      </c>
      <c r="F1991" s="919"/>
      <c r="G1991" s="671" t="s">
        <v>34</v>
      </c>
      <c r="H1991" s="670">
        <v>2.5999999999999999E-2</v>
      </c>
      <c r="I1991" s="669">
        <v>83.11</v>
      </c>
      <c r="J1991" s="669">
        <v>2.16</v>
      </c>
    </row>
    <row r="1992" spans="1:10" ht="24" customHeight="1">
      <c r="A1992" s="672" t="s">
        <v>13467</v>
      </c>
      <c r="B1992" s="673" t="s">
        <v>13523</v>
      </c>
      <c r="C1992" s="672" t="s">
        <v>7</v>
      </c>
      <c r="D1992" s="672" t="s">
        <v>13522</v>
      </c>
      <c r="E1992" s="919" t="s">
        <v>13464</v>
      </c>
      <c r="F1992" s="919"/>
      <c r="G1992" s="671" t="s">
        <v>34</v>
      </c>
      <c r="H1992" s="670">
        <v>3.5999999999999997E-2</v>
      </c>
      <c r="I1992" s="669">
        <v>2.2000000000000002</v>
      </c>
      <c r="J1992" s="669">
        <v>7.0000000000000007E-2</v>
      </c>
    </row>
    <row r="1993" spans="1:10" ht="24" customHeight="1">
      <c r="A1993" s="672" t="s">
        <v>13467</v>
      </c>
      <c r="B1993" s="673" t="s">
        <v>13521</v>
      </c>
      <c r="C1993" s="672" t="s">
        <v>7</v>
      </c>
      <c r="D1993" s="672" t="s">
        <v>13520</v>
      </c>
      <c r="E1993" s="919" t="s">
        <v>13464</v>
      </c>
      <c r="F1993" s="919"/>
      <c r="G1993" s="671" t="s">
        <v>34</v>
      </c>
      <c r="H1993" s="670">
        <v>3.3000000000000002E-2</v>
      </c>
      <c r="I1993" s="669">
        <v>72.17</v>
      </c>
      <c r="J1993" s="669">
        <v>2.38</v>
      </c>
    </row>
    <row r="1994" spans="1:10" ht="24" customHeight="1">
      <c r="A1994" s="672" t="s">
        <v>13467</v>
      </c>
      <c r="B1994" s="673" t="s">
        <v>14846</v>
      </c>
      <c r="C1994" s="672" t="s">
        <v>7</v>
      </c>
      <c r="D1994" s="672" t="s">
        <v>14845</v>
      </c>
      <c r="E1994" s="919" t="s">
        <v>13464</v>
      </c>
      <c r="F1994" s="919"/>
      <c r="G1994" s="671" t="s">
        <v>34</v>
      </c>
      <c r="H1994" s="670">
        <v>1</v>
      </c>
      <c r="I1994" s="669">
        <v>8.7799999999999994</v>
      </c>
      <c r="J1994" s="669">
        <v>8.7799999999999994</v>
      </c>
    </row>
    <row r="1995" spans="1:10" ht="25.5">
      <c r="A1995" s="668"/>
      <c r="B1995" s="668"/>
      <c r="C1995" s="668"/>
      <c r="D1995" s="668"/>
      <c r="E1995" s="668" t="s">
        <v>13463</v>
      </c>
      <c r="F1995" s="667">
        <v>1.9015538411387591</v>
      </c>
      <c r="G1995" s="668" t="s">
        <v>13462</v>
      </c>
      <c r="H1995" s="667">
        <v>1.6</v>
      </c>
      <c r="I1995" s="668" t="s">
        <v>13461</v>
      </c>
      <c r="J1995" s="667">
        <v>3.5</v>
      </c>
    </row>
    <row r="1996" spans="1:10" ht="15" thickBot="1">
      <c r="A1996" s="668"/>
      <c r="B1996" s="668"/>
      <c r="C1996" s="668"/>
      <c r="D1996" s="668"/>
      <c r="E1996" s="668" t="s">
        <v>13460</v>
      </c>
      <c r="F1996" s="667">
        <v>5.04</v>
      </c>
      <c r="G1996" s="668"/>
      <c r="H1996" s="925" t="s">
        <v>13459</v>
      </c>
      <c r="I1996" s="925"/>
      <c r="J1996" s="667">
        <v>22.91</v>
      </c>
    </row>
    <row r="1997" spans="1:10" ht="0.95" customHeight="1" thickTop="1">
      <c r="A1997" s="666"/>
      <c r="B1997" s="666"/>
      <c r="C1997" s="666"/>
      <c r="D1997" s="666"/>
      <c r="E1997" s="666"/>
      <c r="F1997" s="666"/>
      <c r="G1997" s="666"/>
      <c r="H1997" s="666"/>
      <c r="I1997" s="666"/>
      <c r="J1997" s="666"/>
    </row>
    <row r="1998" spans="1:10" ht="18" customHeight="1">
      <c r="A1998" s="686" t="s">
        <v>14844</v>
      </c>
      <c r="B1998" s="684" t="s">
        <v>13484</v>
      </c>
      <c r="C1998" s="686" t="s">
        <v>13483</v>
      </c>
      <c r="D1998" s="686" t="s">
        <v>13482</v>
      </c>
      <c r="E1998" s="924" t="s">
        <v>13481</v>
      </c>
      <c r="F1998" s="924"/>
      <c r="G1998" s="685" t="s">
        <v>13480</v>
      </c>
      <c r="H1998" s="684" t="s">
        <v>13479</v>
      </c>
      <c r="I1998" s="684" t="s">
        <v>13478</v>
      </c>
      <c r="J1998" s="684" t="s">
        <v>13477</v>
      </c>
    </row>
    <row r="1999" spans="1:10" ht="36" customHeight="1">
      <c r="A1999" s="682" t="s">
        <v>13476</v>
      </c>
      <c r="B1999" s="683" t="s">
        <v>14843</v>
      </c>
      <c r="C1999" s="682" t="s">
        <v>7</v>
      </c>
      <c r="D1999" s="682" t="s">
        <v>300</v>
      </c>
      <c r="E1999" s="917" t="s">
        <v>13474</v>
      </c>
      <c r="F1999" s="917"/>
      <c r="G1999" s="681" t="s">
        <v>34</v>
      </c>
      <c r="H1999" s="680">
        <v>1</v>
      </c>
      <c r="I1999" s="679">
        <v>66</v>
      </c>
      <c r="J1999" s="679">
        <v>66</v>
      </c>
    </row>
    <row r="2000" spans="1:10" ht="24" customHeight="1">
      <c r="A2000" s="677" t="s">
        <v>13472</v>
      </c>
      <c r="B2000" s="678" t="s">
        <v>13526</v>
      </c>
      <c r="C2000" s="677" t="s">
        <v>7</v>
      </c>
      <c r="D2000" s="677" t="s">
        <v>1093</v>
      </c>
      <c r="E2000" s="918" t="s">
        <v>13470</v>
      </c>
      <c r="F2000" s="918"/>
      <c r="G2000" s="676" t="s">
        <v>19</v>
      </c>
      <c r="H2000" s="675">
        <v>0.20899999999999999</v>
      </c>
      <c r="I2000" s="674">
        <v>13.48</v>
      </c>
      <c r="J2000" s="674">
        <v>2.81</v>
      </c>
    </row>
    <row r="2001" spans="1:10" ht="24" customHeight="1">
      <c r="A2001" s="677" t="s">
        <v>13472</v>
      </c>
      <c r="B2001" s="678" t="s">
        <v>13473</v>
      </c>
      <c r="C2001" s="677" t="s">
        <v>7</v>
      </c>
      <c r="D2001" s="677" t="s">
        <v>44</v>
      </c>
      <c r="E2001" s="918" t="s">
        <v>13470</v>
      </c>
      <c r="F2001" s="918"/>
      <c r="G2001" s="676" t="s">
        <v>19</v>
      </c>
      <c r="H2001" s="675">
        <v>0.20899999999999999</v>
      </c>
      <c r="I2001" s="674">
        <v>17.66</v>
      </c>
      <c r="J2001" s="674">
        <v>3.69</v>
      </c>
    </row>
    <row r="2002" spans="1:10" ht="24" customHeight="1">
      <c r="A2002" s="672" t="s">
        <v>13467</v>
      </c>
      <c r="B2002" s="673" t="s">
        <v>14762</v>
      </c>
      <c r="C2002" s="672" t="s">
        <v>7</v>
      </c>
      <c r="D2002" s="672" t="s">
        <v>14761</v>
      </c>
      <c r="E2002" s="919" t="s">
        <v>13464</v>
      </c>
      <c r="F2002" s="919"/>
      <c r="G2002" s="671" t="s">
        <v>34</v>
      </c>
      <c r="H2002" s="670">
        <v>0.06</v>
      </c>
      <c r="I2002" s="669">
        <v>83.11</v>
      </c>
      <c r="J2002" s="669">
        <v>4.9800000000000004</v>
      </c>
    </row>
    <row r="2003" spans="1:10" ht="24" customHeight="1">
      <c r="A2003" s="672" t="s">
        <v>13467</v>
      </c>
      <c r="B2003" s="673" t="s">
        <v>13523</v>
      </c>
      <c r="C2003" s="672" t="s">
        <v>7</v>
      </c>
      <c r="D2003" s="672" t="s">
        <v>13522</v>
      </c>
      <c r="E2003" s="919" t="s">
        <v>13464</v>
      </c>
      <c r="F2003" s="919"/>
      <c r="G2003" s="671" t="s">
        <v>34</v>
      </c>
      <c r="H2003" s="670">
        <v>5.2999999999999999E-2</v>
      </c>
      <c r="I2003" s="669">
        <v>2.2000000000000002</v>
      </c>
      <c r="J2003" s="669">
        <v>0.11</v>
      </c>
    </row>
    <row r="2004" spans="1:10" ht="24" customHeight="1">
      <c r="A2004" s="672" t="s">
        <v>13467</v>
      </c>
      <c r="B2004" s="673" t="s">
        <v>13521</v>
      </c>
      <c r="C2004" s="672" t="s">
        <v>7</v>
      </c>
      <c r="D2004" s="672" t="s">
        <v>13520</v>
      </c>
      <c r="E2004" s="919" t="s">
        <v>13464</v>
      </c>
      <c r="F2004" s="919"/>
      <c r="G2004" s="671" t="s">
        <v>34</v>
      </c>
      <c r="H2004" s="670">
        <v>7.8E-2</v>
      </c>
      <c r="I2004" s="669">
        <v>72.17</v>
      </c>
      <c r="J2004" s="669">
        <v>5.62</v>
      </c>
    </row>
    <row r="2005" spans="1:10" ht="24" customHeight="1">
      <c r="A2005" s="672" t="s">
        <v>13467</v>
      </c>
      <c r="B2005" s="673" t="s">
        <v>14840</v>
      </c>
      <c r="C2005" s="672" t="s">
        <v>7</v>
      </c>
      <c r="D2005" s="672" t="s">
        <v>14839</v>
      </c>
      <c r="E2005" s="919" t="s">
        <v>13464</v>
      </c>
      <c r="F2005" s="919"/>
      <c r="G2005" s="671" t="s">
        <v>34</v>
      </c>
      <c r="H2005" s="670">
        <v>1</v>
      </c>
      <c r="I2005" s="669">
        <v>48.79</v>
      </c>
      <c r="J2005" s="669">
        <v>48.79</v>
      </c>
    </row>
    <row r="2006" spans="1:10" ht="25.5">
      <c r="A2006" s="668"/>
      <c r="B2006" s="668"/>
      <c r="C2006" s="668"/>
      <c r="D2006" s="668"/>
      <c r="E2006" s="668" t="s">
        <v>13463</v>
      </c>
      <c r="F2006" s="667">
        <v>2.7654025861132241</v>
      </c>
      <c r="G2006" s="668" t="s">
        <v>13462</v>
      </c>
      <c r="H2006" s="667">
        <v>2.3199999999999998</v>
      </c>
      <c r="I2006" s="668" t="s">
        <v>13461</v>
      </c>
      <c r="J2006" s="667">
        <v>5.09</v>
      </c>
    </row>
    <row r="2007" spans="1:10" ht="15" thickBot="1">
      <c r="A2007" s="668"/>
      <c r="B2007" s="668"/>
      <c r="C2007" s="668"/>
      <c r="D2007" s="668"/>
      <c r="E2007" s="668" t="s">
        <v>13460</v>
      </c>
      <c r="F2007" s="667">
        <v>18.63</v>
      </c>
      <c r="G2007" s="668"/>
      <c r="H2007" s="925" t="s">
        <v>13459</v>
      </c>
      <c r="I2007" s="925"/>
      <c r="J2007" s="667">
        <v>84.63</v>
      </c>
    </row>
    <row r="2008" spans="1:10" ht="0.95" customHeight="1" thickTop="1">
      <c r="A2008" s="666"/>
      <c r="B2008" s="666"/>
      <c r="C2008" s="666"/>
      <c r="D2008" s="666"/>
      <c r="E2008" s="666"/>
      <c r="F2008" s="666"/>
      <c r="G2008" s="666"/>
      <c r="H2008" s="666"/>
      <c r="I2008" s="666"/>
      <c r="J2008" s="666"/>
    </row>
    <row r="2009" spans="1:10" ht="18" customHeight="1">
      <c r="A2009" s="686" t="s">
        <v>14842</v>
      </c>
      <c r="B2009" s="684" t="s">
        <v>13484</v>
      </c>
      <c r="C2009" s="686" t="s">
        <v>13483</v>
      </c>
      <c r="D2009" s="686" t="s">
        <v>13482</v>
      </c>
      <c r="E2009" s="924" t="s">
        <v>13481</v>
      </c>
      <c r="F2009" s="924"/>
      <c r="G2009" s="685" t="s">
        <v>13480</v>
      </c>
      <c r="H2009" s="684" t="s">
        <v>13479</v>
      </c>
      <c r="I2009" s="684" t="s">
        <v>13478</v>
      </c>
      <c r="J2009" s="684" t="s">
        <v>13477</v>
      </c>
    </row>
    <row r="2010" spans="1:10" ht="48" customHeight="1">
      <c r="A2010" s="682" t="s">
        <v>13476</v>
      </c>
      <c r="B2010" s="683" t="s">
        <v>14841</v>
      </c>
      <c r="C2010" s="682" t="s">
        <v>7</v>
      </c>
      <c r="D2010" s="682" t="s">
        <v>2597</v>
      </c>
      <c r="E2010" s="917" t="s">
        <v>13474</v>
      </c>
      <c r="F2010" s="917"/>
      <c r="G2010" s="681" t="s">
        <v>34</v>
      </c>
      <c r="H2010" s="680">
        <v>1</v>
      </c>
      <c r="I2010" s="679">
        <v>70.92</v>
      </c>
      <c r="J2010" s="679">
        <v>70.92</v>
      </c>
    </row>
    <row r="2011" spans="1:10" ht="24" customHeight="1">
      <c r="A2011" s="677" t="s">
        <v>13472</v>
      </c>
      <c r="B2011" s="678" t="s">
        <v>13526</v>
      </c>
      <c r="C2011" s="677" t="s">
        <v>7</v>
      </c>
      <c r="D2011" s="677" t="s">
        <v>1093</v>
      </c>
      <c r="E2011" s="918" t="s">
        <v>13470</v>
      </c>
      <c r="F2011" s="918"/>
      <c r="G2011" s="676" t="s">
        <v>19</v>
      </c>
      <c r="H2011" s="675">
        <v>0.36799999999999999</v>
      </c>
      <c r="I2011" s="674">
        <v>13.48</v>
      </c>
      <c r="J2011" s="674">
        <v>4.96</v>
      </c>
    </row>
    <row r="2012" spans="1:10" ht="24" customHeight="1">
      <c r="A2012" s="677" t="s">
        <v>13472</v>
      </c>
      <c r="B2012" s="678" t="s">
        <v>13473</v>
      </c>
      <c r="C2012" s="677" t="s">
        <v>7</v>
      </c>
      <c r="D2012" s="677" t="s">
        <v>44</v>
      </c>
      <c r="E2012" s="918" t="s">
        <v>13470</v>
      </c>
      <c r="F2012" s="918"/>
      <c r="G2012" s="676" t="s">
        <v>19</v>
      </c>
      <c r="H2012" s="675">
        <v>0.36799999999999999</v>
      </c>
      <c r="I2012" s="674">
        <v>17.66</v>
      </c>
      <c r="J2012" s="674">
        <v>6.49</v>
      </c>
    </row>
    <row r="2013" spans="1:10" ht="24" customHeight="1">
      <c r="A2013" s="672" t="s">
        <v>13467</v>
      </c>
      <c r="B2013" s="673" t="s">
        <v>13525</v>
      </c>
      <c r="C2013" s="672" t="s">
        <v>7</v>
      </c>
      <c r="D2013" s="672" t="s">
        <v>13524</v>
      </c>
      <c r="E2013" s="919" t="s">
        <v>13464</v>
      </c>
      <c r="F2013" s="919"/>
      <c r="G2013" s="671" t="s">
        <v>34</v>
      </c>
      <c r="H2013" s="670">
        <v>0.23100000000000001</v>
      </c>
      <c r="I2013" s="669">
        <v>26.38</v>
      </c>
      <c r="J2013" s="669">
        <v>6.09</v>
      </c>
    </row>
    <row r="2014" spans="1:10" ht="24" customHeight="1">
      <c r="A2014" s="672" t="s">
        <v>13467</v>
      </c>
      <c r="B2014" s="673" t="s">
        <v>13523</v>
      </c>
      <c r="C2014" s="672" t="s">
        <v>7</v>
      </c>
      <c r="D2014" s="672" t="s">
        <v>13522</v>
      </c>
      <c r="E2014" s="919" t="s">
        <v>13464</v>
      </c>
      <c r="F2014" s="919"/>
      <c r="G2014" s="671" t="s">
        <v>34</v>
      </c>
      <c r="H2014" s="670">
        <v>5.5E-2</v>
      </c>
      <c r="I2014" s="669">
        <v>2.2000000000000002</v>
      </c>
      <c r="J2014" s="669">
        <v>0.12</v>
      </c>
    </row>
    <row r="2015" spans="1:10" ht="24" customHeight="1">
      <c r="A2015" s="672" t="s">
        <v>13467</v>
      </c>
      <c r="B2015" s="673" t="s">
        <v>13521</v>
      </c>
      <c r="C2015" s="672" t="s">
        <v>7</v>
      </c>
      <c r="D2015" s="672" t="s">
        <v>13520</v>
      </c>
      <c r="E2015" s="919" t="s">
        <v>13464</v>
      </c>
      <c r="F2015" s="919"/>
      <c r="G2015" s="671" t="s">
        <v>34</v>
      </c>
      <c r="H2015" s="670">
        <v>6.2E-2</v>
      </c>
      <c r="I2015" s="669">
        <v>72.17</v>
      </c>
      <c r="J2015" s="669">
        <v>4.47</v>
      </c>
    </row>
    <row r="2016" spans="1:10" ht="24" customHeight="1">
      <c r="A2016" s="672" t="s">
        <v>13467</v>
      </c>
      <c r="B2016" s="673" t="s">
        <v>14840</v>
      </c>
      <c r="C2016" s="672" t="s">
        <v>7</v>
      </c>
      <c r="D2016" s="672" t="s">
        <v>14839</v>
      </c>
      <c r="E2016" s="919" t="s">
        <v>13464</v>
      </c>
      <c r="F2016" s="919"/>
      <c r="G2016" s="671" t="s">
        <v>34</v>
      </c>
      <c r="H2016" s="670">
        <v>1</v>
      </c>
      <c r="I2016" s="669">
        <v>48.79</v>
      </c>
      <c r="J2016" s="669">
        <v>48.79</v>
      </c>
    </row>
    <row r="2017" spans="1:10" ht="25.5">
      <c r="A2017" s="668"/>
      <c r="B2017" s="668"/>
      <c r="C2017" s="668"/>
      <c r="D2017" s="668"/>
      <c r="E2017" s="668" t="s">
        <v>13463</v>
      </c>
      <c r="F2017" s="667">
        <v>4.8788438552645879</v>
      </c>
      <c r="G2017" s="668" t="s">
        <v>13462</v>
      </c>
      <c r="H2017" s="667">
        <v>4.0999999999999996</v>
      </c>
      <c r="I2017" s="668" t="s">
        <v>13461</v>
      </c>
      <c r="J2017" s="667">
        <v>8.98</v>
      </c>
    </row>
    <row r="2018" spans="1:10" ht="15" thickBot="1">
      <c r="A2018" s="668"/>
      <c r="B2018" s="668"/>
      <c r="C2018" s="668"/>
      <c r="D2018" s="668"/>
      <c r="E2018" s="668" t="s">
        <v>13460</v>
      </c>
      <c r="F2018" s="667">
        <v>20.02</v>
      </c>
      <c r="G2018" s="668"/>
      <c r="H2018" s="925" t="s">
        <v>13459</v>
      </c>
      <c r="I2018" s="925"/>
      <c r="J2018" s="667">
        <v>90.94</v>
      </c>
    </row>
    <row r="2019" spans="1:10" ht="0.95" customHeight="1" thickTop="1">
      <c r="A2019" s="666"/>
      <c r="B2019" s="666"/>
      <c r="C2019" s="666"/>
      <c r="D2019" s="666"/>
      <c r="E2019" s="666"/>
      <c r="F2019" s="666"/>
      <c r="G2019" s="666"/>
      <c r="H2019" s="666"/>
      <c r="I2019" s="666"/>
      <c r="J2019" s="666"/>
    </row>
    <row r="2020" spans="1:10" ht="18" customHeight="1">
      <c r="A2020" s="686" t="s">
        <v>14838</v>
      </c>
      <c r="B2020" s="684" t="s">
        <v>13484</v>
      </c>
      <c r="C2020" s="686" t="s">
        <v>13483</v>
      </c>
      <c r="D2020" s="686" t="s">
        <v>13482</v>
      </c>
      <c r="E2020" s="924" t="s">
        <v>13481</v>
      </c>
      <c r="F2020" s="924"/>
      <c r="G2020" s="685" t="s">
        <v>13480</v>
      </c>
      <c r="H2020" s="684" t="s">
        <v>13479</v>
      </c>
      <c r="I2020" s="684" t="s">
        <v>13478</v>
      </c>
      <c r="J2020" s="684" t="s">
        <v>13477</v>
      </c>
    </row>
    <row r="2021" spans="1:10" ht="48" customHeight="1">
      <c r="A2021" s="682" t="s">
        <v>13476</v>
      </c>
      <c r="B2021" s="683" t="s">
        <v>14837</v>
      </c>
      <c r="C2021" s="682" t="s">
        <v>7</v>
      </c>
      <c r="D2021" s="682" t="s">
        <v>2599</v>
      </c>
      <c r="E2021" s="917" t="s">
        <v>13474</v>
      </c>
      <c r="F2021" s="917"/>
      <c r="G2021" s="681" t="s">
        <v>34</v>
      </c>
      <c r="H2021" s="680">
        <v>1</v>
      </c>
      <c r="I2021" s="679">
        <v>115.74</v>
      </c>
      <c r="J2021" s="679">
        <v>115.74</v>
      </c>
    </row>
    <row r="2022" spans="1:10" ht="24" customHeight="1">
      <c r="A2022" s="677" t="s">
        <v>13472</v>
      </c>
      <c r="B2022" s="678" t="s">
        <v>13526</v>
      </c>
      <c r="C2022" s="677" t="s">
        <v>7</v>
      </c>
      <c r="D2022" s="677" t="s">
        <v>1093</v>
      </c>
      <c r="E2022" s="918" t="s">
        <v>13470</v>
      </c>
      <c r="F2022" s="918"/>
      <c r="G2022" s="676" t="s">
        <v>19</v>
      </c>
      <c r="H2022" s="675">
        <v>0.64600000000000002</v>
      </c>
      <c r="I2022" s="674">
        <v>13.48</v>
      </c>
      <c r="J2022" s="674">
        <v>8.6999999999999993</v>
      </c>
    </row>
    <row r="2023" spans="1:10" ht="24" customHeight="1">
      <c r="A2023" s="677" t="s">
        <v>13472</v>
      </c>
      <c r="B2023" s="678" t="s">
        <v>13473</v>
      </c>
      <c r="C2023" s="677" t="s">
        <v>7</v>
      </c>
      <c r="D2023" s="677" t="s">
        <v>44</v>
      </c>
      <c r="E2023" s="918" t="s">
        <v>13470</v>
      </c>
      <c r="F2023" s="918"/>
      <c r="G2023" s="676" t="s">
        <v>19</v>
      </c>
      <c r="H2023" s="675">
        <v>0.64600000000000002</v>
      </c>
      <c r="I2023" s="674">
        <v>17.66</v>
      </c>
      <c r="J2023" s="674">
        <v>11.4</v>
      </c>
    </row>
    <row r="2024" spans="1:10" ht="24" customHeight="1">
      <c r="A2024" s="672" t="s">
        <v>13467</v>
      </c>
      <c r="B2024" s="673" t="s">
        <v>13525</v>
      </c>
      <c r="C2024" s="672" t="s">
        <v>7</v>
      </c>
      <c r="D2024" s="672" t="s">
        <v>13524</v>
      </c>
      <c r="E2024" s="919" t="s">
        <v>13464</v>
      </c>
      <c r="F2024" s="919"/>
      <c r="G2024" s="671" t="s">
        <v>34</v>
      </c>
      <c r="H2024" s="670">
        <v>0.433</v>
      </c>
      <c r="I2024" s="669">
        <v>26.38</v>
      </c>
      <c r="J2024" s="669">
        <v>11.42</v>
      </c>
    </row>
    <row r="2025" spans="1:10" ht="24" customHeight="1">
      <c r="A2025" s="672" t="s">
        <v>13467</v>
      </c>
      <c r="B2025" s="673" t="s">
        <v>13523</v>
      </c>
      <c r="C2025" s="672" t="s">
        <v>7</v>
      </c>
      <c r="D2025" s="672" t="s">
        <v>13522</v>
      </c>
      <c r="E2025" s="919" t="s">
        <v>13464</v>
      </c>
      <c r="F2025" s="919"/>
      <c r="G2025" s="671" t="s">
        <v>34</v>
      </c>
      <c r="H2025" s="670">
        <v>9.7000000000000003E-2</v>
      </c>
      <c r="I2025" s="669">
        <v>2.2000000000000002</v>
      </c>
      <c r="J2025" s="669">
        <v>0.21</v>
      </c>
    </row>
    <row r="2026" spans="1:10" ht="24" customHeight="1">
      <c r="A2026" s="672" t="s">
        <v>13467</v>
      </c>
      <c r="B2026" s="673" t="s">
        <v>13521</v>
      </c>
      <c r="C2026" s="672" t="s">
        <v>7</v>
      </c>
      <c r="D2026" s="672" t="s">
        <v>13520</v>
      </c>
      <c r="E2026" s="919" t="s">
        <v>13464</v>
      </c>
      <c r="F2026" s="919"/>
      <c r="G2026" s="671" t="s">
        <v>34</v>
      </c>
      <c r="H2026" s="670">
        <v>0.114</v>
      </c>
      <c r="I2026" s="669">
        <v>72.17</v>
      </c>
      <c r="J2026" s="669">
        <v>8.2200000000000006</v>
      </c>
    </row>
    <row r="2027" spans="1:10" ht="24" customHeight="1">
      <c r="A2027" s="672" t="s">
        <v>13467</v>
      </c>
      <c r="B2027" s="673" t="s">
        <v>14836</v>
      </c>
      <c r="C2027" s="672" t="s">
        <v>7</v>
      </c>
      <c r="D2027" s="672" t="s">
        <v>14835</v>
      </c>
      <c r="E2027" s="919" t="s">
        <v>13464</v>
      </c>
      <c r="F2027" s="919"/>
      <c r="G2027" s="671" t="s">
        <v>34</v>
      </c>
      <c r="H2027" s="670">
        <v>1</v>
      </c>
      <c r="I2027" s="669">
        <v>75.790000000000006</v>
      </c>
      <c r="J2027" s="669">
        <v>75.790000000000006</v>
      </c>
    </row>
    <row r="2028" spans="1:10" ht="25.5">
      <c r="A2028" s="668"/>
      <c r="B2028" s="668"/>
      <c r="C2028" s="668"/>
      <c r="D2028" s="668"/>
      <c r="E2028" s="668" t="s">
        <v>13463</v>
      </c>
      <c r="F2028" s="667">
        <v>8.5624252960990983</v>
      </c>
      <c r="G2028" s="668" t="s">
        <v>13462</v>
      </c>
      <c r="H2028" s="667">
        <v>7.2</v>
      </c>
      <c r="I2028" s="668" t="s">
        <v>13461</v>
      </c>
      <c r="J2028" s="667">
        <v>15.76</v>
      </c>
    </row>
    <row r="2029" spans="1:10" ht="15" thickBot="1">
      <c r="A2029" s="668"/>
      <c r="B2029" s="668"/>
      <c r="C2029" s="668"/>
      <c r="D2029" s="668"/>
      <c r="E2029" s="668" t="s">
        <v>13460</v>
      </c>
      <c r="F2029" s="667">
        <v>32.68</v>
      </c>
      <c r="G2029" s="668"/>
      <c r="H2029" s="925" t="s">
        <v>13459</v>
      </c>
      <c r="I2029" s="925"/>
      <c r="J2029" s="667">
        <v>148.41999999999999</v>
      </c>
    </row>
    <row r="2030" spans="1:10" ht="0.95" customHeight="1" thickTop="1">
      <c r="A2030" s="666"/>
      <c r="B2030" s="666"/>
      <c r="C2030" s="666"/>
      <c r="D2030" s="666"/>
      <c r="E2030" s="666"/>
      <c r="F2030" s="666"/>
      <c r="G2030" s="666"/>
      <c r="H2030" s="666"/>
      <c r="I2030" s="666"/>
      <c r="J2030" s="666"/>
    </row>
    <row r="2031" spans="1:10" ht="18" customHeight="1">
      <c r="A2031" s="686" t="s">
        <v>14834</v>
      </c>
      <c r="B2031" s="684" t="s">
        <v>13484</v>
      </c>
      <c r="C2031" s="686" t="s">
        <v>13483</v>
      </c>
      <c r="D2031" s="686" t="s">
        <v>13482</v>
      </c>
      <c r="E2031" s="924" t="s">
        <v>13481</v>
      </c>
      <c r="F2031" s="924"/>
      <c r="G2031" s="685" t="s">
        <v>13480</v>
      </c>
      <c r="H2031" s="684" t="s">
        <v>13479</v>
      </c>
      <c r="I2031" s="684" t="s">
        <v>13478</v>
      </c>
      <c r="J2031" s="684" t="s">
        <v>13477</v>
      </c>
    </row>
    <row r="2032" spans="1:10" ht="24" customHeight="1">
      <c r="A2032" s="682" t="s">
        <v>13476</v>
      </c>
      <c r="B2032" s="683" t="s">
        <v>14833</v>
      </c>
      <c r="C2032" s="682" t="s">
        <v>7</v>
      </c>
      <c r="D2032" s="682" t="s">
        <v>1450</v>
      </c>
      <c r="E2032" s="917" t="s">
        <v>13474</v>
      </c>
      <c r="F2032" s="917"/>
      <c r="G2032" s="681" t="s">
        <v>34</v>
      </c>
      <c r="H2032" s="680">
        <v>1</v>
      </c>
      <c r="I2032" s="679">
        <v>35.659999999999997</v>
      </c>
      <c r="J2032" s="679">
        <v>35.659999999999997</v>
      </c>
    </row>
    <row r="2033" spans="1:10" ht="24" customHeight="1">
      <c r="A2033" s="677" t="s">
        <v>13472</v>
      </c>
      <c r="B2033" s="678" t="s">
        <v>13526</v>
      </c>
      <c r="C2033" s="677" t="s">
        <v>7</v>
      </c>
      <c r="D2033" s="677" t="s">
        <v>1093</v>
      </c>
      <c r="E2033" s="918" t="s">
        <v>13470</v>
      </c>
      <c r="F2033" s="918"/>
      <c r="G2033" s="676" t="s">
        <v>19</v>
      </c>
      <c r="H2033" s="675">
        <v>7.1999999999999995E-2</v>
      </c>
      <c r="I2033" s="674">
        <v>13.48</v>
      </c>
      <c r="J2033" s="674">
        <v>0.97</v>
      </c>
    </row>
    <row r="2034" spans="1:10" ht="24" customHeight="1">
      <c r="A2034" s="677" t="s">
        <v>13472</v>
      </c>
      <c r="B2034" s="678" t="s">
        <v>13473</v>
      </c>
      <c r="C2034" s="677" t="s">
        <v>7</v>
      </c>
      <c r="D2034" s="677" t="s">
        <v>44</v>
      </c>
      <c r="E2034" s="918" t="s">
        <v>13470</v>
      </c>
      <c r="F2034" s="918"/>
      <c r="G2034" s="676" t="s">
        <v>19</v>
      </c>
      <c r="H2034" s="675">
        <v>7.1999999999999995E-2</v>
      </c>
      <c r="I2034" s="674">
        <v>17.66</v>
      </c>
      <c r="J2034" s="674">
        <v>1.27</v>
      </c>
    </row>
    <row r="2035" spans="1:10" ht="24" customHeight="1">
      <c r="A2035" s="672" t="s">
        <v>13467</v>
      </c>
      <c r="B2035" s="673" t="s">
        <v>14762</v>
      </c>
      <c r="C2035" s="672" t="s">
        <v>7</v>
      </c>
      <c r="D2035" s="672" t="s">
        <v>14761</v>
      </c>
      <c r="E2035" s="919" t="s">
        <v>13464</v>
      </c>
      <c r="F2035" s="919"/>
      <c r="G2035" s="671" t="s">
        <v>34</v>
      </c>
      <c r="H2035" s="670">
        <v>1.7999999999999999E-2</v>
      </c>
      <c r="I2035" s="669">
        <v>83.11</v>
      </c>
      <c r="J2035" s="669">
        <v>1.49</v>
      </c>
    </row>
    <row r="2036" spans="1:10" ht="24" customHeight="1">
      <c r="A2036" s="672" t="s">
        <v>13467</v>
      </c>
      <c r="B2036" s="673" t="s">
        <v>13523</v>
      </c>
      <c r="C2036" s="672" t="s">
        <v>7</v>
      </c>
      <c r="D2036" s="672" t="s">
        <v>13522</v>
      </c>
      <c r="E2036" s="919" t="s">
        <v>13464</v>
      </c>
      <c r="F2036" s="919"/>
      <c r="G2036" s="671" t="s">
        <v>34</v>
      </c>
      <c r="H2036" s="670">
        <v>2.4E-2</v>
      </c>
      <c r="I2036" s="669">
        <v>2.2000000000000002</v>
      </c>
      <c r="J2036" s="669">
        <v>0.05</v>
      </c>
    </row>
    <row r="2037" spans="1:10" ht="24" customHeight="1">
      <c r="A2037" s="672" t="s">
        <v>13467</v>
      </c>
      <c r="B2037" s="673" t="s">
        <v>13521</v>
      </c>
      <c r="C2037" s="672" t="s">
        <v>7</v>
      </c>
      <c r="D2037" s="672" t="s">
        <v>13520</v>
      </c>
      <c r="E2037" s="919" t="s">
        <v>13464</v>
      </c>
      <c r="F2037" s="919"/>
      <c r="G2037" s="671" t="s">
        <v>34</v>
      </c>
      <c r="H2037" s="670">
        <v>2.1999999999999999E-2</v>
      </c>
      <c r="I2037" s="669">
        <v>72.17</v>
      </c>
      <c r="J2037" s="669">
        <v>1.58</v>
      </c>
    </row>
    <row r="2038" spans="1:10" ht="24" customHeight="1">
      <c r="A2038" s="672" t="s">
        <v>13467</v>
      </c>
      <c r="B2038" s="673" t="s">
        <v>14832</v>
      </c>
      <c r="C2038" s="672" t="s">
        <v>7</v>
      </c>
      <c r="D2038" s="672" t="s">
        <v>14831</v>
      </c>
      <c r="E2038" s="919" t="s">
        <v>13464</v>
      </c>
      <c r="F2038" s="919"/>
      <c r="G2038" s="671" t="s">
        <v>34</v>
      </c>
      <c r="H2038" s="670">
        <v>1</v>
      </c>
      <c r="I2038" s="669">
        <v>30.3</v>
      </c>
      <c r="J2038" s="669">
        <v>30.3</v>
      </c>
    </row>
    <row r="2039" spans="1:10" ht="25.5">
      <c r="A2039" s="668"/>
      <c r="B2039" s="668"/>
      <c r="C2039" s="668"/>
      <c r="D2039" s="668"/>
      <c r="E2039" s="668" t="s">
        <v>13463</v>
      </c>
      <c r="F2039" s="667">
        <v>0.94534390959469738</v>
      </c>
      <c r="G2039" s="668" t="s">
        <v>13462</v>
      </c>
      <c r="H2039" s="667">
        <v>0.79</v>
      </c>
      <c r="I2039" s="668" t="s">
        <v>13461</v>
      </c>
      <c r="J2039" s="667">
        <v>1.74</v>
      </c>
    </row>
    <row r="2040" spans="1:10" ht="15" thickBot="1">
      <c r="A2040" s="668"/>
      <c r="B2040" s="668"/>
      <c r="C2040" s="668"/>
      <c r="D2040" s="668"/>
      <c r="E2040" s="668" t="s">
        <v>13460</v>
      </c>
      <c r="F2040" s="667">
        <v>10.07</v>
      </c>
      <c r="G2040" s="668"/>
      <c r="H2040" s="925" t="s">
        <v>13459</v>
      </c>
      <c r="I2040" s="925"/>
      <c r="J2040" s="667">
        <v>45.73</v>
      </c>
    </row>
    <row r="2041" spans="1:10" ht="0.95" customHeight="1" thickTop="1">
      <c r="A2041" s="666"/>
      <c r="B2041" s="666"/>
      <c r="C2041" s="666"/>
      <c r="D2041" s="666"/>
      <c r="E2041" s="666"/>
      <c r="F2041" s="666"/>
      <c r="G2041" s="666"/>
      <c r="H2041" s="666"/>
      <c r="I2041" s="666"/>
      <c r="J2041" s="666"/>
    </row>
    <row r="2042" spans="1:10" ht="18" customHeight="1">
      <c r="A2042" s="686" t="s">
        <v>14830</v>
      </c>
      <c r="B2042" s="684" t="s">
        <v>13484</v>
      </c>
      <c r="C2042" s="686" t="s">
        <v>13483</v>
      </c>
      <c r="D2042" s="686" t="s">
        <v>13482</v>
      </c>
      <c r="E2042" s="924" t="s">
        <v>13481</v>
      </c>
      <c r="F2042" s="924"/>
      <c r="G2042" s="685" t="s">
        <v>13480</v>
      </c>
      <c r="H2042" s="684" t="s">
        <v>13479</v>
      </c>
      <c r="I2042" s="684" t="s">
        <v>13478</v>
      </c>
      <c r="J2042" s="684" t="s">
        <v>13477</v>
      </c>
    </row>
    <row r="2043" spans="1:10" ht="24" customHeight="1">
      <c r="A2043" s="682" t="s">
        <v>13476</v>
      </c>
      <c r="B2043" s="683" t="s">
        <v>14829</v>
      </c>
      <c r="C2043" s="682" t="s">
        <v>7</v>
      </c>
      <c r="D2043" s="682" t="s">
        <v>1410</v>
      </c>
      <c r="E2043" s="917" t="s">
        <v>13474</v>
      </c>
      <c r="F2043" s="917"/>
      <c r="G2043" s="681" t="s">
        <v>34</v>
      </c>
      <c r="H2043" s="680">
        <v>1</v>
      </c>
      <c r="I2043" s="679">
        <v>11.15</v>
      </c>
      <c r="J2043" s="679">
        <v>11.15</v>
      </c>
    </row>
    <row r="2044" spans="1:10" ht="24" customHeight="1">
      <c r="A2044" s="677" t="s">
        <v>13472</v>
      </c>
      <c r="B2044" s="678" t="s">
        <v>13526</v>
      </c>
      <c r="C2044" s="677" t="s">
        <v>7</v>
      </c>
      <c r="D2044" s="677" t="s">
        <v>1093</v>
      </c>
      <c r="E2044" s="918" t="s">
        <v>13470</v>
      </c>
      <c r="F2044" s="918"/>
      <c r="G2044" s="676" t="s">
        <v>19</v>
      </c>
      <c r="H2044" s="675">
        <v>0.04</v>
      </c>
      <c r="I2044" s="674">
        <v>13.48</v>
      </c>
      <c r="J2044" s="674">
        <v>0.53</v>
      </c>
    </row>
    <row r="2045" spans="1:10" ht="24" customHeight="1">
      <c r="A2045" s="677" t="s">
        <v>13472</v>
      </c>
      <c r="B2045" s="678" t="s">
        <v>13473</v>
      </c>
      <c r="C2045" s="677" t="s">
        <v>7</v>
      </c>
      <c r="D2045" s="677" t="s">
        <v>44</v>
      </c>
      <c r="E2045" s="918" t="s">
        <v>13470</v>
      </c>
      <c r="F2045" s="918"/>
      <c r="G2045" s="676" t="s">
        <v>19</v>
      </c>
      <c r="H2045" s="675">
        <v>0.04</v>
      </c>
      <c r="I2045" s="674">
        <v>17.66</v>
      </c>
      <c r="J2045" s="674">
        <v>0.7</v>
      </c>
    </row>
    <row r="2046" spans="1:10" ht="24" customHeight="1">
      <c r="A2046" s="672" t="s">
        <v>13467</v>
      </c>
      <c r="B2046" s="673" t="s">
        <v>14762</v>
      </c>
      <c r="C2046" s="672" t="s">
        <v>7</v>
      </c>
      <c r="D2046" s="672" t="s">
        <v>14761</v>
      </c>
      <c r="E2046" s="919" t="s">
        <v>13464</v>
      </c>
      <c r="F2046" s="919"/>
      <c r="G2046" s="671" t="s">
        <v>34</v>
      </c>
      <c r="H2046" s="670">
        <v>7.0000000000000001E-3</v>
      </c>
      <c r="I2046" s="669">
        <v>83.11</v>
      </c>
      <c r="J2046" s="669">
        <v>0.57999999999999996</v>
      </c>
    </row>
    <row r="2047" spans="1:10" ht="24" customHeight="1">
      <c r="A2047" s="672" t="s">
        <v>13467</v>
      </c>
      <c r="B2047" s="673" t="s">
        <v>13523</v>
      </c>
      <c r="C2047" s="672" t="s">
        <v>7</v>
      </c>
      <c r="D2047" s="672" t="s">
        <v>13522</v>
      </c>
      <c r="E2047" s="919" t="s">
        <v>13464</v>
      </c>
      <c r="F2047" s="919"/>
      <c r="G2047" s="671" t="s">
        <v>34</v>
      </c>
      <c r="H2047" s="670">
        <v>1.2999999999999999E-2</v>
      </c>
      <c r="I2047" s="669">
        <v>2.2000000000000002</v>
      </c>
      <c r="J2047" s="669">
        <v>0.02</v>
      </c>
    </row>
    <row r="2048" spans="1:10" ht="24" customHeight="1">
      <c r="A2048" s="672" t="s">
        <v>13467</v>
      </c>
      <c r="B2048" s="673" t="s">
        <v>13521</v>
      </c>
      <c r="C2048" s="672" t="s">
        <v>7</v>
      </c>
      <c r="D2048" s="672" t="s">
        <v>13520</v>
      </c>
      <c r="E2048" s="919" t="s">
        <v>13464</v>
      </c>
      <c r="F2048" s="919"/>
      <c r="G2048" s="671" t="s">
        <v>34</v>
      </c>
      <c r="H2048" s="670">
        <v>8.0000000000000002E-3</v>
      </c>
      <c r="I2048" s="669">
        <v>72.17</v>
      </c>
      <c r="J2048" s="669">
        <v>0.56999999999999995</v>
      </c>
    </row>
    <row r="2049" spans="1:10" ht="24" customHeight="1">
      <c r="A2049" s="672" t="s">
        <v>13467</v>
      </c>
      <c r="B2049" s="673" t="s">
        <v>14828</v>
      </c>
      <c r="C2049" s="672" t="s">
        <v>7</v>
      </c>
      <c r="D2049" s="672" t="s">
        <v>14827</v>
      </c>
      <c r="E2049" s="919" t="s">
        <v>13464</v>
      </c>
      <c r="F2049" s="919"/>
      <c r="G2049" s="671" t="s">
        <v>34</v>
      </c>
      <c r="H2049" s="670">
        <v>1</v>
      </c>
      <c r="I2049" s="669">
        <v>8.75</v>
      </c>
      <c r="J2049" s="669">
        <v>8.75</v>
      </c>
    </row>
    <row r="2050" spans="1:10" ht="25.5">
      <c r="A2050" s="668"/>
      <c r="B2050" s="668"/>
      <c r="C2050" s="668"/>
      <c r="D2050" s="668"/>
      <c r="E2050" s="668" t="s">
        <v>13463</v>
      </c>
      <c r="F2050" s="667">
        <v>0.52700206454417042</v>
      </c>
      <c r="G2050" s="668" t="s">
        <v>13462</v>
      </c>
      <c r="H2050" s="667">
        <v>0.44</v>
      </c>
      <c r="I2050" s="668" t="s">
        <v>13461</v>
      </c>
      <c r="J2050" s="667">
        <v>0.97</v>
      </c>
    </row>
    <row r="2051" spans="1:10" ht="15" thickBot="1">
      <c r="A2051" s="668"/>
      <c r="B2051" s="668"/>
      <c r="C2051" s="668"/>
      <c r="D2051" s="668"/>
      <c r="E2051" s="668" t="s">
        <v>13460</v>
      </c>
      <c r="F2051" s="667">
        <v>3.14</v>
      </c>
      <c r="G2051" s="668"/>
      <c r="H2051" s="925" t="s">
        <v>13459</v>
      </c>
      <c r="I2051" s="925"/>
      <c r="J2051" s="667">
        <v>14.29</v>
      </c>
    </row>
    <row r="2052" spans="1:10" ht="0.95" customHeight="1" thickTop="1">
      <c r="A2052" s="666"/>
      <c r="B2052" s="666"/>
      <c r="C2052" s="666"/>
      <c r="D2052" s="666"/>
      <c r="E2052" s="666"/>
      <c r="F2052" s="666"/>
      <c r="G2052" s="666"/>
      <c r="H2052" s="666"/>
      <c r="I2052" s="666"/>
      <c r="J2052" s="666"/>
    </row>
    <row r="2053" spans="1:10" ht="18" customHeight="1">
      <c r="A2053" s="686" t="s">
        <v>14826</v>
      </c>
      <c r="B2053" s="684" t="s">
        <v>13484</v>
      </c>
      <c r="C2053" s="686" t="s">
        <v>13483</v>
      </c>
      <c r="D2053" s="686" t="s">
        <v>13482</v>
      </c>
      <c r="E2053" s="924" t="s">
        <v>13481</v>
      </c>
      <c r="F2053" s="924"/>
      <c r="G2053" s="685" t="s">
        <v>13480</v>
      </c>
      <c r="H2053" s="684" t="s">
        <v>13479</v>
      </c>
      <c r="I2053" s="684" t="s">
        <v>13478</v>
      </c>
      <c r="J2053" s="684" t="s">
        <v>13477</v>
      </c>
    </row>
    <row r="2054" spans="1:10" ht="36" customHeight="1">
      <c r="A2054" s="682" t="s">
        <v>13476</v>
      </c>
      <c r="B2054" s="683" t="s">
        <v>14825</v>
      </c>
      <c r="C2054" s="682" t="s">
        <v>7</v>
      </c>
      <c r="D2054" s="682" t="s">
        <v>2880</v>
      </c>
      <c r="E2054" s="917" t="s">
        <v>13474</v>
      </c>
      <c r="F2054" s="917"/>
      <c r="G2054" s="681" t="s">
        <v>34</v>
      </c>
      <c r="H2054" s="680">
        <v>1</v>
      </c>
      <c r="I2054" s="679">
        <v>108.75</v>
      </c>
      <c r="J2054" s="679">
        <v>108.75</v>
      </c>
    </row>
    <row r="2055" spans="1:10" ht="24" customHeight="1">
      <c r="A2055" s="677" t="s">
        <v>13472</v>
      </c>
      <c r="B2055" s="678" t="s">
        <v>13526</v>
      </c>
      <c r="C2055" s="677" t="s">
        <v>7</v>
      </c>
      <c r="D2055" s="677" t="s">
        <v>1093</v>
      </c>
      <c r="E2055" s="918" t="s">
        <v>13470</v>
      </c>
      <c r="F2055" s="918"/>
      <c r="G2055" s="676" t="s">
        <v>19</v>
      </c>
      <c r="H2055" s="675">
        <v>0.21690000000000001</v>
      </c>
      <c r="I2055" s="674">
        <v>13.48</v>
      </c>
      <c r="J2055" s="674">
        <v>2.92</v>
      </c>
    </row>
    <row r="2056" spans="1:10" ht="24" customHeight="1">
      <c r="A2056" s="677" t="s">
        <v>13472</v>
      </c>
      <c r="B2056" s="678" t="s">
        <v>13473</v>
      </c>
      <c r="C2056" s="677" t="s">
        <v>7</v>
      </c>
      <c r="D2056" s="677" t="s">
        <v>44</v>
      </c>
      <c r="E2056" s="918" t="s">
        <v>13470</v>
      </c>
      <c r="F2056" s="918"/>
      <c r="G2056" s="676" t="s">
        <v>19</v>
      </c>
      <c r="H2056" s="675">
        <v>0.21690000000000001</v>
      </c>
      <c r="I2056" s="674">
        <v>17.66</v>
      </c>
      <c r="J2056" s="674">
        <v>3.83</v>
      </c>
    </row>
    <row r="2057" spans="1:10" ht="24" customHeight="1">
      <c r="A2057" s="672" t="s">
        <v>13467</v>
      </c>
      <c r="B2057" s="673" t="s">
        <v>14824</v>
      </c>
      <c r="C2057" s="672" t="s">
        <v>7</v>
      </c>
      <c r="D2057" s="672" t="s">
        <v>14823</v>
      </c>
      <c r="E2057" s="919" t="s">
        <v>13464</v>
      </c>
      <c r="F2057" s="919"/>
      <c r="G2057" s="671" t="s">
        <v>34</v>
      </c>
      <c r="H2057" s="670">
        <v>1</v>
      </c>
      <c r="I2057" s="669">
        <v>102</v>
      </c>
      <c r="J2057" s="669">
        <v>102</v>
      </c>
    </row>
    <row r="2058" spans="1:10" ht="25.5">
      <c r="A2058" s="668"/>
      <c r="B2058" s="668"/>
      <c r="C2058" s="668"/>
      <c r="D2058" s="668"/>
      <c r="E2058" s="668" t="s">
        <v>13463</v>
      </c>
      <c r="F2058" s="667">
        <v>2.8740628056068673</v>
      </c>
      <c r="G2058" s="668" t="s">
        <v>13462</v>
      </c>
      <c r="H2058" s="667">
        <v>2.42</v>
      </c>
      <c r="I2058" s="668" t="s">
        <v>13461</v>
      </c>
      <c r="J2058" s="667">
        <v>5.29</v>
      </c>
    </row>
    <row r="2059" spans="1:10" ht="15" thickBot="1">
      <c r="A2059" s="668"/>
      <c r="B2059" s="668"/>
      <c r="C2059" s="668"/>
      <c r="D2059" s="668"/>
      <c r="E2059" s="668" t="s">
        <v>13460</v>
      </c>
      <c r="F2059" s="667">
        <v>30.71</v>
      </c>
      <c r="G2059" s="668"/>
      <c r="H2059" s="925" t="s">
        <v>13459</v>
      </c>
      <c r="I2059" s="925"/>
      <c r="J2059" s="667">
        <v>139.46</v>
      </c>
    </row>
    <row r="2060" spans="1:10" ht="0.95" customHeight="1" thickTop="1">
      <c r="A2060" s="666"/>
      <c r="B2060" s="666"/>
      <c r="C2060" s="666"/>
      <c r="D2060" s="666"/>
      <c r="E2060" s="666"/>
      <c r="F2060" s="666"/>
      <c r="G2060" s="666"/>
      <c r="H2060" s="666"/>
      <c r="I2060" s="666"/>
      <c r="J2060" s="666"/>
    </row>
    <row r="2061" spans="1:10" ht="18" customHeight="1">
      <c r="A2061" s="686" t="s">
        <v>14822</v>
      </c>
      <c r="B2061" s="684" t="s">
        <v>13484</v>
      </c>
      <c r="C2061" s="686" t="s">
        <v>13483</v>
      </c>
      <c r="D2061" s="686" t="s">
        <v>13482</v>
      </c>
      <c r="E2061" s="924" t="s">
        <v>13481</v>
      </c>
      <c r="F2061" s="924"/>
      <c r="G2061" s="685" t="s">
        <v>13480</v>
      </c>
      <c r="H2061" s="684" t="s">
        <v>13479</v>
      </c>
      <c r="I2061" s="684" t="s">
        <v>13478</v>
      </c>
      <c r="J2061" s="684" t="s">
        <v>13477</v>
      </c>
    </row>
    <row r="2062" spans="1:10" ht="24" customHeight="1">
      <c r="A2062" s="682" t="s">
        <v>13476</v>
      </c>
      <c r="B2062" s="683" t="s">
        <v>14821</v>
      </c>
      <c r="C2062" s="682" t="s">
        <v>7</v>
      </c>
      <c r="D2062" s="682" t="s">
        <v>5172</v>
      </c>
      <c r="E2062" s="917" t="s">
        <v>13474</v>
      </c>
      <c r="F2062" s="917"/>
      <c r="G2062" s="681" t="s">
        <v>34</v>
      </c>
      <c r="H2062" s="680">
        <v>1</v>
      </c>
      <c r="I2062" s="679">
        <v>78.95</v>
      </c>
      <c r="J2062" s="679">
        <v>78.95</v>
      </c>
    </row>
    <row r="2063" spans="1:10" ht="24" customHeight="1">
      <c r="A2063" s="677" t="s">
        <v>13472</v>
      </c>
      <c r="B2063" s="678" t="s">
        <v>13473</v>
      </c>
      <c r="C2063" s="677" t="s">
        <v>7</v>
      </c>
      <c r="D2063" s="677" t="s">
        <v>44</v>
      </c>
      <c r="E2063" s="918" t="s">
        <v>13470</v>
      </c>
      <c r="F2063" s="918"/>
      <c r="G2063" s="676" t="s">
        <v>19</v>
      </c>
      <c r="H2063" s="675">
        <v>0.44669999999999999</v>
      </c>
      <c r="I2063" s="674">
        <v>17.66</v>
      </c>
      <c r="J2063" s="674">
        <v>7.88</v>
      </c>
    </row>
    <row r="2064" spans="1:10" ht="24" customHeight="1">
      <c r="A2064" s="677" t="s">
        <v>13472</v>
      </c>
      <c r="B2064" s="678" t="s">
        <v>13471</v>
      </c>
      <c r="C2064" s="677" t="s">
        <v>7</v>
      </c>
      <c r="D2064" s="677" t="s">
        <v>21</v>
      </c>
      <c r="E2064" s="918" t="s">
        <v>13470</v>
      </c>
      <c r="F2064" s="918"/>
      <c r="G2064" s="676" t="s">
        <v>19</v>
      </c>
      <c r="H2064" s="675">
        <v>0.14069999999999999</v>
      </c>
      <c r="I2064" s="674">
        <v>14.02</v>
      </c>
      <c r="J2064" s="674">
        <v>1.97</v>
      </c>
    </row>
    <row r="2065" spans="1:10" ht="24" customHeight="1">
      <c r="A2065" s="672" t="s">
        <v>13467</v>
      </c>
      <c r="B2065" s="673" t="s">
        <v>14820</v>
      </c>
      <c r="C2065" s="672" t="s">
        <v>7</v>
      </c>
      <c r="D2065" s="672" t="s">
        <v>14819</v>
      </c>
      <c r="E2065" s="919" t="s">
        <v>13464</v>
      </c>
      <c r="F2065" s="919"/>
      <c r="G2065" s="671" t="s">
        <v>34</v>
      </c>
      <c r="H2065" s="670">
        <v>1</v>
      </c>
      <c r="I2065" s="669">
        <v>69</v>
      </c>
      <c r="J2065" s="669">
        <v>69</v>
      </c>
    </row>
    <row r="2066" spans="1:10" ht="24" customHeight="1">
      <c r="A2066" s="672" t="s">
        <v>13467</v>
      </c>
      <c r="B2066" s="673" t="s">
        <v>13469</v>
      </c>
      <c r="C2066" s="672" t="s">
        <v>7</v>
      </c>
      <c r="D2066" s="672" t="s">
        <v>13468</v>
      </c>
      <c r="E2066" s="919" t="s">
        <v>13464</v>
      </c>
      <c r="F2066" s="919"/>
      <c r="G2066" s="671" t="s">
        <v>34</v>
      </c>
      <c r="H2066" s="670">
        <v>2.1000000000000001E-2</v>
      </c>
      <c r="I2066" s="669">
        <v>5</v>
      </c>
      <c r="J2066" s="669">
        <v>0.1</v>
      </c>
    </row>
    <row r="2067" spans="1:10" ht="25.5">
      <c r="A2067" s="668"/>
      <c r="B2067" s="668"/>
      <c r="C2067" s="668"/>
      <c r="D2067" s="668"/>
      <c r="E2067" s="668" t="s">
        <v>13463</v>
      </c>
      <c r="F2067" s="667">
        <v>4.2540475931761383</v>
      </c>
      <c r="G2067" s="668" t="s">
        <v>13462</v>
      </c>
      <c r="H2067" s="667">
        <v>3.58</v>
      </c>
      <c r="I2067" s="668" t="s">
        <v>13461</v>
      </c>
      <c r="J2067" s="667">
        <v>7.83</v>
      </c>
    </row>
    <row r="2068" spans="1:10" ht="15" thickBot="1">
      <c r="A2068" s="668"/>
      <c r="B2068" s="668"/>
      <c r="C2068" s="668"/>
      <c r="D2068" s="668"/>
      <c r="E2068" s="668" t="s">
        <v>13460</v>
      </c>
      <c r="F2068" s="667">
        <v>22.29</v>
      </c>
      <c r="G2068" s="668"/>
      <c r="H2068" s="925" t="s">
        <v>13459</v>
      </c>
      <c r="I2068" s="925"/>
      <c r="J2068" s="667">
        <v>101.24</v>
      </c>
    </row>
    <row r="2069" spans="1:10" ht="0.95" customHeight="1" thickTop="1">
      <c r="A2069" s="666"/>
      <c r="B2069" s="666"/>
      <c r="C2069" s="666"/>
      <c r="D2069" s="666"/>
      <c r="E2069" s="666"/>
      <c r="F2069" s="666"/>
      <c r="G2069" s="666"/>
      <c r="H2069" s="666"/>
      <c r="I2069" s="666"/>
      <c r="J2069" s="666"/>
    </row>
    <row r="2070" spans="1:10" ht="18" customHeight="1">
      <c r="A2070" s="686" t="s">
        <v>14818</v>
      </c>
      <c r="B2070" s="684" t="s">
        <v>13484</v>
      </c>
      <c r="C2070" s="686" t="s">
        <v>13483</v>
      </c>
      <c r="D2070" s="686" t="s">
        <v>13482</v>
      </c>
      <c r="E2070" s="924" t="s">
        <v>13481</v>
      </c>
      <c r="F2070" s="924"/>
      <c r="G2070" s="685" t="s">
        <v>13480</v>
      </c>
      <c r="H2070" s="684" t="s">
        <v>13479</v>
      </c>
      <c r="I2070" s="684" t="s">
        <v>13478</v>
      </c>
      <c r="J2070" s="684" t="s">
        <v>13477</v>
      </c>
    </row>
    <row r="2071" spans="1:10" ht="48" customHeight="1">
      <c r="A2071" s="682" t="s">
        <v>13476</v>
      </c>
      <c r="B2071" s="683" t="s">
        <v>14817</v>
      </c>
      <c r="C2071" s="682" t="s">
        <v>7</v>
      </c>
      <c r="D2071" s="682" t="s">
        <v>5126</v>
      </c>
      <c r="E2071" s="917" t="s">
        <v>13474</v>
      </c>
      <c r="F2071" s="917"/>
      <c r="G2071" s="681" t="s">
        <v>34</v>
      </c>
      <c r="H2071" s="680">
        <v>1</v>
      </c>
      <c r="I2071" s="679">
        <v>582.52</v>
      </c>
      <c r="J2071" s="679">
        <v>582.52</v>
      </c>
    </row>
    <row r="2072" spans="1:10" ht="24" customHeight="1">
      <c r="A2072" s="677" t="s">
        <v>13472</v>
      </c>
      <c r="B2072" s="678" t="s">
        <v>13569</v>
      </c>
      <c r="C2072" s="677" t="s">
        <v>7</v>
      </c>
      <c r="D2072" s="677" t="s">
        <v>5089</v>
      </c>
      <c r="E2072" s="918" t="s">
        <v>13474</v>
      </c>
      <c r="F2072" s="918"/>
      <c r="G2072" s="676" t="s">
        <v>34</v>
      </c>
      <c r="H2072" s="675">
        <v>1</v>
      </c>
      <c r="I2072" s="674">
        <v>545.61</v>
      </c>
      <c r="J2072" s="674">
        <v>545.61</v>
      </c>
    </row>
    <row r="2073" spans="1:10" ht="24" customHeight="1">
      <c r="A2073" s="677" t="s">
        <v>13472</v>
      </c>
      <c r="B2073" s="678" t="s">
        <v>14791</v>
      </c>
      <c r="C2073" s="677" t="s">
        <v>7</v>
      </c>
      <c r="D2073" s="677" t="s">
        <v>5121</v>
      </c>
      <c r="E2073" s="918" t="s">
        <v>13474</v>
      </c>
      <c r="F2073" s="918"/>
      <c r="G2073" s="676" t="s">
        <v>34</v>
      </c>
      <c r="H2073" s="675">
        <v>1</v>
      </c>
      <c r="I2073" s="674">
        <v>19.91</v>
      </c>
      <c r="J2073" s="674">
        <v>19.91</v>
      </c>
    </row>
    <row r="2074" spans="1:10" ht="36" customHeight="1">
      <c r="A2074" s="677" t="s">
        <v>13472</v>
      </c>
      <c r="B2074" s="678" t="s">
        <v>14749</v>
      </c>
      <c r="C2074" s="677" t="s">
        <v>7</v>
      </c>
      <c r="D2074" s="677" t="s">
        <v>5095</v>
      </c>
      <c r="E2074" s="918" t="s">
        <v>13474</v>
      </c>
      <c r="F2074" s="918"/>
      <c r="G2074" s="676" t="s">
        <v>34</v>
      </c>
      <c r="H2074" s="675">
        <v>1</v>
      </c>
      <c r="I2074" s="674">
        <v>6.08</v>
      </c>
      <c r="J2074" s="674">
        <v>6.08</v>
      </c>
    </row>
    <row r="2075" spans="1:10" ht="24" customHeight="1">
      <c r="A2075" s="677" t="s">
        <v>13472</v>
      </c>
      <c r="B2075" s="678" t="s">
        <v>14753</v>
      </c>
      <c r="C2075" s="677" t="s">
        <v>7</v>
      </c>
      <c r="D2075" s="677" t="s">
        <v>5099</v>
      </c>
      <c r="E2075" s="918" t="s">
        <v>13474</v>
      </c>
      <c r="F2075" s="918"/>
      <c r="G2075" s="676" t="s">
        <v>34</v>
      </c>
      <c r="H2075" s="675">
        <v>1</v>
      </c>
      <c r="I2075" s="674">
        <v>10.92</v>
      </c>
      <c r="J2075" s="674">
        <v>10.92</v>
      </c>
    </row>
    <row r="2076" spans="1:10" ht="25.5">
      <c r="A2076" s="668"/>
      <c r="B2076" s="668"/>
      <c r="C2076" s="668"/>
      <c r="D2076" s="668"/>
      <c r="E2076" s="668" t="s">
        <v>13463</v>
      </c>
      <c r="F2076" s="667">
        <v>21.145278699999999</v>
      </c>
      <c r="G2076" s="668" t="s">
        <v>13462</v>
      </c>
      <c r="H2076" s="667">
        <v>17.77</v>
      </c>
      <c r="I2076" s="668" t="s">
        <v>13461</v>
      </c>
      <c r="J2076" s="667">
        <v>38.92</v>
      </c>
    </row>
    <row r="2077" spans="1:10" ht="15" thickBot="1">
      <c r="A2077" s="668"/>
      <c r="B2077" s="668"/>
      <c r="C2077" s="668"/>
      <c r="D2077" s="668"/>
      <c r="E2077" s="668" t="s">
        <v>13460</v>
      </c>
      <c r="F2077" s="667">
        <v>164.5</v>
      </c>
      <c r="G2077" s="668"/>
      <c r="H2077" s="925" t="s">
        <v>13459</v>
      </c>
      <c r="I2077" s="925"/>
      <c r="J2077" s="667">
        <v>747.02</v>
      </c>
    </row>
    <row r="2078" spans="1:10" ht="0.95" customHeight="1" thickTop="1">
      <c r="A2078" s="666"/>
      <c r="B2078" s="666"/>
      <c r="C2078" s="666"/>
      <c r="D2078" s="666"/>
      <c r="E2078" s="666"/>
      <c r="F2078" s="666"/>
      <c r="G2078" s="666"/>
      <c r="H2078" s="666"/>
      <c r="I2078" s="666"/>
      <c r="J2078" s="666"/>
    </row>
    <row r="2079" spans="1:10" ht="18" customHeight="1">
      <c r="A2079" s="686" t="s">
        <v>14816</v>
      </c>
      <c r="B2079" s="684" t="s">
        <v>13484</v>
      </c>
      <c r="C2079" s="686" t="s">
        <v>13483</v>
      </c>
      <c r="D2079" s="686" t="s">
        <v>13482</v>
      </c>
      <c r="E2079" s="924" t="s">
        <v>13481</v>
      </c>
      <c r="F2079" s="924"/>
      <c r="G2079" s="685" t="s">
        <v>13480</v>
      </c>
      <c r="H2079" s="684" t="s">
        <v>13479</v>
      </c>
      <c r="I2079" s="684" t="s">
        <v>13478</v>
      </c>
      <c r="J2079" s="684" t="s">
        <v>13477</v>
      </c>
    </row>
    <row r="2080" spans="1:10" ht="48" customHeight="1">
      <c r="A2080" s="682" t="s">
        <v>13476</v>
      </c>
      <c r="B2080" s="683" t="s">
        <v>14815</v>
      </c>
      <c r="C2080" s="682" t="s">
        <v>7</v>
      </c>
      <c r="D2080" s="682" t="s">
        <v>5144</v>
      </c>
      <c r="E2080" s="917" t="s">
        <v>13474</v>
      </c>
      <c r="F2080" s="917"/>
      <c r="G2080" s="681" t="s">
        <v>34</v>
      </c>
      <c r="H2080" s="680">
        <v>1</v>
      </c>
      <c r="I2080" s="679">
        <v>300.61</v>
      </c>
      <c r="J2080" s="679">
        <v>300.61</v>
      </c>
    </row>
    <row r="2081" spans="1:10" ht="36" customHeight="1">
      <c r="A2081" s="677" t="s">
        <v>13472</v>
      </c>
      <c r="B2081" s="678" t="s">
        <v>13487</v>
      </c>
      <c r="C2081" s="677" t="s">
        <v>7</v>
      </c>
      <c r="D2081" s="677" t="s">
        <v>5093</v>
      </c>
      <c r="E2081" s="918" t="s">
        <v>13474</v>
      </c>
      <c r="F2081" s="918"/>
      <c r="G2081" s="676" t="s">
        <v>34</v>
      </c>
      <c r="H2081" s="675">
        <v>1</v>
      </c>
      <c r="I2081" s="674">
        <v>27.57</v>
      </c>
      <c r="J2081" s="674">
        <v>27.57</v>
      </c>
    </row>
    <row r="2082" spans="1:10" ht="24" customHeight="1">
      <c r="A2082" s="677" t="s">
        <v>13472</v>
      </c>
      <c r="B2082" s="678" t="s">
        <v>14226</v>
      </c>
      <c r="C2082" s="677" t="s">
        <v>7</v>
      </c>
      <c r="D2082" s="677" t="s">
        <v>5097</v>
      </c>
      <c r="E2082" s="918" t="s">
        <v>13474</v>
      </c>
      <c r="F2082" s="918"/>
      <c r="G2082" s="676" t="s">
        <v>34</v>
      </c>
      <c r="H2082" s="675">
        <v>1</v>
      </c>
      <c r="I2082" s="674">
        <v>156.16999999999999</v>
      </c>
      <c r="J2082" s="674">
        <v>156.16999999999999</v>
      </c>
    </row>
    <row r="2083" spans="1:10" ht="36" customHeight="1">
      <c r="A2083" s="677" t="s">
        <v>13472</v>
      </c>
      <c r="B2083" s="678" t="s">
        <v>13969</v>
      </c>
      <c r="C2083" s="677" t="s">
        <v>7</v>
      </c>
      <c r="D2083" s="677" t="s">
        <v>5111</v>
      </c>
      <c r="E2083" s="918" t="s">
        <v>13474</v>
      </c>
      <c r="F2083" s="918"/>
      <c r="G2083" s="676" t="s">
        <v>34</v>
      </c>
      <c r="H2083" s="675">
        <v>1</v>
      </c>
      <c r="I2083" s="674">
        <v>116.87</v>
      </c>
      <c r="J2083" s="674">
        <v>116.87</v>
      </c>
    </row>
    <row r="2084" spans="1:10" ht="25.5">
      <c r="A2084" s="668"/>
      <c r="B2084" s="668"/>
      <c r="C2084" s="668"/>
      <c r="D2084" s="668"/>
      <c r="E2084" s="668" t="s">
        <v>13463</v>
      </c>
      <c r="F2084" s="667">
        <v>12.2134087</v>
      </c>
      <c r="G2084" s="668" t="s">
        <v>13462</v>
      </c>
      <c r="H2084" s="667">
        <v>10.27</v>
      </c>
      <c r="I2084" s="668" t="s">
        <v>13461</v>
      </c>
      <c r="J2084" s="667">
        <v>22.48</v>
      </c>
    </row>
    <row r="2085" spans="1:10" ht="15" thickBot="1">
      <c r="A2085" s="668"/>
      <c r="B2085" s="668"/>
      <c r="C2085" s="668"/>
      <c r="D2085" s="668"/>
      <c r="E2085" s="668" t="s">
        <v>13460</v>
      </c>
      <c r="F2085" s="667">
        <v>84.89</v>
      </c>
      <c r="G2085" s="668"/>
      <c r="H2085" s="925" t="s">
        <v>13459</v>
      </c>
      <c r="I2085" s="925"/>
      <c r="J2085" s="667">
        <v>385.5</v>
      </c>
    </row>
    <row r="2086" spans="1:10" ht="0.95" customHeight="1" thickTop="1">
      <c r="A2086" s="666"/>
      <c r="B2086" s="666"/>
      <c r="C2086" s="666"/>
      <c r="D2086" s="666"/>
      <c r="E2086" s="666"/>
      <c r="F2086" s="666"/>
      <c r="G2086" s="666"/>
      <c r="H2086" s="666"/>
      <c r="I2086" s="666"/>
      <c r="J2086" s="666"/>
    </row>
    <row r="2087" spans="1:10" ht="18" customHeight="1">
      <c r="A2087" s="686" t="s">
        <v>14814</v>
      </c>
      <c r="B2087" s="684" t="s">
        <v>13484</v>
      </c>
      <c r="C2087" s="686" t="s">
        <v>13483</v>
      </c>
      <c r="D2087" s="686" t="s">
        <v>13482</v>
      </c>
      <c r="E2087" s="924" t="s">
        <v>13481</v>
      </c>
      <c r="F2087" s="924"/>
      <c r="G2087" s="685" t="s">
        <v>13480</v>
      </c>
      <c r="H2087" s="684" t="s">
        <v>13479</v>
      </c>
      <c r="I2087" s="684" t="s">
        <v>13478</v>
      </c>
      <c r="J2087" s="684" t="s">
        <v>13477</v>
      </c>
    </row>
    <row r="2088" spans="1:10" ht="36" customHeight="1">
      <c r="A2088" s="682" t="s">
        <v>13476</v>
      </c>
      <c r="B2088" s="683" t="s">
        <v>14813</v>
      </c>
      <c r="C2088" s="682" t="s">
        <v>7</v>
      </c>
      <c r="D2088" s="682" t="s">
        <v>5142</v>
      </c>
      <c r="E2088" s="917" t="s">
        <v>13474</v>
      </c>
      <c r="F2088" s="917"/>
      <c r="G2088" s="681" t="s">
        <v>34</v>
      </c>
      <c r="H2088" s="680">
        <v>1</v>
      </c>
      <c r="I2088" s="679">
        <v>405.66</v>
      </c>
      <c r="J2088" s="679">
        <v>405.66</v>
      </c>
    </row>
    <row r="2089" spans="1:10" ht="36" customHeight="1">
      <c r="A2089" s="677" t="s">
        <v>13472</v>
      </c>
      <c r="B2089" s="678" t="s">
        <v>13966</v>
      </c>
      <c r="C2089" s="677" t="s">
        <v>7</v>
      </c>
      <c r="D2089" s="677" t="s">
        <v>5110</v>
      </c>
      <c r="E2089" s="918" t="s">
        <v>13474</v>
      </c>
      <c r="F2089" s="918"/>
      <c r="G2089" s="676" t="s">
        <v>34</v>
      </c>
      <c r="H2089" s="675">
        <v>1</v>
      </c>
      <c r="I2089" s="674">
        <v>194.2</v>
      </c>
      <c r="J2089" s="674">
        <v>194.2</v>
      </c>
    </row>
    <row r="2090" spans="1:10" ht="24" customHeight="1">
      <c r="A2090" s="677" t="s">
        <v>13472</v>
      </c>
      <c r="B2090" s="678" t="s">
        <v>14226</v>
      </c>
      <c r="C2090" s="677" t="s">
        <v>7</v>
      </c>
      <c r="D2090" s="677" t="s">
        <v>5097</v>
      </c>
      <c r="E2090" s="918" t="s">
        <v>13474</v>
      </c>
      <c r="F2090" s="918"/>
      <c r="G2090" s="676" t="s">
        <v>34</v>
      </c>
      <c r="H2090" s="675">
        <v>1</v>
      </c>
      <c r="I2090" s="674">
        <v>156.16999999999999</v>
      </c>
      <c r="J2090" s="674">
        <v>156.16999999999999</v>
      </c>
    </row>
    <row r="2091" spans="1:10" ht="36" customHeight="1">
      <c r="A2091" s="677" t="s">
        <v>13472</v>
      </c>
      <c r="B2091" s="678" t="s">
        <v>13475</v>
      </c>
      <c r="C2091" s="677" t="s">
        <v>7</v>
      </c>
      <c r="D2091" s="677" t="s">
        <v>5094</v>
      </c>
      <c r="E2091" s="918" t="s">
        <v>13474</v>
      </c>
      <c r="F2091" s="918"/>
      <c r="G2091" s="676" t="s">
        <v>34</v>
      </c>
      <c r="H2091" s="675">
        <v>1</v>
      </c>
      <c r="I2091" s="674">
        <v>55.29</v>
      </c>
      <c r="J2091" s="674">
        <v>55.29</v>
      </c>
    </row>
    <row r="2092" spans="1:10" ht="25.5">
      <c r="A2092" s="668"/>
      <c r="B2092" s="668"/>
      <c r="C2092" s="668"/>
      <c r="D2092" s="668"/>
      <c r="E2092" s="668" t="s">
        <v>13463</v>
      </c>
      <c r="F2092" s="667">
        <v>8.7417146999999993</v>
      </c>
      <c r="G2092" s="668" t="s">
        <v>13462</v>
      </c>
      <c r="H2092" s="667">
        <v>7.35</v>
      </c>
      <c r="I2092" s="668" t="s">
        <v>13461</v>
      </c>
      <c r="J2092" s="667">
        <v>16.09</v>
      </c>
    </row>
    <row r="2093" spans="1:10" ht="15" thickBot="1">
      <c r="A2093" s="668"/>
      <c r="B2093" s="668"/>
      <c r="C2093" s="668"/>
      <c r="D2093" s="668"/>
      <c r="E2093" s="668" t="s">
        <v>13460</v>
      </c>
      <c r="F2093" s="667">
        <v>114.55</v>
      </c>
      <c r="G2093" s="668"/>
      <c r="H2093" s="925" t="s">
        <v>13459</v>
      </c>
      <c r="I2093" s="925"/>
      <c r="J2093" s="667">
        <v>520.21</v>
      </c>
    </row>
    <row r="2094" spans="1:10" ht="0.95" customHeight="1" thickTop="1">
      <c r="A2094" s="666"/>
      <c r="B2094" s="666"/>
      <c r="C2094" s="666"/>
      <c r="D2094" s="666"/>
      <c r="E2094" s="666"/>
      <c r="F2094" s="666"/>
      <c r="G2094" s="666"/>
      <c r="H2094" s="666"/>
      <c r="I2094" s="666"/>
      <c r="J2094" s="666"/>
    </row>
    <row r="2095" spans="1:10" ht="18" customHeight="1">
      <c r="A2095" s="686" t="s">
        <v>14812</v>
      </c>
      <c r="B2095" s="684" t="s">
        <v>13484</v>
      </c>
      <c r="C2095" s="686" t="s">
        <v>13483</v>
      </c>
      <c r="D2095" s="686" t="s">
        <v>13482</v>
      </c>
      <c r="E2095" s="924" t="s">
        <v>13481</v>
      </c>
      <c r="F2095" s="924"/>
      <c r="G2095" s="685" t="s">
        <v>13480</v>
      </c>
      <c r="H2095" s="684" t="s">
        <v>13479</v>
      </c>
      <c r="I2095" s="684" t="s">
        <v>13478</v>
      </c>
      <c r="J2095" s="684" t="s">
        <v>13477</v>
      </c>
    </row>
    <row r="2096" spans="1:10" ht="48" customHeight="1">
      <c r="A2096" s="682" t="s">
        <v>13476</v>
      </c>
      <c r="B2096" s="683" t="s">
        <v>14811</v>
      </c>
      <c r="C2096" s="682" t="s">
        <v>7</v>
      </c>
      <c r="D2096" s="682" t="s">
        <v>5156</v>
      </c>
      <c r="E2096" s="917" t="s">
        <v>13474</v>
      </c>
      <c r="F2096" s="917"/>
      <c r="G2096" s="681" t="s">
        <v>34</v>
      </c>
      <c r="H2096" s="680">
        <v>1</v>
      </c>
      <c r="I2096" s="679">
        <v>596.79999999999995</v>
      </c>
      <c r="J2096" s="679">
        <v>596.79999999999995</v>
      </c>
    </row>
    <row r="2097" spans="1:10" ht="36" customHeight="1">
      <c r="A2097" s="677" t="s">
        <v>13472</v>
      </c>
      <c r="B2097" s="678" t="s">
        <v>13509</v>
      </c>
      <c r="C2097" s="677" t="s">
        <v>7</v>
      </c>
      <c r="D2097" s="677" t="s">
        <v>5155</v>
      </c>
      <c r="E2097" s="918" t="s">
        <v>13474</v>
      </c>
      <c r="F2097" s="918"/>
      <c r="G2097" s="676" t="s">
        <v>34</v>
      </c>
      <c r="H2097" s="675">
        <v>1</v>
      </c>
      <c r="I2097" s="674">
        <v>589.24</v>
      </c>
      <c r="J2097" s="674">
        <v>589.24</v>
      </c>
    </row>
    <row r="2098" spans="1:10" ht="24" customHeight="1">
      <c r="A2098" s="672" t="s">
        <v>13467</v>
      </c>
      <c r="B2098" s="673" t="s">
        <v>14808</v>
      </c>
      <c r="C2098" s="672" t="s">
        <v>7</v>
      </c>
      <c r="D2098" s="672" t="s">
        <v>14807</v>
      </c>
      <c r="E2098" s="919" t="s">
        <v>13464</v>
      </c>
      <c r="F2098" s="919"/>
      <c r="G2098" s="671" t="s">
        <v>34</v>
      </c>
      <c r="H2098" s="670">
        <v>1</v>
      </c>
      <c r="I2098" s="669">
        <v>7.56</v>
      </c>
      <c r="J2098" s="669">
        <v>7.56</v>
      </c>
    </row>
    <row r="2099" spans="1:10" ht="25.5">
      <c r="A2099" s="668"/>
      <c r="B2099" s="668"/>
      <c r="C2099" s="668"/>
      <c r="D2099" s="668"/>
      <c r="E2099" s="668" t="s">
        <v>13463</v>
      </c>
      <c r="F2099" s="667">
        <v>12.0830164</v>
      </c>
      <c r="G2099" s="668" t="s">
        <v>13462</v>
      </c>
      <c r="H2099" s="667">
        <v>10.16</v>
      </c>
      <c r="I2099" s="668" t="s">
        <v>13461</v>
      </c>
      <c r="J2099" s="667">
        <v>22.24</v>
      </c>
    </row>
    <row r="2100" spans="1:10" ht="15" thickBot="1">
      <c r="A2100" s="668"/>
      <c r="B2100" s="668"/>
      <c r="C2100" s="668"/>
      <c r="D2100" s="668"/>
      <c r="E2100" s="668" t="s">
        <v>13460</v>
      </c>
      <c r="F2100" s="667">
        <v>168.53</v>
      </c>
      <c r="G2100" s="668"/>
      <c r="H2100" s="925" t="s">
        <v>13459</v>
      </c>
      <c r="I2100" s="925"/>
      <c r="J2100" s="667">
        <v>765.33</v>
      </c>
    </row>
    <row r="2101" spans="1:10" ht="0.95" customHeight="1" thickTop="1">
      <c r="A2101" s="666"/>
      <c r="B2101" s="666"/>
      <c r="C2101" s="666"/>
      <c r="D2101" s="666"/>
      <c r="E2101" s="666"/>
      <c r="F2101" s="666"/>
      <c r="G2101" s="666"/>
      <c r="H2101" s="666"/>
      <c r="I2101" s="666"/>
      <c r="J2101" s="666"/>
    </row>
    <row r="2102" spans="1:10" ht="18" customHeight="1">
      <c r="A2102" s="686" t="s">
        <v>14810</v>
      </c>
      <c r="B2102" s="684" t="s">
        <v>13484</v>
      </c>
      <c r="C2102" s="686" t="s">
        <v>13483</v>
      </c>
      <c r="D2102" s="686" t="s">
        <v>13482</v>
      </c>
      <c r="E2102" s="924" t="s">
        <v>13481</v>
      </c>
      <c r="F2102" s="924"/>
      <c r="G2102" s="685" t="s">
        <v>13480</v>
      </c>
      <c r="H2102" s="684" t="s">
        <v>13479</v>
      </c>
      <c r="I2102" s="684" t="s">
        <v>13478</v>
      </c>
      <c r="J2102" s="684" t="s">
        <v>13477</v>
      </c>
    </row>
    <row r="2103" spans="1:10" ht="48" customHeight="1">
      <c r="A2103" s="682" t="s">
        <v>13476</v>
      </c>
      <c r="B2103" s="683" t="s">
        <v>14809</v>
      </c>
      <c r="C2103" s="682" t="s">
        <v>7</v>
      </c>
      <c r="D2103" s="682" t="s">
        <v>2832</v>
      </c>
      <c r="E2103" s="917" t="s">
        <v>13474</v>
      </c>
      <c r="F2103" s="917"/>
      <c r="G2103" s="681" t="s">
        <v>34</v>
      </c>
      <c r="H2103" s="680">
        <v>1</v>
      </c>
      <c r="I2103" s="679">
        <v>227.23</v>
      </c>
      <c r="J2103" s="679">
        <v>227.23</v>
      </c>
    </row>
    <row r="2104" spans="1:10" ht="24" customHeight="1">
      <c r="A2104" s="677" t="s">
        <v>13472</v>
      </c>
      <c r="B2104" s="678" t="s">
        <v>13512</v>
      </c>
      <c r="C2104" s="677" t="s">
        <v>7</v>
      </c>
      <c r="D2104" s="677" t="s">
        <v>5154</v>
      </c>
      <c r="E2104" s="918" t="s">
        <v>13474</v>
      </c>
      <c r="F2104" s="918"/>
      <c r="G2104" s="676" t="s">
        <v>34</v>
      </c>
      <c r="H2104" s="675">
        <v>1</v>
      </c>
      <c r="I2104" s="674">
        <v>219.67</v>
      </c>
      <c r="J2104" s="674">
        <v>219.67</v>
      </c>
    </row>
    <row r="2105" spans="1:10" ht="24" customHeight="1">
      <c r="A2105" s="672" t="s">
        <v>13467</v>
      </c>
      <c r="B2105" s="673" t="s">
        <v>14808</v>
      </c>
      <c r="C2105" s="672" t="s">
        <v>7</v>
      </c>
      <c r="D2105" s="672" t="s">
        <v>14807</v>
      </c>
      <c r="E2105" s="919" t="s">
        <v>13464</v>
      </c>
      <c r="F2105" s="919"/>
      <c r="G2105" s="671" t="s">
        <v>34</v>
      </c>
      <c r="H2105" s="670">
        <v>1</v>
      </c>
      <c r="I2105" s="669">
        <v>7.56</v>
      </c>
      <c r="J2105" s="669">
        <v>7.56</v>
      </c>
    </row>
    <row r="2106" spans="1:10" ht="25.5">
      <c r="A2106" s="668"/>
      <c r="B2106" s="668"/>
      <c r="C2106" s="668"/>
      <c r="D2106" s="668"/>
      <c r="E2106" s="668" t="s">
        <v>13463</v>
      </c>
      <c r="F2106" s="667">
        <v>5.8133217000000004</v>
      </c>
      <c r="G2106" s="668" t="s">
        <v>13462</v>
      </c>
      <c r="H2106" s="667">
        <v>4.8899999999999997</v>
      </c>
      <c r="I2106" s="668" t="s">
        <v>13461</v>
      </c>
      <c r="J2106" s="667">
        <v>10.7</v>
      </c>
    </row>
    <row r="2107" spans="1:10" ht="15" thickBot="1">
      <c r="A2107" s="668"/>
      <c r="B2107" s="668"/>
      <c r="C2107" s="668"/>
      <c r="D2107" s="668"/>
      <c r="E2107" s="668" t="s">
        <v>13460</v>
      </c>
      <c r="F2107" s="667">
        <v>64.16</v>
      </c>
      <c r="G2107" s="668"/>
      <c r="H2107" s="925" t="s">
        <v>13459</v>
      </c>
      <c r="I2107" s="925"/>
      <c r="J2107" s="667">
        <v>291.39</v>
      </c>
    </row>
    <row r="2108" spans="1:10" ht="0.95" customHeight="1" thickTop="1">
      <c r="A2108" s="666"/>
      <c r="B2108" s="666"/>
      <c r="C2108" s="666"/>
      <c r="D2108" s="666"/>
      <c r="E2108" s="666"/>
      <c r="F2108" s="666"/>
      <c r="G2108" s="666"/>
      <c r="H2108" s="666"/>
      <c r="I2108" s="666"/>
      <c r="J2108" s="666"/>
    </row>
    <row r="2109" spans="1:10" ht="18" customHeight="1">
      <c r="A2109" s="686" t="s">
        <v>14806</v>
      </c>
      <c r="B2109" s="684" t="s">
        <v>13484</v>
      </c>
      <c r="C2109" s="686" t="s">
        <v>13483</v>
      </c>
      <c r="D2109" s="686" t="s">
        <v>13482</v>
      </c>
      <c r="E2109" s="924" t="s">
        <v>13481</v>
      </c>
      <c r="F2109" s="924"/>
      <c r="G2109" s="685" t="s">
        <v>13480</v>
      </c>
      <c r="H2109" s="684" t="s">
        <v>13479</v>
      </c>
      <c r="I2109" s="684" t="s">
        <v>13478</v>
      </c>
      <c r="J2109" s="684" t="s">
        <v>13477</v>
      </c>
    </row>
    <row r="2110" spans="1:10" ht="24" customHeight="1">
      <c r="A2110" s="682" t="s">
        <v>13476</v>
      </c>
      <c r="B2110" s="683" t="s">
        <v>14805</v>
      </c>
      <c r="C2110" s="682" t="s">
        <v>7</v>
      </c>
      <c r="D2110" s="682" t="s">
        <v>5164</v>
      </c>
      <c r="E2110" s="917" t="s">
        <v>13474</v>
      </c>
      <c r="F2110" s="917"/>
      <c r="G2110" s="681" t="s">
        <v>34</v>
      </c>
      <c r="H2110" s="680">
        <v>1</v>
      </c>
      <c r="I2110" s="679">
        <v>41.88</v>
      </c>
      <c r="J2110" s="679">
        <v>41.88</v>
      </c>
    </row>
    <row r="2111" spans="1:10" ht="24" customHeight="1">
      <c r="A2111" s="677" t="s">
        <v>13472</v>
      </c>
      <c r="B2111" s="678" t="s">
        <v>13473</v>
      </c>
      <c r="C2111" s="677" t="s">
        <v>7</v>
      </c>
      <c r="D2111" s="677" t="s">
        <v>44</v>
      </c>
      <c r="E2111" s="918" t="s">
        <v>13470</v>
      </c>
      <c r="F2111" s="918"/>
      <c r="G2111" s="676" t="s">
        <v>19</v>
      </c>
      <c r="H2111" s="675">
        <v>0.15359999999999999</v>
      </c>
      <c r="I2111" s="674">
        <v>17.66</v>
      </c>
      <c r="J2111" s="674">
        <v>2.71</v>
      </c>
    </row>
    <row r="2112" spans="1:10" ht="24" customHeight="1">
      <c r="A2112" s="677" t="s">
        <v>13472</v>
      </c>
      <c r="B2112" s="678" t="s">
        <v>13471</v>
      </c>
      <c r="C2112" s="677" t="s">
        <v>7</v>
      </c>
      <c r="D2112" s="677" t="s">
        <v>21</v>
      </c>
      <c r="E2112" s="918" t="s">
        <v>13470</v>
      </c>
      <c r="F2112" s="918"/>
      <c r="G2112" s="676" t="s">
        <v>19</v>
      </c>
      <c r="H2112" s="675">
        <v>4.8399999999999999E-2</v>
      </c>
      <c r="I2112" s="674">
        <v>14.02</v>
      </c>
      <c r="J2112" s="674">
        <v>0.67</v>
      </c>
    </row>
    <row r="2113" spans="1:10" ht="24" customHeight="1">
      <c r="A2113" s="672" t="s">
        <v>13467</v>
      </c>
      <c r="B2113" s="673" t="s">
        <v>14804</v>
      </c>
      <c r="C2113" s="672" t="s">
        <v>7</v>
      </c>
      <c r="D2113" s="672" t="s">
        <v>14803</v>
      </c>
      <c r="E2113" s="919" t="s">
        <v>13464</v>
      </c>
      <c r="F2113" s="919"/>
      <c r="G2113" s="671" t="s">
        <v>34</v>
      </c>
      <c r="H2113" s="670">
        <v>1</v>
      </c>
      <c r="I2113" s="669">
        <v>38.5</v>
      </c>
      <c r="J2113" s="669">
        <v>38.5</v>
      </c>
    </row>
    <row r="2114" spans="1:10" ht="25.5">
      <c r="A2114" s="668"/>
      <c r="B2114" s="668"/>
      <c r="C2114" s="668"/>
      <c r="D2114" s="668"/>
      <c r="E2114" s="668" t="s">
        <v>13463</v>
      </c>
      <c r="F2114" s="667">
        <v>1.4560469412148211</v>
      </c>
      <c r="G2114" s="668" t="s">
        <v>13462</v>
      </c>
      <c r="H2114" s="667">
        <v>1.22</v>
      </c>
      <c r="I2114" s="668" t="s">
        <v>13461</v>
      </c>
      <c r="J2114" s="667">
        <v>2.68</v>
      </c>
    </row>
    <row r="2115" spans="1:10" ht="15" thickBot="1">
      <c r="A2115" s="668"/>
      <c r="B2115" s="668"/>
      <c r="C2115" s="668"/>
      <c r="D2115" s="668"/>
      <c r="E2115" s="668" t="s">
        <v>13460</v>
      </c>
      <c r="F2115" s="667">
        <v>11.82</v>
      </c>
      <c r="G2115" s="668"/>
      <c r="H2115" s="925" t="s">
        <v>13459</v>
      </c>
      <c r="I2115" s="925"/>
      <c r="J2115" s="667">
        <v>53.7</v>
      </c>
    </row>
    <row r="2116" spans="1:10" ht="0.95" customHeight="1" thickTop="1">
      <c r="A2116" s="666"/>
      <c r="B2116" s="666"/>
      <c r="C2116" s="666"/>
      <c r="D2116" s="666"/>
      <c r="E2116" s="666"/>
      <c r="F2116" s="666"/>
      <c r="G2116" s="666"/>
      <c r="H2116" s="666"/>
      <c r="I2116" s="666"/>
      <c r="J2116" s="666"/>
    </row>
    <row r="2117" spans="1:10" ht="18" customHeight="1">
      <c r="A2117" s="686" t="s">
        <v>14802</v>
      </c>
      <c r="B2117" s="684" t="s">
        <v>13484</v>
      </c>
      <c r="C2117" s="686" t="s">
        <v>13483</v>
      </c>
      <c r="D2117" s="686" t="s">
        <v>13482</v>
      </c>
      <c r="E2117" s="924" t="s">
        <v>13481</v>
      </c>
      <c r="F2117" s="924"/>
      <c r="G2117" s="685" t="s">
        <v>13480</v>
      </c>
      <c r="H2117" s="684" t="s">
        <v>13479</v>
      </c>
      <c r="I2117" s="684" t="s">
        <v>13478</v>
      </c>
      <c r="J2117" s="684" t="s">
        <v>13477</v>
      </c>
    </row>
    <row r="2118" spans="1:10" ht="24" customHeight="1">
      <c r="A2118" s="682" t="s">
        <v>13476</v>
      </c>
      <c r="B2118" s="683" t="s">
        <v>14801</v>
      </c>
      <c r="C2118" s="682" t="s">
        <v>7</v>
      </c>
      <c r="D2118" s="682" t="s">
        <v>5163</v>
      </c>
      <c r="E2118" s="917" t="s">
        <v>13474</v>
      </c>
      <c r="F2118" s="917"/>
      <c r="G2118" s="681" t="s">
        <v>34</v>
      </c>
      <c r="H2118" s="680">
        <v>1</v>
      </c>
      <c r="I2118" s="679">
        <v>420.81</v>
      </c>
      <c r="J2118" s="679">
        <v>420.81</v>
      </c>
    </row>
    <row r="2119" spans="1:10" ht="24" customHeight="1">
      <c r="A2119" s="677" t="s">
        <v>13472</v>
      </c>
      <c r="B2119" s="678" t="s">
        <v>13473</v>
      </c>
      <c r="C2119" s="677" t="s">
        <v>7</v>
      </c>
      <c r="D2119" s="677" t="s">
        <v>44</v>
      </c>
      <c r="E2119" s="918" t="s">
        <v>13470</v>
      </c>
      <c r="F2119" s="918"/>
      <c r="G2119" s="676" t="s">
        <v>19</v>
      </c>
      <c r="H2119" s="675">
        <v>0.49680000000000002</v>
      </c>
      <c r="I2119" s="674">
        <v>17.66</v>
      </c>
      <c r="J2119" s="674">
        <v>8.77</v>
      </c>
    </row>
    <row r="2120" spans="1:10" ht="24" customHeight="1">
      <c r="A2120" s="677" t="s">
        <v>13472</v>
      </c>
      <c r="B2120" s="678" t="s">
        <v>13471</v>
      </c>
      <c r="C2120" s="677" t="s">
        <v>7</v>
      </c>
      <c r="D2120" s="677" t="s">
        <v>21</v>
      </c>
      <c r="E2120" s="918" t="s">
        <v>13470</v>
      </c>
      <c r="F2120" s="918"/>
      <c r="G2120" s="676" t="s">
        <v>19</v>
      </c>
      <c r="H2120" s="675">
        <v>0.34949999999999998</v>
      </c>
      <c r="I2120" s="674">
        <v>14.02</v>
      </c>
      <c r="J2120" s="674">
        <v>4.8899999999999997</v>
      </c>
    </row>
    <row r="2121" spans="1:10" ht="24" customHeight="1">
      <c r="A2121" s="672" t="s">
        <v>13467</v>
      </c>
      <c r="B2121" s="673" t="s">
        <v>14800</v>
      </c>
      <c r="C2121" s="672" t="s">
        <v>7</v>
      </c>
      <c r="D2121" s="672" t="s">
        <v>14799</v>
      </c>
      <c r="E2121" s="919" t="s">
        <v>13464</v>
      </c>
      <c r="F2121" s="919"/>
      <c r="G2121" s="671" t="s">
        <v>34</v>
      </c>
      <c r="H2121" s="670">
        <v>1</v>
      </c>
      <c r="I2121" s="669">
        <v>366.59</v>
      </c>
      <c r="J2121" s="669">
        <v>366.59</v>
      </c>
    </row>
    <row r="2122" spans="1:10" ht="36" customHeight="1">
      <c r="A2122" s="672" t="s">
        <v>13467</v>
      </c>
      <c r="B2122" s="673" t="s">
        <v>13506</v>
      </c>
      <c r="C2122" s="672" t="s">
        <v>7</v>
      </c>
      <c r="D2122" s="672" t="s">
        <v>13505</v>
      </c>
      <c r="E2122" s="919" t="s">
        <v>13464</v>
      </c>
      <c r="F2122" s="919"/>
      <c r="G2122" s="671" t="s">
        <v>34</v>
      </c>
      <c r="H2122" s="670">
        <v>2</v>
      </c>
      <c r="I2122" s="669">
        <v>14.85</v>
      </c>
      <c r="J2122" s="669">
        <v>29.7</v>
      </c>
    </row>
    <row r="2123" spans="1:10" ht="24" customHeight="1">
      <c r="A2123" s="672" t="s">
        <v>13467</v>
      </c>
      <c r="B2123" s="673" t="s">
        <v>13504</v>
      </c>
      <c r="C2123" s="672" t="s">
        <v>7</v>
      </c>
      <c r="D2123" s="672" t="s">
        <v>13503</v>
      </c>
      <c r="E2123" s="919" t="s">
        <v>13464</v>
      </c>
      <c r="F2123" s="919"/>
      <c r="G2123" s="671" t="s">
        <v>17</v>
      </c>
      <c r="H2123" s="670">
        <v>8.8099999999999998E-2</v>
      </c>
      <c r="I2123" s="669">
        <v>96.46</v>
      </c>
      <c r="J2123" s="669">
        <v>8.49</v>
      </c>
    </row>
    <row r="2124" spans="1:10" ht="24" customHeight="1">
      <c r="A2124" s="672" t="s">
        <v>13467</v>
      </c>
      <c r="B2124" s="673" t="s">
        <v>13502</v>
      </c>
      <c r="C2124" s="672" t="s">
        <v>7</v>
      </c>
      <c r="D2124" s="672" t="s">
        <v>13501</v>
      </c>
      <c r="E2124" s="919" t="s">
        <v>13464</v>
      </c>
      <c r="F2124" s="919"/>
      <c r="G2124" s="671" t="s">
        <v>34</v>
      </c>
      <c r="H2124" s="670">
        <v>1</v>
      </c>
      <c r="I2124" s="669">
        <v>2.37</v>
      </c>
      <c r="J2124" s="669">
        <v>2.37</v>
      </c>
    </row>
    <row r="2125" spans="1:10" ht="25.5">
      <c r="A2125" s="668"/>
      <c r="B2125" s="668"/>
      <c r="C2125" s="668"/>
      <c r="D2125" s="668"/>
      <c r="E2125" s="668" t="s">
        <v>13463</v>
      </c>
      <c r="F2125" s="667">
        <v>5.8133217429099204</v>
      </c>
      <c r="G2125" s="668" t="s">
        <v>13462</v>
      </c>
      <c r="H2125" s="667">
        <v>4.8899999999999997</v>
      </c>
      <c r="I2125" s="668" t="s">
        <v>13461</v>
      </c>
      <c r="J2125" s="667">
        <v>10.7</v>
      </c>
    </row>
    <row r="2126" spans="1:10" ht="15" thickBot="1">
      <c r="A2126" s="668"/>
      <c r="B2126" s="668"/>
      <c r="C2126" s="668"/>
      <c r="D2126" s="668"/>
      <c r="E2126" s="668" t="s">
        <v>13460</v>
      </c>
      <c r="F2126" s="667">
        <v>118.83</v>
      </c>
      <c r="G2126" s="668"/>
      <c r="H2126" s="925" t="s">
        <v>13459</v>
      </c>
      <c r="I2126" s="925"/>
      <c r="J2126" s="667">
        <v>539.64</v>
      </c>
    </row>
    <row r="2127" spans="1:10" ht="0.95" customHeight="1" thickTop="1">
      <c r="A2127" s="666"/>
      <c r="B2127" s="666"/>
      <c r="C2127" s="666"/>
      <c r="D2127" s="666"/>
      <c r="E2127" s="666"/>
      <c r="F2127" s="666"/>
      <c r="G2127" s="666"/>
      <c r="H2127" s="666"/>
      <c r="I2127" s="666"/>
      <c r="J2127" s="666"/>
    </row>
    <row r="2128" spans="1:10" ht="18" customHeight="1">
      <c r="A2128" s="686" t="s">
        <v>14798</v>
      </c>
      <c r="B2128" s="684" t="s">
        <v>13484</v>
      </c>
      <c r="C2128" s="686" t="s">
        <v>13483</v>
      </c>
      <c r="D2128" s="686" t="s">
        <v>13482</v>
      </c>
      <c r="E2128" s="924" t="s">
        <v>13481</v>
      </c>
      <c r="F2128" s="924"/>
      <c r="G2128" s="685" t="s">
        <v>13480</v>
      </c>
      <c r="H2128" s="684" t="s">
        <v>13479</v>
      </c>
      <c r="I2128" s="684" t="s">
        <v>13478</v>
      </c>
      <c r="J2128" s="684" t="s">
        <v>13477</v>
      </c>
    </row>
    <row r="2129" spans="1:10" ht="24" customHeight="1">
      <c r="A2129" s="682" t="s">
        <v>13476</v>
      </c>
      <c r="B2129" s="683" t="s">
        <v>14797</v>
      </c>
      <c r="C2129" s="682" t="s">
        <v>7</v>
      </c>
      <c r="D2129" s="682" t="s">
        <v>5165</v>
      </c>
      <c r="E2129" s="917" t="s">
        <v>13474</v>
      </c>
      <c r="F2129" s="917"/>
      <c r="G2129" s="681" t="s">
        <v>34</v>
      </c>
      <c r="H2129" s="680">
        <v>1</v>
      </c>
      <c r="I2129" s="679">
        <v>85.31</v>
      </c>
      <c r="J2129" s="679">
        <v>85.31</v>
      </c>
    </row>
    <row r="2130" spans="1:10" ht="24" customHeight="1">
      <c r="A2130" s="677" t="s">
        <v>13472</v>
      </c>
      <c r="B2130" s="678" t="s">
        <v>13473</v>
      </c>
      <c r="C2130" s="677" t="s">
        <v>7</v>
      </c>
      <c r="D2130" s="677" t="s">
        <v>44</v>
      </c>
      <c r="E2130" s="918" t="s">
        <v>13470</v>
      </c>
      <c r="F2130" s="918"/>
      <c r="G2130" s="676" t="s">
        <v>19</v>
      </c>
      <c r="H2130" s="675">
        <v>0.15359999999999999</v>
      </c>
      <c r="I2130" s="674">
        <v>17.66</v>
      </c>
      <c r="J2130" s="674">
        <v>2.71</v>
      </c>
    </row>
    <row r="2131" spans="1:10" ht="24" customHeight="1">
      <c r="A2131" s="677" t="s">
        <v>13472</v>
      </c>
      <c r="B2131" s="678" t="s">
        <v>13471</v>
      </c>
      <c r="C2131" s="677" t="s">
        <v>7</v>
      </c>
      <c r="D2131" s="677" t="s">
        <v>21</v>
      </c>
      <c r="E2131" s="918" t="s">
        <v>13470</v>
      </c>
      <c r="F2131" s="918"/>
      <c r="G2131" s="676" t="s">
        <v>19</v>
      </c>
      <c r="H2131" s="675">
        <v>4.8399999999999999E-2</v>
      </c>
      <c r="I2131" s="674">
        <v>14.02</v>
      </c>
      <c r="J2131" s="674">
        <v>0.67</v>
      </c>
    </row>
    <row r="2132" spans="1:10" ht="24" customHeight="1">
      <c r="A2132" s="672" t="s">
        <v>13467</v>
      </c>
      <c r="B2132" s="673" t="s">
        <v>14796</v>
      </c>
      <c r="C2132" s="672" t="s">
        <v>7</v>
      </c>
      <c r="D2132" s="672" t="s">
        <v>14795</v>
      </c>
      <c r="E2132" s="919" t="s">
        <v>13464</v>
      </c>
      <c r="F2132" s="919"/>
      <c r="G2132" s="671" t="s">
        <v>34</v>
      </c>
      <c r="H2132" s="670">
        <v>1</v>
      </c>
      <c r="I2132" s="669">
        <v>81.93</v>
      </c>
      <c r="J2132" s="669">
        <v>81.93</v>
      </c>
    </row>
    <row r="2133" spans="1:10" ht="25.5">
      <c r="A2133" s="668"/>
      <c r="B2133" s="668"/>
      <c r="C2133" s="668"/>
      <c r="D2133" s="668"/>
      <c r="E2133" s="668" t="s">
        <v>13463</v>
      </c>
      <c r="F2133" s="667">
        <v>1.4560469412148211</v>
      </c>
      <c r="G2133" s="668" t="s">
        <v>13462</v>
      </c>
      <c r="H2133" s="667">
        <v>1.22</v>
      </c>
      <c r="I2133" s="668" t="s">
        <v>13461</v>
      </c>
      <c r="J2133" s="667">
        <v>2.68</v>
      </c>
    </row>
    <row r="2134" spans="1:10" ht="15" thickBot="1">
      <c r="A2134" s="668"/>
      <c r="B2134" s="668"/>
      <c r="C2134" s="668"/>
      <c r="D2134" s="668"/>
      <c r="E2134" s="668" t="s">
        <v>13460</v>
      </c>
      <c r="F2134" s="667">
        <v>24.09</v>
      </c>
      <c r="G2134" s="668"/>
      <c r="H2134" s="925" t="s">
        <v>13459</v>
      </c>
      <c r="I2134" s="925"/>
      <c r="J2134" s="667">
        <v>109.4</v>
      </c>
    </row>
    <row r="2135" spans="1:10" ht="0.95" customHeight="1" thickTop="1">
      <c r="A2135" s="666"/>
      <c r="B2135" s="666"/>
      <c r="C2135" s="666"/>
      <c r="D2135" s="666"/>
      <c r="E2135" s="666"/>
      <c r="F2135" s="666"/>
      <c r="G2135" s="666"/>
      <c r="H2135" s="666"/>
      <c r="I2135" s="666"/>
      <c r="J2135" s="666"/>
    </row>
    <row r="2136" spans="1:10" ht="18" customHeight="1">
      <c r="A2136" s="686" t="s">
        <v>14794</v>
      </c>
      <c r="B2136" s="684" t="s">
        <v>13484</v>
      </c>
      <c r="C2136" s="686" t="s">
        <v>13483</v>
      </c>
      <c r="D2136" s="686" t="s">
        <v>13482</v>
      </c>
      <c r="E2136" s="924" t="s">
        <v>13481</v>
      </c>
      <c r="F2136" s="924"/>
      <c r="G2136" s="685" t="s">
        <v>13480</v>
      </c>
      <c r="H2136" s="684" t="s">
        <v>13479</v>
      </c>
      <c r="I2136" s="684" t="s">
        <v>13478</v>
      </c>
      <c r="J2136" s="684" t="s">
        <v>13477</v>
      </c>
    </row>
    <row r="2137" spans="1:10" ht="60" customHeight="1">
      <c r="A2137" s="682" t="s">
        <v>13476</v>
      </c>
      <c r="B2137" s="683" t="s">
        <v>14793</v>
      </c>
      <c r="C2137" s="682" t="s">
        <v>7</v>
      </c>
      <c r="D2137" s="682" t="s">
        <v>5145</v>
      </c>
      <c r="E2137" s="917" t="s">
        <v>13474</v>
      </c>
      <c r="F2137" s="917"/>
      <c r="G2137" s="681" t="s">
        <v>34</v>
      </c>
      <c r="H2137" s="680">
        <v>1</v>
      </c>
      <c r="I2137" s="679">
        <v>305.68</v>
      </c>
      <c r="J2137" s="679">
        <v>305.68</v>
      </c>
    </row>
    <row r="2138" spans="1:10" ht="24" customHeight="1">
      <c r="A2138" s="677" t="s">
        <v>13472</v>
      </c>
      <c r="B2138" s="678" t="s">
        <v>14767</v>
      </c>
      <c r="C2138" s="677" t="s">
        <v>7</v>
      </c>
      <c r="D2138" s="677" t="s">
        <v>5100</v>
      </c>
      <c r="E2138" s="918" t="s">
        <v>13474</v>
      </c>
      <c r="F2138" s="918"/>
      <c r="G2138" s="676" t="s">
        <v>34</v>
      </c>
      <c r="H2138" s="675">
        <v>1</v>
      </c>
      <c r="I2138" s="674">
        <v>7.46</v>
      </c>
      <c r="J2138" s="674">
        <v>7.46</v>
      </c>
    </row>
    <row r="2139" spans="1:10" ht="36" customHeight="1">
      <c r="A2139" s="677" t="s">
        <v>13472</v>
      </c>
      <c r="B2139" s="678" t="s">
        <v>14749</v>
      </c>
      <c r="C2139" s="677" t="s">
        <v>7</v>
      </c>
      <c r="D2139" s="677" t="s">
        <v>5095</v>
      </c>
      <c r="E2139" s="918" t="s">
        <v>13474</v>
      </c>
      <c r="F2139" s="918"/>
      <c r="G2139" s="676" t="s">
        <v>34</v>
      </c>
      <c r="H2139" s="675">
        <v>1</v>
      </c>
      <c r="I2139" s="674">
        <v>6.08</v>
      </c>
      <c r="J2139" s="674">
        <v>6.08</v>
      </c>
    </row>
    <row r="2140" spans="1:10" ht="24" customHeight="1">
      <c r="A2140" s="677" t="s">
        <v>13472</v>
      </c>
      <c r="B2140" s="678" t="s">
        <v>14753</v>
      </c>
      <c r="C2140" s="677" t="s">
        <v>7</v>
      </c>
      <c r="D2140" s="677" t="s">
        <v>5099</v>
      </c>
      <c r="E2140" s="918" t="s">
        <v>13474</v>
      </c>
      <c r="F2140" s="918"/>
      <c r="G2140" s="676" t="s">
        <v>34</v>
      </c>
      <c r="H2140" s="675">
        <v>1</v>
      </c>
      <c r="I2140" s="674">
        <v>10.92</v>
      </c>
      <c r="J2140" s="674">
        <v>10.92</v>
      </c>
    </row>
    <row r="2141" spans="1:10" ht="36" customHeight="1">
      <c r="A2141" s="677" t="s">
        <v>13472</v>
      </c>
      <c r="B2141" s="678" t="s">
        <v>14787</v>
      </c>
      <c r="C2141" s="677" t="s">
        <v>7</v>
      </c>
      <c r="D2141" s="677" t="s">
        <v>5116</v>
      </c>
      <c r="E2141" s="918" t="s">
        <v>13474</v>
      </c>
      <c r="F2141" s="918"/>
      <c r="G2141" s="676" t="s">
        <v>34</v>
      </c>
      <c r="H2141" s="675">
        <v>1</v>
      </c>
      <c r="I2141" s="674">
        <v>54.21</v>
      </c>
      <c r="J2141" s="674">
        <v>54.21</v>
      </c>
    </row>
    <row r="2142" spans="1:10" ht="36" customHeight="1">
      <c r="A2142" s="677" t="s">
        <v>13472</v>
      </c>
      <c r="B2142" s="678" t="s">
        <v>13737</v>
      </c>
      <c r="C2142" s="677" t="s">
        <v>7</v>
      </c>
      <c r="D2142" s="677" t="s">
        <v>5112</v>
      </c>
      <c r="E2142" s="918" t="s">
        <v>13474</v>
      </c>
      <c r="F2142" s="918"/>
      <c r="G2142" s="676" t="s">
        <v>34</v>
      </c>
      <c r="H2142" s="675">
        <v>1</v>
      </c>
      <c r="I2142" s="674">
        <v>227.01</v>
      </c>
      <c r="J2142" s="674">
        <v>227.01</v>
      </c>
    </row>
    <row r="2143" spans="1:10" ht="25.5">
      <c r="A2143" s="668"/>
      <c r="B2143" s="668"/>
      <c r="C2143" s="668"/>
      <c r="D2143" s="668"/>
      <c r="E2143" s="668" t="s">
        <v>13463</v>
      </c>
      <c r="F2143" s="667">
        <v>13.647723600000001</v>
      </c>
      <c r="G2143" s="668" t="s">
        <v>13462</v>
      </c>
      <c r="H2143" s="667">
        <v>11.47</v>
      </c>
      <c r="I2143" s="668" t="s">
        <v>13461</v>
      </c>
      <c r="J2143" s="667">
        <v>25.12</v>
      </c>
    </row>
    <row r="2144" spans="1:10" ht="15" thickBot="1">
      <c r="A2144" s="668"/>
      <c r="B2144" s="668"/>
      <c r="C2144" s="668"/>
      <c r="D2144" s="668"/>
      <c r="E2144" s="668" t="s">
        <v>13460</v>
      </c>
      <c r="F2144" s="667">
        <v>86.32</v>
      </c>
      <c r="G2144" s="668"/>
      <c r="H2144" s="925" t="s">
        <v>13459</v>
      </c>
      <c r="I2144" s="925"/>
      <c r="J2144" s="667">
        <v>392</v>
      </c>
    </row>
    <row r="2145" spans="1:10" ht="0.95" customHeight="1" thickTop="1">
      <c r="A2145" s="666"/>
      <c r="B2145" s="666"/>
      <c r="C2145" s="666"/>
      <c r="D2145" s="666"/>
      <c r="E2145" s="666"/>
      <c r="F2145" s="666"/>
      <c r="G2145" s="666"/>
      <c r="H2145" s="666"/>
      <c r="I2145" s="666"/>
      <c r="J2145" s="666"/>
    </row>
    <row r="2146" spans="1:10" ht="18" customHeight="1">
      <c r="A2146" s="686" t="s">
        <v>14792</v>
      </c>
      <c r="B2146" s="684" t="s">
        <v>13484</v>
      </c>
      <c r="C2146" s="686" t="s">
        <v>13483</v>
      </c>
      <c r="D2146" s="686" t="s">
        <v>13482</v>
      </c>
      <c r="E2146" s="924" t="s">
        <v>13481</v>
      </c>
      <c r="F2146" s="924"/>
      <c r="G2146" s="685" t="s">
        <v>13480</v>
      </c>
      <c r="H2146" s="684" t="s">
        <v>13479</v>
      </c>
      <c r="I2146" s="684" t="s">
        <v>13478</v>
      </c>
      <c r="J2146" s="684" t="s">
        <v>13477</v>
      </c>
    </row>
    <row r="2147" spans="1:10" ht="24" customHeight="1">
      <c r="A2147" s="682" t="s">
        <v>13476</v>
      </c>
      <c r="B2147" s="683" t="s">
        <v>14791</v>
      </c>
      <c r="C2147" s="682" t="s">
        <v>7</v>
      </c>
      <c r="D2147" s="682" t="s">
        <v>5121</v>
      </c>
      <c r="E2147" s="917" t="s">
        <v>13474</v>
      </c>
      <c r="F2147" s="917"/>
      <c r="G2147" s="681" t="s">
        <v>34</v>
      </c>
      <c r="H2147" s="680">
        <v>1</v>
      </c>
      <c r="I2147" s="679">
        <v>19.91</v>
      </c>
      <c r="J2147" s="679">
        <v>19.91</v>
      </c>
    </row>
    <row r="2148" spans="1:10" ht="24" customHeight="1">
      <c r="A2148" s="677" t="s">
        <v>13472</v>
      </c>
      <c r="B2148" s="678" t="s">
        <v>13473</v>
      </c>
      <c r="C2148" s="677" t="s">
        <v>7</v>
      </c>
      <c r="D2148" s="677" t="s">
        <v>44</v>
      </c>
      <c r="E2148" s="918" t="s">
        <v>13470</v>
      </c>
      <c r="F2148" s="918"/>
      <c r="G2148" s="676" t="s">
        <v>19</v>
      </c>
      <c r="H2148" s="675">
        <v>0.1525</v>
      </c>
      <c r="I2148" s="674">
        <v>17.66</v>
      </c>
      <c r="J2148" s="674">
        <v>2.69</v>
      </c>
    </row>
    <row r="2149" spans="1:10" ht="24" customHeight="1">
      <c r="A2149" s="677" t="s">
        <v>13472</v>
      </c>
      <c r="B2149" s="678" t="s">
        <v>13471</v>
      </c>
      <c r="C2149" s="677" t="s">
        <v>7</v>
      </c>
      <c r="D2149" s="677" t="s">
        <v>21</v>
      </c>
      <c r="E2149" s="918" t="s">
        <v>13470</v>
      </c>
      <c r="F2149" s="918"/>
      <c r="G2149" s="676" t="s">
        <v>19</v>
      </c>
      <c r="H2149" s="675">
        <v>4.8099999999999997E-2</v>
      </c>
      <c r="I2149" s="674">
        <v>14.02</v>
      </c>
      <c r="J2149" s="674">
        <v>0.67</v>
      </c>
    </row>
    <row r="2150" spans="1:10" ht="24" customHeight="1">
      <c r="A2150" s="672" t="s">
        <v>13467</v>
      </c>
      <c r="B2150" s="673" t="s">
        <v>13469</v>
      </c>
      <c r="C2150" s="672" t="s">
        <v>7</v>
      </c>
      <c r="D2150" s="672" t="s">
        <v>13468</v>
      </c>
      <c r="E2150" s="919" t="s">
        <v>13464</v>
      </c>
      <c r="F2150" s="919"/>
      <c r="G2150" s="671" t="s">
        <v>34</v>
      </c>
      <c r="H2150" s="670">
        <v>2.1000000000000001E-2</v>
      </c>
      <c r="I2150" s="669">
        <v>5</v>
      </c>
      <c r="J2150" s="669">
        <v>0.1</v>
      </c>
    </row>
    <row r="2151" spans="1:10" ht="24" customHeight="1">
      <c r="A2151" s="672" t="s">
        <v>13467</v>
      </c>
      <c r="B2151" s="673" t="s">
        <v>14790</v>
      </c>
      <c r="C2151" s="672" t="s">
        <v>7</v>
      </c>
      <c r="D2151" s="672" t="s">
        <v>14789</v>
      </c>
      <c r="E2151" s="919" t="s">
        <v>13464</v>
      </c>
      <c r="F2151" s="919"/>
      <c r="G2151" s="671" t="s">
        <v>34</v>
      </c>
      <c r="H2151" s="670">
        <v>1</v>
      </c>
      <c r="I2151" s="669">
        <v>16.45</v>
      </c>
      <c r="J2151" s="669">
        <v>16.45</v>
      </c>
    </row>
    <row r="2152" spans="1:10" ht="25.5">
      <c r="A2152" s="668"/>
      <c r="B2152" s="668"/>
      <c r="C2152" s="668"/>
      <c r="D2152" s="668"/>
      <c r="E2152" s="668" t="s">
        <v>13463</v>
      </c>
      <c r="F2152" s="667">
        <v>1.4506139302401391</v>
      </c>
      <c r="G2152" s="668" t="s">
        <v>13462</v>
      </c>
      <c r="H2152" s="667">
        <v>1.22</v>
      </c>
      <c r="I2152" s="668" t="s">
        <v>13461</v>
      </c>
      <c r="J2152" s="667">
        <v>2.67</v>
      </c>
    </row>
    <row r="2153" spans="1:10" ht="15" thickBot="1">
      <c r="A2153" s="668"/>
      <c r="B2153" s="668"/>
      <c r="C2153" s="668"/>
      <c r="D2153" s="668"/>
      <c r="E2153" s="668" t="s">
        <v>13460</v>
      </c>
      <c r="F2153" s="667">
        <v>5.62</v>
      </c>
      <c r="G2153" s="668"/>
      <c r="H2153" s="925" t="s">
        <v>13459</v>
      </c>
      <c r="I2153" s="925"/>
      <c r="J2153" s="667">
        <v>25.53</v>
      </c>
    </row>
    <row r="2154" spans="1:10" ht="0.95" customHeight="1" thickTop="1">
      <c r="A2154" s="666"/>
      <c r="B2154" s="666"/>
      <c r="C2154" s="666"/>
      <c r="D2154" s="666"/>
      <c r="E2154" s="666"/>
      <c r="F2154" s="666"/>
      <c r="G2154" s="666"/>
      <c r="H2154" s="666"/>
      <c r="I2154" s="666"/>
      <c r="J2154" s="666"/>
    </row>
    <row r="2155" spans="1:10" ht="18" customHeight="1">
      <c r="A2155" s="686" t="s">
        <v>14788</v>
      </c>
      <c r="B2155" s="684" t="s">
        <v>13484</v>
      </c>
      <c r="C2155" s="686" t="s">
        <v>13483</v>
      </c>
      <c r="D2155" s="686" t="s">
        <v>13482</v>
      </c>
      <c r="E2155" s="924" t="s">
        <v>13481</v>
      </c>
      <c r="F2155" s="924"/>
      <c r="G2155" s="685" t="s">
        <v>13480</v>
      </c>
      <c r="H2155" s="684" t="s">
        <v>13479</v>
      </c>
      <c r="I2155" s="684" t="s">
        <v>13478</v>
      </c>
      <c r="J2155" s="684" t="s">
        <v>13477</v>
      </c>
    </row>
    <row r="2156" spans="1:10" ht="36" customHeight="1">
      <c r="A2156" s="682" t="s">
        <v>13476</v>
      </c>
      <c r="B2156" s="683" t="s">
        <v>14787</v>
      </c>
      <c r="C2156" s="682" t="s">
        <v>7</v>
      </c>
      <c r="D2156" s="682" t="s">
        <v>5116</v>
      </c>
      <c r="E2156" s="917" t="s">
        <v>13474</v>
      </c>
      <c r="F2156" s="917"/>
      <c r="G2156" s="681" t="s">
        <v>34</v>
      </c>
      <c r="H2156" s="680">
        <v>1</v>
      </c>
      <c r="I2156" s="679">
        <v>54.21</v>
      </c>
      <c r="J2156" s="679">
        <v>54.21</v>
      </c>
    </row>
    <row r="2157" spans="1:10" ht="24" customHeight="1">
      <c r="A2157" s="677" t="s">
        <v>13472</v>
      </c>
      <c r="B2157" s="678" t="s">
        <v>13473</v>
      </c>
      <c r="C2157" s="677" t="s">
        <v>7</v>
      </c>
      <c r="D2157" s="677" t="s">
        <v>44</v>
      </c>
      <c r="E2157" s="918" t="s">
        <v>13470</v>
      </c>
      <c r="F2157" s="918"/>
      <c r="G2157" s="676" t="s">
        <v>19</v>
      </c>
      <c r="H2157" s="675">
        <v>9.6000000000000002E-2</v>
      </c>
      <c r="I2157" s="674">
        <v>17.66</v>
      </c>
      <c r="J2157" s="674">
        <v>1.69</v>
      </c>
    </row>
    <row r="2158" spans="1:10" ht="24" customHeight="1">
      <c r="A2158" s="677" t="s">
        <v>13472</v>
      </c>
      <c r="B2158" s="678" t="s">
        <v>13471</v>
      </c>
      <c r="C2158" s="677" t="s">
        <v>7</v>
      </c>
      <c r="D2158" s="677" t="s">
        <v>21</v>
      </c>
      <c r="E2158" s="918" t="s">
        <v>13470</v>
      </c>
      <c r="F2158" s="918"/>
      <c r="G2158" s="676" t="s">
        <v>19</v>
      </c>
      <c r="H2158" s="675">
        <v>3.0300000000000001E-2</v>
      </c>
      <c r="I2158" s="674">
        <v>14.02</v>
      </c>
      <c r="J2158" s="674">
        <v>0.42</v>
      </c>
    </row>
    <row r="2159" spans="1:10" ht="24" customHeight="1">
      <c r="A2159" s="672" t="s">
        <v>13467</v>
      </c>
      <c r="B2159" s="673" t="s">
        <v>13469</v>
      </c>
      <c r="C2159" s="672" t="s">
        <v>7</v>
      </c>
      <c r="D2159" s="672" t="s">
        <v>13468</v>
      </c>
      <c r="E2159" s="919" t="s">
        <v>13464</v>
      </c>
      <c r="F2159" s="919"/>
      <c r="G2159" s="671" t="s">
        <v>34</v>
      </c>
      <c r="H2159" s="670">
        <v>2.1000000000000001E-2</v>
      </c>
      <c r="I2159" s="669">
        <v>5</v>
      </c>
      <c r="J2159" s="669">
        <v>0.1</v>
      </c>
    </row>
    <row r="2160" spans="1:10" ht="24" customHeight="1">
      <c r="A2160" s="672" t="s">
        <v>13467</v>
      </c>
      <c r="B2160" s="673" t="s">
        <v>14786</v>
      </c>
      <c r="C2160" s="672" t="s">
        <v>7</v>
      </c>
      <c r="D2160" s="672" t="s">
        <v>14785</v>
      </c>
      <c r="E2160" s="919" t="s">
        <v>13464</v>
      </c>
      <c r="F2160" s="919"/>
      <c r="G2160" s="671" t="s">
        <v>34</v>
      </c>
      <c r="H2160" s="670">
        <v>1</v>
      </c>
      <c r="I2160" s="669">
        <v>52</v>
      </c>
      <c r="J2160" s="669">
        <v>52</v>
      </c>
    </row>
    <row r="2161" spans="1:10" ht="25.5">
      <c r="A2161" s="668"/>
      <c r="B2161" s="668"/>
      <c r="C2161" s="668"/>
      <c r="D2161" s="668"/>
      <c r="E2161" s="668" t="s">
        <v>13463</v>
      </c>
      <c r="F2161" s="667">
        <v>0.91274584374660439</v>
      </c>
      <c r="G2161" s="668" t="s">
        <v>13462</v>
      </c>
      <c r="H2161" s="667">
        <v>0.77</v>
      </c>
      <c r="I2161" s="668" t="s">
        <v>13461</v>
      </c>
      <c r="J2161" s="667">
        <v>1.68</v>
      </c>
    </row>
    <row r="2162" spans="1:10" ht="15" thickBot="1">
      <c r="A2162" s="668"/>
      <c r="B2162" s="668"/>
      <c r="C2162" s="668"/>
      <c r="D2162" s="668"/>
      <c r="E2162" s="668" t="s">
        <v>13460</v>
      </c>
      <c r="F2162" s="667">
        <v>15.3</v>
      </c>
      <c r="G2162" s="668"/>
      <c r="H2162" s="925" t="s">
        <v>13459</v>
      </c>
      <c r="I2162" s="925"/>
      <c r="J2162" s="667">
        <v>69.510000000000005</v>
      </c>
    </row>
    <row r="2163" spans="1:10" ht="0.95" customHeight="1" thickTop="1">
      <c r="A2163" s="666"/>
      <c r="B2163" s="666"/>
      <c r="C2163" s="666"/>
      <c r="D2163" s="666"/>
      <c r="E2163" s="666"/>
      <c r="F2163" s="666"/>
      <c r="G2163" s="666"/>
      <c r="H2163" s="666"/>
      <c r="I2163" s="666"/>
      <c r="J2163" s="666"/>
    </row>
    <row r="2164" spans="1:10" ht="18" customHeight="1">
      <c r="A2164" s="686" t="s">
        <v>14784</v>
      </c>
      <c r="B2164" s="684" t="s">
        <v>13484</v>
      </c>
      <c r="C2164" s="686" t="s">
        <v>13483</v>
      </c>
      <c r="D2164" s="686" t="s">
        <v>13482</v>
      </c>
      <c r="E2164" s="924" t="s">
        <v>13481</v>
      </c>
      <c r="F2164" s="924"/>
      <c r="G2164" s="685" t="s">
        <v>13480</v>
      </c>
      <c r="H2164" s="684" t="s">
        <v>13479</v>
      </c>
      <c r="I2164" s="684" t="s">
        <v>13478</v>
      </c>
      <c r="J2164" s="684" t="s">
        <v>13477</v>
      </c>
    </row>
    <row r="2165" spans="1:10" ht="36" customHeight="1">
      <c r="A2165" s="682" t="s">
        <v>13476</v>
      </c>
      <c r="B2165" s="683" t="s">
        <v>14783</v>
      </c>
      <c r="C2165" s="682" t="s">
        <v>7</v>
      </c>
      <c r="D2165" s="682" t="s">
        <v>5120</v>
      </c>
      <c r="E2165" s="917" t="s">
        <v>13474</v>
      </c>
      <c r="F2165" s="917"/>
      <c r="G2165" s="681" t="s">
        <v>34</v>
      </c>
      <c r="H2165" s="680">
        <v>1</v>
      </c>
      <c r="I2165" s="679">
        <v>45.72</v>
      </c>
      <c r="J2165" s="679">
        <v>45.72</v>
      </c>
    </row>
    <row r="2166" spans="1:10" ht="24" customHeight="1">
      <c r="A2166" s="677" t="s">
        <v>13472</v>
      </c>
      <c r="B2166" s="678" t="s">
        <v>13473</v>
      </c>
      <c r="C2166" s="677" t="s">
        <v>7</v>
      </c>
      <c r="D2166" s="677" t="s">
        <v>44</v>
      </c>
      <c r="E2166" s="918" t="s">
        <v>13470</v>
      </c>
      <c r="F2166" s="918"/>
      <c r="G2166" s="676" t="s">
        <v>19</v>
      </c>
      <c r="H2166" s="675">
        <v>0.1164</v>
      </c>
      <c r="I2166" s="674">
        <v>17.66</v>
      </c>
      <c r="J2166" s="674">
        <v>2.0499999999999998</v>
      </c>
    </row>
    <row r="2167" spans="1:10" ht="24" customHeight="1">
      <c r="A2167" s="677" t="s">
        <v>13472</v>
      </c>
      <c r="B2167" s="678" t="s">
        <v>13471</v>
      </c>
      <c r="C2167" s="677" t="s">
        <v>7</v>
      </c>
      <c r="D2167" s="677" t="s">
        <v>21</v>
      </c>
      <c r="E2167" s="918" t="s">
        <v>13470</v>
      </c>
      <c r="F2167" s="918"/>
      <c r="G2167" s="676" t="s">
        <v>19</v>
      </c>
      <c r="H2167" s="675">
        <v>3.6700000000000003E-2</v>
      </c>
      <c r="I2167" s="674">
        <v>14.02</v>
      </c>
      <c r="J2167" s="674">
        <v>0.51</v>
      </c>
    </row>
    <row r="2168" spans="1:10" ht="24" customHeight="1">
      <c r="A2168" s="672" t="s">
        <v>13467</v>
      </c>
      <c r="B2168" s="673" t="s">
        <v>13469</v>
      </c>
      <c r="C2168" s="672" t="s">
        <v>7</v>
      </c>
      <c r="D2168" s="672" t="s">
        <v>13468</v>
      </c>
      <c r="E2168" s="919" t="s">
        <v>13464</v>
      </c>
      <c r="F2168" s="919"/>
      <c r="G2168" s="671" t="s">
        <v>34</v>
      </c>
      <c r="H2168" s="670">
        <v>2.1000000000000001E-2</v>
      </c>
      <c r="I2168" s="669">
        <v>5</v>
      </c>
      <c r="J2168" s="669">
        <v>0.1</v>
      </c>
    </row>
    <row r="2169" spans="1:10" ht="24" customHeight="1">
      <c r="A2169" s="672" t="s">
        <v>13467</v>
      </c>
      <c r="B2169" s="673" t="s">
        <v>14782</v>
      </c>
      <c r="C2169" s="672" t="s">
        <v>7</v>
      </c>
      <c r="D2169" s="672" t="s">
        <v>14781</v>
      </c>
      <c r="E2169" s="919" t="s">
        <v>13464</v>
      </c>
      <c r="F2169" s="919"/>
      <c r="G2169" s="671" t="s">
        <v>34</v>
      </c>
      <c r="H2169" s="670">
        <v>1</v>
      </c>
      <c r="I2169" s="669">
        <v>43.06</v>
      </c>
      <c r="J2169" s="669">
        <v>43.06</v>
      </c>
    </row>
    <row r="2170" spans="1:10" ht="25.5">
      <c r="A2170" s="668"/>
      <c r="B2170" s="668"/>
      <c r="C2170" s="668"/>
      <c r="D2170" s="668"/>
      <c r="E2170" s="668" t="s">
        <v>13463</v>
      </c>
      <c r="F2170" s="667">
        <v>1.1029012278604802</v>
      </c>
      <c r="G2170" s="668" t="s">
        <v>13462</v>
      </c>
      <c r="H2170" s="667">
        <v>0.93</v>
      </c>
      <c r="I2170" s="668" t="s">
        <v>13461</v>
      </c>
      <c r="J2170" s="667">
        <v>2.0299999999999998</v>
      </c>
    </row>
    <row r="2171" spans="1:10" ht="15" thickBot="1">
      <c r="A2171" s="668"/>
      <c r="B2171" s="668"/>
      <c r="C2171" s="668"/>
      <c r="D2171" s="668"/>
      <c r="E2171" s="668" t="s">
        <v>13460</v>
      </c>
      <c r="F2171" s="667">
        <v>12.91</v>
      </c>
      <c r="G2171" s="668"/>
      <c r="H2171" s="925" t="s">
        <v>13459</v>
      </c>
      <c r="I2171" s="925"/>
      <c r="J2171" s="667">
        <v>58.63</v>
      </c>
    </row>
    <row r="2172" spans="1:10" ht="0.95" customHeight="1" thickTop="1">
      <c r="A2172" s="666"/>
      <c r="B2172" s="666"/>
      <c r="C2172" s="666"/>
      <c r="D2172" s="666"/>
      <c r="E2172" s="666"/>
      <c r="F2172" s="666"/>
      <c r="G2172" s="666"/>
      <c r="H2172" s="666"/>
      <c r="I2172" s="666"/>
      <c r="J2172" s="666"/>
    </row>
    <row r="2173" spans="1:10" ht="18" customHeight="1">
      <c r="A2173" s="686" t="s">
        <v>14780</v>
      </c>
      <c r="B2173" s="684" t="s">
        <v>13484</v>
      </c>
      <c r="C2173" s="686" t="s">
        <v>13483</v>
      </c>
      <c r="D2173" s="686" t="s">
        <v>13482</v>
      </c>
      <c r="E2173" s="924" t="s">
        <v>13481</v>
      </c>
      <c r="F2173" s="924"/>
      <c r="G2173" s="685" t="s">
        <v>13480</v>
      </c>
      <c r="H2173" s="684" t="s">
        <v>13479</v>
      </c>
      <c r="I2173" s="684" t="s">
        <v>13478</v>
      </c>
      <c r="J2173" s="684" t="s">
        <v>13477</v>
      </c>
    </row>
    <row r="2174" spans="1:10" ht="24" customHeight="1">
      <c r="A2174" s="682" t="s">
        <v>13476</v>
      </c>
      <c r="B2174" s="683" t="s">
        <v>14779</v>
      </c>
      <c r="C2174" s="682" t="s">
        <v>7</v>
      </c>
      <c r="D2174" s="682" t="s">
        <v>5159</v>
      </c>
      <c r="E2174" s="917" t="s">
        <v>13474</v>
      </c>
      <c r="F2174" s="917"/>
      <c r="G2174" s="681" t="s">
        <v>34</v>
      </c>
      <c r="H2174" s="680">
        <v>1</v>
      </c>
      <c r="I2174" s="679">
        <v>37.18</v>
      </c>
      <c r="J2174" s="679">
        <v>37.18</v>
      </c>
    </row>
    <row r="2175" spans="1:10" ht="24" customHeight="1">
      <c r="A2175" s="677" t="s">
        <v>13472</v>
      </c>
      <c r="B2175" s="678" t="s">
        <v>13473</v>
      </c>
      <c r="C2175" s="677" t="s">
        <v>7</v>
      </c>
      <c r="D2175" s="677" t="s">
        <v>44</v>
      </c>
      <c r="E2175" s="918" t="s">
        <v>13470</v>
      </c>
      <c r="F2175" s="918"/>
      <c r="G2175" s="676" t="s">
        <v>19</v>
      </c>
      <c r="H2175" s="675">
        <v>0.31619999999999998</v>
      </c>
      <c r="I2175" s="674">
        <v>17.66</v>
      </c>
      <c r="J2175" s="674">
        <v>5.58</v>
      </c>
    </row>
    <row r="2176" spans="1:10" ht="24" customHeight="1">
      <c r="A2176" s="677" t="s">
        <v>13472</v>
      </c>
      <c r="B2176" s="678" t="s">
        <v>13471</v>
      </c>
      <c r="C2176" s="677" t="s">
        <v>7</v>
      </c>
      <c r="D2176" s="677" t="s">
        <v>21</v>
      </c>
      <c r="E2176" s="918" t="s">
        <v>13470</v>
      </c>
      <c r="F2176" s="918"/>
      <c r="G2176" s="676" t="s">
        <v>19</v>
      </c>
      <c r="H2176" s="675">
        <v>9.9599999999999994E-2</v>
      </c>
      <c r="I2176" s="674">
        <v>14.02</v>
      </c>
      <c r="J2176" s="674">
        <v>1.39</v>
      </c>
    </row>
    <row r="2177" spans="1:10" ht="24" customHeight="1">
      <c r="A2177" s="672" t="s">
        <v>13467</v>
      </c>
      <c r="B2177" s="673" t="s">
        <v>14778</v>
      </c>
      <c r="C2177" s="672" t="s">
        <v>7</v>
      </c>
      <c r="D2177" s="672" t="s">
        <v>14777</v>
      </c>
      <c r="E2177" s="919" t="s">
        <v>13464</v>
      </c>
      <c r="F2177" s="919"/>
      <c r="G2177" s="671" t="s">
        <v>34</v>
      </c>
      <c r="H2177" s="670">
        <v>1</v>
      </c>
      <c r="I2177" s="669">
        <v>30.21</v>
      </c>
      <c r="J2177" s="669">
        <v>30.21</v>
      </c>
    </row>
    <row r="2178" spans="1:10" ht="25.5">
      <c r="A2178" s="668"/>
      <c r="B2178" s="668"/>
      <c r="C2178" s="668"/>
      <c r="D2178" s="668"/>
      <c r="E2178" s="668" t="s">
        <v>13463</v>
      </c>
      <c r="F2178" s="667">
        <v>3.0098880799739214</v>
      </c>
      <c r="G2178" s="668" t="s">
        <v>13462</v>
      </c>
      <c r="H2178" s="667">
        <v>2.5299999999999998</v>
      </c>
      <c r="I2178" s="668" t="s">
        <v>13461</v>
      </c>
      <c r="J2178" s="667">
        <v>5.54</v>
      </c>
    </row>
    <row r="2179" spans="1:10" ht="15" thickBot="1">
      <c r="A2179" s="668"/>
      <c r="B2179" s="668"/>
      <c r="C2179" s="668"/>
      <c r="D2179" s="668"/>
      <c r="E2179" s="668" t="s">
        <v>13460</v>
      </c>
      <c r="F2179" s="667">
        <v>10.49</v>
      </c>
      <c r="G2179" s="668"/>
      <c r="H2179" s="925" t="s">
        <v>13459</v>
      </c>
      <c r="I2179" s="925"/>
      <c r="J2179" s="667">
        <v>47.67</v>
      </c>
    </row>
    <row r="2180" spans="1:10" ht="0.95" customHeight="1" thickTop="1">
      <c r="A2180" s="666"/>
      <c r="B2180" s="666"/>
      <c r="C2180" s="666"/>
      <c r="D2180" s="666"/>
      <c r="E2180" s="666"/>
      <c r="F2180" s="666"/>
      <c r="G2180" s="666"/>
      <c r="H2180" s="666"/>
      <c r="I2180" s="666"/>
      <c r="J2180" s="666"/>
    </row>
    <row r="2181" spans="1:10" ht="18" customHeight="1">
      <c r="A2181" s="686" t="s">
        <v>14776</v>
      </c>
      <c r="B2181" s="684" t="s">
        <v>13484</v>
      </c>
      <c r="C2181" s="686" t="s">
        <v>13483</v>
      </c>
      <c r="D2181" s="686" t="s">
        <v>13482</v>
      </c>
      <c r="E2181" s="924" t="s">
        <v>13481</v>
      </c>
      <c r="F2181" s="924"/>
      <c r="G2181" s="685" t="s">
        <v>13480</v>
      </c>
      <c r="H2181" s="684" t="s">
        <v>13479</v>
      </c>
      <c r="I2181" s="684" t="s">
        <v>13478</v>
      </c>
      <c r="J2181" s="684" t="s">
        <v>13477</v>
      </c>
    </row>
    <row r="2182" spans="1:10" ht="36" customHeight="1">
      <c r="A2182" s="682" t="s">
        <v>13476</v>
      </c>
      <c r="B2182" s="683" t="s">
        <v>14775</v>
      </c>
      <c r="C2182" s="682" t="s">
        <v>7</v>
      </c>
      <c r="D2182" s="682" t="s">
        <v>5181</v>
      </c>
      <c r="E2182" s="917" t="s">
        <v>13474</v>
      </c>
      <c r="F2182" s="917"/>
      <c r="G2182" s="681" t="s">
        <v>34</v>
      </c>
      <c r="H2182" s="680">
        <v>1</v>
      </c>
      <c r="I2182" s="679">
        <v>338.43</v>
      </c>
      <c r="J2182" s="679">
        <v>338.43</v>
      </c>
    </row>
    <row r="2183" spans="1:10" ht="24" customHeight="1">
      <c r="A2183" s="677" t="s">
        <v>13472</v>
      </c>
      <c r="B2183" s="678" t="s">
        <v>13473</v>
      </c>
      <c r="C2183" s="677" t="s">
        <v>7</v>
      </c>
      <c r="D2183" s="677" t="s">
        <v>44</v>
      </c>
      <c r="E2183" s="918" t="s">
        <v>13470</v>
      </c>
      <c r="F2183" s="918"/>
      <c r="G2183" s="676" t="s">
        <v>19</v>
      </c>
      <c r="H2183" s="675">
        <v>0.94850000000000001</v>
      </c>
      <c r="I2183" s="674">
        <v>17.66</v>
      </c>
      <c r="J2183" s="674">
        <v>16.75</v>
      </c>
    </row>
    <row r="2184" spans="1:10" ht="24" customHeight="1">
      <c r="A2184" s="677" t="s">
        <v>13472</v>
      </c>
      <c r="B2184" s="678" t="s">
        <v>13471</v>
      </c>
      <c r="C2184" s="677" t="s">
        <v>7</v>
      </c>
      <c r="D2184" s="677" t="s">
        <v>21</v>
      </c>
      <c r="E2184" s="918" t="s">
        <v>13470</v>
      </c>
      <c r="F2184" s="918"/>
      <c r="G2184" s="676" t="s">
        <v>19</v>
      </c>
      <c r="H2184" s="675">
        <v>0.29880000000000001</v>
      </c>
      <c r="I2184" s="674">
        <v>14.02</v>
      </c>
      <c r="J2184" s="674">
        <v>4.18</v>
      </c>
    </row>
    <row r="2185" spans="1:10" ht="24" customHeight="1">
      <c r="A2185" s="672" t="s">
        <v>13467</v>
      </c>
      <c r="B2185" s="673" t="s">
        <v>14774</v>
      </c>
      <c r="C2185" s="672" t="s">
        <v>7</v>
      </c>
      <c r="D2185" s="672" t="s">
        <v>14773</v>
      </c>
      <c r="E2185" s="919" t="s">
        <v>13464</v>
      </c>
      <c r="F2185" s="919"/>
      <c r="G2185" s="671" t="s">
        <v>34</v>
      </c>
      <c r="H2185" s="670">
        <v>1</v>
      </c>
      <c r="I2185" s="669">
        <v>251.44</v>
      </c>
      <c r="J2185" s="669">
        <v>251.44</v>
      </c>
    </row>
    <row r="2186" spans="1:10" ht="36" customHeight="1">
      <c r="A2186" s="672" t="s">
        <v>13467</v>
      </c>
      <c r="B2186" s="673" t="s">
        <v>13568</v>
      </c>
      <c r="C2186" s="672" t="s">
        <v>7</v>
      </c>
      <c r="D2186" s="672" t="s">
        <v>13567</v>
      </c>
      <c r="E2186" s="919" t="s">
        <v>13464</v>
      </c>
      <c r="F2186" s="919"/>
      <c r="G2186" s="671" t="s">
        <v>34</v>
      </c>
      <c r="H2186" s="670">
        <v>6</v>
      </c>
      <c r="I2186" s="669">
        <v>11.01</v>
      </c>
      <c r="J2186" s="669">
        <v>66.06</v>
      </c>
    </row>
    <row r="2187" spans="1:10" ht="25.5">
      <c r="A2187" s="668"/>
      <c r="B2187" s="668"/>
      <c r="C2187" s="668"/>
      <c r="D2187" s="668"/>
      <c r="E2187" s="668" t="s">
        <v>13463</v>
      </c>
      <c r="F2187" s="667">
        <v>9.0405302618711296</v>
      </c>
      <c r="G2187" s="668" t="s">
        <v>13462</v>
      </c>
      <c r="H2187" s="667">
        <v>7.6</v>
      </c>
      <c r="I2187" s="668" t="s">
        <v>13461</v>
      </c>
      <c r="J2187" s="667">
        <v>16.64</v>
      </c>
    </row>
    <row r="2188" spans="1:10" ht="15" thickBot="1">
      <c r="A2188" s="668"/>
      <c r="B2188" s="668"/>
      <c r="C2188" s="668"/>
      <c r="D2188" s="668"/>
      <c r="E2188" s="668" t="s">
        <v>13460</v>
      </c>
      <c r="F2188" s="667">
        <v>95.57</v>
      </c>
      <c r="G2188" s="668"/>
      <c r="H2188" s="925" t="s">
        <v>13459</v>
      </c>
      <c r="I2188" s="925"/>
      <c r="J2188" s="667">
        <v>434</v>
      </c>
    </row>
    <row r="2189" spans="1:10" ht="0.95" customHeight="1" thickTop="1">
      <c r="A2189" s="666"/>
      <c r="B2189" s="666"/>
      <c r="C2189" s="666"/>
      <c r="D2189" s="666"/>
      <c r="E2189" s="666"/>
      <c r="F2189" s="666"/>
      <c r="G2189" s="666"/>
      <c r="H2189" s="666"/>
      <c r="I2189" s="666"/>
      <c r="J2189" s="666"/>
    </row>
    <row r="2190" spans="1:10" ht="18" customHeight="1">
      <c r="A2190" s="686" t="s">
        <v>14772</v>
      </c>
      <c r="B2190" s="684" t="s">
        <v>13484</v>
      </c>
      <c r="C2190" s="686" t="s">
        <v>13483</v>
      </c>
      <c r="D2190" s="686" t="s">
        <v>13482</v>
      </c>
      <c r="E2190" s="924" t="s">
        <v>13481</v>
      </c>
      <c r="F2190" s="924"/>
      <c r="G2190" s="685" t="s">
        <v>13480</v>
      </c>
      <c r="H2190" s="684" t="s">
        <v>13479</v>
      </c>
      <c r="I2190" s="684" t="s">
        <v>13478</v>
      </c>
      <c r="J2190" s="684" t="s">
        <v>13477</v>
      </c>
    </row>
    <row r="2191" spans="1:10" ht="24" customHeight="1">
      <c r="A2191" s="682" t="s">
        <v>13476</v>
      </c>
      <c r="B2191" s="683" t="s">
        <v>14771</v>
      </c>
      <c r="C2191" s="682" t="s">
        <v>7</v>
      </c>
      <c r="D2191" s="682" t="s">
        <v>5186</v>
      </c>
      <c r="E2191" s="917" t="s">
        <v>13474</v>
      </c>
      <c r="F2191" s="917"/>
      <c r="G2191" s="681" t="s">
        <v>34</v>
      </c>
      <c r="H2191" s="680">
        <v>1</v>
      </c>
      <c r="I2191" s="679">
        <v>289.66000000000003</v>
      </c>
      <c r="J2191" s="679">
        <v>289.66000000000003</v>
      </c>
    </row>
    <row r="2192" spans="1:10" ht="24" customHeight="1">
      <c r="A2192" s="677" t="s">
        <v>13472</v>
      </c>
      <c r="B2192" s="678" t="s">
        <v>13473</v>
      </c>
      <c r="C2192" s="677" t="s">
        <v>7</v>
      </c>
      <c r="D2192" s="677" t="s">
        <v>44</v>
      </c>
      <c r="E2192" s="918" t="s">
        <v>13470</v>
      </c>
      <c r="F2192" s="918"/>
      <c r="G2192" s="676" t="s">
        <v>19</v>
      </c>
      <c r="H2192" s="675">
        <v>0.94850000000000001</v>
      </c>
      <c r="I2192" s="674">
        <v>17.66</v>
      </c>
      <c r="J2192" s="674">
        <v>16.75</v>
      </c>
    </row>
    <row r="2193" spans="1:10" ht="24" customHeight="1">
      <c r="A2193" s="677" t="s">
        <v>13472</v>
      </c>
      <c r="B2193" s="678" t="s">
        <v>13471</v>
      </c>
      <c r="C2193" s="677" t="s">
        <v>7</v>
      </c>
      <c r="D2193" s="677" t="s">
        <v>21</v>
      </c>
      <c r="E2193" s="918" t="s">
        <v>13470</v>
      </c>
      <c r="F2193" s="918"/>
      <c r="G2193" s="676" t="s">
        <v>19</v>
      </c>
      <c r="H2193" s="675">
        <v>0.29880000000000001</v>
      </c>
      <c r="I2193" s="674">
        <v>14.02</v>
      </c>
      <c r="J2193" s="674">
        <v>4.18</v>
      </c>
    </row>
    <row r="2194" spans="1:10" ht="24" customHeight="1">
      <c r="A2194" s="672" t="s">
        <v>13467</v>
      </c>
      <c r="B2194" s="673" t="s">
        <v>14770</v>
      </c>
      <c r="C2194" s="672" t="s">
        <v>7</v>
      </c>
      <c r="D2194" s="672" t="s">
        <v>14769</v>
      </c>
      <c r="E2194" s="919" t="s">
        <v>13464</v>
      </c>
      <c r="F2194" s="919"/>
      <c r="G2194" s="671" t="s">
        <v>34</v>
      </c>
      <c r="H2194" s="670">
        <v>1</v>
      </c>
      <c r="I2194" s="669">
        <v>202.67</v>
      </c>
      <c r="J2194" s="669">
        <v>202.67</v>
      </c>
    </row>
    <row r="2195" spans="1:10" ht="36" customHeight="1">
      <c r="A2195" s="672" t="s">
        <v>13467</v>
      </c>
      <c r="B2195" s="673" t="s">
        <v>13568</v>
      </c>
      <c r="C2195" s="672" t="s">
        <v>7</v>
      </c>
      <c r="D2195" s="672" t="s">
        <v>13567</v>
      </c>
      <c r="E2195" s="919" t="s">
        <v>13464</v>
      </c>
      <c r="F2195" s="919"/>
      <c r="G2195" s="671" t="s">
        <v>34</v>
      </c>
      <c r="H2195" s="670">
        <v>6</v>
      </c>
      <c r="I2195" s="669">
        <v>11.01</v>
      </c>
      <c r="J2195" s="669">
        <v>66.06</v>
      </c>
    </row>
    <row r="2196" spans="1:10" ht="25.5">
      <c r="A2196" s="668"/>
      <c r="B2196" s="668"/>
      <c r="C2196" s="668"/>
      <c r="D2196" s="668"/>
      <c r="E2196" s="668" t="s">
        <v>13463</v>
      </c>
      <c r="F2196" s="667">
        <v>9.0405302618711296</v>
      </c>
      <c r="G2196" s="668" t="s">
        <v>13462</v>
      </c>
      <c r="H2196" s="667">
        <v>7.6</v>
      </c>
      <c r="I2196" s="668" t="s">
        <v>13461</v>
      </c>
      <c r="J2196" s="667">
        <v>16.64</v>
      </c>
    </row>
    <row r="2197" spans="1:10" ht="15" thickBot="1">
      <c r="A2197" s="668"/>
      <c r="B2197" s="668"/>
      <c r="C2197" s="668"/>
      <c r="D2197" s="668"/>
      <c r="E2197" s="668" t="s">
        <v>13460</v>
      </c>
      <c r="F2197" s="667">
        <v>81.790000000000006</v>
      </c>
      <c r="G2197" s="668"/>
      <c r="H2197" s="925" t="s">
        <v>13459</v>
      </c>
      <c r="I2197" s="925"/>
      <c r="J2197" s="667">
        <v>371.45</v>
      </c>
    </row>
    <row r="2198" spans="1:10" ht="0.95" customHeight="1" thickTop="1">
      <c r="A2198" s="666"/>
      <c r="B2198" s="666"/>
      <c r="C2198" s="666"/>
      <c r="D2198" s="666"/>
      <c r="E2198" s="666"/>
      <c r="F2198" s="666"/>
      <c r="G2198" s="666"/>
      <c r="H2198" s="666"/>
      <c r="I2198" s="666"/>
      <c r="J2198" s="666"/>
    </row>
    <row r="2199" spans="1:10" ht="18" customHeight="1">
      <c r="A2199" s="686" t="s">
        <v>14768</v>
      </c>
      <c r="B2199" s="684" t="s">
        <v>13484</v>
      </c>
      <c r="C2199" s="686" t="s">
        <v>13483</v>
      </c>
      <c r="D2199" s="686" t="s">
        <v>13482</v>
      </c>
      <c r="E2199" s="924" t="s">
        <v>13481</v>
      </c>
      <c r="F2199" s="924"/>
      <c r="G2199" s="685" t="s">
        <v>13480</v>
      </c>
      <c r="H2199" s="684" t="s">
        <v>13479</v>
      </c>
      <c r="I2199" s="684" t="s">
        <v>13478</v>
      </c>
      <c r="J2199" s="684" t="s">
        <v>13477</v>
      </c>
    </row>
    <row r="2200" spans="1:10" ht="24" customHeight="1">
      <c r="A2200" s="682" t="s">
        <v>13476</v>
      </c>
      <c r="B2200" s="683" t="s">
        <v>14767</v>
      </c>
      <c r="C2200" s="682" t="s">
        <v>7</v>
      </c>
      <c r="D2200" s="682" t="s">
        <v>5100</v>
      </c>
      <c r="E2200" s="917" t="s">
        <v>13474</v>
      </c>
      <c r="F2200" s="917"/>
      <c r="G2200" s="681" t="s">
        <v>34</v>
      </c>
      <c r="H2200" s="680">
        <v>1</v>
      </c>
      <c r="I2200" s="679">
        <v>7.46</v>
      </c>
      <c r="J2200" s="679">
        <v>7.46</v>
      </c>
    </row>
    <row r="2201" spans="1:10" ht="24" customHeight="1">
      <c r="A2201" s="677" t="s">
        <v>13472</v>
      </c>
      <c r="B2201" s="678" t="s">
        <v>13473</v>
      </c>
      <c r="C2201" s="677" t="s">
        <v>7</v>
      </c>
      <c r="D2201" s="677" t="s">
        <v>44</v>
      </c>
      <c r="E2201" s="918" t="s">
        <v>13470</v>
      </c>
      <c r="F2201" s="918"/>
      <c r="G2201" s="676" t="s">
        <v>19</v>
      </c>
      <c r="H2201" s="675">
        <v>0.1525</v>
      </c>
      <c r="I2201" s="674">
        <v>17.66</v>
      </c>
      <c r="J2201" s="674">
        <v>2.69</v>
      </c>
    </row>
    <row r="2202" spans="1:10" ht="24" customHeight="1">
      <c r="A2202" s="677" t="s">
        <v>13472</v>
      </c>
      <c r="B2202" s="678" t="s">
        <v>13471</v>
      </c>
      <c r="C2202" s="677" t="s">
        <v>7</v>
      </c>
      <c r="D2202" s="677" t="s">
        <v>21</v>
      </c>
      <c r="E2202" s="918" t="s">
        <v>13470</v>
      </c>
      <c r="F2202" s="918"/>
      <c r="G2202" s="676" t="s">
        <v>19</v>
      </c>
      <c r="H2202" s="675">
        <v>4.8099999999999997E-2</v>
      </c>
      <c r="I2202" s="674">
        <v>14.02</v>
      </c>
      <c r="J2202" s="674">
        <v>0.67</v>
      </c>
    </row>
    <row r="2203" spans="1:10" ht="24" customHeight="1">
      <c r="A2203" s="672" t="s">
        <v>13467</v>
      </c>
      <c r="B2203" s="673" t="s">
        <v>14766</v>
      </c>
      <c r="C2203" s="672" t="s">
        <v>7</v>
      </c>
      <c r="D2203" s="672" t="s">
        <v>14765</v>
      </c>
      <c r="E2203" s="919" t="s">
        <v>13464</v>
      </c>
      <c r="F2203" s="919"/>
      <c r="G2203" s="671" t="s">
        <v>34</v>
      </c>
      <c r="H2203" s="670">
        <v>1</v>
      </c>
      <c r="I2203" s="669">
        <v>4</v>
      </c>
      <c r="J2203" s="669">
        <v>4</v>
      </c>
    </row>
    <row r="2204" spans="1:10" ht="24" customHeight="1">
      <c r="A2204" s="672" t="s">
        <v>13467</v>
      </c>
      <c r="B2204" s="673" t="s">
        <v>13469</v>
      </c>
      <c r="C2204" s="672" t="s">
        <v>7</v>
      </c>
      <c r="D2204" s="672" t="s">
        <v>13468</v>
      </c>
      <c r="E2204" s="919" t="s">
        <v>13464</v>
      </c>
      <c r="F2204" s="919"/>
      <c r="G2204" s="671" t="s">
        <v>34</v>
      </c>
      <c r="H2204" s="670">
        <v>2.1000000000000001E-2</v>
      </c>
      <c r="I2204" s="669">
        <v>5</v>
      </c>
      <c r="J2204" s="669">
        <v>0.1</v>
      </c>
    </row>
    <row r="2205" spans="1:10" ht="25.5">
      <c r="A2205" s="668"/>
      <c r="B2205" s="668"/>
      <c r="C2205" s="668"/>
      <c r="D2205" s="668"/>
      <c r="E2205" s="668" t="s">
        <v>13463</v>
      </c>
      <c r="F2205" s="667">
        <v>1.4506139302401391</v>
      </c>
      <c r="G2205" s="668" t="s">
        <v>13462</v>
      </c>
      <c r="H2205" s="667">
        <v>1.22</v>
      </c>
      <c r="I2205" s="668" t="s">
        <v>13461</v>
      </c>
      <c r="J2205" s="667">
        <v>2.67</v>
      </c>
    </row>
    <row r="2206" spans="1:10" ht="15" thickBot="1">
      <c r="A2206" s="668"/>
      <c r="B2206" s="668"/>
      <c r="C2206" s="668"/>
      <c r="D2206" s="668"/>
      <c r="E2206" s="668" t="s">
        <v>13460</v>
      </c>
      <c r="F2206" s="667">
        <v>2.1</v>
      </c>
      <c r="G2206" s="668"/>
      <c r="H2206" s="925" t="s">
        <v>13459</v>
      </c>
      <c r="I2206" s="925"/>
      <c r="J2206" s="667">
        <v>9.56</v>
      </c>
    </row>
    <row r="2207" spans="1:10" ht="0.95" customHeight="1" thickTop="1">
      <c r="A2207" s="666"/>
      <c r="B2207" s="666"/>
      <c r="C2207" s="666"/>
      <c r="D2207" s="666"/>
      <c r="E2207" s="666"/>
      <c r="F2207" s="666"/>
      <c r="G2207" s="666"/>
      <c r="H2207" s="666"/>
      <c r="I2207" s="666"/>
      <c r="J2207" s="666"/>
    </row>
    <row r="2208" spans="1:10" ht="18" customHeight="1">
      <c r="A2208" s="686" t="s">
        <v>14764</v>
      </c>
      <c r="B2208" s="684" t="s">
        <v>13484</v>
      </c>
      <c r="C2208" s="686" t="s">
        <v>13483</v>
      </c>
      <c r="D2208" s="686" t="s">
        <v>13482</v>
      </c>
      <c r="E2208" s="924" t="s">
        <v>13481</v>
      </c>
      <c r="F2208" s="924"/>
      <c r="G2208" s="685" t="s">
        <v>13480</v>
      </c>
      <c r="H2208" s="684" t="s">
        <v>13479</v>
      </c>
      <c r="I2208" s="684" t="s">
        <v>13478</v>
      </c>
      <c r="J2208" s="684" t="s">
        <v>13477</v>
      </c>
    </row>
    <row r="2209" spans="1:10" ht="36" customHeight="1">
      <c r="A2209" s="682" t="s">
        <v>13476</v>
      </c>
      <c r="B2209" s="683" t="s">
        <v>14763</v>
      </c>
      <c r="C2209" s="682" t="s">
        <v>7</v>
      </c>
      <c r="D2209" s="682" t="s">
        <v>1540</v>
      </c>
      <c r="E2209" s="917" t="s">
        <v>13474</v>
      </c>
      <c r="F2209" s="917"/>
      <c r="G2209" s="681" t="s">
        <v>34</v>
      </c>
      <c r="H2209" s="680">
        <v>1</v>
      </c>
      <c r="I2209" s="679">
        <v>10.88</v>
      </c>
      <c r="J2209" s="679">
        <v>10.88</v>
      </c>
    </row>
    <row r="2210" spans="1:10" ht="24" customHeight="1">
      <c r="A2210" s="677" t="s">
        <v>13472</v>
      </c>
      <c r="B2210" s="678" t="s">
        <v>13526</v>
      </c>
      <c r="C2210" s="677" t="s">
        <v>7</v>
      </c>
      <c r="D2210" s="677" t="s">
        <v>1093</v>
      </c>
      <c r="E2210" s="918" t="s">
        <v>13470</v>
      </c>
      <c r="F2210" s="918"/>
      <c r="G2210" s="676" t="s">
        <v>19</v>
      </c>
      <c r="H2210" s="675">
        <v>7.0000000000000007E-2</v>
      </c>
      <c r="I2210" s="674">
        <v>13.48</v>
      </c>
      <c r="J2210" s="674">
        <v>0.94</v>
      </c>
    </row>
    <row r="2211" spans="1:10" ht="24" customHeight="1">
      <c r="A2211" s="677" t="s">
        <v>13472</v>
      </c>
      <c r="B2211" s="678" t="s">
        <v>13473</v>
      </c>
      <c r="C2211" s="677" t="s">
        <v>7</v>
      </c>
      <c r="D2211" s="677" t="s">
        <v>44</v>
      </c>
      <c r="E2211" s="918" t="s">
        <v>13470</v>
      </c>
      <c r="F2211" s="918"/>
      <c r="G2211" s="676" t="s">
        <v>19</v>
      </c>
      <c r="H2211" s="675">
        <v>7.0000000000000007E-2</v>
      </c>
      <c r="I2211" s="674">
        <v>17.66</v>
      </c>
      <c r="J2211" s="674">
        <v>1.23</v>
      </c>
    </row>
    <row r="2212" spans="1:10" ht="24" customHeight="1">
      <c r="A2212" s="672" t="s">
        <v>13467</v>
      </c>
      <c r="B2212" s="673" t="s">
        <v>14762</v>
      </c>
      <c r="C2212" s="672" t="s">
        <v>7</v>
      </c>
      <c r="D2212" s="672" t="s">
        <v>14761</v>
      </c>
      <c r="E2212" s="919" t="s">
        <v>13464</v>
      </c>
      <c r="F2212" s="919"/>
      <c r="G2212" s="671" t="s">
        <v>34</v>
      </c>
      <c r="H2212" s="670">
        <v>4.8999999999999998E-3</v>
      </c>
      <c r="I2212" s="669">
        <v>83.11</v>
      </c>
      <c r="J2212" s="669">
        <v>0.4</v>
      </c>
    </row>
    <row r="2213" spans="1:10" ht="24" customHeight="1">
      <c r="A2213" s="672" t="s">
        <v>13467</v>
      </c>
      <c r="B2213" s="673" t="s">
        <v>13523</v>
      </c>
      <c r="C2213" s="672" t="s">
        <v>7</v>
      </c>
      <c r="D2213" s="672" t="s">
        <v>13522</v>
      </c>
      <c r="E2213" s="919" t="s">
        <v>13464</v>
      </c>
      <c r="F2213" s="919"/>
      <c r="G2213" s="671" t="s">
        <v>34</v>
      </c>
      <c r="H2213" s="670">
        <v>1.7000000000000001E-2</v>
      </c>
      <c r="I2213" s="669">
        <v>2.2000000000000002</v>
      </c>
      <c r="J2213" s="669">
        <v>0.03</v>
      </c>
    </row>
    <row r="2214" spans="1:10" ht="24" customHeight="1">
      <c r="A2214" s="672" t="s">
        <v>13467</v>
      </c>
      <c r="B2214" s="673" t="s">
        <v>14760</v>
      </c>
      <c r="C2214" s="672" t="s">
        <v>7</v>
      </c>
      <c r="D2214" s="672" t="s">
        <v>14759</v>
      </c>
      <c r="E2214" s="919" t="s">
        <v>13464</v>
      </c>
      <c r="F2214" s="919"/>
      <c r="G2214" s="671" t="s">
        <v>34</v>
      </c>
      <c r="H2214" s="670">
        <v>1</v>
      </c>
      <c r="I2214" s="669">
        <v>7.74</v>
      </c>
      <c r="J2214" s="669">
        <v>7.74</v>
      </c>
    </row>
    <row r="2215" spans="1:10" ht="24" customHeight="1">
      <c r="A2215" s="672" t="s">
        <v>13467</v>
      </c>
      <c r="B2215" s="673" t="s">
        <v>13521</v>
      </c>
      <c r="C2215" s="672" t="s">
        <v>7</v>
      </c>
      <c r="D2215" s="672" t="s">
        <v>13520</v>
      </c>
      <c r="E2215" s="919" t="s">
        <v>13464</v>
      </c>
      <c r="F2215" s="919"/>
      <c r="G2215" s="671" t="s">
        <v>34</v>
      </c>
      <c r="H2215" s="670">
        <v>7.4999999999999997E-3</v>
      </c>
      <c r="I2215" s="669">
        <v>72.17</v>
      </c>
      <c r="J2215" s="669">
        <v>0.54</v>
      </c>
    </row>
    <row r="2216" spans="1:10" ht="25.5">
      <c r="A2216" s="668"/>
      <c r="B2216" s="668"/>
      <c r="C2216" s="668"/>
      <c r="D2216" s="668"/>
      <c r="E2216" s="668" t="s">
        <v>13463</v>
      </c>
      <c r="F2216" s="667">
        <v>0.92361186569596876</v>
      </c>
      <c r="G2216" s="668" t="s">
        <v>13462</v>
      </c>
      <c r="H2216" s="667">
        <v>0.78</v>
      </c>
      <c r="I2216" s="668" t="s">
        <v>13461</v>
      </c>
      <c r="J2216" s="667">
        <v>1.7</v>
      </c>
    </row>
    <row r="2217" spans="1:10" ht="15" thickBot="1">
      <c r="A2217" s="668"/>
      <c r="B2217" s="668"/>
      <c r="C2217" s="668"/>
      <c r="D2217" s="668"/>
      <c r="E2217" s="668" t="s">
        <v>13460</v>
      </c>
      <c r="F2217" s="667">
        <v>3.07</v>
      </c>
      <c r="G2217" s="668"/>
      <c r="H2217" s="925" t="s">
        <v>13459</v>
      </c>
      <c r="I2217" s="925"/>
      <c r="J2217" s="667">
        <v>13.95</v>
      </c>
    </row>
    <row r="2218" spans="1:10" ht="0.95" customHeight="1" thickTop="1">
      <c r="A2218" s="666"/>
      <c r="B2218" s="666"/>
      <c r="C2218" s="666"/>
      <c r="D2218" s="666"/>
      <c r="E2218" s="666"/>
      <c r="F2218" s="666"/>
      <c r="G2218" s="666"/>
      <c r="H2218" s="666"/>
      <c r="I2218" s="666"/>
      <c r="J2218" s="666"/>
    </row>
    <row r="2219" spans="1:10" ht="18" customHeight="1">
      <c r="A2219" s="686" t="s">
        <v>14758</v>
      </c>
      <c r="B2219" s="684" t="s">
        <v>13484</v>
      </c>
      <c r="C2219" s="686" t="s">
        <v>13483</v>
      </c>
      <c r="D2219" s="686" t="s">
        <v>13482</v>
      </c>
      <c r="E2219" s="924" t="s">
        <v>13481</v>
      </c>
      <c r="F2219" s="924"/>
      <c r="G2219" s="685" t="s">
        <v>13480</v>
      </c>
      <c r="H2219" s="684" t="s">
        <v>13479</v>
      </c>
      <c r="I2219" s="684" t="s">
        <v>13478</v>
      </c>
      <c r="J2219" s="684" t="s">
        <v>13477</v>
      </c>
    </row>
    <row r="2220" spans="1:10" ht="24" customHeight="1">
      <c r="A2220" s="682" t="s">
        <v>13476</v>
      </c>
      <c r="B2220" s="683" t="s">
        <v>14757</v>
      </c>
      <c r="C2220" s="682" t="s">
        <v>7</v>
      </c>
      <c r="D2220" s="682" t="s">
        <v>5098</v>
      </c>
      <c r="E2220" s="917" t="s">
        <v>13474</v>
      </c>
      <c r="F2220" s="917"/>
      <c r="G2220" s="681" t="s">
        <v>34</v>
      </c>
      <c r="H2220" s="680">
        <v>1</v>
      </c>
      <c r="I2220" s="679">
        <v>19.16</v>
      </c>
      <c r="J2220" s="679">
        <v>19.16</v>
      </c>
    </row>
    <row r="2221" spans="1:10" ht="24" customHeight="1">
      <c r="A2221" s="677" t="s">
        <v>13472</v>
      </c>
      <c r="B2221" s="678" t="s">
        <v>13473</v>
      </c>
      <c r="C2221" s="677" t="s">
        <v>7</v>
      </c>
      <c r="D2221" s="677" t="s">
        <v>44</v>
      </c>
      <c r="E2221" s="918" t="s">
        <v>13470</v>
      </c>
      <c r="F2221" s="918"/>
      <c r="G2221" s="676" t="s">
        <v>19</v>
      </c>
      <c r="H2221" s="675">
        <v>0.1356</v>
      </c>
      <c r="I2221" s="674">
        <v>17.66</v>
      </c>
      <c r="J2221" s="674">
        <v>2.39</v>
      </c>
    </row>
    <row r="2222" spans="1:10" ht="24" customHeight="1">
      <c r="A2222" s="677" t="s">
        <v>13472</v>
      </c>
      <c r="B2222" s="678" t="s">
        <v>13471</v>
      </c>
      <c r="C2222" s="677" t="s">
        <v>7</v>
      </c>
      <c r="D2222" s="677" t="s">
        <v>21</v>
      </c>
      <c r="E2222" s="918" t="s">
        <v>13470</v>
      </c>
      <c r="F2222" s="918"/>
      <c r="G2222" s="676" t="s">
        <v>19</v>
      </c>
      <c r="H2222" s="675">
        <v>4.2700000000000002E-2</v>
      </c>
      <c r="I2222" s="674">
        <v>14.02</v>
      </c>
      <c r="J2222" s="674">
        <v>0.59</v>
      </c>
    </row>
    <row r="2223" spans="1:10" ht="24" customHeight="1">
      <c r="A2223" s="672" t="s">
        <v>13467</v>
      </c>
      <c r="B2223" s="673" t="s">
        <v>13469</v>
      </c>
      <c r="C2223" s="672" t="s">
        <v>7</v>
      </c>
      <c r="D2223" s="672" t="s">
        <v>13468</v>
      </c>
      <c r="E2223" s="919" t="s">
        <v>13464</v>
      </c>
      <c r="F2223" s="919"/>
      <c r="G2223" s="671" t="s">
        <v>34</v>
      </c>
      <c r="H2223" s="670">
        <v>4.2000000000000003E-2</v>
      </c>
      <c r="I2223" s="669">
        <v>5</v>
      </c>
      <c r="J2223" s="669">
        <v>0.21</v>
      </c>
    </row>
    <row r="2224" spans="1:10" ht="24" customHeight="1">
      <c r="A2224" s="672" t="s">
        <v>13467</v>
      </c>
      <c r="B2224" s="673" t="s">
        <v>14756</v>
      </c>
      <c r="C2224" s="672" t="s">
        <v>7</v>
      </c>
      <c r="D2224" s="672" t="s">
        <v>14755</v>
      </c>
      <c r="E2224" s="919" t="s">
        <v>13464</v>
      </c>
      <c r="F2224" s="919"/>
      <c r="G2224" s="671" t="s">
        <v>34</v>
      </c>
      <c r="H2224" s="670">
        <v>1</v>
      </c>
      <c r="I2224" s="669">
        <v>15.97</v>
      </c>
      <c r="J2224" s="669">
        <v>15.97</v>
      </c>
    </row>
    <row r="2225" spans="1:10" ht="25.5">
      <c r="A2225" s="668"/>
      <c r="B2225" s="668"/>
      <c r="C2225" s="668"/>
      <c r="D2225" s="668"/>
      <c r="E2225" s="668" t="s">
        <v>13463</v>
      </c>
      <c r="F2225" s="667">
        <v>1.287623600999674</v>
      </c>
      <c r="G2225" s="668" t="s">
        <v>13462</v>
      </c>
      <c r="H2225" s="667">
        <v>1.08</v>
      </c>
      <c r="I2225" s="668" t="s">
        <v>13461</v>
      </c>
      <c r="J2225" s="667">
        <v>2.37</v>
      </c>
    </row>
    <row r="2226" spans="1:10" ht="15" thickBot="1">
      <c r="A2226" s="668"/>
      <c r="B2226" s="668"/>
      <c r="C2226" s="668"/>
      <c r="D2226" s="668"/>
      <c r="E2226" s="668" t="s">
        <v>13460</v>
      </c>
      <c r="F2226" s="667">
        <v>5.41</v>
      </c>
      <c r="G2226" s="668"/>
      <c r="H2226" s="925" t="s">
        <v>13459</v>
      </c>
      <c r="I2226" s="925"/>
      <c r="J2226" s="667">
        <v>24.57</v>
      </c>
    </row>
    <row r="2227" spans="1:10" ht="0.95" customHeight="1" thickTop="1">
      <c r="A2227" s="666"/>
      <c r="B2227" s="666"/>
      <c r="C2227" s="666"/>
      <c r="D2227" s="666"/>
      <c r="E2227" s="666"/>
      <c r="F2227" s="666"/>
      <c r="G2227" s="666"/>
      <c r="H2227" s="666"/>
      <c r="I2227" s="666"/>
      <c r="J2227" s="666"/>
    </row>
    <row r="2228" spans="1:10" ht="18" customHeight="1">
      <c r="A2228" s="686" t="s">
        <v>14754</v>
      </c>
      <c r="B2228" s="684" t="s">
        <v>13484</v>
      </c>
      <c r="C2228" s="686" t="s">
        <v>13483</v>
      </c>
      <c r="D2228" s="686" t="s">
        <v>13482</v>
      </c>
      <c r="E2228" s="924" t="s">
        <v>13481</v>
      </c>
      <c r="F2228" s="924"/>
      <c r="G2228" s="685" t="s">
        <v>13480</v>
      </c>
      <c r="H2228" s="684" t="s">
        <v>13479</v>
      </c>
      <c r="I2228" s="684" t="s">
        <v>13478</v>
      </c>
      <c r="J2228" s="684" t="s">
        <v>13477</v>
      </c>
    </row>
    <row r="2229" spans="1:10" ht="24" customHeight="1">
      <c r="A2229" s="682" t="s">
        <v>13476</v>
      </c>
      <c r="B2229" s="683" t="s">
        <v>14753</v>
      </c>
      <c r="C2229" s="682" t="s">
        <v>7</v>
      </c>
      <c r="D2229" s="682" t="s">
        <v>5099</v>
      </c>
      <c r="E2229" s="917" t="s">
        <v>13474</v>
      </c>
      <c r="F2229" s="917"/>
      <c r="G2229" s="681" t="s">
        <v>34</v>
      </c>
      <c r="H2229" s="680">
        <v>1</v>
      </c>
      <c r="I2229" s="679">
        <v>10.92</v>
      </c>
      <c r="J2229" s="679">
        <v>10.92</v>
      </c>
    </row>
    <row r="2230" spans="1:10" ht="24" customHeight="1">
      <c r="A2230" s="677" t="s">
        <v>13472</v>
      </c>
      <c r="B2230" s="678" t="s">
        <v>13473</v>
      </c>
      <c r="C2230" s="677" t="s">
        <v>7</v>
      </c>
      <c r="D2230" s="677" t="s">
        <v>44</v>
      </c>
      <c r="E2230" s="918" t="s">
        <v>13470</v>
      </c>
      <c r="F2230" s="918"/>
      <c r="G2230" s="676" t="s">
        <v>19</v>
      </c>
      <c r="H2230" s="675">
        <v>8.4500000000000006E-2</v>
      </c>
      <c r="I2230" s="674">
        <v>17.66</v>
      </c>
      <c r="J2230" s="674">
        <v>1.49</v>
      </c>
    </row>
    <row r="2231" spans="1:10" ht="24" customHeight="1">
      <c r="A2231" s="677" t="s">
        <v>13472</v>
      </c>
      <c r="B2231" s="678" t="s">
        <v>13471</v>
      </c>
      <c r="C2231" s="677" t="s">
        <v>7</v>
      </c>
      <c r="D2231" s="677" t="s">
        <v>21</v>
      </c>
      <c r="E2231" s="918" t="s">
        <v>13470</v>
      </c>
      <c r="F2231" s="918"/>
      <c r="G2231" s="676" t="s">
        <v>19</v>
      </c>
      <c r="H2231" s="675">
        <v>2.6599999999999999E-2</v>
      </c>
      <c r="I2231" s="674">
        <v>14.02</v>
      </c>
      <c r="J2231" s="674">
        <v>0.37</v>
      </c>
    </row>
    <row r="2232" spans="1:10" ht="24" customHeight="1">
      <c r="A2232" s="672" t="s">
        <v>13467</v>
      </c>
      <c r="B2232" s="673" t="s">
        <v>13469</v>
      </c>
      <c r="C2232" s="672" t="s">
        <v>7</v>
      </c>
      <c r="D2232" s="672" t="s">
        <v>13468</v>
      </c>
      <c r="E2232" s="919" t="s">
        <v>13464</v>
      </c>
      <c r="F2232" s="919"/>
      <c r="G2232" s="671" t="s">
        <v>34</v>
      </c>
      <c r="H2232" s="670">
        <v>3.32E-2</v>
      </c>
      <c r="I2232" s="669">
        <v>5</v>
      </c>
      <c r="J2232" s="669">
        <v>0.16</v>
      </c>
    </row>
    <row r="2233" spans="1:10" ht="24" customHeight="1">
      <c r="A2233" s="672" t="s">
        <v>13467</v>
      </c>
      <c r="B2233" s="673" t="s">
        <v>14752</v>
      </c>
      <c r="C2233" s="672" t="s">
        <v>7</v>
      </c>
      <c r="D2233" s="672" t="s">
        <v>14751</v>
      </c>
      <c r="E2233" s="919" t="s">
        <v>13464</v>
      </c>
      <c r="F2233" s="919"/>
      <c r="G2233" s="671" t="s">
        <v>34</v>
      </c>
      <c r="H2233" s="670">
        <v>1</v>
      </c>
      <c r="I2233" s="669">
        <v>8.9</v>
      </c>
      <c r="J2233" s="669">
        <v>8.9</v>
      </c>
    </row>
    <row r="2234" spans="1:10" ht="25.5">
      <c r="A2234" s="668"/>
      <c r="B2234" s="668"/>
      <c r="C2234" s="668"/>
      <c r="D2234" s="668"/>
      <c r="E2234" s="668" t="s">
        <v>13463</v>
      </c>
      <c r="F2234" s="667">
        <v>0.79865261327827886</v>
      </c>
      <c r="G2234" s="668" t="s">
        <v>13462</v>
      </c>
      <c r="H2234" s="667">
        <v>0.67</v>
      </c>
      <c r="I2234" s="668" t="s">
        <v>13461</v>
      </c>
      <c r="J2234" s="667">
        <v>1.47</v>
      </c>
    </row>
    <row r="2235" spans="1:10" ht="15" thickBot="1">
      <c r="A2235" s="668"/>
      <c r="B2235" s="668"/>
      <c r="C2235" s="668"/>
      <c r="D2235" s="668"/>
      <c r="E2235" s="668" t="s">
        <v>13460</v>
      </c>
      <c r="F2235" s="667">
        <v>3.08</v>
      </c>
      <c r="G2235" s="668"/>
      <c r="H2235" s="925" t="s">
        <v>13459</v>
      </c>
      <c r="I2235" s="925"/>
      <c r="J2235" s="667">
        <v>14</v>
      </c>
    </row>
    <row r="2236" spans="1:10" ht="0.95" customHeight="1" thickTop="1">
      <c r="A2236" s="666"/>
      <c r="B2236" s="666"/>
      <c r="C2236" s="666"/>
      <c r="D2236" s="666"/>
      <c r="E2236" s="666"/>
      <c r="F2236" s="666"/>
      <c r="G2236" s="666"/>
      <c r="H2236" s="666"/>
      <c r="I2236" s="666"/>
      <c r="J2236" s="666"/>
    </row>
    <row r="2237" spans="1:10" ht="18" customHeight="1">
      <c r="A2237" s="686" t="s">
        <v>14750</v>
      </c>
      <c r="B2237" s="684" t="s">
        <v>13484</v>
      </c>
      <c r="C2237" s="686" t="s">
        <v>13483</v>
      </c>
      <c r="D2237" s="686" t="s">
        <v>13482</v>
      </c>
      <c r="E2237" s="924" t="s">
        <v>13481</v>
      </c>
      <c r="F2237" s="924"/>
      <c r="G2237" s="685" t="s">
        <v>13480</v>
      </c>
      <c r="H2237" s="684" t="s">
        <v>13479</v>
      </c>
      <c r="I2237" s="684" t="s">
        <v>13478</v>
      </c>
      <c r="J2237" s="684" t="s">
        <v>13477</v>
      </c>
    </row>
    <row r="2238" spans="1:10" ht="36" customHeight="1">
      <c r="A2238" s="682" t="s">
        <v>13476</v>
      </c>
      <c r="B2238" s="683" t="s">
        <v>14749</v>
      </c>
      <c r="C2238" s="682" t="s">
        <v>7</v>
      </c>
      <c r="D2238" s="682" t="s">
        <v>5095</v>
      </c>
      <c r="E2238" s="917" t="s">
        <v>13474</v>
      </c>
      <c r="F2238" s="917"/>
      <c r="G2238" s="681" t="s">
        <v>34</v>
      </c>
      <c r="H2238" s="680">
        <v>1</v>
      </c>
      <c r="I2238" s="679">
        <v>6.08</v>
      </c>
      <c r="J2238" s="679">
        <v>6.08</v>
      </c>
    </row>
    <row r="2239" spans="1:10" ht="24" customHeight="1">
      <c r="A2239" s="677" t="s">
        <v>13472</v>
      </c>
      <c r="B2239" s="678" t="s">
        <v>13473</v>
      </c>
      <c r="C2239" s="677" t="s">
        <v>7</v>
      </c>
      <c r="D2239" s="677" t="s">
        <v>44</v>
      </c>
      <c r="E2239" s="918" t="s">
        <v>13470</v>
      </c>
      <c r="F2239" s="918"/>
      <c r="G2239" s="676" t="s">
        <v>19</v>
      </c>
      <c r="H2239" s="675">
        <v>0.1232</v>
      </c>
      <c r="I2239" s="674">
        <v>17.66</v>
      </c>
      <c r="J2239" s="674">
        <v>2.17</v>
      </c>
    </row>
    <row r="2240" spans="1:10" ht="24" customHeight="1">
      <c r="A2240" s="677" t="s">
        <v>13472</v>
      </c>
      <c r="B2240" s="678" t="s">
        <v>13471</v>
      </c>
      <c r="C2240" s="677" t="s">
        <v>7</v>
      </c>
      <c r="D2240" s="677" t="s">
        <v>21</v>
      </c>
      <c r="E2240" s="918" t="s">
        <v>13470</v>
      </c>
      <c r="F2240" s="918"/>
      <c r="G2240" s="676" t="s">
        <v>19</v>
      </c>
      <c r="H2240" s="675">
        <v>3.8800000000000001E-2</v>
      </c>
      <c r="I2240" s="674">
        <v>14.02</v>
      </c>
      <c r="J2240" s="674">
        <v>0.54</v>
      </c>
    </row>
    <row r="2241" spans="1:10" ht="24" customHeight="1">
      <c r="A2241" s="672" t="s">
        <v>13467</v>
      </c>
      <c r="B2241" s="673" t="s">
        <v>13469</v>
      </c>
      <c r="C2241" s="672" t="s">
        <v>7</v>
      </c>
      <c r="D2241" s="672" t="s">
        <v>13468</v>
      </c>
      <c r="E2241" s="919" t="s">
        <v>13464</v>
      </c>
      <c r="F2241" s="919"/>
      <c r="G2241" s="671" t="s">
        <v>34</v>
      </c>
      <c r="H2241" s="670">
        <v>3.32E-2</v>
      </c>
      <c r="I2241" s="669">
        <v>5</v>
      </c>
      <c r="J2241" s="669">
        <v>0.16</v>
      </c>
    </row>
    <row r="2242" spans="1:10" ht="24" customHeight="1">
      <c r="A2242" s="672" t="s">
        <v>13467</v>
      </c>
      <c r="B2242" s="673" t="s">
        <v>14748</v>
      </c>
      <c r="C2242" s="672" t="s">
        <v>7</v>
      </c>
      <c r="D2242" s="672" t="s">
        <v>14747</v>
      </c>
      <c r="E2242" s="919" t="s">
        <v>13464</v>
      </c>
      <c r="F2242" s="919"/>
      <c r="G2242" s="671" t="s">
        <v>34</v>
      </c>
      <c r="H2242" s="670">
        <v>1</v>
      </c>
      <c r="I2242" s="669">
        <v>3.21</v>
      </c>
      <c r="J2242" s="669">
        <v>3.21</v>
      </c>
    </row>
    <row r="2243" spans="1:10" ht="25.5">
      <c r="A2243" s="668"/>
      <c r="B2243" s="668"/>
      <c r="C2243" s="668"/>
      <c r="D2243" s="668"/>
      <c r="E2243" s="668" t="s">
        <v>13463</v>
      </c>
      <c r="F2243" s="667">
        <v>1.1735303705313485</v>
      </c>
      <c r="G2243" s="668" t="s">
        <v>13462</v>
      </c>
      <c r="H2243" s="667">
        <v>0.99</v>
      </c>
      <c r="I2243" s="668" t="s">
        <v>13461</v>
      </c>
      <c r="J2243" s="667">
        <v>2.16</v>
      </c>
    </row>
    <row r="2244" spans="1:10" ht="15" thickBot="1">
      <c r="A2244" s="668"/>
      <c r="B2244" s="668"/>
      <c r="C2244" s="668"/>
      <c r="D2244" s="668"/>
      <c r="E2244" s="668" t="s">
        <v>13460</v>
      </c>
      <c r="F2244" s="667">
        <v>1.71</v>
      </c>
      <c r="G2244" s="668"/>
      <c r="H2244" s="925" t="s">
        <v>13459</v>
      </c>
      <c r="I2244" s="925"/>
      <c r="J2244" s="667">
        <v>7.79</v>
      </c>
    </row>
    <row r="2245" spans="1:10" ht="0.95" customHeight="1" thickTop="1">
      <c r="A2245" s="666"/>
      <c r="B2245" s="666"/>
      <c r="C2245" s="666"/>
      <c r="D2245" s="666"/>
      <c r="E2245" s="666"/>
      <c r="F2245" s="666"/>
      <c r="G2245" s="666"/>
      <c r="H2245" s="666"/>
      <c r="I2245" s="666"/>
      <c r="J2245" s="666"/>
    </row>
    <row r="2246" spans="1:10" ht="18" customHeight="1">
      <c r="A2246" s="686" t="s">
        <v>14746</v>
      </c>
      <c r="B2246" s="684" t="s">
        <v>13484</v>
      </c>
      <c r="C2246" s="686" t="s">
        <v>13483</v>
      </c>
      <c r="D2246" s="686" t="s">
        <v>13482</v>
      </c>
      <c r="E2246" s="924" t="s">
        <v>13481</v>
      </c>
      <c r="F2246" s="924"/>
      <c r="G2246" s="685" t="s">
        <v>13480</v>
      </c>
      <c r="H2246" s="684" t="s">
        <v>13479</v>
      </c>
      <c r="I2246" s="684" t="s">
        <v>13478</v>
      </c>
      <c r="J2246" s="684" t="s">
        <v>13477</v>
      </c>
    </row>
    <row r="2247" spans="1:10" ht="36" customHeight="1">
      <c r="A2247" s="682" t="s">
        <v>13476</v>
      </c>
      <c r="B2247" s="683" t="s">
        <v>14745</v>
      </c>
      <c r="C2247" s="682" t="s">
        <v>7</v>
      </c>
      <c r="D2247" s="682" t="s">
        <v>5096</v>
      </c>
      <c r="E2247" s="917" t="s">
        <v>13474</v>
      </c>
      <c r="F2247" s="917"/>
      <c r="G2247" s="681" t="s">
        <v>34</v>
      </c>
      <c r="H2247" s="680">
        <v>1</v>
      </c>
      <c r="I2247" s="679">
        <v>18.760000000000002</v>
      </c>
      <c r="J2247" s="679">
        <v>18.760000000000002</v>
      </c>
    </row>
    <row r="2248" spans="1:10" ht="24" customHeight="1">
      <c r="A2248" s="677" t="s">
        <v>13472</v>
      </c>
      <c r="B2248" s="678" t="s">
        <v>13473</v>
      </c>
      <c r="C2248" s="677" t="s">
        <v>7</v>
      </c>
      <c r="D2248" s="677" t="s">
        <v>44</v>
      </c>
      <c r="E2248" s="918" t="s">
        <v>13470</v>
      </c>
      <c r="F2248" s="918"/>
      <c r="G2248" s="676" t="s">
        <v>19</v>
      </c>
      <c r="H2248" s="675">
        <v>0.1232</v>
      </c>
      <c r="I2248" s="674">
        <v>17.66</v>
      </c>
      <c r="J2248" s="674">
        <v>2.17</v>
      </c>
    </row>
    <row r="2249" spans="1:10" ht="24" customHeight="1">
      <c r="A2249" s="677" t="s">
        <v>13472</v>
      </c>
      <c r="B2249" s="678" t="s">
        <v>13471</v>
      </c>
      <c r="C2249" s="677" t="s">
        <v>7</v>
      </c>
      <c r="D2249" s="677" t="s">
        <v>21</v>
      </c>
      <c r="E2249" s="918" t="s">
        <v>13470</v>
      </c>
      <c r="F2249" s="918"/>
      <c r="G2249" s="676" t="s">
        <v>19</v>
      </c>
      <c r="H2249" s="675">
        <v>3.8800000000000001E-2</v>
      </c>
      <c r="I2249" s="674">
        <v>14.02</v>
      </c>
      <c r="J2249" s="674">
        <v>0.54</v>
      </c>
    </row>
    <row r="2250" spans="1:10" ht="24" customHeight="1">
      <c r="A2250" s="672" t="s">
        <v>13467</v>
      </c>
      <c r="B2250" s="673" t="s">
        <v>13469</v>
      </c>
      <c r="C2250" s="672" t="s">
        <v>7</v>
      </c>
      <c r="D2250" s="672" t="s">
        <v>13468</v>
      </c>
      <c r="E2250" s="919" t="s">
        <v>13464</v>
      </c>
      <c r="F2250" s="919"/>
      <c r="G2250" s="671" t="s">
        <v>34</v>
      </c>
      <c r="H2250" s="670">
        <v>4.8000000000000001E-2</v>
      </c>
      <c r="I2250" s="669">
        <v>5</v>
      </c>
      <c r="J2250" s="669">
        <v>0.24</v>
      </c>
    </row>
    <row r="2251" spans="1:10" ht="24" customHeight="1">
      <c r="A2251" s="672" t="s">
        <v>13467</v>
      </c>
      <c r="B2251" s="673" t="s">
        <v>14744</v>
      </c>
      <c r="C2251" s="672" t="s">
        <v>7</v>
      </c>
      <c r="D2251" s="672" t="s">
        <v>14743</v>
      </c>
      <c r="E2251" s="919" t="s">
        <v>13464</v>
      </c>
      <c r="F2251" s="919"/>
      <c r="G2251" s="671" t="s">
        <v>34</v>
      </c>
      <c r="H2251" s="670">
        <v>1</v>
      </c>
      <c r="I2251" s="669">
        <v>15.81</v>
      </c>
      <c r="J2251" s="669">
        <v>15.81</v>
      </c>
    </row>
    <row r="2252" spans="1:10" ht="25.5">
      <c r="A2252" s="668"/>
      <c r="B2252" s="668"/>
      <c r="C2252" s="668"/>
      <c r="D2252" s="668"/>
      <c r="E2252" s="668" t="s">
        <v>13463</v>
      </c>
      <c r="F2252" s="667">
        <v>1.1735303705313485</v>
      </c>
      <c r="G2252" s="668" t="s">
        <v>13462</v>
      </c>
      <c r="H2252" s="667">
        <v>0.99</v>
      </c>
      <c r="I2252" s="668" t="s">
        <v>13461</v>
      </c>
      <c r="J2252" s="667">
        <v>2.16</v>
      </c>
    </row>
    <row r="2253" spans="1:10" ht="15" thickBot="1">
      <c r="A2253" s="668"/>
      <c r="B2253" s="668"/>
      <c r="C2253" s="668"/>
      <c r="D2253" s="668"/>
      <c r="E2253" s="668" t="s">
        <v>13460</v>
      </c>
      <c r="F2253" s="667">
        <v>5.29</v>
      </c>
      <c r="G2253" s="668"/>
      <c r="H2253" s="925" t="s">
        <v>13459</v>
      </c>
      <c r="I2253" s="925"/>
      <c r="J2253" s="667">
        <v>24.05</v>
      </c>
    </row>
    <row r="2254" spans="1:10" ht="0.95" customHeight="1" thickTop="1">
      <c r="A2254" s="666"/>
      <c r="B2254" s="666"/>
      <c r="C2254" s="666"/>
      <c r="D2254" s="666"/>
      <c r="E2254" s="666"/>
      <c r="F2254" s="666"/>
      <c r="G2254" s="666"/>
      <c r="H2254" s="666"/>
      <c r="I2254" s="666"/>
      <c r="J2254" s="666"/>
    </row>
    <row r="2255" spans="1:10" ht="18" customHeight="1">
      <c r="A2255" s="686" t="s">
        <v>14742</v>
      </c>
      <c r="B2255" s="684" t="s">
        <v>13484</v>
      </c>
      <c r="C2255" s="686" t="s">
        <v>13483</v>
      </c>
      <c r="D2255" s="686" t="s">
        <v>13482</v>
      </c>
      <c r="E2255" s="924" t="s">
        <v>13481</v>
      </c>
      <c r="F2255" s="924"/>
      <c r="G2255" s="685" t="s">
        <v>13480</v>
      </c>
      <c r="H2255" s="684" t="s">
        <v>13479</v>
      </c>
      <c r="I2255" s="684" t="s">
        <v>13478</v>
      </c>
      <c r="J2255" s="684" t="s">
        <v>13477</v>
      </c>
    </row>
    <row r="2256" spans="1:10" ht="36" customHeight="1">
      <c r="A2256" s="682" t="s">
        <v>13476</v>
      </c>
      <c r="B2256" s="683" t="s">
        <v>14741</v>
      </c>
      <c r="C2256" s="682" t="s">
        <v>7</v>
      </c>
      <c r="D2256" s="682" t="s">
        <v>1995</v>
      </c>
      <c r="E2256" s="917" t="s">
        <v>13540</v>
      </c>
      <c r="F2256" s="917"/>
      <c r="G2256" s="681" t="s">
        <v>14</v>
      </c>
      <c r="H2256" s="680">
        <v>1</v>
      </c>
      <c r="I2256" s="679">
        <v>3.89</v>
      </c>
      <c r="J2256" s="679">
        <v>3.89</v>
      </c>
    </row>
    <row r="2257" spans="1:10" ht="24" customHeight="1">
      <c r="A2257" s="677" t="s">
        <v>13472</v>
      </c>
      <c r="B2257" s="678" t="s">
        <v>13539</v>
      </c>
      <c r="C2257" s="677" t="s">
        <v>7</v>
      </c>
      <c r="D2257" s="677" t="s">
        <v>45</v>
      </c>
      <c r="E2257" s="918" t="s">
        <v>13470</v>
      </c>
      <c r="F2257" s="918"/>
      <c r="G2257" s="676" t="s">
        <v>19</v>
      </c>
      <c r="H2257" s="675">
        <v>0.03</v>
      </c>
      <c r="I2257" s="674">
        <v>18.3</v>
      </c>
      <c r="J2257" s="674">
        <v>0.54</v>
      </c>
    </row>
    <row r="2258" spans="1:10" ht="24" customHeight="1">
      <c r="A2258" s="677" t="s">
        <v>13472</v>
      </c>
      <c r="B2258" s="678" t="s">
        <v>13538</v>
      </c>
      <c r="C2258" s="677" t="s">
        <v>7</v>
      </c>
      <c r="D2258" s="677" t="s">
        <v>47</v>
      </c>
      <c r="E2258" s="918" t="s">
        <v>13470</v>
      </c>
      <c r="F2258" s="918"/>
      <c r="G2258" s="676" t="s">
        <v>19</v>
      </c>
      <c r="H2258" s="675">
        <v>0.03</v>
      </c>
      <c r="I2258" s="674">
        <v>14</v>
      </c>
      <c r="J2258" s="674">
        <v>0.42</v>
      </c>
    </row>
    <row r="2259" spans="1:10" ht="36" customHeight="1">
      <c r="A2259" s="672" t="s">
        <v>13467</v>
      </c>
      <c r="B2259" s="673" t="s">
        <v>14740</v>
      </c>
      <c r="C2259" s="672" t="s">
        <v>7</v>
      </c>
      <c r="D2259" s="672" t="s">
        <v>14739</v>
      </c>
      <c r="E2259" s="919" t="s">
        <v>13464</v>
      </c>
      <c r="F2259" s="919"/>
      <c r="G2259" s="671" t="s">
        <v>14</v>
      </c>
      <c r="H2259" s="670">
        <v>1.19</v>
      </c>
      <c r="I2259" s="669">
        <v>2.44</v>
      </c>
      <c r="J2259" s="669">
        <v>2.9</v>
      </c>
    </row>
    <row r="2260" spans="1:10" ht="24" customHeight="1">
      <c r="A2260" s="672" t="s">
        <v>13467</v>
      </c>
      <c r="B2260" s="673" t="s">
        <v>14270</v>
      </c>
      <c r="C2260" s="672" t="s">
        <v>7</v>
      </c>
      <c r="D2260" s="672" t="s">
        <v>14269</v>
      </c>
      <c r="E2260" s="919" t="s">
        <v>13464</v>
      </c>
      <c r="F2260" s="919"/>
      <c r="G2260" s="671" t="s">
        <v>34</v>
      </c>
      <c r="H2260" s="670">
        <v>8.9999999999999993E-3</v>
      </c>
      <c r="I2260" s="669">
        <v>3.78</v>
      </c>
      <c r="J2260" s="669">
        <v>0.03</v>
      </c>
    </row>
    <row r="2261" spans="1:10" ht="25.5">
      <c r="A2261" s="668"/>
      <c r="B2261" s="668"/>
      <c r="C2261" s="668"/>
      <c r="D2261" s="668"/>
      <c r="E2261" s="668" t="s">
        <v>13463</v>
      </c>
      <c r="F2261" s="667">
        <v>0.39660980115179834</v>
      </c>
      <c r="G2261" s="668" t="s">
        <v>13462</v>
      </c>
      <c r="H2261" s="667">
        <v>0.33</v>
      </c>
      <c r="I2261" s="668" t="s">
        <v>13461</v>
      </c>
      <c r="J2261" s="667">
        <v>0.73</v>
      </c>
    </row>
    <row r="2262" spans="1:10" ht="15" thickBot="1">
      <c r="A2262" s="668"/>
      <c r="B2262" s="668"/>
      <c r="C2262" s="668"/>
      <c r="D2262" s="668"/>
      <c r="E2262" s="668" t="s">
        <v>13460</v>
      </c>
      <c r="F2262" s="667">
        <v>1.0900000000000001</v>
      </c>
      <c r="G2262" s="668"/>
      <c r="H2262" s="925" t="s">
        <v>13459</v>
      </c>
      <c r="I2262" s="925"/>
      <c r="J2262" s="667">
        <v>4.9800000000000004</v>
      </c>
    </row>
    <row r="2263" spans="1:10" ht="0.95" customHeight="1" thickTop="1">
      <c r="A2263" s="666"/>
      <c r="B2263" s="666"/>
      <c r="C2263" s="666"/>
      <c r="D2263" s="666"/>
      <c r="E2263" s="666"/>
      <c r="F2263" s="666"/>
      <c r="G2263" s="666"/>
      <c r="H2263" s="666"/>
      <c r="I2263" s="666"/>
      <c r="J2263" s="666"/>
    </row>
    <row r="2264" spans="1:10" ht="18" customHeight="1">
      <c r="A2264" s="686" t="s">
        <v>14738</v>
      </c>
      <c r="B2264" s="684" t="s">
        <v>13484</v>
      </c>
      <c r="C2264" s="686" t="s">
        <v>13483</v>
      </c>
      <c r="D2264" s="686" t="s">
        <v>13482</v>
      </c>
      <c r="E2264" s="924" t="s">
        <v>13481</v>
      </c>
      <c r="F2264" s="924"/>
      <c r="G2264" s="685" t="s">
        <v>13480</v>
      </c>
      <c r="H2264" s="684" t="s">
        <v>13479</v>
      </c>
      <c r="I2264" s="684" t="s">
        <v>13478</v>
      </c>
      <c r="J2264" s="684" t="s">
        <v>13477</v>
      </c>
    </row>
    <row r="2265" spans="1:10" ht="36" customHeight="1">
      <c r="A2265" s="682" t="s">
        <v>13476</v>
      </c>
      <c r="B2265" s="683" t="s">
        <v>14737</v>
      </c>
      <c r="C2265" s="682" t="s">
        <v>7</v>
      </c>
      <c r="D2265" s="682" t="s">
        <v>1997</v>
      </c>
      <c r="E2265" s="917" t="s">
        <v>13540</v>
      </c>
      <c r="F2265" s="917"/>
      <c r="G2265" s="681" t="s">
        <v>14</v>
      </c>
      <c r="H2265" s="680">
        <v>1</v>
      </c>
      <c r="I2265" s="679">
        <v>6.52</v>
      </c>
      <c r="J2265" s="679">
        <v>6.52</v>
      </c>
    </row>
    <row r="2266" spans="1:10" ht="24" customHeight="1">
      <c r="A2266" s="677" t="s">
        <v>13472</v>
      </c>
      <c r="B2266" s="678" t="s">
        <v>13539</v>
      </c>
      <c r="C2266" s="677" t="s">
        <v>7</v>
      </c>
      <c r="D2266" s="677" t="s">
        <v>45</v>
      </c>
      <c r="E2266" s="918" t="s">
        <v>13470</v>
      </c>
      <c r="F2266" s="918"/>
      <c r="G2266" s="676" t="s">
        <v>19</v>
      </c>
      <c r="H2266" s="675">
        <v>0.04</v>
      </c>
      <c r="I2266" s="674">
        <v>18.3</v>
      </c>
      <c r="J2266" s="674">
        <v>0.73</v>
      </c>
    </row>
    <row r="2267" spans="1:10" ht="24" customHeight="1">
      <c r="A2267" s="677" t="s">
        <v>13472</v>
      </c>
      <c r="B2267" s="678" t="s">
        <v>13538</v>
      </c>
      <c r="C2267" s="677" t="s">
        <v>7</v>
      </c>
      <c r="D2267" s="677" t="s">
        <v>47</v>
      </c>
      <c r="E2267" s="918" t="s">
        <v>13470</v>
      </c>
      <c r="F2267" s="918"/>
      <c r="G2267" s="676" t="s">
        <v>19</v>
      </c>
      <c r="H2267" s="675">
        <v>0.04</v>
      </c>
      <c r="I2267" s="674">
        <v>14</v>
      </c>
      <c r="J2267" s="674">
        <v>0.56000000000000005</v>
      </c>
    </row>
    <row r="2268" spans="1:10" ht="36" customHeight="1">
      <c r="A2268" s="672" t="s">
        <v>13467</v>
      </c>
      <c r="B2268" s="673" t="s">
        <v>14736</v>
      </c>
      <c r="C2268" s="672" t="s">
        <v>7</v>
      </c>
      <c r="D2268" s="672" t="s">
        <v>14735</v>
      </c>
      <c r="E2268" s="919" t="s">
        <v>13464</v>
      </c>
      <c r="F2268" s="919"/>
      <c r="G2268" s="671" t="s">
        <v>14</v>
      </c>
      <c r="H2268" s="670">
        <v>1.19</v>
      </c>
      <c r="I2268" s="669">
        <v>4.37</v>
      </c>
      <c r="J2268" s="669">
        <v>5.2</v>
      </c>
    </row>
    <row r="2269" spans="1:10" ht="24" customHeight="1">
      <c r="A2269" s="672" t="s">
        <v>13467</v>
      </c>
      <c r="B2269" s="673" t="s">
        <v>14270</v>
      </c>
      <c r="C2269" s="672" t="s">
        <v>7</v>
      </c>
      <c r="D2269" s="672" t="s">
        <v>14269</v>
      </c>
      <c r="E2269" s="919" t="s">
        <v>13464</v>
      </c>
      <c r="F2269" s="919"/>
      <c r="G2269" s="671" t="s">
        <v>34</v>
      </c>
      <c r="H2269" s="670">
        <v>8.9999999999999993E-3</v>
      </c>
      <c r="I2269" s="669">
        <v>3.78</v>
      </c>
      <c r="J2269" s="669">
        <v>0.03</v>
      </c>
    </row>
    <row r="2270" spans="1:10" ht="25.5">
      <c r="A2270" s="668"/>
      <c r="B2270" s="668"/>
      <c r="C2270" s="668"/>
      <c r="D2270" s="668"/>
      <c r="E2270" s="668" t="s">
        <v>13463</v>
      </c>
      <c r="F2270" s="667">
        <v>0.52700206454417042</v>
      </c>
      <c r="G2270" s="668" t="s">
        <v>13462</v>
      </c>
      <c r="H2270" s="667">
        <v>0.44</v>
      </c>
      <c r="I2270" s="668" t="s">
        <v>13461</v>
      </c>
      <c r="J2270" s="667">
        <v>0.97</v>
      </c>
    </row>
    <row r="2271" spans="1:10" ht="15" thickBot="1">
      <c r="A2271" s="668"/>
      <c r="B2271" s="668"/>
      <c r="C2271" s="668"/>
      <c r="D2271" s="668"/>
      <c r="E2271" s="668" t="s">
        <v>13460</v>
      </c>
      <c r="F2271" s="667">
        <v>1.84</v>
      </c>
      <c r="G2271" s="668"/>
      <c r="H2271" s="925" t="s">
        <v>13459</v>
      </c>
      <c r="I2271" s="925"/>
      <c r="J2271" s="667">
        <v>8.36</v>
      </c>
    </row>
    <row r="2272" spans="1:10" ht="0.95" customHeight="1" thickTop="1">
      <c r="A2272" s="666"/>
      <c r="B2272" s="666"/>
      <c r="C2272" s="666"/>
      <c r="D2272" s="666"/>
      <c r="E2272" s="666"/>
      <c r="F2272" s="666"/>
      <c r="G2272" s="666"/>
      <c r="H2272" s="666"/>
      <c r="I2272" s="666"/>
      <c r="J2272" s="666"/>
    </row>
    <row r="2273" spans="1:10" ht="18" customHeight="1">
      <c r="A2273" s="686" t="s">
        <v>14734</v>
      </c>
      <c r="B2273" s="684" t="s">
        <v>13484</v>
      </c>
      <c r="C2273" s="686" t="s">
        <v>13483</v>
      </c>
      <c r="D2273" s="686" t="s">
        <v>13482</v>
      </c>
      <c r="E2273" s="924" t="s">
        <v>13481</v>
      </c>
      <c r="F2273" s="924"/>
      <c r="G2273" s="685" t="s">
        <v>13480</v>
      </c>
      <c r="H2273" s="684" t="s">
        <v>13479</v>
      </c>
      <c r="I2273" s="684" t="s">
        <v>13478</v>
      </c>
      <c r="J2273" s="684" t="s">
        <v>13477</v>
      </c>
    </row>
    <row r="2274" spans="1:10" ht="36" customHeight="1">
      <c r="A2274" s="682" t="s">
        <v>13476</v>
      </c>
      <c r="B2274" s="683" t="s">
        <v>14733</v>
      </c>
      <c r="C2274" s="682" t="s">
        <v>7</v>
      </c>
      <c r="D2274" s="682" t="s">
        <v>1999</v>
      </c>
      <c r="E2274" s="917" t="s">
        <v>13540</v>
      </c>
      <c r="F2274" s="917"/>
      <c r="G2274" s="681" t="s">
        <v>14</v>
      </c>
      <c r="H2274" s="680">
        <v>1</v>
      </c>
      <c r="I2274" s="679">
        <v>8.9700000000000006</v>
      </c>
      <c r="J2274" s="679">
        <v>8.9700000000000006</v>
      </c>
    </row>
    <row r="2275" spans="1:10" ht="24" customHeight="1">
      <c r="A2275" s="677" t="s">
        <v>13472</v>
      </c>
      <c r="B2275" s="678" t="s">
        <v>13539</v>
      </c>
      <c r="C2275" s="677" t="s">
        <v>7</v>
      </c>
      <c r="D2275" s="677" t="s">
        <v>45</v>
      </c>
      <c r="E2275" s="918" t="s">
        <v>13470</v>
      </c>
      <c r="F2275" s="918"/>
      <c r="G2275" s="676" t="s">
        <v>19</v>
      </c>
      <c r="H2275" s="675">
        <v>5.1999999999999998E-2</v>
      </c>
      <c r="I2275" s="674">
        <v>18.3</v>
      </c>
      <c r="J2275" s="674">
        <v>0.95</v>
      </c>
    </row>
    <row r="2276" spans="1:10" ht="24" customHeight="1">
      <c r="A2276" s="677" t="s">
        <v>13472</v>
      </c>
      <c r="B2276" s="678" t="s">
        <v>13538</v>
      </c>
      <c r="C2276" s="677" t="s">
        <v>7</v>
      </c>
      <c r="D2276" s="677" t="s">
        <v>47</v>
      </c>
      <c r="E2276" s="918" t="s">
        <v>13470</v>
      </c>
      <c r="F2276" s="918"/>
      <c r="G2276" s="676" t="s">
        <v>19</v>
      </c>
      <c r="H2276" s="675">
        <v>5.1999999999999998E-2</v>
      </c>
      <c r="I2276" s="674">
        <v>14</v>
      </c>
      <c r="J2276" s="674">
        <v>0.72</v>
      </c>
    </row>
    <row r="2277" spans="1:10" ht="36" customHeight="1">
      <c r="A2277" s="672" t="s">
        <v>13467</v>
      </c>
      <c r="B2277" s="673" t="s">
        <v>14732</v>
      </c>
      <c r="C2277" s="672" t="s">
        <v>7</v>
      </c>
      <c r="D2277" s="672" t="s">
        <v>14731</v>
      </c>
      <c r="E2277" s="919" t="s">
        <v>13464</v>
      </c>
      <c r="F2277" s="919"/>
      <c r="G2277" s="671" t="s">
        <v>14</v>
      </c>
      <c r="H2277" s="670">
        <v>1.19</v>
      </c>
      <c r="I2277" s="669">
        <v>6.11</v>
      </c>
      <c r="J2277" s="669">
        <v>7.27</v>
      </c>
    </row>
    <row r="2278" spans="1:10" ht="24" customHeight="1">
      <c r="A2278" s="672" t="s">
        <v>13467</v>
      </c>
      <c r="B2278" s="673" t="s">
        <v>14270</v>
      </c>
      <c r="C2278" s="672" t="s">
        <v>7</v>
      </c>
      <c r="D2278" s="672" t="s">
        <v>14269</v>
      </c>
      <c r="E2278" s="919" t="s">
        <v>13464</v>
      </c>
      <c r="F2278" s="919"/>
      <c r="G2278" s="671" t="s">
        <v>34</v>
      </c>
      <c r="H2278" s="670">
        <v>8.9999999999999993E-3</v>
      </c>
      <c r="I2278" s="669">
        <v>3.78</v>
      </c>
      <c r="J2278" s="669">
        <v>0.03</v>
      </c>
    </row>
    <row r="2279" spans="1:10" ht="25.5">
      <c r="A2279" s="668"/>
      <c r="B2279" s="668"/>
      <c r="C2279" s="668"/>
      <c r="D2279" s="668"/>
      <c r="E2279" s="668" t="s">
        <v>13463</v>
      </c>
      <c r="F2279" s="667">
        <v>0.68999239378463539</v>
      </c>
      <c r="G2279" s="668" t="s">
        <v>13462</v>
      </c>
      <c r="H2279" s="667">
        <v>0.57999999999999996</v>
      </c>
      <c r="I2279" s="668" t="s">
        <v>13461</v>
      </c>
      <c r="J2279" s="667">
        <v>1.27</v>
      </c>
    </row>
    <row r="2280" spans="1:10" ht="15" thickBot="1">
      <c r="A2280" s="668"/>
      <c r="B2280" s="668"/>
      <c r="C2280" s="668"/>
      <c r="D2280" s="668"/>
      <c r="E2280" s="668" t="s">
        <v>13460</v>
      </c>
      <c r="F2280" s="667">
        <v>2.5299999999999998</v>
      </c>
      <c r="G2280" s="668"/>
      <c r="H2280" s="925" t="s">
        <v>13459</v>
      </c>
      <c r="I2280" s="925"/>
      <c r="J2280" s="667">
        <v>11.5</v>
      </c>
    </row>
    <row r="2281" spans="1:10" ht="0.95" customHeight="1" thickTop="1">
      <c r="A2281" s="666"/>
      <c r="B2281" s="666"/>
      <c r="C2281" s="666"/>
      <c r="D2281" s="666"/>
      <c r="E2281" s="666"/>
      <c r="F2281" s="666"/>
      <c r="G2281" s="666"/>
      <c r="H2281" s="666"/>
      <c r="I2281" s="666"/>
      <c r="J2281" s="666"/>
    </row>
    <row r="2282" spans="1:10" ht="18" customHeight="1">
      <c r="A2282" s="686" t="s">
        <v>14730</v>
      </c>
      <c r="B2282" s="684" t="s">
        <v>13484</v>
      </c>
      <c r="C2282" s="686" t="s">
        <v>13483</v>
      </c>
      <c r="D2282" s="686" t="s">
        <v>13482</v>
      </c>
      <c r="E2282" s="924" t="s">
        <v>13481</v>
      </c>
      <c r="F2282" s="924"/>
      <c r="G2282" s="685" t="s">
        <v>13480</v>
      </c>
      <c r="H2282" s="684" t="s">
        <v>13479</v>
      </c>
      <c r="I2282" s="684" t="s">
        <v>13478</v>
      </c>
      <c r="J2282" s="684" t="s">
        <v>13477</v>
      </c>
    </row>
    <row r="2283" spans="1:10" ht="36" customHeight="1">
      <c r="A2283" s="682" t="s">
        <v>13476</v>
      </c>
      <c r="B2283" s="683" t="s">
        <v>14729</v>
      </c>
      <c r="C2283" s="682" t="s">
        <v>7</v>
      </c>
      <c r="D2283" s="682" t="s">
        <v>2001</v>
      </c>
      <c r="E2283" s="917" t="s">
        <v>13540</v>
      </c>
      <c r="F2283" s="917"/>
      <c r="G2283" s="681" t="s">
        <v>14</v>
      </c>
      <c r="H2283" s="680">
        <v>1</v>
      </c>
      <c r="I2283" s="679">
        <v>14.93</v>
      </c>
      <c r="J2283" s="679">
        <v>14.93</v>
      </c>
    </row>
    <row r="2284" spans="1:10" ht="24" customHeight="1">
      <c r="A2284" s="677" t="s">
        <v>13472</v>
      </c>
      <c r="B2284" s="678" t="s">
        <v>13539</v>
      </c>
      <c r="C2284" s="677" t="s">
        <v>7</v>
      </c>
      <c r="D2284" s="677" t="s">
        <v>45</v>
      </c>
      <c r="E2284" s="918" t="s">
        <v>13470</v>
      </c>
      <c r="F2284" s="918"/>
      <c r="G2284" s="676" t="s">
        <v>19</v>
      </c>
      <c r="H2284" s="675">
        <v>7.6999999999999999E-2</v>
      </c>
      <c r="I2284" s="674">
        <v>18.3</v>
      </c>
      <c r="J2284" s="674">
        <v>1.4</v>
      </c>
    </row>
    <row r="2285" spans="1:10" ht="24" customHeight="1">
      <c r="A2285" s="677" t="s">
        <v>13472</v>
      </c>
      <c r="B2285" s="678" t="s">
        <v>13538</v>
      </c>
      <c r="C2285" s="677" t="s">
        <v>7</v>
      </c>
      <c r="D2285" s="677" t="s">
        <v>47</v>
      </c>
      <c r="E2285" s="918" t="s">
        <v>13470</v>
      </c>
      <c r="F2285" s="918"/>
      <c r="G2285" s="676" t="s">
        <v>19</v>
      </c>
      <c r="H2285" s="675">
        <v>7.6999999999999999E-2</v>
      </c>
      <c r="I2285" s="674">
        <v>14</v>
      </c>
      <c r="J2285" s="674">
        <v>1.07</v>
      </c>
    </row>
    <row r="2286" spans="1:10" ht="36" customHeight="1">
      <c r="A2286" s="672" t="s">
        <v>13467</v>
      </c>
      <c r="B2286" s="673" t="s">
        <v>14728</v>
      </c>
      <c r="C2286" s="672" t="s">
        <v>7</v>
      </c>
      <c r="D2286" s="672" t="s">
        <v>14727</v>
      </c>
      <c r="E2286" s="919" t="s">
        <v>13464</v>
      </c>
      <c r="F2286" s="919"/>
      <c r="G2286" s="671" t="s">
        <v>14</v>
      </c>
      <c r="H2286" s="670">
        <v>1.19</v>
      </c>
      <c r="I2286" s="669">
        <v>10.45</v>
      </c>
      <c r="J2286" s="669">
        <v>12.43</v>
      </c>
    </row>
    <row r="2287" spans="1:10" ht="24" customHeight="1">
      <c r="A2287" s="672" t="s">
        <v>13467</v>
      </c>
      <c r="B2287" s="673" t="s">
        <v>14270</v>
      </c>
      <c r="C2287" s="672" t="s">
        <v>7</v>
      </c>
      <c r="D2287" s="672" t="s">
        <v>14269</v>
      </c>
      <c r="E2287" s="919" t="s">
        <v>13464</v>
      </c>
      <c r="F2287" s="919"/>
      <c r="G2287" s="671" t="s">
        <v>34</v>
      </c>
      <c r="H2287" s="670">
        <v>8.9999999999999993E-3</v>
      </c>
      <c r="I2287" s="669">
        <v>3.78</v>
      </c>
      <c r="J2287" s="669">
        <v>0.03</v>
      </c>
    </row>
    <row r="2288" spans="1:10" ht="25.5">
      <c r="A2288" s="668"/>
      <c r="B2288" s="668"/>
      <c r="C2288" s="668"/>
      <c r="D2288" s="668"/>
      <c r="E2288" s="668" t="s">
        <v>13463</v>
      </c>
      <c r="F2288" s="667">
        <v>1.0268390742149298</v>
      </c>
      <c r="G2288" s="668" t="s">
        <v>13462</v>
      </c>
      <c r="H2288" s="667">
        <v>0.86</v>
      </c>
      <c r="I2288" s="668" t="s">
        <v>13461</v>
      </c>
      <c r="J2288" s="667">
        <v>1.89</v>
      </c>
    </row>
    <row r="2289" spans="1:10" ht="15" thickBot="1">
      <c r="A2289" s="668"/>
      <c r="B2289" s="668"/>
      <c r="C2289" s="668"/>
      <c r="D2289" s="668"/>
      <c r="E2289" s="668" t="s">
        <v>13460</v>
      </c>
      <c r="F2289" s="667">
        <v>4.21</v>
      </c>
      <c r="G2289" s="668"/>
      <c r="H2289" s="925" t="s">
        <v>13459</v>
      </c>
      <c r="I2289" s="925"/>
      <c r="J2289" s="667">
        <v>19.14</v>
      </c>
    </row>
    <row r="2290" spans="1:10" ht="0.95" customHeight="1" thickTop="1">
      <c r="A2290" s="666"/>
      <c r="B2290" s="666"/>
      <c r="C2290" s="666"/>
      <c r="D2290" s="666"/>
      <c r="E2290" s="666"/>
      <c r="F2290" s="666"/>
      <c r="G2290" s="666"/>
      <c r="H2290" s="666"/>
      <c r="I2290" s="666"/>
      <c r="J2290" s="666"/>
    </row>
    <row r="2291" spans="1:10" ht="18" customHeight="1">
      <c r="A2291" s="686" t="s">
        <v>14726</v>
      </c>
      <c r="B2291" s="684" t="s">
        <v>13484</v>
      </c>
      <c r="C2291" s="686" t="s">
        <v>13483</v>
      </c>
      <c r="D2291" s="686" t="s">
        <v>13482</v>
      </c>
      <c r="E2291" s="924" t="s">
        <v>13481</v>
      </c>
      <c r="F2291" s="924"/>
      <c r="G2291" s="685" t="s">
        <v>13480</v>
      </c>
      <c r="H2291" s="684" t="s">
        <v>13479</v>
      </c>
      <c r="I2291" s="684" t="s">
        <v>13478</v>
      </c>
      <c r="J2291" s="684" t="s">
        <v>13477</v>
      </c>
    </row>
    <row r="2292" spans="1:10" ht="36" customHeight="1">
      <c r="A2292" s="682" t="s">
        <v>13476</v>
      </c>
      <c r="B2292" s="683" t="s">
        <v>14725</v>
      </c>
      <c r="C2292" s="682" t="s">
        <v>7</v>
      </c>
      <c r="D2292" s="682" t="s">
        <v>2303</v>
      </c>
      <c r="E2292" s="917" t="s">
        <v>13540</v>
      </c>
      <c r="F2292" s="917"/>
      <c r="G2292" s="681" t="s">
        <v>14</v>
      </c>
      <c r="H2292" s="680">
        <v>1</v>
      </c>
      <c r="I2292" s="679">
        <v>12</v>
      </c>
      <c r="J2292" s="679">
        <v>12</v>
      </c>
    </row>
    <row r="2293" spans="1:10" ht="24" customHeight="1">
      <c r="A2293" s="677" t="s">
        <v>13472</v>
      </c>
      <c r="B2293" s="678" t="s">
        <v>13539</v>
      </c>
      <c r="C2293" s="677" t="s">
        <v>7</v>
      </c>
      <c r="D2293" s="677" t="s">
        <v>45</v>
      </c>
      <c r="E2293" s="918" t="s">
        <v>13470</v>
      </c>
      <c r="F2293" s="918"/>
      <c r="G2293" s="676" t="s">
        <v>19</v>
      </c>
      <c r="H2293" s="675">
        <v>8.9999999999999993E-3</v>
      </c>
      <c r="I2293" s="674">
        <v>18.3</v>
      </c>
      <c r="J2293" s="674">
        <v>0.16</v>
      </c>
    </row>
    <row r="2294" spans="1:10" ht="24" customHeight="1">
      <c r="A2294" s="677" t="s">
        <v>13472</v>
      </c>
      <c r="B2294" s="678" t="s">
        <v>13538</v>
      </c>
      <c r="C2294" s="677" t="s">
        <v>7</v>
      </c>
      <c r="D2294" s="677" t="s">
        <v>47</v>
      </c>
      <c r="E2294" s="918" t="s">
        <v>13470</v>
      </c>
      <c r="F2294" s="918"/>
      <c r="G2294" s="676" t="s">
        <v>19</v>
      </c>
      <c r="H2294" s="675">
        <v>8.9999999999999993E-3</v>
      </c>
      <c r="I2294" s="674">
        <v>14</v>
      </c>
      <c r="J2294" s="674">
        <v>0.12</v>
      </c>
    </row>
    <row r="2295" spans="1:10" ht="48" customHeight="1">
      <c r="A2295" s="672" t="s">
        <v>13467</v>
      </c>
      <c r="B2295" s="673" t="s">
        <v>14559</v>
      </c>
      <c r="C2295" s="672" t="s">
        <v>7</v>
      </c>
      <c r="D2295" s="672" t="s">
        <v>14558</v>
      </c>
      <c r="E2295" s="919" t="s">
        <v>13464</v>
      </c>
      <c r="F2295" s="919"/>
      <c r="G2295" s="671" t="s">
        <v>14</v>
      </c>
      <c r="H2295" s="670">
        <v>1.0269999999999999</v>
      </c>
      <c r="I2295" s="669">
        <v>11.39</v>
      </c>
      <c r="J2295" s="669">
        <v>11.69</v>
      </c>
    </row>
    <row r="2296" spans="1:10" ht="24" customHeight="1">
      <c r="A2296" s="672" t="s">
        <v>13467</v>
      </c>
      <c r="B2296" s="673" t="s">
        <v>14270</v>
      </c>
      <c r="C2296" s="672" t="s">
        <v>7</v>
      </c>
      <c r="D2296" s="672" t="s">
        <v>14269</v>
      </c>
      <c r="E2296" s="919" t="s">
        <v>13464</v>
      </c>
      <c r="F2296" s="919"/>
      <c r="G2296" s="671" t="s">
        <v>34</v>
      </c>
      <c r="H2296" s="670">
        <v>0.01</v>
      </c>
      <c r="I2296" s="669">
        <v>3.78</v>
      </c>
      <c r="J2296" s="669">
        <v>0.03</v>
      </c>
    </row>
    <row r="2297" spans="1:10" ht="25.5">
      <c r="A2297" s="668"/>
      <c r="B2297" s="668"/>
      <c r="C2297" s="668"/>
      <c r="D2297" s="668"/>
      <c r="E2297" s="668" t="s">
        <v>13463</v>
      </c>
      <c r="F2297" s="667">
        <v>0.11952624144300772</v>
      </c>
      <c r="G2297" s="668" t="s">
        <v>13462</v>
      </c>
      <c r="H2297" s="667">
        <v>0.1</v>
      </c>
      <c r="I2297" s="668" t="s">
        <v>13461</v>
      </c>
      <c r="J2297" s="667">
        <v>0.22</v>
      </c>
    </row>
    <row r="2298" spans="1:10" ht="15" thickBot="1">
      <c r="A2298" s="668"/>
      <c r="B2298" s="668"/>
      <c r="C2298" s="668"/>
      <c r="D2298" s="668"/>
      <c r="E2298" s="668" t="s">
        <v>13460</v>
      </c>
      <c r="F2298" s="667">
        <v>3.38</v>
      </c>
      <c r="G2298" s="668"/>
      <c r="H2298" s="925" t="s">
        <v>13459</v>
      </c>
      <c r="I2298" s="925"/>
      <c r="J2298" s="667">
        <v>15.38</v>
      </c>
    </row>
    <row r="2299" spans="1:10" ht="0.95" customHeight="1" thickTop="1">
      <c r="A2299" s="666"/>
      <c r="B2299" s="666"/>
      <c r="C2299" s="666"/>
      <c r="D2299" s="666"/>
      <c r="E2299" s="666"/>
      <c r="F2299" s="666"/>
      <c r="G2299" s="666"/>
      <c r="H2299" s="666"/>
      <c r="I2299" s="666"/>
      <c r="J2299" s="666"/>
    </row>
    <row r="2300" spans="1:10" ht="18" customHeight="1">
      <c r="A2300" s="686" t="s">
        <v>14724</v>
      </c>
      <c r="B2300" s="684" t="s">
        <v>13484</v>
      </c>
      <c r="C2300" s="686" t="s">
        <v>13483</v>
      </c>
      <c r="D2300" s="686" t="s">
        <v>13482</v>
      </c>
      <c r="E2300" s="924" t="s">
        <v>13481</v>
      </c>
      <c r="F2300" s="924"/>
      <c r="G2300" s="685" t="s">
        <v>13480</v>
      </c>
      <c r="H2300" s="684" t="s">
        <v>13479</v>
      </c>
      <c r="I2300" s="684" t="s">
        <v>13478</v>
      </c>
      <c r="J2300" s="684" t="s">
        <v>13477</v>
      </c>
    </row>
    <row r="2301" spans="1:10" ht="36" customHeight="1">
      <c r="A2301" s="682" t="s">
        <v>13476</v>
      </c>
      <c r="B2301" s="683" t="s">
        <v>14723</v>
      </c>
      <c r="C2301" s="682" t="s">
        <v>7</v>
      </c>
      <c r="D2301" s="682" t="s">
        <v>2305</v>
      </c>
      <c r="E2301" s="917" t="s">
        <v>13540</v>
      </c>
      <c r="F2301" s="917"/>
      <c r="G2301" s="681" t="s">
        <v>14</v>
      </c>
      <c r="H2301" s="680">
        <v>1</v>
      </c>
      <c r="I2301" s="679">
        <v>18.38</v>
      </c>
      <c r="J2301" s="679">
        <v>18.38</v>
      </c>
    </row>
    <row r="2302" spans="1:10" ht="24" customHeight="1">
      <c r="A2302" s="677" t="s">
        <v>13472</v>
      </c>
      <c r="B2302" s="678" t="s">
        <v>13539</v>
      </c>
      <c r="C2302" s="677" t="s">
        <v>7</v>
      </c>
      <c r="D2302" s="677" t="s">
        <v>45</v>
      </c>
      <c r="E2302" s="918" t="s">
        <v>13470</v>
      </c>
      <c r="F2302" s="918"/>
      <c r="G2302" s="676" t="s">
        <v>19</v>
      </c>
      <c r="H2302" s="675">
        <v>1.2999999999999999E-2</v>
      </c>
      <c r="I2302" s="674">
        <v>18.3</v>
      </c>
      <c r="J2302" s="674">
        <v>0.23</v>
      </c>
    </row>
    <row r="2303" spans="1:10" ht="24" customHeight="1">
      <c r="A2303" s="677" t="s">
        <v>13472</v>
      </c>
      <c r="B2303" s="678" t="s">
        <v>13538</v>
      </c>
      <c r="C2303" s="677" t="s">
        <v>7</v>
      </c>
      <c r="D2303" s="677" t="s">
        <v>47</v>
      </c>
      <c r="E2303" s="918" t="s">
        <v>13470</v>
      </c>
      <c r="F2303" s="918"/>
      <c r="G2303" s="676" t="s">
        <v>19</v>
      </c>
      <c r="H2303" s="675">
        <v>1.2999999999999999E-2</v>
      </c>
      <c r="I2303" s="674">
        <v>14</v>
      </c>
      <c r="J2303" s="674">
        <v>0.18</v>
      </c>
    </row>
    <row r="2304" spans="1:10" ht="48" customHeight="1">
      <c r="A2304" s="672" t="s">
        <v>13467</v>
      </c>
      <c r="B2304" s="673" t="s">
        <v>14272</v>
      </c>
      <c r="C2304" s="672" t="s">
        <v>7</v>
      </c>
      <c r="D2304" s="672" t="s">
        <v>14271</v>
      </c>
      <c r="E2304" s="919" t="s">
        <v>13464</v>
      </c>
      <c r="F2304" s="919"/>
      <c r="G2304" s="671" t="s">
        <v>14</v>
      </c>
      <c r="H2304" s="670">
        <v>1.0269999999999999</v>
      </c>
      <c r="I2304" s="669">
        <v>17.47</v>
      </c>
      <c r="J2304" s="669">
        <v>17.940000000000001</v>
      </c>
    </row>
    <row r="2305" spans="1:10" ht="24" customHeight="1">
      <c r="A2305" s="672" t="s">
        <v>13467</v>
      </c>
      <c r="B2305" s="673" t="s">
        <v>14270</v>
      </c>
      <c r="C2305" s="672" t="s">
        <v>7</v>
      </c>
      <c r="D2305" s="672" t="s">
        <v>14269</v>
      </c>
      <c r="E2305" s="919" t="s">
        <v>13464</v>
      </c>
      <c r="F2305" s="919"/>
      <c r="G2305" s="671" t="s">
        <v>34</v>
      </c>
      <c r="H2305" s="670">
        <v>0.01</v>
      </c>
      <c r="I2305" s="669">
        <v>3.78</v>
      </c>
      <c r="J2305" s="669">
        <v>0.03</v>
      </c>
    </row>
    <row r="2306" spans="1:10" ht="25.5">
      <c r="A2306" s="668"/>
      <c r="B2306" s="668"/>
      <c r="C2306" s="668"/>
      <c r="D2306" s="668"/>
      <c r="E2306" s="668" t="s">
        <v>13463</v>
      </c>
      <c r="F2306" s="667">
        <v>0.16842334021514724</v>
      </c>
      <c r="G2306" s="668" t="s">
        <v>13462</v>
      </c>
      <c r="H2306" s="667">
        <v>0.14000000000000001</v>
      </c>
      <c r="I2306" s="668" t="s">
        <v>13461</v>
      </c>
      <c r="J2306" s="667">
        <v>0.31</v>
      </c>
    </row>
    <row r="2307" spans="1:10" ht="15" thickBot="1">
      <c r="A2307" s="668"/>
      <c r="B2307" s="668"/>
      <c r="C2307" s="668"/>
      <c r="D2307" s="668"/>
      <c r="E2307" s="668" t="s">
        <v>13460</v>
      </c>
      <c r="F2307" s="667">
        <v>5.19</v>
      </c>
      <c r="G2307" s="668"/>
      <c r="H2307" s="925" t="s">
        <v>13459</v>
      </c>
      <c r="I2307" s="925"/>
      <c r="J2307" s="667">
        <v>23.57</v>
      </c>
    </row>
    <row r="2308" spans="1:10" ht="0.95" customHeight="1" thickTop="1">
      <c r="A2308" s="666"/>
      <c r="B2308" s="666"/>
      <c r="C2308" s="666"/>
      <c r="D2308" s="666"/>
      <c r="E2308" s="666"/>
      <c r="F2308" s="666"/>
      <c r="G2308" s="666"/>
      <c r="H2308" s="666"/>
      <c r="I2308" s="666"/>
      <c r="J2308" s="666"/>
    </row>
    <row r="2309" spans="1:10" ht="18" customHeight="1">
      <c r="A2309" s="686" t="s">
        <v>14722</v>
      </c>
      <c r="B2309" s="684" t="s">
        <v>13484</v>
      </c>
      <c r="C2309" s="686" t="s">
        <v>13483</v>
      </c>
      <c r="D2309" s="686" t="s">
        <v>13482</v>
      </c>
      <c r="E2309" s="924" t="s">
        <v>13481</v>
      </c>
      <c r="F2309" s="924"/>
      <c r="G2309" s="685" t="s">
        <v>13480</v>
      </c>
      <c r="H2309" s="684" t="s">
        <v>13479</v>
      </c>
      <c r="I2309" s="684" t="s">
        <v>13478</v>
      </c>
      <c r="J2309" s="684" t="s">
        <v>13477</v>
      </c>
    </row>
    <row r="2310" spans="1:10" ht="36" customHeight="1">
      <c r="A2310" s="682" t="s">
        <v>13476</v>
      </c>
      <c r="B2310" s="683" t="s">
        <v>14721</v>
      </c>
      <c r="C2310" s="682" t="s">
        <v>7</v>
      </c>
      <c r="D2310" s="682" t="s">
        <v>2307</v>
      </c>
      <c r="E2310" s="917" t="s">
        <v>13540</v>
      </c>
      <c r="F2310" s="917"/>
      <c r="G2310" s="681" t="s">
        <v>14</v>
      </c>
      <c r="H2310" s="680">
        <v>1</v>
      </c>
      <c r="I2310" s="679">
        <v>29.08</v>
      </c>
      <c r="J2310" s="679">
        <v>29.08</v>
      </c>
    </row>
    <row r="2311" spans="1:10" ht="24" customHeight="1">
      <c r="A2311" s="677" t="s">
        <v>13472</v>
      </c>
      <c r="B2311" s="678" t="s">
        <v>13539</v>
      </c>
      <c r="C2311" s="677" t="s">
        <v>7</v>
      </c>
      <c r="D2311" s="677" t="s">
        <v>45</v>
      </c>
      <c r="E2311" s="918" t="s">
        <v>13470</v>
      </c>
      <c r="F2311" s="918"/>
      <c r="G2311" s="676" t="s">
        <v>19</v>
      </c>
      <c r="H2311" s="675">
        <v>6.4000000000000001E-2</v>
      </c>
      <c r="I2311" s="674">
        <v>18.3</v>
      </c>
      <c r="J2311" s="674">
        <v>1.17</v>
      </c>
    </row>
    <row r="2312" spans="1:10" ht="24" customHeight="1">
      <c r="A2312" s="677" t="s">
        <v>13472</v>
      </c>
      <c r="B2312" s="678" t="s">
        <v>13538</v>
      </c>
      <c r="C2312" s="677" t="s">
        <v>7</v>
      </c>
      <c r="D2312" s="677" t="s">
        <v>47</v>
      </c>
      <c r="E2312" s="918" t="s">
        <v>13470</v>
      </c>
      <c r="F2312" s="918"/>
      <c r="G2312" s="676" t="s">
        <v>19</v>
      </c>
      <c r="H2312" s="675">
        <v>6.4000000000000001E-2</v>
      </c>
      <c r="I2312" s="674">
        <v>14</v>
      </c>
      <c r="J2312" s="674">
        <v>0.89</v>
      </c>
    </row>
    <row r="2313" spans="1:10" ht="48" customHeight="1">
      <c r="A2313" s="672" t="s">
        <v>13467</v>
      </c>
      <c r="B2313" s="673" t="s">
        <v>14720</v>
      </c>
      <c r="C2313" s="672" t="s">
        <v>7</v>
      </c>
      <c r="D2313" s="672" t="s">
        <v>14719</v>
      </c>
      <c r="E2313" s="919" t="s">
        <v>13464</v>
      </c>
      <c r="F2313" s="919"/>
      <c r="G2313" s="671" t="s">
        <v>14</v>
      </c>
      <c r="H2313" s="670">
        <v>1.0149999999999999</v>
      </c>
      <c r="I2313" s="669">
        <v>26.6</v>
      </c>
      <c r="J2313" s="669">
        <v>26.99</v>
      </c>
    </row>
    <row r="2314" spans="1:10" ht="24" customHeight="1">
      <c r="A2314" s="672" t="s">
        <v>13467</v>
      </c>
      <c r="B2314" s="673" t="s">
        <v>14270</v>
      </c>
      <c r="C2314" s="672" t="s">
        <v>7</v>
      </c>
      <c r="D2314" s="672" t="s">
        <v>14269</v>
      </c>
      <c r="E2314" s="919" t="s">
        <v>13464</v>
      </c>
      <c r="F2314" s="919"/>
      <c r="G2314" s="671" t="s">
        <v>34</v>
      </c>
      <c r="H2314" s="670">
        <v>8.9999999999999993E-3</v>
      </c>
      <c r="I2314" s="669">
        <v>3.78</v>
      </c>
      <c r="J2314" s="669">
        <v>0.03</v>
      </c>
    </row>
    <row r="2315" spans="1:10" ht="25.5">
      <c r="A2315" s="668"/>
      <c r="B2315" s="668"/>
      <c r="C2315" s="668"/>
      <c r="D2315" s="668"/>
      <c r="E2315" s="668" t="s">
        <v>13463</v>
      </c>
      <c r="F2315" s="667">
        <v>0.85298272302510048</v>
      </c>
      <c r="G2315" s="668" t="s">
        <v>13462</v>
      </c>
      <c r="H2315" s="667">
        <v>0.72</v>
      </c>
      <c r="I2315" s="668" t="s">
        <v>13461</v>
      </c>
      <c r="J2315" s="667">
        <v>1.57</v>
      </c>
    </row>
    <row r="2316" spans="1:10" ht="15" thickBot="1">
      <c r="A2316" s="668"/>
      <c r="B2316" s="668"/>
      <c r="C2316" s="668"/>
      <c r="D2316" s="668"/>
      <c r="E2316" s="668" t="s">
        <v>13460</v>
      </c>
      <c r="F2316" s="667">
        <v>8.2100000000000009</v>
      </c>
      <c r="G2316" s="668"/>
      <c r="H2316" s="925" t="s">
        <v>13459</v>
      </c>
      <c r="I2316" s="925"/>
      <c r="J2316" s="667">
        <v>37.29</v>
      </c>
    </row>
    <row r="2317" spans="1:10" ht="0.95" customHeight="1" thickTop="1">
      <c r="A2317" s="666"/>
      <c r="B2317" s="666"/>
      <c r="C2317" s="666"/>
      <c r="D2317" s="666"/>
      <c r="E2317" s="666"/>
      <c r="F2317" s="666"/>
      <c r="G2317" s="666"/>
      <c r="H2317" s="666"/>
      <c r="I2317" s="666"/>
      <c r="J2317" s="666"/>
    </row>
    <row r="2318" spans="1:10" ht="18" customHeight="1">
      <c r="A2318" s="686" t="s">
        <v>14718</v>
      </c>
      <c r="B2318" s="684" t="s">
        <v>13484</v>
      </c>
      <c r="C2318" s="686" t="s">
        <v>13483</v>
      </c>
      <c r="D2318" s="686" t="s">
        <v>13482</v>
      </c>
      <c r="E2318" s="924" t="s">
        <v>13481</v>
      </c>
      <c r="F2318" s="924"/>
      <c r="G2318" s="685" t="s">
        <v>13480</v>
      </c>
      <c r="H2318" s="684" t="s">
        <v>13479</v>
      </c>
      <c r="I2318" s="684" t="s">
        <v>13478</v>
      </c>
      <c r="J2318" s="684" t="s">
        <v>13477</v>
      </c>
    </row>
    <row r="2319" spans="1:10" ht="36" customHeight="1">
      <c r="A2319" s="682" t="s">
        <v>13476</v>
      </c>
      <c r="B2319" s="683" t="s">
        <v>14267</v>
      </c>
      <c r="C2319" s="682" t="s">
        <v>7</v>
      </c>
      <c r="D2319" s="682" t="s">
        <v>2309</v>
      </c>
      <c r="E2319" s="917" t="s">
        <v>13540</v>
      </c>
      <c r="F2319" s="917"/>
      <c r="G2319" s="681" t="s">
        <v>14</v>
      </c>
      <c r="H2319" s="680">
        <v>1</v>
      </c>
      <c r="I2319" s="679">
        <v>39.6</v>
      </c>
      <c r="J2319" s="679">
        <v>39.6</v>
      </c>
    </row>
    <row r="2320" spans="1:10" ht="24" customHeight="1">
      <c r="A2320" s="677" t="s">
        <v>13472</v>
      </c>
      <c r="B2320" s="678" t="s">
        <v>13539</v>
      </c>
      <c r="C2320" s="677" t="s">
        <v>7</v>
      </c>
      <c r="D2320" s="677" t="s">
        <v>45</v>
      </c>
      <c r="E2320" s="918" t="s">
        <v>13470</v>
      </c>
      <c r="F2320" s="918"/>
      <c r="G2320" s="676" t="s">
        <v>19</v>
      </c>
      <c r="H2320" s="675">
        <v>7.2999999999999995E-2</v>
      </c>
      <c r="I2320" s="674">
        <v>18.3</v>
      </c>
      <c r="J2320" s="674">
        <v>1.33</v>
      </c>
    </row>
    <row r="2321" spans="1:10" ht="24" customHeight="1">
      <c r="A2321" s="677" t="s">
        <v>13472</v>
      </c>
      <c r="B2321" s="678" t="s">
        <v>13538</v>
      </c>
      <c r="C2321" s="677" t="s">
        <v>7</v>
      </c>
      <c r="D2321" s="677" t="s">
        <v>47</v>
      </c>
      <c r="E2321" s="918" t="s">
        <v>13470</v>
      </c>
      <c r="F2321" s="918"/>
      <c r="G2321" s="676" t="s">
        <v>19</v>
      </c>
      <c r="H2321" s="675">
        <v>7.2999999999999995E-2</v>
      </c>
      <c r="I2321" s="674">
        <v>14</v>
      </c>
      <c r="J2321" s="674">
        <v>1.02</v>
      </c>
    </row>
    <row r="2322" spans="1:10" ht="48" customHeight="1">
      <c r="A2322" s="672" t="s">
        <v>13467</v>
      </c>
      <c r="B2322" s="673" t="s">
        <v>14717</v>
      </c>
      <c r="C2322" s="672" t="s">
        <v>7</v>
      </c>
      <c r="D2322" s="672" t="s">
        <v>14716</v>
      </c>
      <c r="E2322" s="919" t="s">
        <v>13464</v>
      </c>
      <c r="F2322" s="919"/>
      <c r="G2322" s="671" t="s">
        <v>14</v>
      </c>
      <c r="H2322" s="670">
        <v>1.0149999999999999</v>
      </c>
      <c r="I2322" s="669">
        <v>36.67</v>
      </c>
      <c r="J2322" s="669">
        <v>37.22</v>
      </c>
    </row>
    <row r="2323" spans="1:10" ht="24" customHeight="1">
      <c r="A2323" s="672" t="s">
        <v>13467</v>
      </c>
      <c r="B2323" s="673" t="s">
        <v>14270</v>
      </c>
      <c r="C2323" s="672" t="s">
        <v>7</v>
      </c>
      <c r="D2323" s="672" t="s">
        <v>14269</v>
      </c>
      <c r="E2323" s="919" t="s">
        <v>13464</v>
      </c>
      <c r="F2323" s="919"/>
      <c r="G2323" s="671" t="s">
        <v>34</v>
      </c>
      <c r="H2323" s="670">
        <v>8.9999999999999993E-3</v>
      </c>
      <c r="I2323" s="669">
        <v>3.78</v>
      </c>
      <c r="J2323" s="669">
        <v>0.03</v>
      </c>
    </row>
    <row r="2324" spans="1:10" ht="25.5">
      <c r="A2324" s="668"/>
      <c r="B2324" s="668"/>
      <c r="C2324" s="668"/>
      <c r="D2324" s="668"/>
      <c r="E2324" s="668" t="s">
        <v>13463</v>
      </c>
      <c r="F2324" s="667">
        <v>0.97250896446810819</v>
      </c>
      <c r="G2324" s="668" t="s">
        <v>13462</v>
      </c>
      <c r="H2324" s="667">
        <v>0.82</v>
      </c>
      <c r="I2324" s="668" t="s">
        <v>13461</v>
      </c>
      <c r="J2324" s="667">
        <v>1.79</v>
      </c>
    </row>
    <row r="2325" spans="1:10" ht="15" thickBot="1">
      <c r="A2325" s="668"/>
      <c r="B2325" s="668"/>
      <c r="C2325" s="668"/>
      <c r="D2325" s="668"/>
      <c r="E2325" s="668" t="s">
        <v>13460</v>
      </c>
      <c r="F2325" s="667">
        <v>11.18</v>
      </c>
      <c r="G2325" s="668"/>
      <c r="H2325" s="925" t="s">
        <v>13459</v>
      </c>
      <c r="I2325" s="925"/>
      <c r="J2325" s="667">
        <v>50.78</v>
      </c>
    </row>
    <row r="2326" spans="1:10" ht="0.95" customHeight="1" thickTop="1">
      <c r="A2326" s="666"/>
      <c r="B2326" s="666"/>
      <c r="C2326" s="666"/>
      <c r="D2326" s="666"/>
      <c r="E2326" s="666"/>
      <c r="F2326" s="666"/>
      <c r="G2326" s="666"/>
      <c r="H2326" s="666"/>
      <c r="I2326" s="666"/>
      <c r="J2326" s="666"/>
    </row>
    <row r="2327" spans="1:10" ht="18" customHeight="1">
      <c r="A2327" s="686" t="s">
        <v>14715</v>
      </c>
      <c r="B2327" s="684" t="s">
        <v>13484</v>
      </c>
      <c r="C2327" s="686" t="s">
        <v>13483</v>
      </c>
      <c r="D2327" s="686" t="s">
        <v>13482</v>
      </c>
      <c r="E2327" s="924" t="s">
        <v>13481</v>
      </c>
      <c r="F2327" s="924"/>
      <c r="G2327" s="685" t="s">
        <v>13480</v>
      </c>
      <c r="H2327" s="684" t="s">
        <v>13479</v>
      </c>
      <c r="I2327" s="684" t="s">
        <v>13478</v>
      </c>
      <c r="J2327" s="684" t="s">
        <v>13477</v>
      </c>
    </row>
    <row r="2328" spans="1:10" ht="36" customHeight="1">
      <c r="A2328" s="682" t="s">
        <v>13476</v>
      </c>
      <c r="B2328" s="683" t="s">
        <v>14714</v>
      </c>
      <c r="C2328" s="682" t="s">
        <v>7</v>
      </c>
      <c r="D2328" s="682" t="s">
        <v>2311</v>
      </c>
      <c r="E2328" s="917" t="s">
        <v>13540</v>
      </c>
      <c r="F2328" s="917"/>
      <c r="G2328" s="681" t="s">
        <v>14</v>
      </c>
      <c r="H2328" s="680">
        <v>1</v>
      </c>
      <c r="I2328" s="679">
        <v>55.87</v>
      </c>
      <c r="J2328" s="679">
        <v>55.87</v>
      </c>
    </row>
    <row r="2329" spans="1:10" ht="24" customHeight="1">
      <c r="A2329" s="677" t="s">
        <v>13472</v>
      </c>
      <c r="B2329" s="678" t="s">
        <v>13539</v>
      </c>
      <c r="C2329" s="677" t="s">
        <v>7</v>
      </c>
      <c r="D2329" s="677" t="s">
        <v>45</v>
      </c>
      <c r="E2329" s="918" t="s">
        <v>13470</v>
      </c>
      <c r="F2329" s="918"/>
      <c r="G2329" s="676" t="s">
        <v>19</v>
      </c>
      <c r="H2329" s="675">
        <v>8.6999999999999994E-2</v>
      </c>
      <c r="I2329" s="674">
        <v>18.3</v>
      </c>
      <c r="J2329" s="674">
        <v>1.59</v>
      </c>
    </row>
    <row r="2330" spans="1:10" ht="24" customHeight="1">
      <c r="A2330" s="677" t="s">
        <v>13472</v>
      </c>
      <c r="B2330" s="678" t="s">
        <v>13538</v>
      </c>
      <c r="C2330" s="677" t="s">
        <v>7</v>
      </c>
      <c r="D2330" s="677" t="s">
        <v>47</v>
      </c>
      <c r="E2330" s="918" t="s">
        <v>13470</v>
      </c>
      <c r="F2330" s="918"/>
      <c r="G2330" s="676" t="s">
        <v>19</v>
      </c>
      <c r="H2330" s="675">
        <v>8.6999999999999994E-2</v>
      </c>
      <c r="I2330" s="674">
        <v>14</v>
      </c>
      <c r="J2330" s="674">
        <v>1.21</v>
      </c>
    </row>
    <row r="2331" spans="1:10" ht="48" customHeight="1">
      <c r="A2331" s="672" t="s">
        <v>13467</v>
      </c>
      <c r="B2331" s="673" t="s">
        <v>14713</v>
      </c>
      <c r="C2331" s="672" t="s">
        <v>7</v>
      </c>
      <c r="D2331" s="672" t="s">
        <v>14712</v>
      </c>
      <c r="E2331" s="919" t="s">
        <v>13464</v>
      </c>
      <c r="F2331" s="919"/>
      <c r="G2331" s="671" t="s">
        <v>14</v>
      </c>
      <c r="H2331" s="670">
        <v>1.0149999999999999</v>
      </c>
      <c r="I2331" s="669">
        <v>52.26</v>
      </c>
      <c r="J2331" s="669">
        <v>53.04</v>
      </c>
    </row>
    <row r="2332" spans="1:10" ht="24" customHeight="1">
      <c r="A2332" s="672" t="s">
        <v>13467</v>
      </c>
      <c r="B2332" s="673" t="s">
        <v>14270</v>
      </c>
      <c r="C2332" s="672" t="s">
        <v>7</v>
      </c>
      <c r="D2332" s="672" t="s">
        <v>14269</v>
      </c>
      <c r="E2332" s="919" t="s">
        <v>13464</v>
      </c>
      <c r="F2332" s="919"/>
      <c r="G2332" s="671" t="s">
        <v>34</v>
      </c>
      <c r="H2332" s="670">
        <v>8.9999999999999993E-3</v>
      </c>
      <c r="I2332" s="669">
        <v>3.78</v>
      </c>
      <c r="J2332" s="669">
        <v>0.03</v>
      </c>
    </row>
    <row r="2333" spans="1:10" ht="25.5">
      <c r="A2333" s="668"/>
      <c r="B2333" s="668"/>
      <c r="C2333" s="668"/>
      <c r="D2333" s="668"/>
      <c r="E2333" s="668" t="s">
        <v>13463</v>
      </c>
      <c r="F2333" s="667">
        <v>1.1626643485819841</v>
      </c>
      <c r="G2333" s="668" t="s">
        <v>13462</v>
      </c>
      <c r="H2333" s="667">
        <v>0.98</v>
      </c>
      <c r="I2333" s="668" t="s">
        <v>13461</v>
      </c>
      <c r="J2333" s="667">
        <v>2.14</v>
      </c>
    </row>
    <row r="2334" spans="1:10" ht="15" thickBot="1">
      <c r="A2334" s="668"/>
      <c r="B2334" s="668"/>
      <c r="C2334" s="668"/>
      <c r="D2334" s="668"/>
      <c r="E2334" s="668" t="s">
        <v>13460</v>
      </c>
      <c r="F2334" s="667">
        <v>15.77</v>
      </c>
      <c r="G2334" s="668"/>
      <c r="H2334" s="925" t="s">
        <v>13459</v>
      </c>
      <c r="I2334" s="925"/>
      <c r="J2334" s="667">
        <v>71.64</v>
      </c>
    </row>
    <row r="2335" spans="1:10" ht="0.95" customHeight="1" thickTop="1">
      <c r="A2335" s="666"/>
      <c r="B2335" s="666"/>
      <c r="C2335" s="666"/>
      <c r="D2335" s="666"/>
      <c r="E2335" s="666"/>
      <c r="F2335" s="666"/>
      <c r="G2335" s="666"/>
      <c r="H2335" s="666"/>
      <c r="I2335" s="666"/>
      <c r="J2335" s="666"/>
    </row>
    <row r="2336" spans="1:10" ht="18" customHeight="1">
      <c r="A2336" s="686" t="s">
        <v>14711</v>
      </c>
      <c r="B2336" s="684" t="s">
        <v>13484</v>
      </c>
      <c r="C2336" s="686" t="s">
        <v>13483</v>
      </c>
      <c r="D2336" s="686" t="s">
        <v>13482</v>
      </c>
      <c r="E2336" s="924" t="s">
        <v>13481</v>
      </c>
      <c r="F2336" s="924"/>
      <c r="G2336" s="685" t="s">
        <v>13480</v>
      </c>
      <c r="H2336" s="684" t="s">
        <v>13479</v>
      </c>
      <c r="I2336" s="684" t="s">
        <v>13478</v>
      </c>
      <c r="J2336" s="684" t="s">
        <v>13477</v>
      </c>
    </row>
    <row r="2337" spans="1:10" ht="36" customHeight="1">
      <c r="A2337" s="682" t="s">
        <v>13476</v>
      </c>
      <c r="B2337" s="683" t="s">
        <v>14710</v>
      </c>
      <c r="C2337" s="682" t="s">
        <v>7</v>
      </c>
      <c r="D2337" s="682" t="s">
        <v>440</v>
      </c>
      <c r="E2337" s="917" t="s">
        <v>13540</v>
      </c>
      <c r="F2337" s="917"/>
      <c r="G2337" s="681" t="s">
        <v>34</v>
      </c>
      <c r="H2337" s="680">
        <v>1</v>
      </c>
      <c r="I2337" s="679">
        <v>23.04</v>
      </c>
      <c r="J2337" s="679">
        <v>23.04</v>
      </c>
    </row>
    <row r="2338" spans="1:10" ht="36" customHeight="1">
      <c r="A2338" s="677" t="s">
        <v>13472</v>
      </c>
      <c r="B2338" s="678" t="s">
        <v>14251</v>
      </c>
      <c r="C2338" s="677" t="s">
        <v>7</v>
      </c>
      <c r="D2338" s="677" t="s">
        <v>434</v>
      </c>
      <c r="E2338" s="918" t="s">
        <v>13540</v>
      </c>
      <c r="F2338" s="918"/>
      <c r="G2338" s="676" t="s">
        <v>34</v>
      </c>
      <c r="H2338" s="675">
        <v>1</v>
      </c>
      <c r="I2338" s="674">
        <v>5.84</v>
      </c>
      <c r="J2338" s="674">
        <v>5.84</v>
      </c>
    </row>
    <row r="2339" spans="1:10" ht="36" customHeight="1">
      <c r="A2339" s="677" t="s">
        <v>13472</v>
      </c>
      <c r="B2339" s="678" t="s">
        <v>13764</v>
      </c>
      <c r="C2339" s="677" t="s">
        <v>7</v>
      </c>
      <c r="D2339" s="677" t="s">
        <v>2014</v>
      </c>
      <c r="E2339" s="918" t="s">
        <v>13540</v>
      </c>
      <c r="F2339" s="918"/>
      <c r="G2339" s="676" t="s">
        <v>34</v>
      </c>
      <c r="H2339" s="675">
        <v>1</v>
      </c>
      <c r="I2339" s="674">
        <v>17.2</v>
      </c>
      <c r="J2339" s="674">
        <v>17.2</v>
      </c>
    </row>
    <row r="2340" spans="1:10" ht="25.5">
      <c r="A2340" s="668"/>
      <c r="B2340" s="668"/>
      <c r="C2340" s="668"/>
      <c r="D2340" s="668"/>
      <c r="E2340" s="668" t="s">
        <v>13463</v>
      </c>
      <c r="F2340" s="667">
        <v>5.0961642942518743</v>
      </c>
      <c r="G2340" s="668" t="s">
        <v>13462</v>
      </c>
      <c r="H2340" s="667">
        <v>4.28</v>
      </c>
      <c r="I2340" s="668" t="s">
        <v>13461</v>
      </c>
      <c r="J2340" s="667">
        <v>9.3800000000000008</v>
      </c>
    </row>
    <row r="2341" spans="1:10" ht="15" thickBot="1">
      <c r="A2341" s="668"/>
      <c r="B2341" s="668"/>
      <c r="C2341" s="668"/>
      <c r="D2341" s="668"/>
      <c r="E2341" s="668" t="s">
        <v>13460</v>
      </c>
      <c r="F2341" s="667">
        <v>6.5</v>
      </c>
      <c r="G2341" s="668"/>
      <c r="H2341" s="925" t="s">
        <v>13459</v>
      </c>
      <c r="I2341" s="925"/>
      <c r="J2341" s="667">
        <v>29.54</v>
      </c>
    </row>
    <row r="2342" spans="1:10" ht="0.95" customHeight="1" thickTop="1">
      <c r="A2342" s="666"/>
      <c r="B2342" s="666"/>
      <c r="C2342" s="666"/>
      <c r="D2342" s="666"/>
      <c r="E2342" s="666"/>
      <c r="F2342" s="666"/>
      <c r="G2342" s="666"/>
      <c r="H2342" s="666"/>
      <c r="I2342" s="666"/>
      <c r="J2342" s="666"/>
    </row>
    <row r="2343" spans="1:10" ht="18" customHeight="1">
      <c r="A2343" s="686" t="s">
        <v>14709</v>
      </c>
      <c r="B2343" s="684" t="s">
        <v>13484</v>
      </c>
      <c r="C2343" s="686" t="s">
        <v>13483</v>
      </c>
      <c r="D2343" s="686" t="s">
        <v>13482</v>
      </c>
      <c r="E2343" s="924" t="s">
        <v>13481</v>
      </c>
      <c r="F2343" s="924"/>
      <c r="G2343" s="685" t="s">
        <v>13480</v>
      </c>
      <c r="H2343" s="684" t="s">
        <v>13479</v>
      </c>
      <c r="I2343" s="684" t="s">
        <v>13478</v>
      </c>
      <c r="J2343" s="684" t="s">
        <v>13477</v>
      </c>
    </row>
    <row r="2344" spans="1:10" ht="36" customHeight="1">
      <c r="A2344" s="682" t="s">
        <v>13476</v>
      </c>
      <c r="B2344" s="683" t="s">
        <v>14708</v>
      </c>
      <c r="C2344" s="682" t="s">
        <v>7</v>
      </c>
      <c r="D2344" s="682" t="s">
        <v>439</v>
      </c>
      <c r="E2344" s="917" t="s">
        <v>13540</v>
      </c>
      <c r="F2344" s="917"/>
      <c r="G2344" s="681" t="s">
        <v>34</v>
      </c>
      <c r="H2344" s="680">
        <v>1</v>
      </c>
      <c r="I2344" s="679">
        <v>18.68</v>
      </c>
      <c r="J2344" s="679">
        <v>18.68</v>
      </c>
    </row>
    <row r="2345" spans="1:10" ht="36" customHeight="1">
      <c r="A2345" s="677" t="s">
        <v>13472</v>
      </c>
      <c r="B2345" s="678" t="s">
        <v>13760</v>
      </c>
      <c r="C2345" s="677" t="s">
        <v>7</v>
      </c>
      <c r="D2345" s="677" t="s">
        <v>2013</v>
      </c>
      <c r="E2345" s="918" t="s">
        <v>13540</v>
      </c>
      <c r="F2345" s="918"/>
      <c r="G2345" s="676" t="s">
        <v>34</v>
      </c>
      <c r="H2345" s="675">
        <v>1</v>
      </c>
      <c r="I2345" s="674">
        <v>12.84</v>
      </c>
      <c r="J2345" s="674">
        <v>12.84</v>
      </c>
    </row>
    <row r="2346" spans="1:10" ht="36" customHeight="1">
      <c r="A2346" s="677" t="s">
        <v>13472</v>
      </c>
      <c r="B2346" s="678" t="s">
        <v>14251</v>
      </c>
      <c r="C2346" s="677" t="s">
        <v>7</v>
      </c>
      <c r="D2346" s="677" t="s">
        <v>434</v>
      </c>
      <c r="E2346" s="918" t="s">
        <v>13540</v>
      </c>
      <c r="F2346" s="918"/>
      <c r="G2346" s="676" t="s">
        <v>34</v>
      </c>
      <c r="H2346" s="675">
        <v>1</v>
      </c>
      <c r="I2346" s="674">
        <v>5.84</v>
      </c>
      <c r="J2346" s="674">
        <v>5.84</v>
      </c>
    </row>
    <row r="2347" spans="1:10" ht="25.5">
      <c r="A2347" s="668"/>
      <c r="B2347" s="668"/>
      <c r="C2347" s="668"/>
      <c r="D2347" s="668"/>
      <c r="E2347" s="668" t="s">
        <v>13463</v>
      </c>
      <c r="F2347" s="667">
        <v>3.9878301</v>
      </c>
      <c r="G2347" s="668" t="s">
        <v>13462</v>
      </c>
      <c r="H2347" s="667">
        <v>3.35</v>
      </c>
      <c r="I2347" s="668" t="s">
        <v>13461</v>
      </c>
      <c r="J2347" s="667">
        <v>7.34</v>
      </c>
    </row>
    <row r="2348" spans="1:10" ht="15" thickBot="1">
      <c r="A2348" s="668"/>
      <c r="B2348" s="668"/>
      <c r="C2348" s="668"/>
      <c r="D2348" s="668"/>
      <c r="E2348" s="668" t="s">
        <v>13460</v>
      </c>
      <c r="F2348" s="667">
        <v>5.27</v>
      </c>
      <c r="G2348" s="668"/>
      <c r="H2348" s="925" t="s">
        <v>13459</v>
      </c>
      <c r="I2348" s="925"/>
      <c r="J2348" s="667">
        <v>23.95</v>
      </c>
    </row>
    <row r="2349" spans="1:10" ht="0.95" customHeight="1" thickTop="1">
      <c r="A2349" s="666"/>
      <c r="B2349" s="666"/>
      <c r="C2349" s="666"/>
      <c r="D2349" s="666"/>
      <c r="E2349" s="666"/>
      <c r="F2349" s="666"/>
      <c r="G2349" s="666"/>
      <c r="H2349" s="666"/>
      <c r="I2349" s="666"/>
      <c r="J2349" s="666"/>
    </row>
    <row r="2350" spans="1:10" ht="18" customHeight="1">
      <c r="A2350" s="686" t="s">
        <v>14707</v>
      </c>
      <c r="B2350" s="684" t="s">
        <v>13484</v>
      </c>
      <c r="C2350" s="686" t="s">
        <v>13483</v>
      </c>
      <c r="D2350" s="686" t="s">
        <v>13482</v>
      </c>
      <c r="E2350" s="924" t="s">
        <v>13481</v>
      </c>
      <c r="F2350" s="924"/>
      <c r="G2350" s="685" t="s">
        <v>13480</v>
      </c>
      <c r="H2350" s="684" t="s">
        <v>13479</v>
      </c>
      <c r="I2350" s="684" t="s">
        <v>13478</v>
      </c>
      <c r="J2350" s="684" t="s">
        <v>13477</v>
      </c>
    </row>
    <row r="2351" spans="1:10" ht="36" customHeight="1">
      <c r="A2351" s="682" t="s">
        <v>13476</v>
      </c>
      <c r="B2351" s="683" t="s">
        <v>14706</v>
      </c>
      <c r="C2351" s="682" t="s">
        <v>7</v>
      </c>
      <c r="D2351" s="682" t="s">
        <v>441</v>
      </c>
      <c r="E2351" s="917" t="s">
        <v>13540</v>
      </c>
      <c r="F2351" s="917"/>
      <c r="G2351" s="681" t="s">
        <v>34</v>
      </c>
      <c r="H2351" s="680">
        <v>1</v>
      </c>
      <c r="I2351" s="679">
        <v>29.59</v>
      </c>
      <c r="J2351" s="679">
        <v>29.59</v>
      </c>
    </row>
    <row r="2352" spans="1:10" ht="36" customHeight="1">
      <c r="A2352" s="677" t="s">
        <v>13472</v>
      </c>
      <c r="B2352" s="678" t="s">
        <v>14251</v>
      </c>
      <c r="C2352" s="677" t="s">
        <v>7</v>
      </c>
      <c r="D2352" s="677" t="s">
        <v>434</v>
      </c>
      <c r="E2352" s="918" t="s">
        <v>13540</v>
      </c>
      <c r="F2352" s="918"/>
      <c r="G2352" s="676" t="s">
        <v>34</v>
      </c>
      <c r="H2352" s="675">
        <v>1</v>
      </c>
      <c r="I2352" s="674">
        <v>5.84</v>
      </c>
      <c r="J2352" s="674">
        <v>5.84</v>
      </c>
    </row>
    <row r="2353" spans="1:10" ht="36" customHeight="1">
      <c r="A2353" s="677" t="s">
        <v>13472</v>
      </c>
      <c r="B2353" s="678" t="s">
        <v>13758</v>
      </c>
      <c r="C2353" s="677" t="s">
        <v>7</v>
      </c>
      <c r="D2353" s="677" t="s">
        <v>2017</v>
      </c>
      <c r="E2353" s="918" t="s">
        <v>13540</v>
      </c>
      <c r="F2353" s="918"/>
      <c r="G2353" s="676" t="s">
        <v>34</v>
      </c>
      <c r="H2353" s="675">
        <v>1</v>
      </c>
      <c r="I2353" s="674">
        <v>23.75</v>
      </c>
      <c r="J2353" s="674">
        <v>23.75</v>
      </c>
    </row>
    <row r="2354" spans="1:10" ht="25.5">
      <c r="A2354" s="668"/>
      <c r="B2354" s="668"/>
      <c r="C2354" s="668"/>
      <c r="D2354" s="668"/>
      <c r="E2354" s="668" t="s">
        <v>13463</v>
      </c>
      <c r="F2354" s="667">
        <v>6.1990655221123543</v>
      </c>
      <c r="G2354" s="668" t="s">
        <v>13462</v>
      </c>
      <c r="H2354" s="667">
        <v>5.21</v>
      </c>
      <c r="I2354" s="668" t="s">
        <v>13461</v>
      </c>
      <c r="J2354" s="667">
        <v>11.409999999999998</v>
      </c>
    </row>
    <row r="2355" spans="1:10" ht="15" thickBot="1">
      <c r="A2355" s="668"/>
      <c r="B2355" s="668"/>
      <c r="C2355" s="668"/>
      <c r="D2355" s="668"/>
      <c r="E2355" s="668" t="s">
        <v>13460</v>
      </c>
      <c r="F2355" s="667">
        <v>8.35</v>
      </c>
      <c r="G2355" s="668"/>
      <c r="H2355" s="925" t="s">
        <v>13459</v>
      </c>
      <c r="I2355" s="925"/>
      <c r="J2355" s="667">
        <v>37.94</v>
      </c>
    </row>
    <row r="2356" spans="1:10" ht="0.95" customHeight="1" thickTop="1">
      <c r="A2356" s="666"/>
      <c r="B2356" s="666"/>
      <c r="C2356" s="666"/>
      <c r="D2356" s="666"/>
      <c r="E2356" s="666"/>
      <c r="F2356" s="666"/>
      <c r="G2356" s="666"/>
      <c r="H2356" s="666"/>
      <c r="I2356" s="666"/>
      <c r="J2356" s="666"/>
    </row>
    <row r="2357" spans="1:10" ht="18" customHeight="1">
      <c r="A2357" s="686" t="s">
        <v>14705</v>
      </c>
      <c r="B2357" s="684" t="s">
        <v>13484</v>
      </c>
      <c r="C2357" s="686" t="s">
        <v>13483</v>
      </c>
      <c r="D2357" s="686" t="s">
        <v>13482</v>
      </c>
      <c r="E2357" s="924" t="s">
        <v>13481</v>
      </c>
      <c r="F2357" s="924"/>
      <c r="G2357" s="685" t="s">
        <v>13480</v>
      </c>
      <c r="H2357" s="684" t="s">
        <v>13479</v>
      </c>
      <c r="I2357" s="684" t="s">
        <v>13478</v>
      </c>
      <c r="J2357" s="684" t="s">
        <v>13477</v>
      </c>
    </row>
    <row r="2358" spans="1:10" ht="36" customHeight="1">
      <c r="A2358" s="682" t="s">
        <v>13476</v>
      </c>
      <c r="B2358" s="683" t="s">
        <v>14704</v>
      </c>
      <c r="C2358" s="682" t="s">
        <v>7</v>
      </c>
      <c r="D2358" s="682" t="s">
        <v>444</v>
      </c>
      <c r="E2358" s="917" t="s">
        <v>13540</v>
      </c>
      <c r="F2358" s="917"/>
      <c r="G2358" s="681" t="s">
        <v>34</v>
      </c>
      <c r="H2358" s="680">
        <v>1</v>
      </c>
      <c r="I2358" s="679">
        <v>40.5</v>
      </c>
      <c r="J2358" s="679">
        <v>40.5</v>
      </c>
    </row>
    <row r="2359" spans="1:10" ht="36" customHeight="1">
      <c r="A2359" s="677" t="s">
        <v>13472</v>
      </c>
      <c r="B2359" s="678" t="s">
        <v>14251</v>
      </c>
      <c r="C2359" s="677" t="s">
        <v>7</v>
      </c>
      <c r="D2359" s="677" t="s">
        <v>434</v>
      </c>
      <c r="E2359" s="918" t="s">
        <v>13540</v>
      </c>
      <c r="F2359" s="918"/>
      <c r="G2359" s="676" t="s">
        <v>34</v>
      </c>
      <c r="H2359" s="675">
        <v>1</v>
      </c>
      <c r="I2359" s="674">
        <v>5.84</v>
      </c>
      <c r="J2359" s="674">
        <v>5.84</v>
      </c>
    </row>
    <row r="2360" spans="1:10" ht="36" customHeight="1">
      <c r="A2360" s="677" t="s">
        <v>13472</v>
      </c>
      <c r="B2360" s="678" t="s">
        <v>13757</v>
      </c>
      <c r="C2360" s="677" t="s">
        <v>7</v>
      </c>
      <c r="D2360" s="677" t="s">
        <v>2022</v>
      </c>
      <c r="E2360" s="918" t="s">
        <v>13540</v>
      </c>
      <c r="F2360" s="918"/>
      <c r="G2360" s="676" t="s">
        <v>34</v>
      </c>
      <c r="H2360" s="675">
        <v>1</v>
      </c>
      <c r="I2360" s="674">
        <v>34.659999999999997</v>
      </c>
      <c r="J2360" s="674">
        <v>34.659999999999997</v>
      </c>
    </row>
    <row r="2361" spans="1:10" ht="25.5">
      <c r="A2361" s="668"/>
      <c r="B2361" s="668"/>
      <c r="C2361" s="668"/>
      <c r="D2361" s="668"/>
      <c r="E2361" s="668" t="s">
        <v>13463</v>
      </c>
      <c r="F2361" s="667">
        <v>8.4103010000000005</v>
      </c>
      <c r="G2361" s="668" t="s">
        <v>13462</v>
      </c>
      <c r="H2361" s="667">
        <v>7.07</v>
      </c>
      <c r="I2361" s="668" t="s">
        <v>13461</v>
      </c>
      <c r="J2361" s="667">
        <v>15.48</v>
      </c>
    </row>
    <row r="2362" spans="1:10" ht="15" thickBot="1">
      <c r="A2362" s="668"/>
      <c r="B2362" s="668"/>
      <c r="C2362" s="668"/>
      <c r="D2362" s="668"/>
      <c r="E2362" s="668" t="s">
        <v>13460</v>
      </c>
      <c r="F2362" s="667">
        <v>11.43</v>
      </c>
      <c r="G2362" s="668"/>
      <c r="H2362" s="925" t="s">
        <v>13459</v>
      </c>
      <c r="I2362" s="925"/>
      <c r="J2362" s="667">
        <v>51.93</v>
      </c>
    </row>
    <row r="2363" spans="1:10" ht="0.95" customHeight="1" thickTop="1">
      <c r="A2363" s="666"/>
      <c r="B2363" s="666"/>
      <c r="C2363" s="666"/>
      <c r="D2363" s="666"/>
      <c r="E2363" s="666"/>
      <c r="F2363" s="666"/>
      <c r="G2363" s="666"/>
      <c r="H2363" s="666"/>
      <c r="I2363" s="666"/>
      <c r="J2363" s="666"/>
    </row>
    <row r="2364" spans="1:10" ht="18" customHeight="1">
      <c r="A2364" s="686" t="s">
        <v>14703</v>
      </c>
      <c r="B2364" s="684" t="s">
        <v>13484</v>
      </c>
      <c r="C2364" s="686" t="s">
        <v>13483</v>
      </c>
      <c r="D2364" s="686" t="s">
        <v>13482</v>
      </c>
      <c r="E2364" s="924" t="s">
        <v>13481</v>
      </c>
      <c r="F2364" s="924"/>
      <c r="G2364" s="685" t="s">
        <v>13480</v>
      </c>
      <c r="H2364" s="684" t="s">
        <v>13479</v>
      </c>
      <c r="I2364" s="684" t="s">
        <v>13478</v>
      </c>
      <c r="J2364" s="684" t="s">
        <v>13477</v>
      </c>
    </row>
    <row r="2365" spans="1:10" ht="36" customHeight="1">
      <c r="A2365" s="682" t="s">
        <v>13476</v>
      </c>
      <c r="B2365" s="683" t="s">
        <v>14702</v>
      </c>
      <c r="C2365" s="682" t="s">
        <v>7</v>
      </c>
      <c r="D2365" s="682" t="s">
        <v>2055</v>
      </c>
      <c r="E2365" s="917" t="s">
        <v>13540</v>
      </c>
      <c r="F2365" s="917"/>
      <c r="G2365" s="681" t="s">
        <v>34</v>
      </c>
      <c r="H2365" s="680">
        <v>1</v>
      </c>
      <c r="I2365" s="679">
        <v>33</v>
      </c>
      <c r="J2365" s="679">
        <v>33</v>
      </c>
    </row>
    <row r="2366" spans="1:10" ht="36" customHeight="1">
      <c r="A2366" s="677" t="s">
        <v>13472</v>
      </c>
      <c r="B2366" s="678" t="s">
        <v>14251</v>
      </c>
      <c r="C2366" s="677" t="s">
        <v>7</v>
      </c>
      <c r="D2366" s="677" t="s">
        <v>434</v>
      </c>
      <c r="E2366" s="918" t="s">
        <v>13540</v>
      </c>
      <c r="F2366" s="918"/>
      <c r="G2366" s="676" t="s">
        <v>34</v>
      </c>
      <c r="H2366" s="675">
        <v>1</v>
      </c>
      <c r="I2366" s="674">
        <v>5.84</v>
      </c>
      <c r="J2366" s="674">
        <v>5.84</v>
      </c>
    </row>
    <row r="2367" spans="1:10" ht="36" customHeight="1">
      <c r="A2367" s="677" t="s">
        <v>13472</v>
      </c>
      <c r="B2367" s="678" t="s">
        <v>13761</v>
      </c>
      <c r="C2367" s="677" t="s">
        <v>7</v>
      </c>
      <c r="D2367" s="677" t="s">
        <v>454</v>
      </c>
      <c r="E2367" s="918" t="s">
        <v>13540</v>
      </c>
      <c r="F2367" s="918"/>
      <c r="G2367" s="676" t="s">
        <v>34</v>
      </c>
      <c r="H2367" s="675">
        <v>1</v>
      </c>
      <c r="I2367" s="674">
        <v>27.16</v>
      </c>
      <c r="J2367" s="674">
        <v>27.16</v>
      </c>
    </row>
    <row r="2368" spans="1:10" ht="25.5">
      <c r="A2368" s="668"/>
      <c r="B2368" s="668"/>
      <c r="C2368" s="668"/>
      <c r="D2368" s="668"/>
      <c r="E2368" s="668" t="s">
        <v>13463</v>
      </c>
      <c r="F2368" s="667">
        <v>7.2911007000000003</v>
      </c>
      <c r="G2368" s="668" t="s">
        <v>13462</v>
      </c>
      <c r="H2368" s="667">
        <v>6.13</v>
      </c>
      <c r="I2368" s="668" t="s">
        <v>13461</v>
      </c>
      <c r="J2368" s="667">
        <v>13.42</v>
      </c>
    </row>
    <row r="2369" spans="1:10" ht="15" thickBot="1">
      <c r="A2369" s="668"/>
      <c r="B2369" s="668"/>
      <c r="C2369" s="668"/>
      <c r="D2369" s="668"/>
      <c r="E2369" s="668" t="s">
        <v>13460</v>
      </c>
      <c r="F2369" s="667">
        <v>9.31</v>
      </c>
      <c r="G2369" s="668"/>
      <c r="H2369" s="925" t="s">
        <v>13459</v>
      </c>
      <c r="I2369" s="925"/>
      <c r="J2369" s="667">
        <v>42.31</v>
      </c>
    </row>
    <row r="2370" spans="1:10" ht="0.95" customHeight="1" thickTop="1">
      <c r="A2370" s="666"/>
      <c r="B2370" s="666"/>
      <c r="C2370" s="666"/>
      <c r="D2370" s="666"/>
      <c r="E2370" s="666"/>
      <c r="F2370" s="666"/>
      <c r="G2370" s="666"/>
      <c r="H2370" s="666"/>
      <c r="I2370" s="666"/>
      <c r="J2370" s="666"/>
    </row>
    <row r="2371" spans="1:10" ht="18" customHeight="1">
      <c r="A2371" s="686" t="s">
        <v>14701</v>
      </c>
      <c r="B2371" s="684" t="s">
        <v>13484</v>
      </c>
      <c r="C2371" s="686" t="s">
        <v>13483</v>
      </c>
      <c r="D2371" s="686" t="s">
        <v>13482</v>
      </c>
      <c r="E2371" s="924" t="s">
        <v>13481</v>
      </c>
      <c r="F2371" s="924"/>
      <c r="G2371" s="685" t="s">
        <v>13480</v>
      </c>
      <c r="H2371" s="684" t="s">
        <v>13479</v>
      </c>
      <c r="I2371" s="684" t="s">
        <v>13478</v>
      </c>
      <c r="J2371" s="684" t="s">
        <v>13477</v>
      </c>
    </row>
    <row r="2372" spans="1:10" ht="36" customHeight="1">
      <c r="A2372" s="682" t="s">
        <v>13476</v>
      </c>
      <c r="B2372" s="683" t="s">
        <v>14700</v>
      </c>
      <c r="C2372" s="682" t="s">
        <v>7</v>
      </c>
      <c r="D2372" s="682" t="s">
        <v>2059</v>
      </c>
      <c r="E2372" s="917" t="s">
        <v>13540</v>
      </c>
      <c r="F2372" s="917"/>
      <c r="G2372" s="681" t="s">
        <v>34</v>
      </c>
      <c r="H2372" s="680">
        <v>1</v>
      </c>
      <c r="I2372" s="679">
        <v>43.91</v>
      </c>
      <c r="J2372" s="679">
        <v>43.91</v>
      </c>
    </row>
    <row r="2373" spans="1:10" ht="36" customHeight="1">
      <c r="A2373" s="677" t="s">
        <v>13472</v>
      </c>
      <c r="B2373" s="678" t="s">
        <v>14251</v>
      </c>
      <c r="C2373" s="677" t="s">
        <v>7</v>
      </c>
      <c r="D2373" s="677" t="s">
        <v>434</v>
      </c>
      <c r="E2373" s="918" t="s">
        <v>13540</v>
      </c>
      <c r="F2373" s="918"/>
      <c r="G2373" s="676" t="s">
        <v>34</v>
      </c>
      <c r="H2373" s="675">
        <v>1</v>
      </c>
      <c r="I2373" s="674">
        <v>5.84</v>
      </c>
      <c r="J2373" s="674">
        <v>5.84</v>
      </c>
    </row>
    <row r="2374" spans="1:10" ht="36" customHeight="1">
      <c r="A2374" s="677" t="s">
        <v>13472</v>
      </c>
      <c r="B2374" s="678" t="s">
        <v>13759</v>
      </c>
      <c r="C2374" s="677" t="s">
        <v>7</v>
      </c>
      <c r="D2374" s="677" t="s">
        <v>2058</v>
      </c>
      <c r="E2374" s="918" t="s">
        <v>13540</v>
      </c>
      <c r="F2374" s="918"/>
      <c r="G2374" s="676" t="s">
        <v>34</v>
      </c>
      <c r="H2374" s="675">
        <v>1</v>
      </c>
      <c r="I2374" s="674">
        <v>38.07</v>
      </c>
      <c r="J2374" s="674">
        <v>38.07</v>
      </c>
    </row>
    <row r="2375" spans="1:10" ht="25.5">
      <c r="A2375" s="668"/>
      <c r="B2375" s="668"/>
      <c r="C2375" s="668"/>
      <c r="D2375" s="668"/>
      <c r="E2375" s="668" t="s">
        <v>13463</v>
      </c>
      <c r="F2375" s="667">
        <v>9.5132022000000003</v>
      </c>
      <c r="G2375" s="668" t="s">
        <v>13462</v>
      </c>
      <c r="H2375" s="667">
        <v>8</v>
      </c>
      <c r="I2375" s="668" t="s">
        <v>13461</v>
      </c>
      <c r="J2375" s="667">
        <v>17.510000000000002</v>
      </c>
    </row>
    <row r="2376" spans="1:10" ht="15" thickBot="1">
      <c r="A2376" s="668"/>
      <c r="B2376" s="668"/>
      <c r="C2376" s="668"/>
      <c r="D2376" s="668"/>
      <c r="E2376" s="668" t="s">
        <v>13460</v>
      </c>
      <c r="F2376" s="667">
        <v>12.4</v>
      </c>
      <c r="G2376" s="668"/>
      <c r="H2376" s="925" t="s">
        <v>13459</v>
      </c>
      <c r="I2376" s="925"/>
      <c r="J2376" s="667">
        <v>56.31</v>
      </c>
    </row>
    <row r="2377" spans="1:10" ht="0.95" customHeight="1" thickTop="1">
      <c r="A2377" s="666"/>
      <c r="B2377" s="666"/>
      <c r="C2377" s="666"/>
      <c r="D2377" s="666"/>
      <c r="E2377" s="666"/>
      <c r="F2377" s="666"/>
      <c r="G2377" s="666"/>
      <c r="H2377" s="666"/>
      <c r="I2377" s="666"/>
      <c r="J2377" s="666"/>
    </row>
    <row r="2378" spans="1:10" ht="18" customHeight="1">
      <c r="A2378" s="686" t="s">
        <v>14699</v>
      </c>
      <c r="B2378" s="684" t="s">
        <v>13484</v>
      </c>
      <c r="C2378" s="686" t="s">
        <v>13483</v>
      </c>
      <c r="D2378" s="686" t="s">
        <v>13482</v>
      </c>
      <c r="E2378" s="924" t="s">
        <v>13481</v>
      </c>
      <c r="F2378" s="924"/>
      <c r="G2378" s="685" t="s">
        <v>13480</v>
      </c>
      <c r="H2378" s="684" t="s">
        <v>13479</v>
      </c>
      <c r="I2378" s="684" t="s">
        <v>13478</v>
      </c>
      <c r="J2378" s="684" t="s">
        <v>13477</v>
      </c>
    </row>
    <row r="2379" spans="1:10" ht="36" customHeight="1">
      <c r="A2379" s="682" t="s">
        <v>13476</v>
      </c>
      <c r="B2379" s="683" t="s">
        <v>14698</v>
      </c>
      <c r="C2379" s="682" t="s">
        <v>7</v>
      </c>
      <c r="D2379" s="682" t="s">
        <v>2029</v>
      </c>
      <c r="E2379" s="917" t="s">
        <v>13540</v>
      </c>
      <c r="F2379" s="917"/>
      <c r="G2379" s="681" t="s">
        <v>34</v>
      </c>
      <c r="H2379" s="680">
        <v>1</v>
      </c>
      <c r="I2379" s="679">
        <v>28.2</v>
      </c>
      <c r="J2379" s="679">
        <v>28.2</v>
      </c>
    </row>
    <row r="2380" spans="1:10" ht="36" customHeight="1">
      <c r="A2380" s="677" t="s">
        <v>13472</v>
      </c>
      <c r="B2380" s="678" t="s">
        <v>14251</v>
      </c>
      <c r="C2380" s="677" t="s">
        <v>7</v>
      </c>
      <c r="D2380" s="677" t="s">
        <v>434</v>
      </c>
      <c r="E2380" s="918" t="s">
        <v>13540</v>
      </c>
      <c r="F2380" s="918"/>
      <c r="G2380" s="676" t="s">
        <v>34</v>
      </c>
      <c r="H2380" s="675">
        <v>1</v>
      </c>
      <c r="I2380" s="674">
        <v>5.84</v>
      </c>
      <c r="J2380" s="674">
        <v>5.84</v>
      </c>
    </row>
    <row r="2381" spans="1:10" ht="36" customHeight="1">
      <c r="A2381" s="677" t="s">
        <v>13472</v>
      </c>
      <c r="B2381" s="678" t="s">
        <v>13544</v>
      </c>
      <c r="C2381" s="677" t="s">
        <v>7</v>
      </c>
      <c r="D2381" s="677" t="s">
        <v>49</v>
      </c>
      <c r="E2381" s="918" t="s">
        <v>13540</v>
      </c>
      <c r="F2381" s="918"/>
      <c r="G2381" s="676" t="s">
        <v>34</v>
      </c>
      <c r="H2381" s="675">
        <v>1</v>
      </c>
      <c r="I2381" s="674">
        <v>22.36</v>
      </c>
      <c r="J2381" s="674">
        <v>22.36</v>
      </c>
    </row>
    <row r="2382" spans="1:10" ht="25.5">
      <c r="A2382" s="668"/>
      <c r="B2382" s="668"/>
      <c r="C2382" s="668"/>
      <c r="D2382" s="668"/>
      <c r="E2382" s="668" t="s">
        <v>13463</v>
      </c>
      <c r="F2382" s="667">
        <v>7.6170814</v>
      </c>
      <c r="G2382" s="668" t="s">
        <v>13462</v>
      </c>
      <c r="H2382" s="667">
        <v>6.4</v>
      </c>
      <c r="I2382" s="668" t="s">
        <v>13461</v>
      </c>
      <c r="J2382" s="667">
        <v>14.02</v>
      </c>
    </row>
    <row r="2383" spans="1:10" ht="15" thickBot="1">
      <c r="A2383" s="668"/>
      <c r="B2383" s="668"/>
      <c r="C2383" s="668"/>
      <c r="D2383" s="668"/>
      <c r="E2383" s="668" t="s">
        <v>13460</v>
      </c>
      <c r="F2383" s="667">
        <v>7.96</v>
      </c>
      <c r="G2383" s="668"/>
      <c r="H2383" s="925" t="s">
        <v>13459</v>
      </c>
      <c r="I2383" s="925"/>
      <c r="J2383" s="667">
        <v>36.159999999999997</v>
      </c>
    </row>
    <row r="2384" spans="1:10" ht="0.95" customHeight="1" thickTop="1">
      <c r="A2384" s="666"/>
      <c r="B2384" s="666"/>
      <c r="C2384" s="666"/>
      <c r="D2384" s="666"/>
      <c r="E2384" s="666"/>
      <c r="F2384" s="666"/>
      <c r="G2384" s="666"/>
      <c r="H2384" s="666"/>
      <c r="I2384" s="666"/>
      <c r="J2384" s="666"/>
    </row>
    <row r="2385" spans="1:10" ht="18" customHeight="1">
      <c r="A2385" s="686" t="s">
        <v>14697</v>
      </c>
      <c r="B2385" s="684" t="s">
        <v>13484</v>
      </c>
      <c r="C2385" s="686" t="s">
        <v>13483</v>
      </c>
      <c r="D2385" s="686" t="s">
        <v>13482</v>
      </c>
      <c r="E2385" s="924" t="s">
        <v>13481</v>
      </c>
      <c r="F2385" s="924"/>
      <c r="G2385" s="685" t="s">
        <v>13480</v>
      </c>
      <c r="H2385" s="684" t="s">
        <v>13479</v>
      </c>
      <c r="I2385" s="684" t="s">
        <v>13478</v>
      </c>
      <c r="J2385" s="684" t="s">
        <v>13477</v>
      </c>
    </row>
    <row r="2386" spans="1:10" ht="36" customHeight="1">
      <c r="A2386" s="682" t="s">
        <v>13476</v>
      </c>
      <c r="B2386" s="683" t="s">
        <v>14696</v>
      </c>
      <c r="C2386" s="682" t="s">
        <v>7</v>
      </c>
      <c r="D2386" s="682" t="s">
        <v>2031</v>
      </c>
      <c r="E2386" s="917" t="s">
        <v>13540</v>
      </c>
      <c r="F2386" s="917"/>
      <c r="G2386" s="681" t="s">
        <v>34</v>
      </c>
      <c r="H2386" s="680">
        <v>1</v>
      </c>
      <c r="I2386" s="679">
        <v>22.13</v>
      </c>
      <c r="J2386" s="679">
        <v>22.13</v>
      </c>
    </row>
    <row r="2387" spans="1:10" ht="36" customHeight="1">
      <c r="A2387" s="677" t="s">
        <v>13472</v>
      </c>
      <c r="B2387" s="678" t="s">
        <v>13541</v>
      </c>
      <c r="C2387" s="677" t="s">
        <v>7</v>
      </c>
      <c r="D2387" s="677" t="s">
        <v>450</v>
      </c>
      <c r="E2387" s="918" t="s">
        <v>13540</v>
      </c>
      <c r="F2387" s="918"/>
      <c r="G2387" s="676" t="s">
        <v>34</v>
      </c>
      <c r="H2387" s="675">
        <v>1</v>
      </c>
      <c r="I2387" s="674">
        <v>16.29</v>
      </c>
      <c r="J2387" s="674">
        <v>16.29</v>
      </c>
    </row>
    <row r="2388" spans="1:10" ht="36" customHeight="1">
      <c r="A2388" s="677" t="s">
        <v>13472</v>
      </c>
      <c r="B2388" s="678" t="s">
        <v>14251</v>
      </c>
      <c r="C2388" s="677" t="s">
        <v>7</v>
      </c>
      <c r="D2388" s="677" t="s">
        <v>434</v>
      </c>
      <c r="E2388" s="918" t="s">
        <v>13540</v>
      </c>
      <c r="F2388" s="918"/>
      <c r="G2388" s="676" t="s">
        <v>34</v>
      </c>
      <c r="H2388" s="675">
        <v>1</v>
      </c>
      <c r="I2388" s="674">
        <v>5.84</v>
      </c>
      <c r="J2388" s="674">
        <v>5.84</v>
      </c>
    </row>
    <row r="2389" spans="1:10" ht="25.5">
      <c r="A2389" s="668"/>
      <c r="B2389" s="668"/>
      <c r="C2389" s="668"/>
      <c r="D2389" s="668"/>
      <c r="E2389" s="668" t="s">
        <v>13463</v>
      </c>
      <c r="F2389" s="667">
        <v>5.0961642942518743</v>
      </c>
      <c r="G2389" s="668" t="s">
        <v>13462</v>
      </c>
      <c r="H2389" s="667">
        <v>4.28</v>
      </c>
      <c r="I2389" s="668" t="s">
        <v>13461</v>
      </c>
      <c r="J2389" s="667">
        <v>9.3800000000000008</v>
      </c>
    </row>
    <row r="2390" spans="1:10" ht="15" thickBot="1">
      <c r="A2390" s="668"/>
      <c r="B2390" s="668"/>
      <c r="C2390" s="668"/>
      <c r="D2390" s="668"/>
      <c r="E2390" s="668" t="s">
        <v>13460</v>
      </c>
      <c r="F2390" s="667">
        <v>6.24</v>
      </c>
      <c r="G2390" s="668"/>
      <c r="H2390" s="925" t="s">
        <v>13459</v>
      </c>
      <c r="I2390" s="925"/>
      <c r="J2390" s="667">
        <v>28.37</v>
      </c>
    </row>
    <row r="2391" spans="1:10" ht="0.95" customHeight="1" thickTop="1">
      <c r="A2391" s="666"/>
      <c r="B2391" s="666"/>
      <c r="C2391" s="666"/>
      <c r="D2391" s="666"/>
      <c r="E2391" s="666"/>
      <c r="F2391" s="666"/>
      <c r="G2391" s="666"/>
      <c r="H2391" s="666"/>
      <c r="I2391" s="666"/>
      <c r="J2391" s="666"/>
    </row>
    <row r="2392" spans="1:10" ht="18" customHeight="1">
      <c r="A2392" s="686" t="s">
        <v>14695</v>
      </c>
      <c r="B2392" s="684" t="s">
        <v>13484</v>
      </c>
      <c r="C2392" s="686" t="s">
        <v>13483</v>
      </c>
      <c r="D2392" s="686" t="s">
        <v>13482</v>
      </c>
      <c r="E2392" s="924" t="s">
        <v>13481</v>
      </c>
      <c r="F2392" s="924"/>
      <c r="G2392" s="685" t="s">
        <v>13480</v>
      </c>
      <c r="H2392" s="684" t="s">
        <v>13479</v>
      </c>
      <c r="I2392" s="684" t="s">
        <v>13478</v>
      </c>
      <c r="J2392" s="684" t="s">
        <v>13477</v>
      </c>
    </row>
    <row r="2393" spans="1:10" ht="36" customHeight="1">
      <c r="A2393" s="682" t="s">
        <v>13476</v>
      </c>
      <c r="B2393" s="683" t="s">
        <v>14694</v>
      </c>
      <c r="C2393" s="682" t="s">
        <v>7</v>
      </c>
      <c r="D2393" s="682" t="s">
        <v>2033</v>
      </c>
      <c r="E2393" s="917" t="s">
        <v>13540</v>
      </c>
      <c r="F2393" s="917"/>
      <c r="G2393" s="681" t="s">
        <v>34</v>
      </c>
      <c r="H2393" s="680">
        <v>1</v>
      </c>
      <c r="I2393" s="679">
        <v>19.78</v>
      </c>
      <c r="J2393" s="679">
        <v>19.78</v>
      </c>
    </row>
    <row r="2394" spans="1:10" ht="36" customHeight="1">
      <c r="A2394" s="677" t="s">
        <v>13472</v>
      </c>
      <c r="B2394" s="678" t="s">
        <v>14251</v>
      </c>
      <c r="C2394" s="677" t="s">
        <v>7</v>
      </c>
      <c r="D2394" s="677" t="s">
        <v>434</v>
      </c>
      <c r="E2394" s="918" t="s">
        <v>13540</v>
      </c>
      <c r="F2394" s="918"/>
      <c r="G2394" s="676" t="s">
        <v>34</v>
      </c>
      <c r="H2394" s="675">
        <v>1</v>
      </c>
      <c r="I2394" s="674">
        <v>5.84</v>
      </c>
      <c r="J2394" s="674">
        <v>5.84</v>
      </c>
    </row>
    <row r="2395" spans="1:10" ht="36" customHeight="1">
      <c r="A2395" s="677" t="s">
        <v>13472</v>
      </c>
      <c r="B2395" s="678" t="s">
        <v>13543</v>
      </c>
      <c r="C2395" s="677" t="s">
        <v>7</v>
      </c>
      <c r="D2395" s="677" t="s">
        <v>452</v>
      </c>
      <c r="E2395" s="918" t="s">
        <v>13540</v>
      </c>
      <c r="F2395" s="918"/>
      <c r="G2395" s="676" t="s">
        <v>34</v>
      </c>
      <c r="H2395" s="675">
        <v>1</v>
      </c>
      <c r="I2395" s="674">
        <v>13.94</v>
      </c>
      <c r="J2395" s="674">
        <v>13.94</v>
      </c>
    </row>
    <row r="2396" spans="1:10" ht="25.5">
      <c r="A2396" s="668"/>
      <c r="B2396" s="668"/>
      <c r="C2396" s="668"/>
      <c r="D2396" s="668"/>
      <c r="E2396" s="668" t="s">
        <v>13463</v>
      </c>
      <c r="F2396" s="667">
        <v>4.1182223000000002</v>
      </c>
      <c r="G2396" s="668" t="s">
        <v>13462</v>
      </c>
      <c r="H2396" s="667">
        <v>3.46</v>
      </c>
      <c r="I2396" s="668" t="s">
        <v>13461</v>
      </c>
      <c r="J2396" s="667">
        <v>7.58</v>
      </c>
    </row>
    <row r="2397" spans="1:10" ht="15" thickBot="1">
      <c r="A2397" s="668"/>
      <c r="B2397" s="668"/>
      <c r="C2397" s="668"/>
      <c r="D2397" s="668"/>
      <c r="E2397" s="668" t="s">
        <v>13460</v>
      </c>
      <c r="F2397" s="667">
        <v>5.58</v>
      </c>
      <c r="G2397" s="668"/>
      <c r="H2397" s="925" t="s">
        <v>13459</v>
      </c>
      <c r="I2397" s="925"/>
      <c r="J2397" s="667">
        <v>25.36</v>
      </c>
    </row>
    <row r="2398" spans="1:10" ht="0.95" customHeight="1" thickTop="1">
      <c r="A2398" s="666"/>
      <c r="B2398" s="666"/>
      <c r="C2398" s="666"/>
      <c r="D2398" s="666"/>
      <c r="E2398" s="666"/>
      <c r="F2398" s="666"/>
      <c r="G2398" s="666"/>
      <c r="H2398" s="666"/>
      <c r="I2398" s="666"/>
      <c r="J2398" s="666"/>
    </row>
    <row r="2399" spans="1:10" ht="18" customHeight="1">
      <c r="A2399" s="686" t="s">
        <v>14693</v>
      </c>
      <c r="B2399" s="684" t="s">
        <v>13484</v>
      </c>
      <c r="C2399" s="686" t="s">
        <v>13483</v>
      </c>
      <c r="D2399" s="686" t="s">
        <v>13482</v>
      </c>
      <c r="E2399" s="924" t="s">
        <v>13481</v>
      </c>
      <c r="F2399" s="924"/>
      <c r="G2399" s="685" t="s">
        <v>13480</v>
      </c>
      <c r="H2399" s="684" t="s">
        <v>13479</v>
      </c>
      <c r="I2399" s="684" t="s">
        <v>13478</v>
      </c>
      <c r="J2399" s="684" t="s">
        <v>13477</v>
      </c>
    </row>
    <row r="2400" spans="1:10" ht="36" customHeight="1">
      <c r="A2400" s="682" t="s">
        <v>13476</v>
      </c>
      <c r="B2400" s="683" t="s">
        <v>14692</v>
      </c>
      <c r="C2400" s="682" t="s">
        <v>7</v>
      </c>
      <c r="D2400" s="682" t="s">
        <v>2041</v>
      </c>
      <c r="E2400" s="917" t="s">
        <v>13540</v>
      </c>
      <c r="F2400" s="917"/>
      <c r="G2400" s="681" t="s">
        <v>34</v>
      </c>
      <c r="H2400" s="680">
        <v>1</v>
      </c>
      <c r="I2400" s="679">
        <v>31.74</v>
      </c>
      <c r="J2400" s="679">
        <v>31.74</v>
      </c>
    </row>
    <row r="2401" spans="1:10" ht="36" customHeight="1">
      <c r="A2401" s="677" t="s">
        <v>13472</v>
      </c>
      <c r="B2401" s="678" t="s">
        <v>14251</v>
      </c>
      <c r="C2401" s="677" t="s">
        <v>7</v>
      </c>
      <c r="D2401" s="677" t="s">
        <v>434</v>
      </c>
      <c r="E2401" s="918" t="s">
        <v>13540</v>
      </c>
      <c r="F2401" s="918"/>
      <c r="G2401" s="676" t="s">
        <v>34</v>
      </c>
      <c r="H2401" s="675">
        <v>1</v>
      </c>
      <c r="I2401" s="674">
        <v>5.84</v>
      </c>
      <c r="J2401" s="674">
        <v>5.84</v>
      </c>
    </row>
    <row r="2402" spans="1:10" ht="36" customHeight="1">
      <c r="A2402" s="677" t="s">
        <v>13472</v>
      </c>
      <c r="B2402" s="678" t="s">
        <v>13542</v>
      </c>
      <c r="C2402" s="677" t="s">
        <v>7</v>
      </c>
      <c r="D2402" s="677" t="s">
        <v>2039</v>
      </c>
      <c r="E2402" s="918" t="s">
        <v>13540</v>
      </c>
      <c r="F2402" s="918"/>
      <c r="G2402" s="676" t="s">
        <v>34</v>
      </c>
      <c r="H2402" s="675">
        <v>1</v>
      </c>
      <c r="I2402" s="674">
        <v>25.9</v>
      </c>
      <c r="J2402" s="674">
        <v>25.9</v>
      </c>
    </row>
    <row r="2403" spans="1:10" ht="25.5">
      <c r="A2403" s="668"/>
      <c r="B2403" s="668"/>
      <c r="C2403" s="668"/>
      <c r="D2403" s="668"/>
      <c r="E2403" s="668" t="s">
        <v>13463</v>
      </c>
      <c r="F2403" s="667">
        <v>6.4489840000000003</v>
      </c>
      <c r="G2403" s="668" t="s">
        <v>13462</v>
      </c>
      <c r="H2403" s="667">
        <v>5.42</v>
      </c>
      <c r="I2403" s="668" t="s">
        <v>13461</v>
      </c>
      <c r="J2403" s="667">
        <v>11.87</v>
      </c>
    </row>
    <row r="2404" spans="1:10" ht="15" thickBot="1">
      <c r="A2404" s="668"/>
      <c r="B2404" s="668"/>
      <c r="C2404" s="668"/>
      <c r="D2404" s="668"/>
      <c r="E2404" s="668" t="s">
        <v>13460</v>
      </c>
      <c r="F2404" s="667">
        <v>8.9600000000000009</v>
      </c>
      <c r="G2404" s="668"/>
      <c r="H2404" s="925" t="s">
        <v>13459</v>
      </c>
      <c r="I2404" s="925"/>
      <c r="J2404" s="667">
        <v>40.700000000000003</v>
      </c>
    </row>
    <row r="2405" spans="1:10" ht="0.95" customHeight="1" thickTop="1">
      <c r="A2405" s="666"/>
      <c r="B2405" s="666"/>
      <c r="C2405" s="666"/>
      <c r="D2405" s="666"/>
      <c r="E2405" s="666"/>
      <c r="F2405" s="666"/>
      <c r="G2405" s="666"/>
      <c r="H2405" s="666"/>
      <c r="I2405" s="666"/>
      <c r="J2405" s="666"/>
    </row>
    <row r="2406" spans="1:10" ht="18" customHeight="1">
      <c r="A2406" s="686" t="s">
        <v>14691</v>
      </c>
      <c r="B2406" s="684" t="s">
        <v>13484</v>
      </c>
      <c r="C2406" s="686" t="s">
        <v>13483</v>
      </c>
      <c r="D2406" s="686" t="s">
        <v>13482</v>
      </c>
      <c r="E2406" s="924" t="s">
        <v>13481</v>
      </c>
      <c r="F2406" s="924"/>
      <c r="G2406" s="685" t="s">
        <v>13480</v>
      </c>
      <c r="H2406" s="684" t="s">
        <v>13479</v>
      </c>
      <c r="I2406" s="684" t="s">
        <v>13478</v>
      </c>
      <c r="J2406" s="684" t="s">
        <v>13477</v>
      </c>
    </row>
    <row r="2407" spans="1:10" ht="24" customHeight="1">
      <c r="A2407" s="682" t="s">
        <v>13476</v>
      </c>
      <c r="B2407" s="683" t="s">
        <v>14690</v>
      </c>
      <c r="C2407" s="682" t="s">
        <v>7</v>
      </c>
      <c r="D2407" s="682" t="s">
        <v>5775</v>
      </c>
      <c r="E2407" s="917" t="s">
        <v>13540</v>
      </c>
      <c r="F2407" s="917"/>
      <c r="G2407" s="681" t="s">
        <v>34</v>
      </c>
      <c r="H2407" s="680">
        <v>1</v>
      </c>
      <c r="I2407" s="679">
        <v>11.72</v>
      </c>
      <c r="J2407" s="679">
        <v>11.72</v>
      </c>
    </row>
    <row r="2408" spans="1:10" ht="24" customHeight="1">
      <c r="A2408" s="677" t="s">
        <v>13472</v>
      </c>
      <c r="B2408" s="678" t="s">
        <v>13539</v>
      </c>
      <c r="C2408" s="677" t="s">
        <v>7</v>
      </c>
      <c r="D2408" s="677" t="s">
        <v>45</v>
      </c>
      <c r="E2408" s="918" t="s">
        <v>13470</v>
      </c>
      <c r="F2408" s="918"/>
      <c r="G2408" s="676" t="s">
        <v>19</v>
      </c>
      <c r="H2408" s="675">
        <v>4.7600000000000003E-2</v>
      </c>
      <c r="I2408" s="674">
        <v>18.3</v>
      </c>
      <c r="J2408" s="674">
        <v>0.87</v>
      </c>
    </row>
    <row r="2409" spans="1:10" ht="24" customHeight="1">
      <c r="A2409" s="677" t="s">
        <v>13472</v>
      </c>
      <c r="B2409" s="678" t="s">
        <v>13538</v>
      </c>
      <c r="C2409" s="677" t="s">
        <v>7</v>
      </c>
      <c r="D2409" s="677" t="s">
        <v>47</v>
      </c>
      <c r="E2409" s="918" t="s">
        <v>13470</v>
      </c>
      <c r="F2409" s="918"/>
      <c r="G2409" s="676" t="s">
        <v>19</v>
      </c>
      <c r="H2409" s="675">
        <v>4.7600000000000003E-2</v>
      </c>
      <c r="I2409" s="674">
        <v>14</v>
      </c>
      <c r="J2409" s="674">
        <v>0.66</v>
      </c>
    </row>
    <row r="2410" spans="1:10" ht="24" customHeight="1">
      <c r="A2410" s="672" t="s">
        <v>13467</v>
      </c>
      <c r="B2410" s="673" t="s">
        <v>14687</v>
      </c>
      <c r="C2410" s="672" t="s">
        <v>7</v>
      </c>
      <c r="D2410" s="672" t="s">
        <v>14686</v>
      </c>
      <c r="E2410" s="919" t="s">
        <v>13464</v>
      </c>
      <c r="F2410" s="919"/>
      <c r="G2410" s="671" t="s">
        <v>34</v>
      </c>
      <c r="H2410" s="670">
        <v>1</v>
      </c>
      <c r="I2410" s="669">
        <v>9.42</v>
      </c>
      <c r="J2410" s="669">
        <v>9.42</v>
      </c>
    </row>
    <row r="2411" spans="1:10" ht="36" customHeight="1">
      <c r="A2411" s="672" t="s">
        <v>13467</v>
      </c>
      <c r="B2411" s="673" t="s">
        <v>14683</v>
      </c>
      <c r="C2411" s="672" t="s">
        <v>7</v>
      </c>
      <c r="D2411" s="672" t="s">
        <v>14682</v>
      </c>
      <c r="E2411" s="919" t="s">
        <v>13464</v>
      </c>
      <c r="F2411" s="919"/>
      <c r="G2411" s="671" t="s">
        <v>34</v>
      </c>
      <c r="H2411" s="670">
        <v>1</v>
      </c>
      <c r="I2411" s="669">
        <v>0.77</v>
      </c>
      <c r="J2411" s="669">
        <v>0.77</v>
      </c>
    </row>
    <row r="2412" spans="1:10" ht="25.5">
      <c r="A2412" s="668"/>
      <c r="B2412" s="668"/>
      <c r="C2412" s="668"/>
      <c r="D2412" s="668"/>
      <c r="E2412" s="668" t="s">
        <v>13463</v>
      </c>
      <c r="F2412" s="667">
        <v>0.63022927306313159</v>
      </c>
      <c r="G2412" s="668" t="s">
        <v>13462</v>
      </c>
      <c r="H2412" s="667">
        <v>0.53</v>
      </c>
      <c r="I2412" s="668" t="s">
        <v>13461</v>
      </c>
      <c r="J2412" s="667">
        <v>1.1599999999999999</v>
      </c>
    </row>
    <row r="2413" spans="1:10" ht="15" thickBot="1">
      <c r="A2413" s="668"/>
      <c r="B2413" s="668"/>
      <c r="C2413" s="668"/>
      <c r="D2413" s="668"/>
      <c r="E2413" s="668" t="s">
        <v>13460</v>
      </c>
      <c r="F2413" s="667">
        <v>3.3</v>
      </c>
      <c r="G2413" s="668"/>
      <c r="H2413" s="925" t="s">
        <v>13459</v>
      </c>
      <c r="I2413" s="925"/>
      <c r="J2413" s="667">
        <v>15.02</v>
      </c>
    </row>
    <row r="2414" spans="1:10" ht="0.95" customHeight="1" thickTop="1">
      <c r="A2414" s="666"/>
      <c r="B2414" s="666"/>
      <c r="C2414" s="666"/>
      <c r="D2414" s="666"/>
      <c r="E2414" s="666"/>
      <c r="F2414" s="666"/>
      <c r="G2414" s="666"/>
      <c r="H2414" s="666"/>
      <c r="I2414" s="666"/>
      <c r="J2414" s="666"/>
    </row>
    <row r="2415" spans="1:10" ht="18" customHeight="1">
      <c r="A2415" s="686" t="s">
        <v>14689</v>
      </c>
      <c r="B2415" s="684" t="s">
        <v>13484</v>
      </c>
      <c r="C2415" s="686" t="s">
        <v>13483</v>
      </c>
      <c r="D2415" s="686" t="s">
        <v>13482</v>
      </c>
      <c r="E2415" s="924" t="s">
        <v>13481</v>
      </c>
      <c r="F2415" s="924"/>
      <c r="G2415" s="685" t="s">
        <v>13480</v>
      </c>
      <c r="H2415" s="684" t="s">
        <v>13479</v>
      </c>
      <c r="I2415" s="684" t="s">
        <v>13478</v>
      </c>
      <c r="J2415" s="684" t="s">
        <v>13477</v>
      </c>
    </row>
    <row r="2416" spans="1:10" ht="24" customHeight="1">
      <c r="A2416" s="682" t="s">
        <v>13476</v>
      </c>
      <c r="B2416" s="683" t="s">
        <v>14688</v>
      </c>
      <c r="C2416" s="682" t="s">
        <v>7</v>
      </c>
      <c r="D2416" s="682" t="s">
        <v>5776</v>
      </c>
      <c r="E2416" s="917" t="s">
        <v>13540</v>
      </c>
      <c r="F2416" s="917"/>
      <c r="G2416" s="681" t="s">
        <v>34</v>
      </c>
      <c r="H2416" s="680">
        <v>1</v>
      </c>
      <c r="I2416" s="679">
        <v>12.56</v>
      </c>
      <c r="J2416" s="679">
        <v>12.56</v>
      </c>
    </row>
    <row r="2417" spans="1:10" ht="24" customHeight="1">
      <c r="A2417" s="677" t="s">
        <v>13472</v>
      </c>
      <c r="B2417" s="678" t="s">
        <v>13539</v>
      </c>
      <c r="C2417" s="677" t="s">
        <v>7</v>
      </c>
      <c r="D2417" s="677" t="s">
        <v>45</v>
      </c>
      <c r="E2417" s="918" t="s">
        <v>13470</v>
      </c>
      <c r="F2417" s="918"/>
      <c r="G2417" s="676" t="s">
        <v>19</v>
      </c>
      <c r="H2417" s="675">
        <v>6.6299999999999998E-2</v>
      </c>
      <c r="I2417" s="674">
        <v>18.3</v>
      </c>
      <c r="J2417" s="674">
        <v>1.21</v>
      </c>
    </row>
    <row r="2418" spans="1:10" ht="24" customHeight="1">
      <c r="A2418" s="677" t="s">
        <v>13472</v>
      </c>
      <c r="B2418" s="678" t="s">
        <v>13538</v>
      </c>
      <c r="C2418" s="677" t="s">
        <v>7</v>
      </c>
      <c r="D2418" s="677" t="s">
        <v>47</v>
      </c>
      <c r="E2418" s="918" t="s">
        <v>13470</v>
      </c>
      <c r="F2418" s="918"/>
      <c r="G2418" s="676" t="s">
        <v>19</v>
      </c>
      <c r="H2418" s="675">
        <v>6.6299999999999998E-2</v>
      </c>
      <c r="I2418" s="674">
        <v>14</v>
      </c>
      <c r="J2418" s="674">
        <v>0.92</v>
      </c>
    </row>
    <row r="2419" spans="1:10" ht="24" customHeight="1">
      <c r="A2419" s="672" t="s">
        <v>13467</v>
      </c>
      <c r="B2419" s="673" t="s">
        <v>14687</v>
      </c>
      <c r="C2419" s="672" t="s">
        <v>7</v>
      </c>
      <c r="D2419" s="672" t="s">
        <v>14686</v>
      </c>
      <c r="E2419" s="919" t="s">
        <v>13464</v>
      </c>
      <c r="F2419" s="919"/>
      <c r="G2419" s="671" t="s">
        <v>34</v>
      </c>
      <c r="H2419" s="670">
        <v>1</v>
      </c>
      <c r="I2419" s="669">
        <v>9.42</v>
      </c>
      <c r="J2419" s="669">
        <v>9.42</v>
      </c>
    </row>
    <row r="2420" spans="1:10" ht="36" customHeight="1">
      <c r="A2420" s="672" t="s">
        <v>13467</v>
      </c>
      <c r="B2420" s="673" t="s">
        <v>14673</v>
      </c>
      <c r="C2420" s="672" t="s">
        <v>7</v>
      </c>
      <c r="D2420" s="672" t="s">
        <v>14672</v>
      </c>
      <c r="E2420" s="919" t="s">
        <v>13464</v>
      </c>
      <c r="F2420" s="919"/>
      <c r="G2420" s="671" t="s">
        <v>34</v>
      </c>
      <c r="H2420" s="670">
        <v>1</v>
      </c>
      <c r="I2420" s="669">
        <v>1.01</v>
      </c>
      <c r="J2420" s="669">
        <v>1.01</v>
      </c>
    </row>
    <row r="2421" spans="1:10" ht="25.5">
      <c r="A2421" s="668"/>
      <c r="B2421" s="668"/>
      <c r="C2421" s="668"/>
      <c r="D2421" s="668"/>
      <c r="E2421" s="668" t="s">
        <v>13463</v>
      </c>
      <c r="F2421" s="667">
        <v>0.88558078887319347</v>
      </c>
      <c r="G2421" s="668" t="s">
        <v>13462</v>
      </c>
      <c r="H2421" s="667">
        <v>0.74</v>
      </c>
      <c r="I2421" s="668" t="s">
        <v>13461</v>
      </c>
      <c r="J2421" s="667">
        <v>1.63</v>
      </c>
    </row>
    <row r="2422" spans="1:10" ht="15" thickBot="1">
      <c r="A2422" s="668"/>
      <c r="B2422" s="668"/>
      <c r="C2422" s="668"/>
      <c r="D2422" s="668"/>
      <c r="E2422" s="668" t="s">
        <v>13460</v>
      </c>
      <c r="F2422" s="667">
        <v>3.54</v>
      </c>
      <c r="G2422" s="668"/>
      <c r="H2422" s="925" t="s">
        <v>13459</v>
      </c>
      <c r="I2422" s="925"/>
      <c r="J2422" s="667">
        <v>16.100000000000001</v>
      </c>
    </row>
    <row r="2423" spans="1:10" ht="0.95" customHeight="1" thickTop="1">
      <c r="A2423" s="666"/>
      <c r="B2423" s="666"/>
      <c r="C2423" s="666"/>
      <c r="D2423" s="666"/>
      <c r="E2423" s="666"/>
      <c r="F2423" s="666"/>
      <c r="G2423" s="666"/>
      <c r="H2423" s="666"/>
      <c r="I2423" s="666"/>
      <c r="J2423" s="666"/>
    </row>
    <row r="2424" spans="1:10" ht="18" customHeight="1">
      <c r="A2424" s="686" t="s">
        <v>14685</v>
      </c>
      <c r="B2424" s="684" t="s">
        <v>13484</v>
      </c>
      <c r="C2424" s="686" t="s">
        <v>13483</v>
      </c>
      <c r="D2424" s="686" t="s">
        <v>13482</v>
      </c>
      <c r="E2424" s="924" t="s">
        <v>13481</v>
      </c>
      <c r="F2424" s="924"/>
      <c r="G2424" s="685" t="s">
        <v>13480</v>
      </c>
      <c r="H2424" s="684" t="s">
        <v>13479</v>
      </c>
      <c r="I2424" s="684" t="s">
        <v>13478</v>
      </c>
      <c r="J2424" s="684" t="s">
        <v>13477</v>
      </c>
    </row>
    <row r="2425" spans="1:10" ht="24" customHeight="1">
      <c r="A2425" s="682" t="s">
        <v>13476</v>
      </c>
      <c r="B2425" s="683" t="s">
        <v>14684</v>
      </c>
      <c r="C2425" s="682" t="s">
        <v>7</v>
      </c>
      <c r="D2425" s="682" t="s">
        <v>5782</v>
      </c>
      <c r="E2425" s="917" t="s">
        <v>13540</v>
      </c>
      <c r="F2425" s="917"/>
      <c r="G2425" s="681" t="s">
        <v>34</v>
      </c>
      <c r="H2425" s="680">
        <v>1</v>
      </c>
      <c r="I2425" s="679">
        <v>58.6</v>
      </c>
      <c r="J2425" s="679">
        <v>58.6</v>
      </c>
    </row>
    <row r="2426" spans="1:10" ht="24" customHeight="1">
      <c r="A2426" s="677" t="s">
        <v>13472</v>
      </c>
      <c r="B2426" s="678" t="s">
        <v>13539</v>
      </c>
      <c r="C2426" s="677" t="s">
        <v>7</v>
      </c>
      <c r="D2426" s="677" t="s">
        <v>45</v>
      </c>
      <c r="E2426" s="918" t="s">
        <v>13470</v>
      </c>
      <c r="F2426" s="918"/>
      <c r="G2426" s="676" t="s">
        <v>19</v>
      </c>
      <c r="H2426" s="675">
        <v>9.5200000000000007E-2</v>
      </c>
      <c r="I2426" s="674">
        <v>18.3</v>
      </c>
      <c r="J2426" s="674">
        <v>1.74</v>
      </c>
    </row>
    <row r="2427" spans="1:10" ht="24" customHeight="1">
      <c r="A2427" s="677" t="s">
        <v>13472</v>
      </c>
      <c r="B2427" s="678" t="s">
        <v>13538</v>
      </c>
      <c r="C2427" s="677" t="s">
        <v>7</v>
      </c>
      <c r="D2427" s="677" t="s">
        <v>47</v>
      </c>
      <c r="E2427" s="918" t="s">
        <v>13470</v>
      </c>
      <c r="F2427" s="918"/>
      <c r="G2427" s="676" t="s">
        <v>19</v>
      </c>
      <c r="H2427" s="675">
        <v>9.5200000000000007E-2</v>
      </c>
      <c r="I2427" s="674">
        <v>14</v>
      </c>
      <c r="J2427" s="674">
        <v>1.33</v>
      </c>
    </row>
    <row r="2428" spans="1:10" ht="24" customHeight="1">
      <c r="A2428" s="672" t="s">
        <v>13467</v>
      </c>
      <c r="B2428" s="673" t="s">
        <v>14677</v>
      </c>
      <c r="C2428" s="672" t="s">
        <v>7</v>
      </c>
      <c r="D2428" s="672" t="s">
        <v>14676</v>
      </c>
      <c r="E2428" s="919" t="s">
        <v>13464</v>
      </c>
      <c r="F2428" s="919"/>
      <c r="G2428" s="671" t="s">
        <v>34</v>
      </c>
      <c r="H2428" s="670">
        <v>1</v>
      </c>
      <c r="I2428" s="669">
        <v>53.99</v>
      </c>
      <c r="J2428" s="669">
        <v>53.99</v>
      </c>
    </row>
    <row r="2429" spans="1:10" ht="36" customHeight="1">
      <c r="A2429" s="672" t="s">
        <v>13467</v>
      </c>
      <c r="B2429" s="673" t="s">
        <v>14683</v>
      </c>
      <c r="C2429" s="672" t="s">
        <v>7</v>
      </c>
      <c r="D2429" s="672" t="s">
        <v>14682</v>
      </c>
      <c r="E2429" s="919" t="s">
        <v>13464</v>
      </c>
      <c r="F2429" s="919"/>
      <c r="G2429" s="671" t="s">
        <v>34</v>
      </c>
      <c r="H2429" s="670">
        <v>2</v>
      </c>
      <c r="I2429" s="669">
        <v>0.77</v>
      </c>
      <c r="J2429" s="669">
        <v>1.54</v>
      </c>
    </row>
    <row r="2430" spans="1:10" ht="25.5">
      <c r="A2430" s="668"/>
      <c r="B2430" s="668"/>
      <c r="C2430" s="668"/>
      <c r="D2430" s="668"/>
      <c r="E2430" s="668" t="s">
        <v>13463</v>
      </c>
      <c r="F2430" s="667">
        <v>1.2713245680756275</v>
      </c>
      <c r="G2430" s="668" t="s">
        <v>13462</v>
      </c>
      <c r="H2430" s="667">
        <v>1.07</v>
      </c>
      <c r="I2430" s="668" t="s">
        <v>13461</v>
      </c>
      <c r="J2430" s="667">
        <v>2.34</v>
      </c>
    </row>
    <row r="2431" spans="1:10" ht="15" thickBot="1">
      <c r="A2431" s="668"/>
      <c r="B2431" s="668"/>
      <c r="C2431" s="668"/>
      <c r="D2431" s="668"/>
      <c r="E2431" s="668" t="s">
        <v>13460</v>
      </c>
      <c r="F2431" s="667">
        <v>16.54</v>
      </c>
      <c r="G2431" s="668"/>
      <c r="H2431" s="925" t="s">
        <v>13459</v>
      </c>
      <c r="I2431" s="925"/>
      <c r="J2431" s="667">
        <v>75.14</v>
      </c>
    </row>
    <row r="2432" spans="1:10" ht="0.95" customHeight="1" thickTop="1">
      <c r="A2432" s="666"/>
      <c r="B2432" s="666"/>
      <c r="C2432" s="666"/>
      <c r="D2432" s="666"/>
      <c r="E2432" s="666"/>
      <c r="F2432" s="666"/>
      <c r="G2432" s="666"/>
      <c r="H2432" s="666"/>
      <c r="I2432" s="666"/>
      <c r="J2432" s="666"/>
    </row>
    <row r="2433" spans="1:10" ht="18" customHeight="1">
      <c r="A2433" s="686" t="s">
        <v>14681</v>
      </c>
      <c r="B2433" s="684" t="s">
        <v>13484</v>
      </c>
      <c r="C2433" s="686" t="s">
        <v>13483</v>
      </c>
      <c r="D2433" s="686" t="s">
        <v>13482</v>
      </c>
      <c r="E2433" s="924" t="s">
        <v>13481</v>
      </c>
      <c r="F2433" s="924"/>
      <c r="G2433" s="685" t="s">
        <v>13480</v>
      </c>
      <c r="H2433" s="684" t="s">
        <v>13479</v>
      </c>
      <c r="I2433" s="684" t="s">
        <v>13478</v>
      </c>
      <c r="J2433" s="684" t="s">
        <v>13477</v>
      </c>
    </row>
    <row r="2434" spans="1:10" ht="24" customHeight="1">
      <c r="A2434" s="682" t="s">
        <v>13476</v>
      </c>
      <c r="B2434" s="683" t="s">
        <v>14680</v>
      </c>
      <c r="C2434" s="682" t="s">
        <v>7</v>
      </c>
      <c r="D2434" s="682" t="s">
        <v>5784</v>
      </c>
      <c r="E2434" s="917" t="s">
        <v>13540</v>
      </c>
      <c r="F2434" s="917"/>
      <c r="G2434" s="681" t="s">
        <v>34</v>
      </c>
      <c r="H2434" s="680">
        <v>1</v>
      </c>
      <c r="I2434" s="679">
        <v>60.28</v>
      </c>
      <c r="J2434" s="679">
        <v>60.28</v>
      </c>
    </row>
    <row r="2435" spans="1:10" ht="24" customHeight="1">
      <c r="A2435" s="677" t="s">
        <v>13472</v>
      </c>
      <c r="B2435" s="678" t="s">
        <v>13539</v>
      </c>
      <c r="C2435" s="677" t="s">
        <v>7</v>
      </c>
      <c r="D2435" s="677" t="s">
        <v>45</v>
      </c>
      <c r="E2435" s="918" t="s">
        <v>13470</v>
      </c>
      <c r="F2435" s="918"/>
      <c r="G2435" s="676" t="s">
        <v>19</v>
      </c>
      <c r="H2435" s="675">
        <v>0.13250000000000001</v>
      </c>
      <c r="I2435" s="674">
        <v>18.3</v>
      </c>
      <c r="J2435" s="674">
        <v>2.42</v>
      </c>
    </row>
    <row r="2436" spans="1:10" ht="24" customHeight="1">
      <c r="A2436" s="677" t="s">
        <v>13472</v>
      </c>
      <c r="B2436" s="678" t="s">
        <v>13538</v>
      </c>
      <c r="C2436" s="677" t="s">
        <v>7</v>
      </c>
      <c r="D2436" s="677" t="s">
        <v>47</v>
      </c>
      <c r="E2436" s="918" t="s">
        <v>13470</v>
      </c>
      <c r="F2436" s="918"/>
      <c r="G2436" s="676" t="s">
        <v>19</v>
      </c>
      <c r="H2436" s="675">
        <v>0.13250000000000001</v>
      </c>
      <c r="I2436" s="674">
        <v>14</v>
      </c>
      <c r="J2436" s="674">
        <v>1.85</v>
      </c>
    </row>
    <row r="2437" spans="1:10" ht="24" customHeight="1">
      <c r="A2437" s="672" t="s">
        <v>13467</v>
      </c>
      <c r="B2437" s="673" t="s">
        <v>14677</v>
      </c>
      <c r="C2437" s="672" t="s">
        <v>7</v>
      </c>
      <c r="D2437" s="672" t="s">
        <v>14676</v>
      </c>
      <c r="E2437" s="919" t="s">
        <v>13464</v>
      </c>
      <c r="F2437" s="919"/>
      <c r="G2437" s="671" t="s">
        <v>34</v>
      </c>
      <c r="H2437" s="670">
        <v>1</v>
      </c>
      <c r="I2437" s="669">
        <v>53.99</v>
      </c>
      <c r="J2437" s="669">
        <v>53.99</v>
      </c>
    </row>
    <row r="2438" spans="1:10" ht="36" customHeight="1">
      <c r="A2438" s="672" t="s">
        <v>13467</v>
      </c>
      <c r="B2438" s="673" t="s">
        <v>14673</v>
      </c>
      <c r="C2438" s="672" t="s">
        <v>7</v>
      </c>
      <c r="D2438" s="672" t="s">
        <v>14672</v>
      </c>
      <c r="E2438" s="919" t="s">
        <v>13464</v>
      </c>
      <c r="F2438" s="919"/>
      <c r="G2438" s="671" t="s">
        <v>34</v>
      </c>
      <c r="H2438" s="670">
        <v>2</v>
      </c>
      <c r="I2438" s="669">
        <v>1.01</v>
      </c>
      <c r="J2438" s="669">
        <v>2.02</v>
      </c>
    </row>
    <row r="2439" spans="1:10" ht="25.5">
      <c r="A2439" s="668"/>
      <c r="B2439" s="668"/>
      <c r="C2439" s="668"/>
      <c r="D2439" s="668"/>
      <c r="E2439" s="668" t="s">
        <v>13463</v>
      </c>
      <c r="F2439" s="667">
        <v>1.7711615777463869</v>
      </c>
      <c r="G2439" s="668" t="s">
        <v>13462</v>
      </c>
      <c r="H2439" s="667">
        <v>1.49</v>
      </c>
      <c r="I2439" s="668" t="s">
        <v>13461</v>
      </c>
      <c r="J2439" s="667">
        <v>3.26</v>
      </c>
    </row>
    <row r="2440" spans="1:10" ht="15" thickBot="1">
      <c r="A2440" s="668"/>
      <c r="B2440" s="668"/>
      <c r="C2440" s="668"/>
      <c r="D2440" s="668"/>
      <c r="E2440" s="668" t="s">
        <v>13460</v>
      </c>
      <c r="F2440" s="667">
        <v>17.02</v>
      </c>
      <c r="G2440" s="668"/>
      <c r="H2440" s="925" t="s">
        <v>13459</v>
      </c>
      <c r="I2440" s="925"/>
      <c r="J2440" s="667">
        <v>77.3</v>
      </c>
    </row>
    <row r="2441" spans="1:10" ht="0.95" customHeight="1" thickTop="1">
      <c r="A2441" s="666"/>
      <c r="B2441" s="666"/>
      <c r="C2441" s="666"/>
      <c r="D2441" s="666"/>
      <c r="E2441" s="666"/>
      <c r="F2441" s="666"/>
      <c r="G2441" s="666"/>
      <c r="H2441" s="666"/>
      <c r="I2441" s="666"/>
      <c r="J2441" s="666"/>
    </row>
    <row r="2442" spans="1:10" ht="18" customHeight="1">
      <c r="A2442" s="686" t="s">
        <v>14679</v>
      </c>
      <c r="B2442" s="684" t="s">
        <v>13484</v>
      </c>
      <c r="C2442" s="686" t="s">
        <v>13483</v>
      </c>
      <c r="D2442" s="686" t="s">
        <v>13482</v>
      </c>
      <c r="E2442" s="924" t="s">
        <v>13481</v>
      </c>
      <c r="F2442" s="924"/>
      <c r="G2442" s="685" t="s">
        <v>13480</v>
      </c>
      <c r="H2442" s="684" t="s">
        <v>13479</v>
      </c>
      <c r="I2442" s="684" t="s">
        <v>13478</v>
      </c>
      <c r="J2442" s="684" t="s">
        <v>13477</v>
      </c>
    </row>
    <row r="2443" spans="1:10" ht="24" customHeight="1">
      <c r="A2443" s="682" t="s">
        <v>13476</v>
      </c>
      <c r="B2443" s="683" t="s">
        <v>14678</v>
      </c>
      <c r="C2443" s="682" t="s">
        <v>7</v>
      </c>
      <c r="D2443" s="682" t="s">
        <v>5785</v>
      </c>
      <c r="E2443" s="917" t="s">
        <v>13540</v>
      </c>
      <c r="F2443" s="917"/>
      <c r="G2443" s="681" t="s">
        <v>34</v>
      </c>
      <c r="H2443" s="680">
        <v>1</v>
      </c>
      <c r="I2443" s="679">
        <v>62.27</v>
      </c>
      <c r="J2443" s="679">
        <v>62.27</v>
      </c>
    </row>
    <row r="2444" spans="1:10" ht="24" customHeight="1">
      <c r="A2444" s="677" t="s">
        <v>13472</v>
      </c>
      <c r="B2444" s="678" t="s">
        <v>13539</v>
      </c>
      <c r="C2444" s="677" t="s">
        <v>7</v>
      </c>
      <c r="D2444" s="677" t="s">
        <v>45</v>
      </c>
      <c r="E2444" s="918" t="s">
        <v>13470</v>
      </c>
      <c r="F2444" s="918"/>
      <c r="G2444" s="676" t="s">
        <v>19</v>
      </c>
      <c r="H2444" s="675">
        <v>0.18229999999999999</v>
      </c>
      <c r="I2444" s="674">
        <v>18.3</v>
      </c>
      <c r="J2444" s="674">
        <v>3.33</v>
      </c>
    </row>
    <row r="2445" spans="1:10" ht="24" customHeight="1">
      <c r="A2445" s="677" t="s">
        <v>13472</v>
      </c>
      <c r="B2445" s="678" t="s">
        <v>13538</v>
      </c>
      <c r="C2445" s="677" t="s">
        <v>7</v>
      </c>
      <c r="D2445" s="677" t="s">
        <v>47</v>
      </c>
      <c r="E2445" s="918" t="s">
        <v>13470</v>
      </c>
      <c r="F2445" s="918"/>
      <c r="G2445" s="676" t="s">
        <v>19</v>
      </c>
      <c r="H2445" s="675">
        <v>0.18229999999999999</v>
      </c>
      <c r="I2445" s="674">
        <v>14</v>
      </c>
      <c r="J2445" s="674">
        <v>2.5499999999999998</v>
      </c>
    </row>
    <row r="2446" spans="1:10" ht="24" customHeight="1">
      <c r="A2446" s="672" t="s">
        <v>13467</v>
      </c>
      <c r="B2446" s="673" t="s">
        <v>14677</v>
      </c>
      <c r="C2446" s="672" t="s">
        <v>7</v>
      </c>
      <c r="D2446" s="672" t="s">
        <v>14676</v>
      </c>
      <c r="E2446" s="919" t="s">
        <v>13464</v>
      </c>
      <c r="F2446" s="919"/>
      <c r="G2446" s="671" t="s">
        <v>34</v>
      </c>
      <c r="H2446" s="670">
        <v>1</v>
      </c>
      <c r="I2446" s="669">
        <v>53.99</v>
      </c>
      <c r="J2446" s="669">
        <v>53.99</v>
      </c>
    </row>
    <row r="2447" spans="1:10" ht="36" customHeight="1">
      <c r="A2447" s="672" t="s">
        <v>13467</v>
      </c>
      <c r="B2447" s="673" t="s">
        <v>14669</v>
      </c>
      <c r="C2447" s="672" t="s">
        <v>7</v>
      </c>
      <c r="D2447" s="672" t="s">
        <v>14668</v>
      </c>
      <c r="E2447" s="919" t="s">
        <v>13464</v>
      </c>
      <c r="F2447" s="919"/>
      <c r="G2447" s="671" t="s">
        <v>34</v>
      </c>
      <c r="H2447" s="670">
        <v>2</v>
      </c>
      <c r="I2447" s="669">
        <v>1.2</v>
      </c>
      <c r="J2447" s="669">
        <v>2.4</v>
      </c>
    </row>
    <row r="2448" spans="1:10" ht="25.5">
      <c r="A2448" s="668"/>
      <c r="B2448" s="668"/>
      <c r="C2448" s="668"/>
      <c r="D2448" s="668"/>
      <c r="E2448" s="668" t="s">
        <v>13463</v>
      </c>
      <c r="F2448" s="667">
        <v>2.4394219276322939</v>
      </c>
      <c r="G2448" s="668" t="s">
        <v>13462</v>
      </c>
      <c r="H2448" s="667">
        <v>2.0499999999999998</v>
      </c>
      <c r="I2448" s="668" t="s">
        <v>13461</v>
      </c>
      <c r="J2448" s="667">
        <v>4.49</v>
      </c>
    </row>
    <row r="2449" spans="1:10" ht="15" thickBot="1">
      <c r="A2449" s="668"/>
      <c r="B2449" s="668"/>
      <c r="C2449" s="668"/>
      <c r="D2449" s="668"/>
      <c r="E2449" s="668" t="s">
        <v>13460</v>
      </c>
      <c r="F2449" s="667">
        <v>17.579999999999998</v>
      </c>
      <c r="G2449" s="668"/>
      <c r="H2449" s="925" t="s">
        <v>13459</v>
      </c>
      <c r="I2449" s="925"/>
      <c r="J2449" s="667">
        <v>79.849999999999994</v>
      </c>
    </row>
    <row r="2450" spans="1:10" ht="0.95" customHeight="1" thickTop="1">
      <c r="A2450" s="666"/>
      <c r="B2450" s="666"/>
      <c r="C2450" s="666"/>
      <c r="D2450" s="666"/>
      <c r="E2450" s="666"/>
      <c r="F2450" s="666"/>
      <c r="G2450" s="666"/>
      <c r="H2450" s="666"/>
      <c r="I2450" s="666"/>
      <c r="J2450" s="666"/>
    </row>
    <row r="2451" spans="1:10" ht="18" customHeight="1">
      <c r="A2451" s="686" t="s">
        <v>14675</v>
      </c>
      <c r="B2451" s="684" t="s">
        <v>13484</v>
      </c>
      <c r="C2451" s="686" t="s">
        <v>13483</v>
      </c>
      <c r="D2451" s="686" t="s">
        <v>13482</v>
      </c>
      <c r="E2451" s="924" t="s">
        <v>13481</v>
      </c>
      <c r="F2451" s="924"/>
      <c r="G2451" s="685" t="s">
        <v>13480</v>
      </c>
      <c r="H2451" s="684" t="s">
        <v>13479</v>
      </c>
      <c r="I2451" s="684" t="s">
        <v>13478</v>
      </c>
      <c r="J2451" s="684" t="s">
        <v>13477</v>
      </c>
    </row>
    <row r="2452" spans="1:10" ht="24" customHeight="1">
      <c r="A2452" s="682" t="s">
        <v>13476</v>
      </c>
      <c r="B2452" s="683" t="s">
        <v>14674</v>
      </c>
      <c r="C2452" s="682" t="s">
        <v>7</v>
      </c>
      <c r="D2452" s="682" t="s">
        <v>5791</v>
      </c>
      <c r="E2452" s="917" t="s">
        <v>13540</v>
      </c>
      <c r="F2452" s="917"/>
      <c r="G2452" s="681" t="s">
        <v>34</v>
      </c>
      <c r="H2452" s="680">
        <v>1</v>
      </c>
      <c r="I2452" s="679">
        <v>75.59</v>
      </c>
      <c r="J2452" s="679">
        <v>75.59</v>
      </c>
    </row>
    <row r="2453" spans="1:10" ht="24" customHeight="1">
      <c r="A2453" s="677" t="s">
        <v>13472</v>
      </c>
      <c r="B2453" s="678" t="s">
        <v>13539</v>
      </c>
      <c r="C2453" s="677" t="s">
        <v>7</v>
      </c>
      <c r="D2453" s="677" t="s">
        <v>45</v>
      </c>
      <c r="E2453" s="918" t="s">
        <v>13470</v>
      </c>
      <c r="F2453" s="918"/>
      <c r="G2453" s="676" t="s">
        <v>19</v>
      </c>
      <c r="H2453" s="675">
        <v>0.1988</v>
      </c>
      <c r="I2453" s="674">
        <v>18.3</v>
      </c>
      <c r="J2453" s="674">
        <v>3.63</v>
      </c>
    </row>
    <row r="2454" spans="1:10" ht="24" customHeight="1">
      <c r="A2454" s="677" t="s">
        <v>13472</v>
      </c>
      <c r="B2454" s="678" t="s">
        <v>13538</v>
      </c>
      <c r="C2454" s="677" t="s">
        <v>7</v>
      </c>
      <c r="D2454" s="677" t="s">
        <v>47</v>
      </c>
      <c r="E2454" s="918" t="s">
        <v>13470</v>
      </c>
      <c r="F2454" s="918"/>
      <c r="G2454" s="676" t="s">
        <v>19</v>
      </c>
      <c r="H2454" s="675">
        <v>0.1988</v>
      </c>
      <c r="I2454" s="674">
        <v>14</v>
      </c>
      <c r="J2454" s="674">
        <v>2.78</v>
      </c>
    </row>
    <row r="2455" spans="1:10" ht="24" customHeight="1">
      <c r="A2455" s="672" t="s">
        <v>13467</v>
      </c>
      <c r="B2455" s="673" t="s">
        <v>13871</v>
      </c>
      <c r="C2455" s="672" t="s">
        <v>7</v>
      </c>
      <c r="D2455" s="672" t="s">
        <v>13870</v>
      </c>
      <c r="E2455" s="919" t="s">
        <v>13464</v>
      </c>
      <c r="F2455" s="919"/>
      <c r="G2455" s="671" t="s">
        <v>34</v>
      </c>
      <c r="H2455" s="670">
        <v>1</v>
      </c>
      <c r="I2455" s="669">
        <v>66.150000000000006</v>
      </c>
      <c r="J2455" s="669">
        <v>66.150000000000006</v>
      </c>
    </row>
    <row r="2456" spans="1:10" ht="36" customHeight="1">
      <c r="A2456" s="672" t="s">
        <v>13467</v>
      </c>
      <c r="B2456" s="673" t="s">
        <v>14673</v>
      </c>
      <c r="C2456" s="672" t="s">
        <v>7</v>
      </c>
      <c r="D2456" s="672" t="s">
        <v>14672</v>
      </c>
      <c r="E2456" s="919" t="s">
        <v>13464</v>
      </c>
      <c r="F2456" s="919"/>
      <c r="G2456" s="671" t="s">
        <v>34</v>
      </c>
      <c r="H2456" s="670">
        <v>3</v>
      </c>
      <c r="I2456" s="669">
        <v>1.01</v>
      </c>
      <c r="J2456" s="669">
        <v>3.03</v>
      </c>
    </row>
    <row r="2457" spans="1:10" ht="25.5">
      <c r="A2457" s="668"/>
      <c r="B2457" s="668"/>
      <c r="C2457" s="668"/>
      <c r="D2457" s="668"/>
      <c r="E2457" s="668" t="s">
        <v>13463</v>
      </c>
      <c r="F2457" s="667">
        <v>2.6621753775942629</v>
      </c>
      <c r="G2457" s="668" t="s">
        <v>13462</v>
      </c>
      <c r="H2457" s="667">
        <v>2.2400000000000002</v>
      </c>
      <c r="I2457" s="668" t="s">
        <v>13461</v>
      </c>
      <c r="J2457" s="667">
        <v>4.9000000000000004</v>
      </c>
    </row>
    <row r="2458" spans="1:10" ht="15" thickBot="1">
      <c r="A2458" s="668"/>
      <c r="B2458" s="668"/>
      <c r="C2458" s="668"/>
      <c r="D2458" s="668"/>
      <c r="E2458" s="668" t="s">
        <v>13460</v>
      </c>
      <c r="F2458" s="667">
        <v>21.34</v>
      </c>
      <c r="G2458" s="668"/>
      <c r="H2458" s="925" t="s">
        <v>13459</v>
      </c>
      <c r="I2458" s="925"/>
      <c r="J2458" s="667">
        <v>96.93</v>
      </c>
    </row>
    <row r="2459" spans="1:10" ht="0.95" customHeight="1" thickTop="1">
      <c r="A2459" s="666"/>
      <c r="B2459" s="666"/>
      <c r="C2459" s="666"/>
      <c r="D2459" s="666"/>
      <c r="E2459" s="666"/>
      <c r="F2459" s="666"/>
      <c r="G2459" s="666"/>
      <c r="H2459" s="666"/>
      <c r="I2459" s="666"/>
      <c r="J2459" s="666"/>
    </row>
    <row r="2460" spans="1:10" ht="18" customHeight="1">
      <c r="A2460" s="686" t="s">
        <v>14671</v>
      </c>
      <c r="B2460" s="684" t="s">
        <v>13484</v>
      </c>
      <c r="C2460" s="686" t="s">
        <v>13483</v>
      </c>
      <c r="D2460" s="686" t="s">
        <v>13482</v>
      </c>
      <c r="E2460" s="924" t="s">
        <v>13481</v>
      </c>
      <c r="F2460" s="924"/>
      <c r="G2460" s="685" t="s">
        <v>13480</v>
      </c>
      <c r="H2460" s="684" t="s">
        <v>13479</v>
      </c>
      <c r="I2460" s="684" t="s">
        <v>13478</v>
      </c>
      <c r="J2460" s="684" t="s">
        <v>13477</v>
      </c>
    </row>
    <row r="2461" spans="1:10" ht="24" customHeight="1">
      <c r="A2461" s="682" t="s">
        <v>13476</v>
      </c>
      <c r="B2461" s="683" t="s">
        <v>14670</v>
      </c>
      <c r="C2461" s="682" t="s">
        <v>7</v>
      </c>
      <c r="D2461" s="682" t="s">
        <v>5792</v>
      </c>
      <c r="E2461" s="917" t="s">
        <v>13540</v>
      </c>
      <c r="F2461" s="917"/>
      <c r="G2461" s="681" t="s">
        <v>34</v>
      </c>
      <c r="H2461" s="680">
        <v>1</v>
      </c>
      <c r="I2461" s="679">
        <v>78.569999999999993</v>
      </c>
      <c r="J2461" s="679">
        <v>78.569999999999993</v>
      </c>
    </row>
    <row r="2462" spans="1:10" ht="24" customHeight="1">
      <c r="A2462" s="677" t="s">
        <v>13472</v>
      </c>
      <c r="B2462" s="678" t="s">
        <v>13539</v>
      </c>
      <c r="C2462" s="677" t="s">
        <v>7</v>
      </c>
      <c r="D2462" s="677" t="s">
        <v>45</v>
      </c>
      <c r="E2462" s="918" t="s">
        <v>13470</v>
      </c>
      <c r="F2462" s="918"/>
      <c r="G2462" s="676" t="s">
        <v>19</v>
      </c>
      <c r="H2462" s="675">
        <v>0.27339999999999998</v>
      </c>
      <c r="I2462" s="674">
        <v>18.3</v>
      </c>
      <c r="J2462" s="674">
        <v>5</v>
      </c>
    </row>
    <row r="2463" spans="1:10" ht="24" customHeight="1">
      <c r="A2463" s="677" t="s">
        <v>13472</v>
      </c>
      <c r="B2463" s="678" t="s">
        <v>13538</v>
      </c>
      <c r="C2463" s="677" t="s">
        <v>7</v>
      </c>
      <c r="D2463" s="677" t="s">
        <v>47</v>
      </c>
      <c r="E2463" s="918" t="s">
        <v>13470</v>
      </c>
      <c r="F2463" s="918"/>
      <c r="G2463" s="676" t="s">
        <v>19</v>
      </c>
      <c r="H2463" s="675">
        <v>0.27339999999999998</v>
      </c>
      <c r="I2463" s="674">
        <v>14</v>
      </c>
      <c r="J2463" s="674">
        <v>3.82</v>
      </c>
    </row>
    <row r="2464" spans="1:10" ht="24" customHeight="1">
      <c r="A2464" s="672" t="s">
        <v>13467</v>
      </c>
      <c r="B2464" s="673" t="s">
        <v>13871</v>
      </c>
      <c r="C2464" s="672" t="s">
        <v>7</v>
      </c>
      <c r="D2464" s="672" t="s">
        <v>13870</v>
      </c>
      <c r="E2464" s="919" t="s">
        <v>13464</v>
      </c>
      <c r="F2464" s="919"/>
      <c r="G2464" s="671" t="s">
        <v>34</v>
      </c>
      <c r="H2464" s="670">
        <v>1</v>
      </c>
      <c r="I2464" s="669">
        <v>66.150000000000006</v>
      </c>
      <c r="J2464" s="669">
        <v>66.150000000000006</v>
      </c>
    </row>
    <row r="2465" spans="1:10" ht="36" customHeight="1">
      <c r="A2465" s="672" t="s">
        <v>13467</v>
      </c>
      <c r="B2465" s="673" t="s">
        <v>14669</v>
      </c>
      <c r="C2465" s="672" t="s">
        <v>7</v>
      </c>
      <c r="D2465" s="672" t="s">
        <v>14668</v>
      </c>
      <c r="E2465" s="919" t="s">
        <v>13464</v>
      </c>
      <c r="F2465" s="919"/>
      <c r="G2465" s="671" t="s">
        <v>34</v>
      </c>
      <c r="H2465" s="670">
        <v>3</v>
      </c>
      <c r="I2465" s="669">
        <v>1.2</v>
      </c>
      <c r="J2465" s="669">
        <v>3.6</v>
      </c>
    </row>
    <row r="2466" spans="1:10" ht="25.5">
      <c r="A2466" s="668"/>
      <c r="B2466" s="668"/>
      <c r="C2466" s="668"/>
      <c r="D2466" s="668"/>
      <c r="E2466" s="668" t="s">
        <v>13463</v>
      </c>
      <c r="F2466" s="667">
        <v>3.6618493969357817</v>
      </c>
      <c r="G2466" s="668" t="s">
        <v>13462</v>
      </c>
      <c r="H2466" s="667">
        <v>3.08</v>
      </c>
      <c r="I2466" s="668" t="s">
        <v>13461</v>
      </c>
      <c r="J2466" s="667">
        <v>6.74</v>
      </c>
    </row>
    <row r="2467" spans="1:10" ht="15" thickBot="1">
      <c r="A2467" s="668"/>
      <c r="B2467" s="668"/>
      <c r="C2467" s="668"/>
      <c r="D2467" s="668"/>
      <c r="E2467" s="668" t="s">
        <v>13460</v>
      </c>
      <c r="F2467" s="667">
        <v>22.18</v>
      </c>
      <c r="G2467" s="668"/>
      <c r="H2467" s="925" t="s">
        <v>13459</v>
      </c>
      <c r="I2467" s="925"/>
      <c r="J2467" s="667">
        <v>100.75</v>
      </c>
    </row>
    <row r="2468" spans="1:10" ht="0.95" customHeight="1" thickTop="1">
      <c r="A2468" s="666"/>
      <c r="B2468" s="666"/>
      <c r="C2468" s="666"/>
      <c r="D2468" s="666"/>
      <c r="E2468" s="666"/>
      <c r="F2468" s="666"/>
      <c r="G2468" s="666"/>
      <c r="H2468" s="666"/>
      <c r="I2468" s="666"/>
      <c r="J2468" s="666"/>
    </row>
    <row r="2469" spans="1:10" ht="18" customHeight="1">
      <c r="A2469" s="686" t="s">
        <v>14667</v>
      </c>
      <c r="B2469" s="684" t="s">
        <v>13484</v>
      </c>
      <c r="C2469" s="686" t="s">
        <v>13483</v>
      </c>
      <c r="D2469" s="686" t="s">
        <v>13482</v>
      </c>
      <c r="E2469" s="924" t="s">
        <v>13481</v>
      </c>
      <c r="F2469" s="924"/>
      <c r="G2469" s="685" t="s">
        <v>13480</v>
      </c>
      <c r="H2469" s="684" t="s">
        <v>13479</v>
      </c>
      <c r="I2469" s="684" t="s">
        <v>13478</v>
      </c>
      <c r="J2469" s="684" t="s">
        <v>13477</v>
      </c>
    </row>
    <row r="2470" spans="1:10" ht="24" customHeight="1">
      <c r="A2470" s="682" t="s">
        <v>13476</v>
      </c>
      <c r="B2470" s="683" t="s">
        <v>14666</v>
      </c>
      <c r="C2470" s="682" t="s">
        <v>7</v>
      </c>
      <c r="D2470" s="682" t="s">
        <v>5793</v>
      </c>
      <c r="E2470" s="917" t="s">
        <v>13540</v>
      </c>
      <c r="F2470" s="917"/>
      <c r="G2470" s="681" t="s">
        <v>34</v>
      </c>
      <c r="H2470" s="680">
        <v>1</v>
      </c>
      <c r="I2470" s="679">
        <v>83.14</v>
      </c>
      <c r="J2470" s="679">
        <v>83.14</v>
      </c>
    </row>
    <row r="2471" spans="1:10" ht="24" customHeight="1">
      <c r="A2471" s="677" t="s">
        <v>13472</v>
      </c>
      <c r="B2471" s="678" t="s">
        <v>13539</v>
      </c>
      <c r="C2471" s="677" t="s">
        <v>7</v>
      </c>
      <c r="D2471" s="677" t="s">
        <v>45</v>
      </c>
      <c r="E2471" s="918" t="s">
        <v>13470</v>
      </c>
      <c r="F2471" s="918"/>
      <c r="G2471" s="676" t="s">
        <v>19</v>
      </c>
      <c r="H2471" s="675">
        <v>0.40570000000000001</v>
      </c>
      <c r="I2471" s="674">
        <v>18.3</v>
      </c>
      <c r="J2471" s="674">
        <v>7.42</v>
      </c>
    </row>
    <row r="2472" spans="1:10" ht="24" customHeight="1">
      <c r="A2472" s="677" t="s">
        <v>13472</v>
      </c>
      <c r="B2472" s="678" t="s">
        <v>13538</v>
      </c>
      <c r="C2472" s="677" t="s">
        <v>7</v>
      </c>
      <c r="D2472" s="677" t="s">
        <v>47</v>
      </c>
      <c r="E2472" s="918" t="s">
        <v>13470</v>
      </c>
      <c r="F2472" s="918"/>
      <c r="G2472" s="676" t="s">
        <v>19</v>
      </c>
      <c r="H2472" s="675">
        <v>0.40570000000000001</v>
      </c>
      <c r="I2472" s="674">
        <v>14</v>
      </c>
      <c r="J2472" s="674">
        <v>5.67</v>
      </c>
    </row>
    <row r="2473" spans="1:10" ht="24" customHeight="1">
      <c r="A2473" s="672" t="s">
        <v>13467</v>
      </c>
      <c r="B2473" s="673" t="s">
        <v>13871</v>
      </c>
      <c r="C2473" s="672" t="s">
        <v>7</v>
      </c>
      <c r="D2473" s="672" t="s">
        <v>13870</v>
      </c>
      <c r="E2473" s="919" t="s">
        <v>13464</v>
      </c>
      <c r="F2473" s="919"/>
      <c r="G2473" s="671" t="s">
        <v>34</v>
      </c>
      <c r="H2473" s="670">
        <v>1</v>
      </c>
      <c r="I2473" s="669">
        <v>66.150000000000006</v>
      </c>
      <c r="J2473" s="669">
        <v>66.150000000000006</v>
      </c>
    </row>
    <row r="2474" spans="1:10" ht="36" customHeight="1">
      <c r="A2474" s="672" t="s">
        <v>13467</v>
      </c>
      <c r="B2474" s="673" t="s">
        <v>14665</v>
      </c>
      <c r="C2474" s="672" t="s">
        <v>7</v>
      </c>
      <c r="D2474" s="672" t="s">
        <v>14664</v>
      </c>
      <c r="E2474" s="919" t="s">
        <v>13464</v>
      </c>
      <c r="F2474" s="919"/>
      <c r="G2474" s="671" t="s">
        <v>34</v>
      </c>
      <c r="H2474" s="670">
        <v>3</v>
      </c>
      <c r="I2474" s="669">
        <v>1.3</v>
      </c>
      <c r="J2474" s="669">
        <v>3.9</v>
      </c>
    </row>
    <row r="2475" spans="1:10" ht="25.5">
      <c r="A2475" s="668"/>
      <c r="B2475" s="668"/>
      <c r="C2475" s="668"/>
      <c r="D2475" s="668"/>
      <c r="E2475" s="668" t="s">
        <v>13463</v>
      </c>
      <c r="F2475" s="667">
        <v>5.4330109746821691</v>
      </c>
      <c r="G2475" s="668" t="s">
        <v>13462</v>
      </c>
      <c r="H2475" s="667">
        <v>4.57</v>
      </c>
      <c r="I2475" s="668" t="s">
        <v>13461</v>
      </c>
      <c r="J2475" s="667">
        <v>10</v>
      </c>
    </row>
    <row r="2476" spans="1:10" ht="15" thickBot="1">
      <c r="A2476" s="668"/>
      <c r="B2476" s="668"/>
      <c r="C2476" s="668"/>
      <c r="D2476" s="668"/>
      <c r="E2476" s="668" t="s">
        <v>13460</v>
      </c>
      <c r="F2476" s="667">
        <v>23.47</v>
      </c>
      <c r="G2476" s="668"/>
      <c r="H2476" s="925" t="s">
        <v>13459</v>
      </c>
      <c r="I2476" s="925"/>
      <c r="J2476" s="667">
        <v>106.61</v>
      </c>
    </row>
    <row r="2477" spans="1:10" ht="0.95" customHeight="1" thickTop="1">
      <c r="A2477" s="666"/>
      <c r="B2477" s="666"/>
      <c r="C2477" s="666"/>
      <c r="D2477" s="666"/>
      <c r="E2477" s="666"/>
      <c r="F2477" s="666"/>
      <c r="G2477" s="666"/>
      <c r="H2477" s="666"/>
      <c r="I2477" s="666"/>
      <c r="J2477" s="666"/>
    </row>
    <row r="2478" spans="1:10" ht="18" customHeight="1">
      <c r="A2478" s="686" t="s">
        <v>14663</v>
      </c>
      <c r="B2478" s="684" t="s">
        <v>13484</v>
      </c>
      <c r="C2478" s="686" t="s">
        <v>13483</v>
      </c>
      <c r="D2478" s="686" t="s">
        <v>13482</v>
      </c>
      <c r="E2478" s="924" t="s">
        <v>13481</v>
      </c>
      <c r="F2478" s="924"/>
      <c r="G2478" s="685" t="s">
        <v>13480</v>
      </c>
      <c r="H2478" s="684" t="s">
        <v>13479</v>
      </c>
      <c r="I2478" s="684" t="s">
        <v>13478</v>
      </c>
      <c r="J2478" s="684" t="s">
        <v>13477</v>
      </c>
    </row>
    <row r="2479" spans="1:10" ht="36" customHeight="1">
      <c r="A2479" s="682" t="s">
        <v>13476</v>
      </c>
      <c r="B2479" s="683" t="s">
        <v>14662</v>
      </c>
      <c r="C2479" s="682" t="s">
        <v>7</v>
      </c>
      <c r="D2479" s="682" t="s">
        <v>1960</v>
      </c>
      <c r="E2479" s="917" t="s">
        <v>13540</v>
      </c>
      <c r="F2479" s="917"/>
      <c r="G2479" s="681" t="s">
        <v>14</v>
      </c>
      <c r="H2479" s="680">
        <v>1</v>
      </c>
      <c r="I2479" s="679">
        <v>9.5500000000000007</v>
      </c>
      <c r="J2479" s="679">
        <v>9.5500000000000007</v>
      </c>
    </row>
    <row r="2480" spans="1:10" ht="24" customHeight="1">
      <c r="A2480" s="677" t="s">
        <v>13472</v>
      </c>
      <c r="B2480" s="678" t="s">
        <v>13539</v>
      </c>
      <c r="C2480" s="677" t="s">
        <v>7</v>
      </c>
      <c r="D2480" s="677" t="s">
        <v>45</v>
      </c>
      <c r="E2480" s="918" t="s">
        <v>13470</v>
      </c>
      <c r="F2480" s="918"/>
      <c r="G2480" s="676" t="s">
        <v>19</v>
      </c>
      <c r="H2480" s="675">
        <v>0.126</v>
      </c>
      <c r="I2480" s="674">
        <v>18.3</v>
      </c>
      <c r="J2480" s="674">
        <v>2.2999999999999998</v>
      </c>
    </row>
    <row r="2481" spans="1:10" ht="24" customHeight="1">
      <c r="A2481" s="677" t="s">
        <v>13472</v>
      </c>
      <c r="B2481" s="678" t="s">
        <v>13538</v>
      </c>
      <c r="C2481" s="677" t="s">
        <v>7</v>
      </c>
      <c r="D2481" s="677" t="s">
        <v>47</v>
      </c>
      <c r="E2481" s="918" t="s">
        <v>13470</v>
      </c>
      <c r="F2481" s="918"/>
      <c r="G2481" s="676" t="s">
        <v>19</v>
      </c>
      <c r="H2481" s="675">
        <v>0.126</v>
      </c>
      <c r="I2481" s="674">
        <v>14</v>
      </c>
      <c r="J2481" s="674">
        <v>1.76</v>
      </c>
    </row>
    <row r="2482" spans="1:10" ht="24" customHeight="1">
      <c r="A2482" s="672" t="s">
        <v>13467</v>
      </c>
      <c r="B2482" s="673" t="s">
        <v>13722</v>
      </c>
      <c r="C2482" s="672" t="s">
        <v>7</v>
      </c>
      <c r="D2482" s="672" t="s">
        <v>13721</v>
      </c>
      <c r="E2482" s="919" t="s">
        <v>13464</v>
      </c>
      <c r="F2482" s="919"/>
      <c r="G2482" s="671" t="s">
        <v>17</v>
      </c>
      <c r="H2482" s="670">
        <v>2E-3</v>
      </c>
      <c r="I2482" s="669">
        <v>19.989999999999998</v>
      </c>
      <c r="J2482" s="669">
        <v>0.03</v>
      </c>
    </row>
    <row r="2483" spans="1:10" ht="24" customHeight="1">
      <c r="A2483" s="672" t="s">
        <v>13467</v>
      </c>
      <c r="B2483" s="673" t="s">
        <v>14661</v>
      </c>
      <c r="C2483" s="672" t="s">
        <v>7</v>
      </c>
      <c r="D2483" s="672" t="s">
        <v>14660</v>
      </c>
      <c r="E2483" s="919" t="s">
        <v>13464</v>
      </c>
      <c r="F2483" s="919"/>
      <c r="G2483" s="671" t="s">
        <v>14</v>
      </c>
      <c r="H2483" s="670">
        <v>1.0169999999999999</v>
      </c>
      <c r="I2483" s="669">
        <v>5.37</v>
      </c>
      <c r="J2483" s="669">
        <v>5.46</v>
      </c>
    </row>
    <row r="2484" spans="1:10" ht="25.5">
      <c r="A2484" s="668"/>
      <c r="B2484" s="668"/>
      <c r="C2484" s="668"/>
      <c r="D2484" s="668"/>
      <c r="E2484" s="668" t="s">
        <v>13463</v>
      </c>
      <c r="F2484" s="667">
        <v>1.6842334021514724</v>
      </c>
      <c r="G2484" s="668" t="s">
        <v>13462</v>
      </c>
      <c r="H2484" s="667">
        <v>1.42</v>
      </c>
      <c r="I2484" s="668" t="s">
        <v>13461</v>
      </c>
      <c r="J2484" s="667">
        <v>3.1</v>
      </c>
    </row>
    <row r="2485" spans="1:10" ht="15" thickBot="1">
      <c r="A2485" s="668"/>
      <c r="B2485" s="668"/>
      <c r="C2485" s="668"/>
      <c r="D2485" s="668"/>
      <c r="E2485" s="668" t="s">
        <v>13460</v>
      </c>
      <c r="F2485" s="667">
        <v>2.69</v>
      </c>
      <c r="G2485" s="668"/>
      <c r="H2485" s="925" t="s">
        <v>13459</v>
      </c>
      <c r="I2485" s="925"/>
      <c r="J2485" s="667">
        <v>12.24</v>
      </c>
    </row>
    <row r="2486" spans="1:10" ht="0.95" customHeight="1" thickTop="1">
      <c r="A2486" s="666"/>
      <c r="B2486" s="666"/>
      <c r="C2486" s="666"/>
      <c r="D2486" s="666"/>
      <c r="E2486" s="666"/>
      <c r="F2486" s="666"/>
      <c r="G2486" s="666"/>
      <c r="H2486" s="666"/>
      <c r="I2486" s="666"/>
      <c r="J2486" s="666"/>
    </row>
    <row r="2487" spans="1:10" ht="18" customHeight="1">
      <c r="A2487" s="686" t="s">
        <v>14659</v>
      </c>
      <c r="B2487" s="684" t="s">
        <v>13484</v>
      </c>
      <c r="C2487" s="686" t="s">
        <v>13483</v>
      </c>
      <c r="D2487" s="686" t="s">
        <v>13482</v>
      </c>
      <c r="E2487" s="924" t="s">
        <v>13481</v>
      </c>
      <c r="F2487" s="924"/>
      <c r="G2487" s="685" t="s">
        <v>13480</v>
      </c>
      <c r="H2487" s="684" t="s">
        <v>13479</v>
      </c>
      <c r="I2487" s="684" t="s">
        <v>13478</v>
      </c>
      <c r="J2487" s="684" t="s">
        <v>13477</v>
      </c>
    </row>
    <row r="2488" spans="1:10" ht="36" customHeight="1">
      <c r="A2488" s="682" t="s">
        <v>13476</v>
      </c>
      <c r="B2488" s="683" t="s">
        <v>14658</v>
      </c>
      <c r="C2488" s="682" t="s">
        <v>7</v>
      </c>
      <c r="D2488" s="682" t="s">
        <v>3828</v>
      </c>
      <c r="E2488" s="917" t="s">
        <v>13540</v>
      </c>
      <c r="F2488" s="917"/>
      <c r="G2488" s="681" t="s">
        <v>14</v>
      </c>
      <c r="H2488" s="680">
        <v>1</v>
      </c>
      <c r="I2488" s="679">
        <v>5.85</v>
      </c>
      <c r="J2488" s="679">
        <v>5.85</v>
      </c>
    </row>
    <row r="2489" spans="1:10" ht="24" customHeight="1">
      <c r="A2489" s="677" t="s">
        <v>13472</v>
      </c>
      <c r="B2489" s="678" t="s">
        <v>13539</v>
      </c>
      <c r="C2489" s="677" t="s">
        <v>7</v>
      </c>
      <c r="D2489" s="677" t="s">
        <v>45</v>
      </c>
      <c r="E2489" s="918" t="s">
        <v>13470</v>
      </c>
      <c r="F2489" s="918"/>
      <c r="G2489" s="676" t="s">
        <v>19</v>
      </c>
      <c r="H2489" s="675">
        <v>8.6999999999999994E-2</v>
      </c>
      <c r="I2489" s="674">
        <v>18.3</v>
      </c>
      <c r="J2489" s="674">
        <v>1.59</v>
      </c>
    </row>
    <row r="2490" spans="1:10" ht="24" customHeight="1">
      <c r="A2490" s="677" t="s">
        <v>13472</v>
      </c>
      <c r="B2490" s="678" t="s">
        <v>13538</v>
      </c>
      <c r="C2490" s="677" t="s">
        <v>7</v>
      </c>
      <c r="D2490" s="677" t="s">
        <v>47</v>
      </c>
      <c r="E2490" s="918" t="s">
        <v>13470</v>
      </c>
      <c r="F2490" s="918"/>
      <c r="G2490" s="676" t="s">
        <v>19</v>
      </c>
      <c r="H2490" s="675">
        <v>8.6999999999999994E-2</v>
      </c>
      <c r="I2490" s="674">
        <v>14</v>
      </c>
      <c r="J2490" s="674">
        <v>1.21</v>
      </c>
    </row>
    <row r="2491" spans="1:10" ht="24" customHeight="1">
      <c r="A2491" s="672" t="s">
        <v>13467</v>
      </c>
      <c r="B2491" s="673" t="s">
        <v>13722</v>
      </c>
      <c r="C2491" s="672" t="s">
        <v>7</v>
      </c>
      <c r="D2491" s="672" t="s">
        <v>13721</v>
      </c>
      <c r="E2491" s="919" t="s">
        <v>13464</v>
      </c>
      <c r="F2491" s="919"/>
      <c r="G2491" s="671" t="s">
        <v>17</v>
      </c>
      <c r="H2491" s="670">
        <v>1.8E-3</v>
      </c>
      <c r="I2491" s="669">
        <v>19.989999999999998</v>
      </c>
      <c r="J2491" s="669">
        <v>0.03</v>
      </c>
    </row>
    <row r="2492" spans="1:10" ht="24" customHeight="1">
      <c r="A2492" s="672" t="s">
        <v>13467</v>
      </c>
      <c r="B2492" s="673" t="s">
        <v>14657</v>
      </c>
      <c r="C2492" s="672" t="s">
        <v>7</v>
      </c>
      <c r="D2492" s="672" t="s">
        <v>14656</v>
      </c>
      <c r="E2492" s="919" t="s">
        <v>13464</v>
      </c>
      <c r="F2492" s="919"/>
      <c r="G2492" s="671" t="s">
        <v>14</v>
      </c>
      <c r="H2492" s="670">
        <v>1.1000000000000001</v>
      </c>
      <c r="I2492" s="669">
        <v>2.75</v>
      </c>
      <c r="J2492" s="669">
        <v>3.02</v>
      </c>
    </row>
    <row r="2493" spans="1:10" ht="25.5">
      <c r="A2493" s="668"/>
      <c r="B2493" s="668"/>
      <c r="C2493" s="668"/>
      <c r="D2493" s="668"/>
      <c r="E2493" s="668" t="s">
        <v>13463</v>
      </c>
      <c r="F2493" s="667">
        <v>1.1626643485819841</v>
      </c>
      <c r="G2493" s="668" t="s">
        <v>13462</v>
      </c>
      <c r="H2493" s="667">
        <v>0.98</v>
      </c>
      <c r="I2493" s="668" t="s">
        <v>13461</v>
      </c>
      <c r="J2493" s="667">
        <v>2.14</v>
      </c>
    </row>
    <row r="2494" spans="1:10" ht="15" thickBot="1">
      <c r="A2494" s="668"/>
      <c r="B2494" s="668"/>
      <c r="C2494" s="668"/>
      <c r="D2494" s="668"/>
      <c r="E2494" s="668" t="s">
        <v>13460</v>
      </c>
      <c r="F2494" s="667">
        <v>1.65</v>
      </c>
      <c r="G2494" s="668"/>
      <c r="H2494" s="925" t="s">
        <v>13459</v>
      </c>
      <c r="I2494" s="925"/>
      <c r="J2494" s="667">
        <v>7.5</v>
      </c>
    </row>
    <row r="2495" spans="1:10" ht="0.95" customHeight="1" thickTop="1">
      <c r="A2495" s="666"/>
      <c r="B2495" s="666"/>
      <c r="C2495" s="666"/>
      <c r="D2495" s="666"/>
      <c r="E2495" s="666"/>
      <c r="F2495" s="666"/>
      <c r="G2495" s="666"/>
      <c r="H2495" s="666"/>
      <c r="I2495" s="666"/>
      <c r="J2495" s="666"/>
    </row>
    <row r="2496" spans="1:10" ht="18" customHeight="1">
      <c r="A2496" s="686" t="s">
        <v>14655</v>
      </c>
      <c r="B2496" s="684" t="s">
        <v>13484</v>
      </c>
      <c r="C2496" s="686" t="s">
        <v>13483</v>
      </c>
      <c r="D2496" s="686" t="s">
        <v>13482</v>
      </c>
      <c r="E2496" s="924" t="s">
        <v>13481</v>
      </c>
      <c r="F2496" s="924"/>
      <c r="G2496" s="685" t="s">
        <v>13480</v>
      </c>
      <c r="H2496" s="684" t="s">
        <v>13479</v>
      </c>
      <c r="I2496" s="684" t="s">
        <v>13478</v>
      </c>
      <c r="J2496" s="684" t="s">
        <v>13477</v>
      </c>
    </row>
    <row r="2497" spans="1:10" ht="36" customHeight="1">
      <c r="A2497" s="682" t="s">
        <v>13476</v>
      </c>
      <c r="B2497" s="683" t="s">
        <v>14654</v>
      </c>
      <c r="C2497" s="682" t="s">
        <v>7</v>
      </c>
      <c r="D2497" s="682" t="s">
        <v>3829</v>
      </c>
      <c r="E2497" s="917" t="s">
        <v>13540</v>
      </c>
      <c r="F2497" s="917"/>
      <c r="G2497" s="681" t="s">
        <v>14</v>
      </c>
      <c r="H2497" s="680">
        <v>1</v>
      </c>
      <c r="I2497" s="679">
        <v>9.3000000000000007</v>
      </c>
      <c r="J2497" s="679">
        <v>9.3000000000000007</v>
      </c>
    </row>
    <row r="2498" spans="1:10" ht="24" customHeight="1">
      <c r="A2498" s="677" t="s">
        <v>13472</v>
      </c>
      <c r="B2498" s="678" t="s">
        <v>13539</v>
      </c>
      <c r="C2498" s="677" t="s">
        <v>7</v>
      </c>
      <c r="D2498" s="677" t="s">
        <v>45</v>
      </c>
      <c r="E2498" s="918" t="s">
        <v>13470</v>
      </c>
      <c r="F2498" s="918"/>
      <c r="G2498" s="676" t="s">
        <v>19</v>
      </c>
      <c r="H2498" s="675">
        <v>0.107</v>
      </c>
      <c r="I2498" s="674">
        <v>18.3</v>
      </c>
      <c r="J2498" s="674">
        <v>1.95</v>
      </c>
    </row>
    <row r="2499" spans="1:10" ht="24" customHeight="1">
      <c r="A2499" s="677" t="s">
        <v>13472</v>
      </c>
      <c r="B2499" s="678" t="s">
        <v>13538</v>
      </c>
      <c r="C2499" s="677" t="s">
        <v>7</v>
      </c>
      <c r="D2499" s="677" t="s">
        <v>47</v>
      </c>
      <c r="E2499" s="918" t="s">
        <v>13470</v>
      </c>
      <c r="F2499" s="918"/>
      <c r="G2499" s="676" t="s">
        <v>19</v>
      </c>
      <c r="H2499" s="675">
        <v>0.107</v>
      </c>
      <c r="I2499" s="674">
        <v>14</v>
      </c>
      <c r="J2499" s="674">
        <v>1.49</v>
      </c>
    </row>
    <row r="2500" spans="1:10" ht="24" customHeight="1">
      <c r="A2500" s="672" t="s">
        <v>13467</v>
      </c>
      <c r="B2500" s="673" t="s">
        <v>13722</v>
      </c>
      <c r="C2500" s="672" t="s">
        <v>7</v>
      </c>
      <c r="D2500" s="672" t="s">
        <v>13721</v>
      </c>
      <c r="E2500" s="919" t="s">
        <v>13464</v>
      </c>
      <c r="F2500" s="919"/>
      <c r="G2500" s="671" t="s">
        <v>17</v>
      </c>
      <c r="H2500" s="670">
        <v>2E-3</v>
      </c>
      <c r="I2500" s="669">
        <v>19.989999999999998</v>
      </c>
      <c r="J2500" s="669">
        <v>0.03</v>
      </c>
    </row>
    <row r="2501" spans="1:10" ht="24" customHeight="1">
      <c r="A2501" s="672" t="s">
        <v>13467</v>
      </c>
      <c r="B2501" s="673" t="s">
        <v>14653</v>
      </c>
      <c r="C2501" s="672" t="s">
        <v>7</v>
      </c>
      <c r="D2501" s="672" t="s">
        <v>14652</v>
      </c>
      <c r="E2501" s="919" t="s">
        <v>13464</v>
      </c>
      <c r="F2501" s="919"/>
      <c r="G2501" s="671" t="s">
        <v>14</v>
      </c>
      <c r="H2501" s="670">
        <v>1.1000000000000001</v>
      </c>
      <c r="I2501" s="669">
        <v>5.3</v>
      </c>
      <c r="J2501" s="669">
        <v>5.83</v>
      </c>
    </row>
    <row r="2502" spans="1:10" ht="25.5">
      <c r="A2502" s="668"/>
      <c r="B2502" s="668"/>
      <c r="C2502" s="668"/>
      <c r="D2502" s="668"/>
      <c r="E2502" s="668" t="s">
        <v>13463</v>
      </c>
      <c r="F2502" s="667">
        <v>1.4343148973160926</v>
      </c>
      <c r="G2502" s="668" t="s">
        <v>13462</v>
      </c>
      <c r="H2502" s="667">
        <v>1.21</v>
      </c>
      <c r="I2502" s="668" t="s">
        <v>13461</v>
      </c>
      <c r="J2502" s="667">
        <v>2.64</v>
      </c>
    </row>
    <row r="2503" spans="1:10" ht="15" thickBot="1">
      <c r="A2503" s="668"/>
      <c r="B2503" s="668"/>
      <c r="C2503" s="668"/>
      <c r="D2503" s="668"/>
      <c r="E2503" s="668" t="s">
        <v>13460</v>
      </c>
      <c r="F2503" s="667">
        <v>2.62</v>
      </c>
      <c r="G2503" s="668"/>
      <c r="H2503" s="925" t="s">
        <v>13459</v>
      </c>
      <c r="I2503" s="925"/>
      <c r="J2503" s="667">
        <v>11.92</v>
      </c>
    </row>
    <row r="2504" spans="1:10" ht="0.95" customHeight="1" thickTop="1">
      <c r="A2504" s="666"/>
      <c r="B2504" s="666"/>
      <c r="C2504" s="666"/>
      <c r="D2504" s="666"/>
      <c r="E2504" s="666"/>
      <c r="F2504" s="666"/>
      <c r="G2504" s="666"/>
      <c r="H2504" s="666"/>
      <c r="I2504" s="666"/>
      <c r="J2504" s="666"/>
    </row>
    <row r="2505" spans="1:10" ht="18" customHeight="1">
      <c r="A2505" s="686" t="s">
        <v>14651</v>
      </c>
      <c r="B2505" s="684" t="s">
        <v>13484</v>
      </c>
      <c r="C2505" s="686" t="s">
        <v>13483</v>
      </c>
      <c r="D2505" s="686" t="s">
        <v>13482</v>
      </c>
      <c r="E2505" s="924" t="s">
        <v>13481</v>
      </c>
      <c r="F2505" s="924"/>
      <c r="G2505" s="685" t="s">
        <v>13480</v>
      </c>
      <c r="H2505" s="684" t="s">
        <v>13479</v>
      </c>
      <c r="I2505" s="684" t="s">
        <v>13478</v>
      </c>
      <c r="J2505" s="684" t="s">
        <v>13477</v>
      </c>
    </row>
    <row r="2506" spans="1:10" ht="24" customHeight="1">
      <c r="A2506" s="682" t="s">
        <v>13476</v>
      </c>
      <c r="B2506" s="683" t="s">
        <v>14650</v>
      </c>
      <c r="C2506" s="682" t="s">
        <v>7</v>
      </c>
      <c r="D2506" s="682" t="s">
        <v>3839</v>
      </c>
      <c r="E2506" s="917" t="s">
        <v>13540</v>
      </c>
      <c r="F2506" s="917"/>
      <c r="G2506" s="681" t="s">
        <v>14</v>
      </c>
      <c r="H2506" s="680">
        <v>1</v>
      </c>
      <c r="I2506" s="679">
        <v>6.2</v>
      </c>
      <c r="J2506" s="679">
        <v>6.2</v>
      </c>
    </row>
    <row r="2507" spans="1:10" ht="24" customHeight="1">
      <c r="A2507" s="677" t="s">
        <v>13472</v>
      </c>
      <c r="B2507" s="678" t="s">
        <v>13539</v>
      </c>
      <c r="C2507" s="677" t="s">
        <v>7</v>
      </c>
      <c r="D2507" s="677" t="s">
        <v>45</v>
      </c>
      <c r="E2507" s="918" t="s">
        <v>13470</v>
      </c>
      <c r="F2507" s="918"/>
      <c r="G2507" s="676" t="s">
        <v>19</v>
      </c>
      <c r="H2507" s="675">
        <v>6.2E-2</v>
      </c>
      <c r="I2507" s="674">
        <v>18.3</v>
      </c>
      <c r="J2507" s="674">
        <v>1.1299999999999999</v>
      </c>
    </row>
    <row r="2508" spans="1:10" ht="24" customHeight="1">
      <c r="A2508" s="677" t="s">
        <v>13472</v>
      </c>
      <c r="B2508" s="678" t="s">
        <v>13538</v>
      </c>
      <c r="C2508" s="677" t="s">
        <v>7</v>
      </c>
      <c r="D2508" s="677" t="s">
        <v>47</v>
      </c>
      <c r="E2508" s="918" t="s">
        <v>13470</v>
      </c>
      <c r="F2508" s="918"/>
      <c r="G2508" s="676" t="s">
        <v>19</v>
      </c>
      <c r="H2508" s="675">
        <v>6.2E-2</v>
      </c>
      <c r="I2508" s="674">
        <v>14</v>
      </c>
      <c r="J2508" s="674">
        <v>0.86</v>
      </c>
    </row>
    <row r="2509" spans="1:10" ht="36" customHeight="1">
      <c r="A2509" s="672" t="s">
        <v>13467</v>
      </c>
      <c r="B2509" s="673" t="s">
        <v>14649</v>
      </c>
      <c r="C2509" s="672" t="s">
        <v>7</v>
      </c>
      <c r="D2509" s="672" t="s">
        <v>14648</v>
      </c>
      <c r="E2509" s="919" t="s">
        <v>13464</v>
      </c>
      <c r="F2509" s="919"/>
      <c r="G2509" s="671" t="s">
        <v>14</v>
      </c>
      <c r="H2509" s="670">
        <v>1.1000000000000001</v>
      </c>
      <c r="I2509" s="669">
        <v>3.83</v>
      </c>
      <c r="J2509" s="669">
        <v>4.21</v>
      </c>
    </row>
    <row r="2510" spans="1:10" ht="25.5">
      <c r="A2510" s="668"/>
      <c r="B2510" s="668"/>
      <c r="C2510" s="668"/>
      <c r="D2510" s="668"/>
      <c r="E2510" s="668" t="s">
        <v>13463</v>
      </c>
      <c r="F2510" s="667">
        <v>0.82581766815168967</v>
      </c>
      <c r="G2510" s="668" t="s">
        <v>13462</v>
      </c>
      <c r="H2510" s="667">
        <v>0.69</v>
      </c>
      <c r="I2510" s="668" t="s">
        <v>13461</v>
      </c>
      <c r="J2510" s="667">
        <v>1.52</v>
      </c>
    </row>
    <row r="2511" spans="1:10" ht="15" thickBot="1">
      <c r="A2511" s="668"/>
      <c r="B2511" s="668"/>
      <c r="C2511" s="668"/>
      <c r="D2511" s="668"/>
      <c r="E2511" s="668" t="s">
        <v>13460</v>
      </c>
      <c r="F2511" s="667">
        <v>1.75</v>
      </c>
      <c r="G2511" s="668"/>
      <c r="H2511" s="925" t="s">
        <v>13459</v>
      </c>
      <c r="I2511" s="925"/>
      <c r="J2511" s="667">
        <v>7.95</v>
      </c>
    </row>
    <row r="2512" spans="1:10" ht="0.95" customHeight="1" thickTop="1">
      <c r="A2512" s="666"/>
      <c r="B2512" s="666"/>
      <c r="C2512" s="666"/>
      <c r="D2512" s="666"/>
      <c r="E2512" s="666"/>
      <c r="F2512" s="666"/>
      <c r="G2512" s="666"/>
      <c r="H2512" s="666"/>
      <c r="I2512" s="666"/>
      <c r="J2512" s="666"/>
    </row>
    <row r="2513" spans="1:10" ht="18" customHeight="1">
      <c r="A2513" s="686" t="s">
        <v>14647</v>
      </c>
      <c r="B2513" s="684" t="s">
        <v>13484</v>
      </c>
      <c r="C2513" s="686" t="s">
        <v>13483</v>
      </c>
      <c r="D2513" s="686" t="s">
        <v>13482</v>
      </c>
      <c r="E2513" s="924" t="s">
        <v>13481</v>
      </c>
      <c r="F2513" s="924"/>
      <c r="G2513" s="685" t="s">
        <v>13480</v>
      </c>
      <c r="H2513" s="684" t="s">
        <v>13479</v>
      </c>
      <c r="I2513" s="684" t="s">
        <v>13478</v>
      </c>
      <c r="J2513" s="684" t="s">
        <v>13477</v>
      </c>
    </row>
    <row r="2514" spans="1:10" ht="24" customHeight="1">
      <c r="A2514" s="682" t="s">
        <v>13476</v>
      </c>
      <c r="B2514" s="683" t="s">
        <v>14646</v>
      </c>
      <c r="C2514" s="682" t="s">
        <v>7</v>
      </c>
      <c r="D2514" s="682" t="s">
        <v>3840</v>
      </c>
      <c r="E2514" s="917" t="s">
        <v>13540</v>
      </c>
      <c r="F2514" s="917"/>
      <c r="G2514" s="681" t="s">
        <v>14</v>
      </c>
      <c r="H2514" s="680">
        <v>1</v>
      </c>
      <c r="I2514" s="679">
        <v>9.44</v>
      </c>
      <c r="J2514" s="679">
        <v>9.44</v>
      </c>
    </row>
    <row r="2515" spans="1:10" ht="24" customHeight="1">
      <c r="A2515" s="677" t="s">
        <v>13472</v>
      </c>
      <c r="B2515" s="678" t="s">
        <v>13539</v>
      </c>
      <c r="C2515" s="677" t="s">
        <v>7</v>
      </c>
      <c r="D2515" s="677" t="s">
        <v>45</v>
      </c>
      <c r="E2515" s="918" t="s">
        <v>13470</v>
      </c>
      <c r="F2515" s="918"/>
      <c r="G2515" s="676" t="s">
        <v>19</v>
      </c>
      <c r="H2515" s="675">
        <v>0.105</v>
      </c>
      <c r="I2515" s="674">
        <v>18.3</v>
      </c>
      <c r="J2515" s="674">
        <v>1.92</v>
      </c>
    </row>
    <row r="2516" spans="1:10" ht="24" customHeight="1">
      <c r="A2516" s="677" t="s">
        <v>13472</v>
      </c>
      <c r="B2516" s="678" t="s">
        <v>13538</v>
      </c>
      <c r="C2516" s="677" t="s">
        <v>7</v>
      </c>
      <c r="D2516" s="677" t="s">
        <v>47</v>
      </c>
      <c r="E2516" s="918" t="s">
        <v>13470</v>
      </c>
      <c r="F2516" s="918"/>
      <c r="G2516" s="676" t="s">
        <v>19</v>
      </c>
      <c r="H2516" s="675">
        <v>0.105</v>
      </c>
      <c r="I2516" s="674">
        <v>14</v>
      </c>
      <c r="J2516" s="674">
        <v>1.47</v>
      </c>
    </row>
    <row r="2517" spans="1:10" ht="36" customHeight="1">
      <c r="A2517" s="672" t="s">
        <v>13467</v>
      </c>
      <c r="B2517" s="673" t="s">
        <v>14645</v>
      </c>
      <c r="C2517" s="672" t="s">
        <v>7</v>
      </c>
      <c r="D2517" s="672" t="s">
        <v>14644</v>
      </c>
      <c r="E2517" s="919" t="s">
        <v>13464</v>
      </c>
      <c r="F2517" s="919"/>
      <c r="G2517" s="671" t="s">
        <v>14</v>
      </c>
      <c r="H2517" s="670">
        <v>1.1000000000000001</v>
      </c>
      <c r="I2517" s="669">
        <v>5.5</v>
      </c>
      <c r="J2517" s="669">
        <v>6.05</v>
      </c>
    </row>
    <row r="2518" spans="1:10" ht="25.5">
      <c r="A2518" s="668"/>
      <c r="B2518" s="668"/>
      <c r="C2518" s="668"/>
      <c r="D2518" s="668"/>
      <c r="E2518" s="668" t="s">
        <v>13463</v>
      </c>
      <c r="F2518" s="667">
        <v>1.4017168314679995</v>
      </c>
      <c r="G2518" s="668" t="s">
        <v>13462</v>
      </c>
      <c r="H2518" s="667">
        <v>1.18</v>
      </c>
      <c r="I2518" s="668" t="s">
        <v>13461</v>
      </c>
      <c r="J2518" s="667">
        <v>2.58</v>
      </c>
    </row>
    <row r="2519" spans="1:10" ht="15" thickBot="1">
      <c r="A2519" s="668"/>
      <c r="B2519" s="668"/>
      <c r="C2519" s="668"/>
      <c r="D2519" s="668"/>
      <c r="E2519" s="668" t="s">
        <v>13460</v>
      </c>
      <c r="F2519" s="667">
        <v>2.66</v>
      </c>
      <c r="G2519" s="668"/>
      <c r="H2519" s="925" t="s">
        <v>13459</v>
      </c>
      <c r="I2519" s="925"/>
      <c r="J2519" s="667">
        <v>12.1</v>
      </c>
    </row>
    <row r="2520" spans="1:10" ht="0.95" customHeight="1" thickTop="1">
      <c r="A2520" s="666"/>
      <c r="B2520" s="666"/>
      <c r="C2520" s="666"/>
      <c r="D2520" s="666"/>
      <c r="E2520" s="666"/>
      <c r="F2520" s="666"/>
      <c r="G2520" s="666"/>
      <c r="H2520" s="666"/>
      <c r="I2520" s="666"/>
      <c r="J2520" s="666"/>
    </row>
    <row r="2521" spans="1:10" ht="18" customHeight="1">
      <c r="A2521" s="686" t="s">
        <v>14643</v>
      </c>
      <c r="B2521" s="684" t="s">
        <v>13484</v>
      </c>
      <c r="C2521" s="686" t="s">
        <v>13483</v>
      </c>
      <c r="D2521" s="686" t="s">
        <v>13482</v>
      </c>
      <c r="E2521" s="924" t="s">
        <v>13481</v>
      </c>
      <c r="F2521" s="924"/>
      <c r="G2521" s="685" t="s">
        <v>13480</v>
      </c>
      <c r="H2521" s="684" t="s">
        <v>13479</v>
      </c>
      <c r="I2521" s="684" t="s">
        <v>13478</v>
      </c>
      <c r="J2521" s="684" t="s">
        <v>13477</v>
      </c>
    </row>
    <row r="2522" spans="1:10" ht="24" customHeight="1">
      <c r="A2522" s="682" t="s">
        <v>13476</v>
      </c>
      <c r="B2522" s="683" t="s">
        <v>14642</v>
      </c>
      <c r="C2522" s="682" t="s">
        <v>7</v>
      </c>
      <c r="D2522" s="682" t="s">
        <v>3842</v>
      </c>
      <c r="E2522" s="917" t="s">
        <v>13540</v>
      </c>
      <c r="F2522" s="917"/>
      <c r="G2522" s="681" t="s">
        <v>14</v>
      </c>
      <c r="H2522" s="680">
        <v>1</v>
      </c>
      <c r="I2522" s="679">
        <v>19.23</v>
      </c>
      <c r="J2522" s="679">
        <v>19.23</v>
      </c>
    </row>
    <row r="2523" spans="1:10" ht="24" customHeight="1">
      <c r="A2523" s="677" t="s">
        <v>13472</v>
      </c>
      <c r="B2523" s="678" t="s">
        <v>13539</v>
      </c>
      <c r="C2523" s="677" t="s">
        <v>7</v>
      </c>
      <c r="D2523" s="677" t="s">
        <v>45</v>
      </c>
      <c r="E2523" s="918" t="s">
        <v>13470</v>
      </c>
      <c r="F2523" s="918"/>
      <c r="G2523" s="676" t="s">
        <v>19</v>
      </c>
      <c r="H2523" s="675">
        <v>0.23</v>
      </c>
      <c r="I2523" s="674">
        <v>18.3</v>
      </c>
      <c r="J2523" s="674">
        <v>4.2</v>
      </c>
    </row>
    <row r="2524" spans="1:10" ht="24" customHeight="1">
      <c r="A2524" s="677" t="s">
        <v>13472</v>
      </c>
      <c r="B2524" s="678" t="s">
        <v>13538</v>
      </c>
      <c r="C2524" s="677" t="s">
        <v>7</v>
      </c>
      <c r="D2524" s="677" t="s">
        <v>47</v>
      </c>
      <c r="E2524" s="918" t="s">
        <v>13470</v>
      </c>
      <c r="F2524" s="918"/>
      <c r="G2524" s="676" t="s">
        <v>19</v>
      </c>
      <c r="H2524" s="675">
        <v>0.23</v>
      </c>
      <c r="I2524" s="674">
        <v>14</v>
      </c>
      <c r="J2524" s="674">
        <v>3.22</v>
      </c>
    </row>
    <row r="2525" spans="1:10" ht="36" customHeight="1">
      <c r="A2525" s="672" t="s">
        <v>13467</v>
      </c>
      <c r="B2525" s="673" t="s">
        <v>14641</v>
      </c>
      <c r="C2525" s="672" t="s">
        <v>7</v>
      </c>
      <c r="D2525" s="672" t="s">
        <v>14640</v>
      </c>
      <c r="E2525" s="919" t="s">
        <v>13464</v>
      </c>
      <c r="F2525" s="919"/>
      <c r="G2525" s="671" t="s">
        <v>14</v>
      </c>
      <c r="H2525" s="670">
        <v>1.1000000000000001</v>
      </c>
      <c r="I2525" s="669">
        <v>10.74</v>
      </c>
      <c r="J2525" s="669">
        <v>11.81</v>
      </c>
    </row>
    <row r="2526" spans="1:10" ht="25.5">
      <c r="A2526" s="668"/>
      <c r="B2526" s="668"/>
      <c r="C2526" s="668"/>
      <c r="D2526" s="668"/>
      <c r="E2526" s="668" t="s">
        <v>13463</v>
      </c>
      <c r="F2526" s="667">
        <v>3.0805172226447897</v>
      </c>
      <c r="G2526" s="668" t="s">
        <v>13462</v>
      </c>
      <c r="H2526" s="667">
        <v>2.59</v>
      </c>
      <c r="I2526" s="668" t="s">
        <v>13461</v>
      </c>
      <c r="J2526" s="667">
        <v>5.67</v>
      </c>
    </row>
    <row r="2527" spans="1:10" ht="15" thickBot="1">
      <c r="A2527" s="668"/>
      <c r="B2527" s="668"/>
      <c r="C2527" s="668"/>
      <c r="D2527" s="668"/>
      <c r="E2527" s="668" t="s">
        <v>13460</v>
      </c>
      <c r="F2527" s="667">
        <v>5.43</v>
      </c>
      <c r="G2527" s="668"/>
      <c r="H2527" s="925" t="s">
        <v>13459</v>
      </c>
      <c r="I2527" s="925"/>
      <c r="J2527" s="667">
        <v>24.66</v>
      </c>
    </row>
    <row r="2528" spans="1:10" ht="0.95" customHeight="1" thickTop="1">
      <c r="A2528" s="666"/>
      <c r="B2528" s="666"/>
      <c r="C2528" s="666"/>
      <c r="D2528" s="666"/>
      <c r="E2528" s="666"/>
      <c r="F2528" s="666"/>
      <c r="G2528" s="666"/>
      <c r="H2528" s="666"/>
      <c r="I2528" s="666"/>
      <c r="J2528" s="666"/>
    </row>
    <row r="2529" spans="1:10" ht="18" customHeight="1">
      <c r="A2529" s="686" t="s">
        <v>14639</v>
      </c>
      <c r="B2529" s="684" t="s">
        <v>13484</v>
      </c>
      <c r="C2529" s="686" t="s">
        <v>13483</v>
      </c>
      <c r="D2529" s="686" t="s">
        <v>13482</v>
      </c>
      <c r="E2529" s="924" t="s">
        <v>13481</v>
      </c>
      <c r="F2529" s="924"/>
      <c r="G2529" s="685" t="s">
        <v>13480</v>
      </c>
      <c r="H2529" s="684" t="s">
        <v>13479</v>
      </c>
      <c r="I2529" s="684" t="s">
        <v>13478</v>
      </c>
      <c r="J2529" s="684" t="s">
        <v>13477</v>
      </c>
    </row>
    <row r="2530" spans="1:10" ht="24" customHeight="1">
      <c r="A2530" s="682" t="s">
        <v>13476</v>
      </c>
      <c r="B2530" s="683" t="s">
        <v>14638</v>
      </c>
      <c r="C2530" s="682" t="s">
        <v>7</v>
      </c>
      <c r="D2530" s="682" t="s">
        <v>3333</v>
      </c>
      <c r="E2530" s="917" t="s">
        <v>13516</v>
      </c>
      <c r="F2530" s="917"/>
      <c r="G2530" s="681" t="s">
        <v>13515</v>
      </c>
      <c r="H2530" s="680">
        <v>1</v>
      </c>
      <c r="I2530" s="679">
        <v>33.619999999999997</v>
      </c>
      <c r="J2530" s="679">
        <v>33.619999999999997</v>
      </c>
    </row>
    <row r="2531" spans="1:10" ht="24" customHeight="1">
      <c r="A2531" s="677" t="s">
        <v>13472</v>
      </c>
      <c r="B2531" s="678" t="s">
        <v>13471</v>
      </c>
      <c r="C2531" s="677" t="s">
        <v>7</v>
      </c>
      <c r="D2531" s="677" t="s">
        <v>21</v>
      </c>
      <c r="E2531" s="918" t="s">
        <v>13470</v>
      </c>
      <c r="F2531" s="918"/>
      <c r="G2531" s="676" t="s">
        <v>19</v>
      </c>
      <c r="H2531" s="675">
        <v>2.3986000000000001</v>
      </c>
      <c r="I2531" s="674">
        <v>14.02</v>
      </c>
      <c r="J2531" s="674">
        <v>33.619999999999997</v>
      </c>
    </row>
    <row r="2532" spans="1:10" ht="25.5">
      <c r="A2532" s="668"/>
      <c r="B2532" s="668"/>
      <c r="C2532" s="668"/>
      <c r="D2532" s="668"/>
      <c r="E2532" s="668" t="s">
        <v>13463</v>
      </c>
      <c r="F2532" s="667">
        <v>13.446702162338369</v>
      </c>
      <c r="G2532" s="668" t="s">
        <v>13462</v>
      </c>
      <c r="H2532" s="667">
        <v>11.3</v>
      </c>
      <c r="I2532" s="668" t="s">
        <v>13461</v>
      </c>
      <c r="J2532" s="667">
        <v>24.75</v>
      </c>
    </row>
    <row r="2533" spans="1:10" ht="15" thickBot="1">
      <c r="A2533" s="668"/>
      <c r="B2533" s="668"/>
      <c r="C2533" s="668"/>
      <c r="D2533" s="668"/>
      <c r="E2533" s="668" t="s">
        <v>13460</v>
      </c>
      <c r="F2533" s="667">
        <v>9.49</v>
      </c>
      <c r="G2533" s="668"/>
      <c r="H2533" s="925" t="s">
        <v>13459</v>
      </c>
      <c r="I2533" s="925"/>
      <c r="J2533" s="667">
        <v>43.11</v>
      </c>
    </row>
    <row r="2534" spans="1:10" ht="0.95" customHeight="1" thickTop="1">
      <c r="A2534" s="666"/>
      <c r="B2534" s="666"/>
      <c r="C2534" s="666"/>
      <c r="D2534" s="666"/>
      <c r="E2534" s="666"/>
      <c r="F2534" s="666"/>
      <c r="G2534" s="666"/>
      <c r="H2534" s="666"/>
      <c r="I2534" s="666"/>
      <c r="J2534" s="666"/>
    </row>
    <row r="2535" spans="1:10" ht="18" customHeight="1">
      <c r="A2535" s="686" t="s">
        <v>14637</v>
      </c>
      <c r="B2535" s="684" t="s">
        <v>13484</v>
      </c>
      <c r="C2535" s="686" t="s">
        <v>13483</v>
      </c>
      <c r="D2535" s="686" t="s">
        <v>13482</v>
      </c>
      <c r="E2535" s="924" t="s">
        <v>13481</v>
      </c>
      <c r="F2535" s="924"/>
      <c r="G2535" s="685" t="s">
        <v>13480</v>
      </c>
      <c r="H2535" s="684" t="s">
        <v>13479</v>
      </c>
      <c r="I2535" s="684" t="s">
        <v>13478</v>
      </c>
      <c r="J2535" s="684" t="s">
        <v>13477</v>
      </c>
    </row>
    <row r="2536" spans="1:10" ht="36" customHeight="1">
      <c r="A2536" s="682" t="s">
        <v>13476</v>
      </c>
      <c r="B2536" s="683" t="s">
        <v>14636</v>
      </c>
      <c r="C2536" s="682" t="s">
        <v>7</v>
      </c>
      <c r="D2536" s="682" t="s">
        <v>4845</v>
      </c>
      <c r="E2536" s="917" t="s">
        <v>13540</v>
      </c>
      <c r="F2536" s="917"/>
      <c r="G2536" s="681" t="s">
        <v>34</v>
      </c>
      <c r="H2536" s="680">
        <v>1</v>
      </c>
      <c r="I2536" s="679">
        <v>21.88</v>
      </c>
      <c r="J2536" s="679">
        <v>21.88</v>
      </c>
    </row>
    <row r="2537" spans="1:10" ht="24" customHeight="1">
      <c r="A2537" s="677" t="s">
        <v>13472</v>
      </c>
      <c r="B2537" s="678" t="s">
        <v>13539</v>
      </c>
      <c r="C2537" s="677" t="s">
        <v>7</v>
      </c>
      <c r="D2537" s="677" t="s">
        <v>45</v>
      </c>
      <c r="E2537" s="918" t="s">
        <v>13470</v>
      </c>
      <c r="F2537" s="918"/>
      <c r="G2537" s="676" t="s">
        <v>19</v>
      </c>
      <c r="H2537" s="675">
        <v>0.17949999999999999</v>
      </c>
      <c r="I2537" s="674">
        <v>18.3</v>
      </c>
      <c r="J2537" s="674">
        <v>3.28</v>
      </c>
    </row>
    <row r="2538" spans="1:10" ht="24" customHeight="1">
      <c r="A2538" s="677" t="s">
        <v>13472</v>
      </c>
      <c r="B2538" s="678" t="s">
        <v>13538</v>
      </c>
      <c r="C2538" s="677" t="s">
        <v>7</v>
      </c>
      <c r="D2538" s="677" t="s">
        <v>47</v>
      </c>
      <c r="E2538" s="918" t="s">
        <v>13470</v>
      </c>
      <c r="F2538" s="918"/>
      <c r="G2538" s="676" t="s">
        <v>19</v>
      </c>
      <c r="H2538" s="675">
        <v>7.4800000000000005E-2</v>
      </c>
      <c r="I2538" s="674">
        <v>14</v>
      </c>
      <c r="J2538" s="674">
        <v>1.04</v>
      </c>
    </row>
    <row r="2539" spans="1:10" ht="24" customHeight="1">
      <c r="A2539" s="672" t="s">
        <v>13467</v>
      </c>
      <c r="B2539" s="673" t="s">
        <v>14635</v>
      </c>
      <c r="C2539" s="672" t="s">
        <v>7</v>
      </c>
      <c r="D2539" s="672" t="s">
        <v>14634</v>
      </c>
      <c r="E2539" s="919" t="s">
        <v>13464</v>
      </c>
      <c r="F2539" s="919"/>
      <c r="G2539" s="671" t="s">
        <v>34</v>
      </c>
      <c r="H2539" s="670">
        <v>1</v>
      </c>
      <c r="I2539" s="669">
        <v>17.559999999999999</v>
      </c>
      <c r="J2539" s="669">
        <v>17.559999999999999</v>
      </c>
    </row>
    <row r="2540" spans="1:10" ht="25.5">
      <c r="A2540" s="668"/>
      <c r="B2540" s="668"/>
      <c r="C2540" s="668"/>
      <c r="D2540" s="668"/>
      <c r="E2540" s="668" t="s">
        <v>13463</v>
      </c>
      <c r="F2540" s="667">
        <v>1.8254916874932088</v>
      </c>
      <c r="G2540" s="668" t="s">
        <v>13462</v>
      </c>
      <c r="H2540" s="667">
        <v>1.53</v>
      </c>
      <c r="I2540" s="668" t="s">
        <v>13461</v>
      </c>
      <c r="J2540" s="667">
        <v>3.36</v>
      </c>
    </row>
    <row r="2541" spans="1:10" ht="15" thickBot="1">
      <c r="A2541" s="668"/>
      <c r="B2541" s="668"/>
      <c r="C2541" s="668"/>
      <c r="D2541" s="668"/>
      <c r="E2541" s="668" t="s">
        <v>13460</v>
      </c>
      <c r="F2541" s="667">
        <v>6.17</v>
      </c>
      <c r="G2541" s="668"/>
      <c r="H2541" s="925" t="s">
        <v>13459</v>
      </c>
      <c r="I2541" s="925"/>
      <c r="J2541" s="667">
        <v>28.05</v>
      </c>
    </row>
    <row r="2542" spans="1:10" ht="0.95" customHeight="1" thickTop="1">
      <c r="A2542" s="666"/>
      <c r="B2542" s="666"/>
      <c r="C2542" s="666"/>
      <c r="D2542" s="666"/>
      <c r="E2542" s="666"/>
      <c r="F2542" s="666"/>
      <c r="G2542" s="666"/>
      <c r="H2542" s="666"/>
      <c r="I2542" s="666"/>
      <c r="J2542" s="666"/>
    </row>
    <row r="2543" spans="1:10" ht="18" customHeight="1">
      <c r="A2543" s="686" t="s">
        <v>14633</v>
      </c>
      <c r="B2543" s="684" t="s">
        <v>13484</v>
      </c>
      <c r="C2543" s="686" t="s">
        <v>13483</v>
      </c>
      <c r="D2543" s="686" t="s">
        <v>13482</v>
      </c>
      <c r="E2543" s="924" t="s">
        <v>13481</v>
      </c>
      <c r="F2543" s="924"/>
      <c r="G2543" s="685" t="s">
        <v>13480</v>
      </c>
      <c r="H2543" s="684" t="s">
        <v>13479</v>
      </c>
      <c r="I2543" s="684" t="s">
        <v>13478</v>
      </c>
      <c r="J2543" s="684" t="s">
        <v>13477</v>
      </c>
    </row>
    <row r="2544" spans="1:10" ht="36" customHeight="1">
      <c r="A2544" s="682" t="s">
        <v>13476</v>
      </c>
      <c r="B2544" s="683" t="s">
        <v>14632</v>
      </c>
      <c r="C2544" s="682" t="s">
        <v>7</v>
      </c>
      <c r="D2544" s="682" t="s">
        <v>6584</v>
      </c>
      <c r="E2544" s="917" t="s">
        <v>13540</v>
      </c>
      <c r="F2544" s="917"/>
      <c r="G2544" s="681" t="s">
        <v>34</v>
      </c>
      <c r="H2544" s="680">
        <v>1</v>
      </c>
      <c r="I2544" s="679">
        <v>292.26</v>
      </c>
      <c r="J2544" s="679">
        <v>292.26</v>
      </c>
    </row>
    <row r="2545" spans="1:10" ht="60" customHeight="1">
      <c r="A2545" s="677" t="s">
        <v>13472</v>
      </c>
      <c r="B2545" s="678" t="s">
        <v>13604</v>
      </c>
      <c r="C2545" s="677" t="s">
        <v>7</v>
      </c>
      <c r="D2545" s="677" t="s">
        <v>702</v>
      </c>
      <c r="E2545" s="918" t="s">
        <v>13491</v>
      </c>
      <c r="F2545" s="918"/>
      <c r="G2545" s="676" t="s">
        <v>38</v>
      </c>
      <c r="H2545" s="675">
        <v>8.6999999999999994E-3</v>
      </c>
      <c r="I2545" s="674">
        <v>101.95</v>
      </c>
      <c r="J2545" s="674">
        <v>0.88</v>
      </c>
    </row>
    <row r="2546" spans="1:10" ht="60" customHeight="1">
      <c r="A2546" s="677" t="s">
        <v>13472</v>
      </c>
      <c r="B2546" s="678" t="s">
        <v>13602</v>
      </c>
      <c r="C2546" s="677" t="s">
        <v>7</v>
      </c>
      <c r="D2546" s="677" t="s">
        <v>703</v>
      </c>
      <c r="E2546" s="918" t="s">
        <v>13491</v>
      </c>
      <c r="F2546" s="918"/>
      <c r="G2546" s="676" t="s">
        <v>53</v>
      </c>
      <c r="H2546" s="675">
        <v>2.9399999999999999E-2</v>
      </c>
      <c r="I2546" s="674">
        <v>36.340000000000003</v>
      </c>
      <c r="J2546" s="674">
        <v>1.06</v>
      </c>
    </row>
    <row r="2547" spans="1:10" ht="36" customHeight="1">
      <c r="A2547" s="677" t="s">
        <v>13472</v>
      </c>
      <c r="B2547" s="678" t="s">
        <v>13653</v>
      </c>
      <c r="C2547" s="677" t="s">
        <v>7</v>
      </c>
      <c r="D2547" s="677" t="s">
        <v>3771</v>
      </c>
      <c r="E2547" s="918" t="s">
        <v>13646</v>
      </c>
      <c r="F2547" s="918"/>
      <c r="G2547" s="676" t="s">
        <v>13515</v>
      </c>
      <c r="H2547" s="675">
        <v>4.48E-2</v>
      </c>
      <c r="I2547" s="674">
        <v>1971.46</v>
      </c>
      <c r="J2547" s="674">
        <v>88.32</v>
      </c>
    </row>
    <row r="2548" spans="1:10" ht="36" customHeight="1">
      <c r="A2548" s="677" t="s">
        <v>13472</v>
      </c>
      <c r="B2548" s="678" t="s">
        <v>13605</v>
      </c>
      <c r="C2548" s="677" t="s">
        <v>7</v>
      </c>
      <c r="D2548" s="677" t="s">
        <v>5322</v>
      </c>
      <c r="E2548" s="918" t="s">
        <v>13516</v>
      </c>
      <c r="F2548" s="918"/>
      <c r="G2548" s="676" t="s">
        <v>13515</v>
      </c>
      <c r="H2548" s="675">
        <v>8.1000000000000003E-2</v>
      </c>
      <c r="I2548" s="674">
        <v>175.25</v>
      </c>
      <c r="J2548" s="674">
        <v>14.19</v>
      </c>
    </row>
    <row r="2549" spans="1:10" ht="36" customHeight="1">
      <c r="A2549" s="677" t="s">
        <v>13472</v>
      </c>
      <c r="B2549" s="678" t="s">
        <v>14345</v>
      </c>
      <c r="C2549" s="677" t="s">
        <v>7</v>
      </c>
      <c r="D2549" s="677" t="s">
        <v>4334</v>
      </c>
      <c r="E2549" s="918" t="s">
        <v>13470</v>
      </c>
      <c r="F2549" s="918"/>
      <c r="G2549" s="676" t="s">
        <v>13515</v>
      </c>
      <c r="H2549" s="675">
        <v>1.4E-3</v>
      </c>
      <c r="I2549" s="674">
        <v>359.96</v>
      </c>
      <c r="J2549" s="674">
        <v>0.5</v>
      </c>
    </row>
    <row r="2550" spans="1:10" ht="36" customHeight="1">
      <c r="A2550" s="677" t="s">
        <v>13472</v>
      </c>
      <c r="B2550" s="678" t="s">
        <v>14117</v>
      </c>
      <c r="C2550" s="677" t="s">
        <v>7</v>
      </c>
      <c r="D2550" s="677" t="s">
        <v>4421</v>
      </c>
      <c r="E2550" s="918" t="s">
        <v>13470</v>
      </c>
      <c r="F2550" s="918"/>
      <c r="G2550" s="676" t="s">
        <v>13515</v>
      </c>
      <c r="H2550" s="675">
        <v>5.7500000000000002E-2</v>
      </c>
      <c r="I2550" s="674">
        <v>435.13</v>
      </c>
      <c r="J2550" s="674">
        <v>25.01</v>
      </c>
    </row>
    <row r="2551" spans="1:10" ht="24" customHeight="1">
      <c r="A2551" s="677" t="s">
        <v>13472</v>
      </c>
      <c r="B2551" s="678" t="s">
        <v>13600</v>
      </c>
      <c r="C2551" s="677" t="s">
        <v>7</v>
      </c>
      <c r="D2551" s="677" t="s">
        <v>41</v>
      </c>
      <c r="E2551" s="918" t="s">
        <v>13470</v>
      </c>
      <c r="F2551" s="918"/>
      <c r="G2551" s="676" t="s">
        <v>19</v>
      </c>
      <c r="H2551" s="675">
        <v>3.5310000000000001</v>
      </c>
      <c r="I2551" s="674">
        <v>17.670000000000002</v>
      </c>
      <c r="J2551" s="674">
        <v>62.39</v>
      </c>
    </row>
    <row r="2552" spans="1:10" ht="24" customHeight="1">
      <c r="A2552" s="677" t="s">
        <v>13472</v>
      </c>
      <c r="B2552" s="678" t="s">
        <v>13471</v>
      </c>
      <c r="C2552" s="677" t="s">
        <v>7</v>
      </c>
      <c r="D2552" s="677" t="s">
        <v>21</v>
      </c>
      <c r="E2552" s="918" t="s">
        <v>13470</v>
      </c>
      <c r="F2552" s="918"/>
      <c r="G2552" s="676" t="s">
        <v>19</v>
      </c>
      <c r="H2552" s="675">
        <v>3.5310000000000001</v>
      </c>
      <c r="I2552" s="674">
        <v>14.02</v>
      </c>
      <c r="J2552" s="674">
        <v>49.5</v>
      </c>
    </row>
    <row r="2553" spans="1:10" ht="24" customHeight="1">
      <c r="A2553" s="672" t="s">
        <v>13467</v>
      </c>
      <c r="B2553" s="673" t="s">
        <v>14161</v>
      </c>
      <c r="C2553" s="672" t="s">
        <v>7</v>
      </c>
      <c r="D2553" s="672" t="s">
        <v>14160</v>
      </c>
      <c r="E2553" s="919" t="s">
        <v>13464</v>
      </c>
      <c r="F2553" s="919"/>
      <c r="G2553" s="671" t="s">
        <v>34</v>
      </c>
      <c r="H2553" s="670">
        <v>22.915299999999998</v>
      </c>
      <c r="I2553" s="669">
        <v>2.2000000000000002</v>
      </c>
      <c r="J2553" s="669">
        <v>50.41</v>
      </c>
    </row>
    <row r="2554" spans="1:10" ht="25.5">
      <c r="A2554" s="668"/>
      <c r="B2554" s="668"/>
      <c r="C2554" s="668"/>
      <c r="D2554" s="668"/>
      <c r="E2554" s="668" t="s">
        <v>13463</v>
      </c>
      <c r="F2554" s="667">
        <v>68.618928610235798</v>
      </c>
      <c r="G2554" s="668" t="s">
        <v>13462</v>
      </c>
      <c r="H2554" s="667">
        <v>57.68</v>
      </c>
      <c r="I2554" s="668" t="s">
        <v>13461</v>
      </c>
      <c r="J2554" s="667">
        <v>126.3</v>
      </c>
    </row>
    <row r="2555" spans="1:10" ht="15" thickBot="1">
      <c r="A2555" s="668"/>
      <c r="B2555" s="668"/>
      <c r="C2555" s="668"/>
      <c r="D2555" s="668"/>
      <c r="E2555" s="668" t="s">
        <v>13460</v>
      </c>
      <c r="F2555" s="667">
        <v>82.53</v>
      </c>
      <c r="G2555" s="668"/>
      <c r="H2555" s="925" t="s">
        <v>13459</v>
      </c>
      <c r="I2555" s="925"/>
      <c r="J2555" s="667">
        <v>374.79</v>
      </c>
    </row>
    <row r="2556" spans="1:10" ht="0.95" customHeight="1" thickTop="1">
      <c r="A2556" s="666"/>
      <c r="B2556" s="666"/>
      <c r="C2556" s="666"/>
      <c r="D2556" s="666"/>
      <c r="E2556" s="666"/>
      <c r="F2556" s="666"/>
      <c r="G2556" s="666"/>
      <c r="H2556" s="666"/>
      <c r="I2556" s="666"/>
      <c r="J2556" s="666"/>
    </row>
    <row r="2557" spans="1:10" ht="18" customHeight="1">
      <c r="A2557" s="686" t="s">
        <v>14631</v>
      </c>
      <c r="B2557" s="684" t="s">
        <v>13484</v>
      </c>
      <c r="C2557" s="686" t="s">
        <v>13483</v>
      </c>
      <c r="D2557" s="686" t="s">
        <v>13482</v>
      </c>
      <c r="E2557" s="924" t="s">
        <v>13481</v>
      </c>
      <c r="F2557" s="924"/>
      <c r="G2557" s="685" t="s">
        <v>13480</v>
      </c>
      <c r="H2557" s="684" t="s">
        <v>13479</v>
      </c>
      <c r="I2557" s="684" t="s">
        <v>13478</v>
      </c>
      <c r="J2557" s="684" t="s">
        <v>13477</v>
      </c>
    </row>
    <row r="2558" spans="1:10" ht="36" customHeight="1">
      <c r="A2558" s="682" t="s">
        <v>13476</v>
      </c>
      <c r="B2558" s="683" t="s">
        <v>14630</v>
      </c>
      <c r="C2558" s="682" t="s">
        <v>7</v>
      </c>
      <c r="D2558" s="682" t="s">
        <v>6573</v>
      </c>
      <c r="E2558" s="917" t="s">
        <v>13540</v>
      </c>
      <c r="F2558" s="917"/>
      <c r="G2558" s="681" t="s">
        <v>34</v>
      </c>
      <c r="H2558" s="680">
        <v>1</v>
      </c>
      <c r="I2558" s="679">
        <v>113.94</v>
      </c>
      <c r="J2558" s="679">
        <v>113.94</v>
      </c>
    </row>
    <row r="2559" spans="1:10" ht="36" customHeight="1">
      <c r="A2559" s="677" t="s">
        <v>13472</v>
      </c>
      <c r="B2559" s="678" t="s">
        <v>13649</v>
      </c>
      <c r="C2559" s="677" t="s">
        <v>7</v>
      </c>
      <c r="D2559" s="677" t="s">
        <v>3769</v>
      </c>
      <c r="E2559" s="918" t="s">
        <v>13646</v>
      </c>
      <c r="F2559" s="918"/>
      <c r="G2559" s="676" t="s">
        <v>13515</v>
      </c>
      <c r="H2559" s="675">
        <v>9.1000000000000004E-3</v>
      </c>
      <c r="I2559" s="674">
        <v>2730.49</v>
      </c>
      <c r="J2559" s="674">
        <v>24.84</v>
      </c>
    </row>
    <row r="2560" spans="1:10" ht="36" customHeight="1">
      <c r="A2560" s="677" t="s">
        <v>13472</v>
      </c>
      <c r="B2560" s="678" t="s">
        <v>13606</v>
      </c>
      <c r="C2560" s="677" t="s">
        <v>7</v>
      </c>
      <c r="D2560" s="677" t="s">
        <v>5318</v>
      </c>
      <c r="E2560" s="918" t="s">
        <v>13516</v>
      </c>
      <c r="F2560" s="918"/>
      <c r="G2560" s="676" t="s">
        <v>13515</v>
      </c>
      <c r="H2560" s="675">
        <v>3.5999999999999997E-2</v>
      </c>
      <c r="I2560" s="674">
        <v>199.82</v>
      </c>
      <c r="J2560" s="674">
        <v>7.19</v>
      </c>
    </row>
    <row r="2561" spans="1:10" ht="24" customHeight="1">
      <c r="A2561" s="677" t="s">
        <v>13472</v>
      </c>
      <c r="B2561" s="678" t="s">
        <v>13600</v>
      </c>
      <c r="C2561" s="677" t="s">
        <v>7</v>
      </c>
      <c r="D2561" s="677" t="s">
        <v>41</v>
      </c>
      <c r="E2561" s="918" t="s">
        <v>13470</v>
      </c>
      <c r="F2561" s="918"/>
      <c r="G2561" s="676" t="s">
        <v>19</v>
      </c>
      <c r="H2561" s="675">
        <v>5.9499999999999997E-2</v>
      </c>
      <c r="I2561" s="674">
        <v>17.670000000000002</v>
      </c>
      <c r="J2561" s="674">
        <v>1.05</v>
      </c>
    </row>
    <row r="2562" spans="1:10" ht="24" customHeight="1">
      <c r="A2562" s="677" t="s">
        <v>13472</v>
      </c>
      <c r="B2562" s="678" t="s">
        <v>13471</v>
      </c>
      <c r="C2562" s="677" t="s">
        <v>7</v>
      </c>
      <c r="D2562" s="677" t="s">
        <v>21</v>
      </c>
      <c r="E2562" s="918" t="s">
        <v>13470</v>
      </c>
      <c r="F2562" s="918"/>
      <c r="G2562" s="676" t="s">
        <v>19</v>
      </c>
      <c r="H2562" s="675">
        <v>5.9499999999999997E-2</v>
      </c>
      <c r="I2562" s="674">
        <v>14.02</v>
      </c>
      <c r="J2562" s="674">
        <v>0.83</v>
      </c>
    </row>
    <row r="2563" spans="1:10" ht="24" customHeight="1">
      <c r="A2563" s="672" t="s">
        <v>13467</v>
      </c>
      <c r="B2563" s="673" t="s">
        <v>14629</v>
      </c>
      <c r="C2563" s="672" t="s">
        <v>7</v>
      </c>
      <c r="D2563" s="672" t="s">
        <v>14628</v>
      </c>
      <c r="E2563" s="919" t="s">
        <v>13464</v>
      </c>
      <c r="F2563" s="919"/>
      <c r="G2563" s="671" t="s">
        <v>34</v>
      </c>
      <c r="H2563" s="670">
        <v>1</v>
      </c>
      <c r="I2563" s="669">
        <v>80.03</v>
      </c>
      <c r="J2563" s="669">
        <v>80.03</v>
      </c>
    </row>
    <row r="2564" spans="1:10" ht="25.5">
      <c r="A2564" s="668"/>
      <c r="B2564" s="668"/>
      <c r="C2564" s="668"/>
      <c r="D2564" s="668"/>
      <c r="E2564" s="668" t="s">
        <v>13463</v>
      </c>
      <c r="F2564" s="667">
        <v>8.0462892535042929</v>
      </c>
      <c r="G2564" s="668" t="s">
        <v>13462</v>
      </c>
      <c r="H2564" s="667">
        <v>6.76</v>
      </c>
      <c r="I2564" s="668" t="s">
        <v>13461</v>
      </c>
      <c r="J2564" s="667">
        <v>14.81</v>
      </c>
    </row>
    <row r="2565" spans="1:10" ht="15" thickBot="1">
      <c r="A2565" s="668"/>
      <c r="B2565" s="668"/>
      <c r="C2565" s="668"/>
      <c r="D2565" s="668"/>
      <c r="E2565" s="668" t="s">
        <v>13460</v>
      </c>
      <c r="F2565" s="667">
        <v>32.17</v>
      </c>
      <c r="G2565" s="668"/>
      <c r="H2565" s="925" t="s">
        <v>13459</v>
      </c>
      <c r="I2565" s="925"/>
      <c r="J2565" s="667">
        <v>146.11000000000001</v>
      </c>
    </row>
    <row r="2566" spans="1:10" ht="0.95" customHeight="1" thickTop="1">
      <c r="A2566" s="666"/>
      <c r="B2566" s="666"/>
      <c r="C2566" s="666"/>
      <c r="D2566" s="666"/>
      <c r="E2566" s="666"/>
      <c r="F2566" s="666"/>
      <c r="G2566" s="666"/>
      <c r="H2566" s="666"/>
      <c r="I2566" s="666"/>
      <c r="J2566" s="666"/>
    </row>
    <row r="2567" spans="1:10" ht="18" customHeight="1">
      <c r="A2567" s="686" t="s">
        <v>14627</v>
      </c>
      <c r="B2567" s="684" t="s">
        <v>13484</v>
      </c>
      <c r="C2567" s="686" t="s">
        <v>13483</v>
      </c>
      <c r="D2567" s="686" t="s">
        <v>13482</v>
      </c>
      <c r="E2567" s="924" t="s">
        <v>13481</v>
      </c>
      <c r="F2567" s="924"/>
      <c r="G2567" s="685" t="s">
        <v>13480</v>
      </c>
      <c r="H2567" s="684" t="s">
        <v>13479</v>
      </c>
      <c r="I2567" s="684" t="s">
        <v>13478</v>
      </c>
      <c r="J2567" s="684" t="s">
        <v>13477</v>
      </c>
    </row>
    <row r="2568" spans="1:10" ht="48" customHeight="1">
      <c r="A2568" s="682" t="s">
        <v>13476</v>
      </c>
      <c r="B2568" s="683" t="s">
        <v>14626</v>
      </c>
      <c r="C2568" s="682" t="s">
        <v>7</v>
      </c>
      <c r="D2568" s="682" t="s">
        <v>5799</v>
      </c>
      <c r="E2568" s="917" t="s">
        <v>13540</v>
      </c>
      <c r="F2568" s="917"/>
      <c r="G2568" s="681" t="s">
        <v>34</v>
      </c>
      <c r="H2568" s="680">
        <v>1</v>
      </c>
      <c r="I2568" s="679">
        <v>404.34</v>
      </c>
      <c r="J2568" s="679">
        <v>404.34</v>
      </c>
    </row>
    <row r="2569" spans="1:10" ht="48" customHeight="1">
      <c r="A2569" s="677" t="s">
        <v>13472</v>
      </c>
      <c r="B2569" s="678" t="s">
        <v>14092</v>
      </c>
      <c r="C2569" s="677" t="s">
        <v>7</v>
      </c>
      <c r="D2569" s="677" t="s">
        <v>4382</v>
      </c>
      <c r="E2569" s="918" t="s">
        <v>13470</v>
      </c>
      <c r="F2569" s="918"/>
      <c r="G2569" s="676" t="s">
        <v>13515</v>
      </c>
      <c r="H2569" s="675">
        <v>1.17E-2</v>
      </c>
      <c r="I2569" s="674">
        <v>504.68</v>
      </c>
      <c r="J2569" s="674">
        <v>5.9</v>
      </c>
    </row>
    <row r="2570" spans="1:10" ht="24" customHeight="1">
      <c r="A2570" s="677" t="s">
        <v>13472</v>
      </c>
      <c r="B2570" s="678" t="s">
        <v>13539</v>
      </c>
      <c r="C2570" s="677" t="s">
        <v>7</v>
      </c>
      <c r="D2570" s="677" t="s">
        <v>45</v>
      </c>
      <c r="E2570" s="918" t="s">
        <v>13470</v>
      </c>
      <c r="F2570" s="918"/>
      <c r="G2570" s="676" t="s">
        <v>19</v>
      </c>
      <c r="H2570" s="675">
        <v>0.48110000000000003</v>
      </c>
      <c r="I2570" s="674">
        <v>18.3</v>
      </c>
      <c r="J2570" s="674">
        <v>8.8000000000000007</v>
      </c>
    </row>
    <row r="2571" spans="1:10" ht="24" customHeight="1">
      <c r="A2571" s="677" t="s">
        <v>13472</v>
      </c>
      <c r="B2571" s="678" t="s">
        <v>13538</v>
      </c>
      <c r="C2571" s="677" t="s">
        <v>7</v>
      </c>
      <c r="D2571" s="677" t="s">
        <v>47</v>
      </c>
      <c r="E2571" s="918" t="s">
        <v>13470</v>
      </c>
      <c r="F2571" s="918"/>
      <c r="G2571" s="676" t="s">
        <v>19</v>
      </c>
      <c r="H2571" s="675">
        <v>0.48110000000000003</v>
      </c>
      <c r="I2571" s="674">
        <v>14</v>
      </c>
      <c r="J2571" s="674">
        <v>6.73</v>
      </c>
    </row>
    <row r="2572" spans="1:10" ht="36" customHeight="1">
      <c r="A2572" s="672" t="s">
        <v>13467</v>
      </c>
      <c r="B2572" s="673" t="s">
        <v>14625</v>
      </c>
      <c r="C2572" s="672" t="s">
        <v>7</v>
      </c>
      <c r="D2572" s="672" t="s">
        <v>14624</v>
      </c>
      <c r="E2572" s="919" t="s">
        <v>13464</v>
      </c>
      <c r="F2572" s="919"/>
      <c r="G2572" s="671" t="s">
        <v>34</v>
      </c>
      <c r="H2572" s="670">
        <v>1</v>
      </c>
      <c r="I2572" s="669">
        <v>382.91</v>
      </c>
      <c r="J2572" s="669">
        <v>382.91</v>
      </c>
    </row>
    <row r="2573" spans="1:10" ht="25.5">
      <c r="A2573" s="668"/>
      <c r="B2573" s="668"/>
      <c r="C2573" s="668"/>
      <c r="D2573" s="668"/>
      <c r="E2573" s="668" t="s">
        <v>13463</v>
      </c>
      <c r="F2573" s="667">
        <v>7.1824405085298269</v>
      </c>
      <c r="G2573" s="668" t="s">
        <v>13462</v>
      </c>
      <c r="H2573" s="667">
        <v>6.04</v>
      </c>
      <c r="I2573" s="668" t="s">
        <v>13461</v>
      </c>
      <c r="J2573" s="667">
        <v>13.22</v>
      </c>
    </row>
    <row r="2574" spans="1:10" ht="15" thickBot="1">
      <c r="A2574" s="668"/>
      <c r="B2574" s="668"/>
      <c r="C2574" s="668"/>
      <c r="D2574" s="668"/>
      <c r="E2574" s="668" t="s">
        <v>13460</v>
      </c>
      <c r="F2574" s="667">
        <v>114.18</v>
      </c>
      <c r="G2574" s="668"/>
      <c r="H2574" s="925" t="s">
        <v>13459</v>
      </c>
      <c r="I2574" s="925"/>
      <c r="J2574" s="667">
        <v>518.52</v>
      </c>
    </row>
    <row r="2575" spans="1:10" ht="0.95" customHeight="1" thickTop="1">
      <c r="A2575" s="666"/>
      <c r="B2575" s="666"/>
      <c r="C2575" s="666"/>
      <c r="D2575" s="666"/>
      <c r="E2575" s="666"/>
      <c r="F2575" s="666"/>
      <c r="G2575" s="666"/>
      <c r="H2575" s="666"/>
      <c r="I2575" s="666"/>
      <c r="J2575" s="666"/>
    </row>
    <row r="2576" spans="1:10" ht="18" customHeight="1">
      <c r="A2576" s="686" t="s">
        <v>14623</v>
      </c>
      <c r="B2576" s="684" t="s">
        <v>13484</v>
      </c>
      <c r="C2576" s="686" t="s">
        <v>13483</v>
      </c>
      <c r="D2576" s="686" t="s">
        <v>13482</v>
      </c>
      <c r="E2576" s="924" t="s">
        <v>13481</v>
      </c>
      <c r="F2576" s="924"/>
      <c r="G2576" s="685" t="s">
        <v>13480</v>
      </c>
      <c r="H2576" s="684" t="s">
        <v>13479</v>
      </c>
      <c r="I2576" s="684" t="s">
        <v>13478</v>
      </c>
      <c r="J2576" s="684" t="s">
        <v>13477</v>
      </c>
    </row>
    <row r="2577" spans="1:10" ht="48" customHeight="1">
      <c r="A2577" s="682" t="s">
        <v>13476</v>
      </c>
      <c r="B2577" s="683" t="s">
        <v>14622</v>
      </c>
      <c r="C2577" s="682" t="s">
        <v>7</v>
      </c>
      <c r="D2577" s="682" t="s">
        <v>5803</v>
      </c>
      <c r="E2577" s="917" t="s">
        <v>13540</v>
      </c>
      <c r="F2577" s="917"/>
      <c r="G2577" s="681" t="s">
        <v>34</v>
      </c>
      <c r="H2577" s="680">
        <v>1</v>
      </c>
      <c r="I2577" s="679">
        <v>588.44000000000005</v>
      </c>
      <c r="J2577" s="679">
        <v>588.44000000000005</v>
      </c>
    </row>
    <row r="2578" spans="1:10" ht="48" customHeight="1">
      <c r="A2578" s="677" t="s">
        <v>13472</v>
      </c>
      <c r="B2578" s="678" t="s">
        <v>14092</v>
      </c>
      <c r="C2578" s="677" t="s">
        <v>7</v>
      </c>
      <c r="D2578" s="677" t="s">
        <v>4382</v>
      </c>
      <c r="E2578" s="918" t="s">
        <v>13470</v>
      </c>
      <c r="F2578" s="918"/>
      <c r="G2578" s="676" t="s">
        <v>13515</v>
      </c>
      <c r="H2578" s="675">
        <v>1.44E-2</v>
      </c>
      <c r="I2578" s="674">
        <v>504.68</v>
      </c>
      <c r="J2578" s="674">
        <v>7.26</v>
      </c>
    </row>
    <row r="2579" spans="1:10" ht="24" customHeight="1">
      <c r="A2579" s="677" t="s">
        <v>13472</v>
      </c>
      <c r="B2579" s="678" t="s">
        <v>13539</v>
      </c>
      <c r="C2579" s="677" t="s">
        <v>7</v>
      </c>
      <c r="D2579" s="677" t="s">
        <v>45</v>
      </c>
      <c r="E2579" s="918" t="s">
        <v>13470</v>
      </c>
      <c r="F2579" s="918"/>
      <c r="G2579" s="676" t="s">
        <v>19</v>
      </c>
      <c r="H2579" s="675">
        <v>0.53459999999999996</v>
      </c>
      <c r="I2579" s="674">
        <v>18.3</v>
      </c>
      <c r="J2579" s="674">
        <v>9.7799999999999994</v>
      </c>
    </row>
    <row r="2580" spans="1:10" ht="24" customHeight="1">
      <c r="A2580" s="677" t="s">
        <v>13472</v>
      </c>
      <c r="B2580" s="678" t="s">
        <v>13538</v>
      </c>
      <c r="C2580" s="677" t="s">
        <v>7</v>
      </c>
      <c r="D2580" s="677" t="s">
        <v>47</v>
      </c>
      <c r="E2580" s="918" t="s">
        <v>13470</v>
      </c>
      <c r="F2580" s="918"/>
      <c r="G2580" s="676" t="s">
        <v>19</v>
      </c>
      <c r="H2580" s="675">
        <v>0.53459999999999996</v>
      </c>
      <c r="I2580" s="674">
        <v>14</v>
      </c>
      <c r="J2580" s="674">
        <v>7.48</v>
      </c>
    </row>
    <row r="2581" spans="1:10" ht="36" customHeight="1">
      <c r="A2581" s="672" t="s">
        <v>13467</v>
      </c>
      <c r="B2581" s="673" t="s">
        <v>14621</v>
      </c>
      <c r="C2581" s="672" t="s">
        <v>7</v>
      </c>
      <c r="D2581" s="672" t="s">
        <v>14620</v>
      </c>
      <c r="E2581" s="919" t="s">
        <v>13464</v>
      </c>
      <c r="F2581" s="919"/>
      <c r="G2581" s="671" t="s">
        <v>34</v>
      </c>
      <c r="H2581" s="670">
        <v>1</v>
      </c>
      <c r="I2581" s="669">
        <v>563.91999999999996</v>
      </c>
      <c r="J2581" s="669">
        <v>563.91999999999996</v>
      </c>
    </row>
    <row r="2582" spans="1:10" ht="25.5">
      <c r="A2582" s="668"/>
      <c r="B2582" s="668"/>
      <c r="C2582" s="668"/>
      <c r="D2582" s="668"/>
      <c r="E2582" s="668" t="s">
        <v>13463</v>
      </c>
      <c r="F2582" s="667">
        <v>8.0625882864283387</v>
      </c>
      <c r="G2582" s="668" t="s">
        <v>13462</v>
      </c>
      <c r="H2582" s="667">
        <v>6.78</v>
      </c>
      <c r="I2582" s="668" t="s">
        <v>13461</v>
      </c>
      <c r="J2582" s="667">
        <v>14.84</v>
      </c>
    </row>
    <row r="2583" spans="1:10" ht="15" thickBot="1">
      <c r="A2583" s="668"/>
      <c r="B2583" s="668"/>
      <c r="C2583" s="668"/>
      <c r="D2583" s="668"/>
      <c r="E2583" s="668" t="s">
        <v>13460</v>
      </c>
      <c r="F2583" s="667">
        <v>166.17</v>
      </c>
      <c r="G2583" s="668"/>
      <c r="H2583" s="925" t="s">
        <v>13459</v>
      </c>
      <c r="I2583" s="925"/>
      <c r="J2583" s="667">
        <v>754.61</v>
      </c>
    </row>
    <row r="2584" spans="1:10" ht="0.95" customHeight="1" thickTop="1">
      <c r="A2584" s="666"/>
      <c r="B2584" s="666"/>
      <c r="C2584" s="666"/>
      <c r="D2584" s="666"/>
      <c r="E2584" s="666"/>
      <c r="F2584" s="666"/>
      <c r="G2584" s="666"/>
      <c r="H2584" s="666"/>
      <c r="I2584" s="666"/>
      <c r="J2584" s="666"/>
    </row>
    <row r="2585" spans="1:10" ht="18" customHeight="1">
      <c r="A2585" s="686" t="s">
        <v>14619</v>
      </c>
      <c r="B2585" s="684" t="s">
        <v>13484</v>
      </c>
      <c r="C2585" s="686" t="s">
        <v>13483</v>
      </c>
      <c r="D2585" s="686" t="s">
        <v>13482</v>
      </c>
      <c r="E2585" s="924" t="s">
        <v>13481</v>
      </c>
      <c r="F2585" s="924"/>
      <c r="G2585" s="685" t="s">
        <v>13480</v>
      </c>
      <c r="H2585" s="684" t="s">
        <v>13479</v>
      </c>
      <c r="I2585" s="684" t="s">
        <v>13478</v>
      </c>
      <c r="J2585" s="684" t="s">
        <v>13477</v>
      </c>
    </row>
    <row r="2586" spans="1:10" ht="48" customHeight="1">
      <c r="A2586" s="682" t="s">
        <v>13476</v>
      </c>
      <c r="B2586" s="683" t="s">
        <v>14618</v>
      </c>
      <c r="C2586" s="682" t="s">
        <v>7</v>
      </c>
      <c r="D2586" s="682" t="s">
        <v>5804</v>
      </c>
      <c r="E2586" s="917" t="s">
        <v>13540</v>
      </c>
      <c r="F2586" s="917"/>
      <c r="G2586" s="681" t="s">
        <v>34</v>
      </c>
      <c r="H2586" s="680">
        <v>1</v>
      </c>
      <c r="I2586" s="679">
        <v>676.85</v>
      </c>
      <c r="J2586" s="679">
        <v>676.85</v>
      </c>
    </row>
    <row r="2587" spans="1:10" ht="48" customHeight="1">
      <c r="A2587" s="677" t="s">
        <v>13472</v>
      </c>
      <c r="B2587" s="678" t="s">
        <v>14092</v>
      </c>
      <c r="C2587" s="677" t="s">
        <v>7</v>
      </c>
      <c r="D2587" s="677" t="s">
        <v>4382</v>
      </c>
      <c r="E2587" s="918" t="s">
        <v>13470</v>
      </c>
      <c r="F2587" s="918"/>
      <c r="G2587" s="676" t="s">
        <v>13515</v>
      </c>
      <c r="H2587" s="675">
        <v>1.9199999999999998E-2</v>
      </c>
      <c r="I2587" s="674">
        <v>504.68</v>
      </c>
      <c r="J2587" s="674">
        <v>9.68</v>
      </c>
    </row>
    <row r="2588" spans="1:10" ht="24" customHeight="1">
      <c r="A2588" s="677" t="s">
        <v>13472</v>
      </c>
      <c r="B2588" s="678" t="s">
        <v>13539</v>
      </c>
      <c r="C2588" s="677" t="s">
        <v>7</v>
      </c>
      <c r="D2588" s="677" t="s">
        <v>45</v>
      </c>
      <c r="E2588" s="918" t="s">
        <v>13470</v>
      </c>
      <c r="F2588" s="918"/>
      <c r="G2588" s="676" t="s">
        <v>19</v>
      </c>
      <c r="H2588" s="675">
        <v>0.63370000000000004</v>
      </c>
      <c r="I2588" s="674">
        <v>18.3</v>
      </c>
      <c r="J2588" s="674">
        <v>11.59</v>
      </c>
    </row>
    <row r="2589" spans="1:10" ht="24" customHeight="1">
      <c r="A2589" s="677" t="s">
        <v>13472</v>
      </c>
      <c r="B2589" s="678" t="s">
        <v>13538</v>
      </c>
      <c r="C2589" s="677" t="s">
        <v>7</v>
      </c>
      <c r="D2589" s="677" t="s">
        <v>47</v>
      </c>
      <c r="E2589" s="918" t="s">
        <v>13470</v>
      </c>
      <c r="F2589" s="918"/>
      <c r="G2589" s="676" t="s">
        <v>19</v>
      </c>
      <c r="H2589" s="675">
        <v>0.63370000000000004</v>
      </c>
      <c r="I2589" s="674">
        <v>14</v>
      </c>
      <c r="J2589" s="674">
        <v>8.8699999999999992</v>
      </c>
    </row>
    <row r="2590" spans="1:10" ht="36" customHeight="1">
      <c r="A2590" s="672" t="s">
        <v>13467</v>
      </c>
      <c r="B2590" s="673" t="s">
        <v>14617</v>
      </c>
      <c r="C2590" s="672" t="s">
        <v>7</v>
      </c>
      <c r="D2590" s="672" t="s">
        <v>14616</v>
      </c>
      <c r="E2590" s="919" t="s">
        <v>13464</v>
      </c>
      <c r="F2590" s="919"/>
      <c r="G2590" s="671" t="s">
        <v>34</v>
      </c>
      <c r="H2590" s="670">
        <v>1</v>
      </c>
      <c r="I2590" s="669">
        <v>646.71</v>
      </c>
      <c r="J2590" s="669">
        <v>646.71</v>
      </c>
    </row>
    <row r="2591" spans="1:10" ht="25.5">
      <c r="A2591" s="668"/>
      <c r="B2591" s="668"/>
      <c r="C2591" s="668"/>
      <c r="D2591" s="668"/>
      <c r="E2591" s="668" t="s">
        <v>13463</v>
      </c>
      <c r="F2591" s="667">
        <v>9.6979245898076716</v>
      </c>
      <c r="G2591" s="668" t="s">
        <v>13462</v>
      </c>
      <c r="H2591" s="667">
        <v>8.15</v>
      </c>
      <c r="I2591" s="668" t="s">
        <v>13461</v>
      </c>
      <c r="J2591" s="667">
        <v>17.850000000000001</v>
      </c>
    </row>
    <row r="2592" spans="1:10" ht="15" thickBot="1">
      <c r="A2592" s="668"/>
      <c r="B2592" s="668"/>
      <c r="C2592" s="668"/>
      <c r="D2592" s="668"/>
      <c r="E2592" s="668" t="s">
        <v>13460</v>
      </c>
      <c r="F2592" s="667">
        <v>191.14</v>
      </c>
      <c r="G2592" s="668"/>
      <c r="H2592" s="925" t="s">
        <v>13459</v>
      </c>
      <c r="I2592" s="925"/>
      <c r="J2592" s="667">
        <v>867.99</v>
      </c>
    </row>
    <row r="2593" spans="1:10" ht="0.95" customHeight="1" thickTop="1">
      <c r="A2593" s="666"/>
      <c r="B2593" s="666"/>
      <c r="C2593" s="666"/>
      <c r="D2593" s="666"/>
      <c r="E2593" s="666"/>
      <c r="F2593" s="666"/>
      <c r="G2593" s="666"/>
      <c r="H2593" s="666"/>
      <c r="I2593" s="666"/>
      <c r="J2593" s="666"/>
    </row>
    <row r="2594" spans="1:10" ht="18" customHeight="1">
      <c r="A2594" s="686" t="s">
        <v>14615</v>
      </c>
      <c r="B2594" s="684" t="s">
        <v>13484</v>
      </c>
      <c r="C2594" s="686" t="s">
        <v>13483</v>
      </c>
      <c r="D2594" s="686" t="s">
        <v>13482</v>
      </c>
      <c r="E2594" s="924" t="s">
        <v>13481</v>
      </c>
      <c r="F2594" s="924"/>
      <c r="G2594" s="685" t="s">
        <v>13480</v>
      </c>
      <c r="H2594" s="684" t="s">
        <v>13479</v>
      </c>
      <c r="I2594" s="684" t="s">
        <v>13478</v>
      </c>
      <c r="J2594" s="684" t="s">
        <v>13477</v>
      </c>
    </row>
    <row r="2595" spans="1:10" ht="48" customHeight="1">
      <c r="A2595" s="682" t="s">
        <v>13476</v>
      </c>
      <c r="B2595" s="683" t="s">
        <v>14614</v>
      </c>
      <c r="C2595" s="682" t="s">
        <v>7</v>
      </c>
      <c r="D2595" s="682" t="s">
        <v>5805</v>
      </c>
      <c r="E2595" s="917" t="s">
        <v>13540</v>
      </c>
      <c r="F2595" s="917"/>
      <c r="G2595" s="681" t="s">
        <v>34</v>
      </c>
      <c r="H2595" s="680">
        <v>1</v>
      </c>
      <c r="I2595" s="679">
        <v>979.09</v>
      </c>
      <c r="J2595" s="679">
        <v>979.09</v>
      </c>
    </row>
    <row r="2596" spans="1:10" ht="48" customHeight="1">
      <c r="A2596" s="677" t="s">
        <v>13472</v>
      </c>
      <c r="B2596" s="678" t="s">
        <v>14092</v>
      </c>
      <c r="C2596" s="677" t="s">
        <v>7</v>
      </c>
      <c r="D2596" s="677" t="s">
        <v>4382</v>
      </c>
      <c r="E2596" s="918" t="s">
        <v>13470</v>
      </c>
      <c r="F2596" s="918"/>
      <c r="G2596" s="676" t="s">
        <v>13515</v>
      </c>
      <c r="H2596" s="675">
        <v>1.89E-2</v>
      </c>
      <c r="I2596" s="674">
        <v>504.68</v>
      </c>
      <c r="J2596" s="674">
        <v>9.5299999999999994</v>
      </c>
    </row>
    <row r="2597" spans="1:10" ht="24" customHeight="1">
      <c r="A2597" s="677" t="s">
        <v>13472</v>
      </c>
      <c r="B2597" s="678" t="s">
        <v>13539</v>
      </c>
      <c r="C2597" s="677" t="s">
        <v>7</v>
      </c>
      <c r="D2597" s="677" t="s">
        <v>45</v>
      </c>
      <c r="E2597" s="918" t="s">
        <v>13470</v>
      </c>
      <c r="F2597" s="918"/>
      <c r="G2597" s="676" t="s">
        <v>19</v>
      </c>
      <c r="H2597" s="675">
        <v>0.63839999999999997</v>
      </c>
      <c r="I2597" s="674">
        <v>18.3</v>
      </c>
      <c r="J2597" s="674">
        <v>11.68</v>
      </c>
    </row>
    <row r="2598" spans="1:10" ht="24" customHeight="1">
      <c r="A2598" s="677" t="s">
        <v>13472</v>
      </c>
      <c r="B2598" s="678" t="s">
        <v>13538</v>
      </c>
      <c r="C2598" s="677" t="s">
        <v>7</v>
      </c>
      <c r="D2598" s="677" t="s">
        <v>47</v>
      </c>
      <c r="E2598" s="918" t="s">
        <v>13470</v>
      </c>
      <c r="F2598" s="918"/>
      <c r="G2598" s="676" t="s">
        <v>19</v>
      </c>
      <c r="H2598" s="675">
        <v>0.63839999999999997</v>
      </c>
      <c r="I2598" s="674">
        <v>14</v>
      </c>
      <c r="J2598" s="674">
        <v>8.93</v>
      </c>
    </row>
    <row r="2599" spans="1:10" ht="36" customHeight="1">
      <c r="A2599" s="672" t="s">
        <v>13467</v>
      </c>
      <c r="B2599" s="673" t="s">
        <v>14613</v>
      </c>
      <c r="C2599" s="672" t="s">
        <v>7</v>
      </c>
      <c r="D2599" s="672" t="s">
        <v>14612</v>
      </c>
      <c r="E2599" s="919" t="s">
        <v>13464</v>
      </c>
      <c r="F2599" s="919"/>
      <c r="G2599" s="671" t="s">
        <v>34</v>
      </c>
      <c r="H2599" s="670">
        <v>1</v>
      </c>
      <c r="I2599" s="669">
        <v>948.95</v>
      </c>
      <c r="J2599" s="669">
        <v>948.95</v>
      </c>
    </row>
    <row r="2600" spans="1:10" ht="25.5">
      <c r="A2600" s="668"/>
      <c r="B2600" s="668"/>
      <c r="C2600" s="668"/>
      <c r="D2600" s="668"/>
      <c r="E2600" s="668" t="s">
        <v>13463</v>
      </c>
      <c r="F2600" s="667">
        <v>9.7468216885798107</v>
      </c>
      <c r="G2600" s="668" t="s">
        <v>13462</v>
      </c>
      <c r="H2600" s="667">
        <v>8.19</v>
      </c>
      <c r="I2600" s="668" t="s">
        <v>13461</v>
      </c>
      <c r="J2600" s="667">
        <v>17.940000000000001</v>
      </c>
    </row>
    <row r="2601" spans="1:10" ht="15" thickBot="1">
      <c r="A2601" s="668"/>
      <c r="B2601" s="668"/>
      <c r="C2601" s="668"/>
      <c r="D2601" s="668"/>
      <c r="E2601" s="668" t="s">
        <v>13460</v>
      </c>
      <c r="F2601" s="667">
        <v>276.49</v>
      </c>
      <c r="G2601" s="668"/>
      <c r="H2601" s="925" t="s">
        <v>13459</v>
      </c>
      <c r="I2601" s="925"/>
      <c r="J2601" s="667">
        <v>1255.58</v>
      </c>
    </row>
    <row r="2602" spans="1:10" ht="0.95" customHeight="1" thickTop="1">
      <c r="A2602" s="666"/>
      <c r="B2602" s="666"/>
      <c r="C2602" s="666"/>
      <c r="D2602" s="666"/>
      <c r="E2602" s="666"/>
      <c r="F2602" s="666"/>
      <c r="G2602" s="666"/>
      <c r="H2602" s="666"/>
      <c r="I2602" s="666"/>
      <c r="J2602" s="666"/>
    </row>
    <row r="2603" spans="1:10" ht="18" customHeight="1">
      <c r="A2603" s="686" t="s">
        <v>14611</v>
      </c>
      <c r="B2603" s="684" t="s">
        <v>13484</v>
      </c>
      <c r="C2603" s="686" t="s">
        <v>13483</v>
      </c>
      <c r="D2603" s="686" t="s">
        <v>13482</v>
      </c>
      <c r="E2603" s="924" t="s">
        <v>13481</v>
      </c>
      <c r="F2603" s="924"/>
      <c r="G2603" s="685" t="s">
        <v>13480</v>
      </c>
      <c r="H2603" s="684" t="s">
        <v>13479</v>
      </c>
      <c r="I2603" s="684" t="s">
        <v>13478</v>
      </c>
      <c r="J2603" s="684" t="s">
        <v>13477</v>
      </c>
    </row>
    <row r="2604" spans="1:10" ht="24" customHeight="1">
      <c r="A2604" s="682" t="s">
        <v>13476</v>
      </c>
      <c r="B2604" s="683" t="s">
        <v>14610</v>
      </c>
      <c r="C2604" s="682" t="s">
        <v>7</v>
      </c>
      <c r="D2604" s="682" t="s">
        <v>2006</v>
      </c>
      <c r="E2604" s="917" t="s">
        <v>13540</v>
      </c>
      <c r="F2604" s="917"/>
      <c r="G2604" s="681" t="s">
        <v>34</v>
      </c>
      <c r="H2604" s="680">
        <v>1</v>
      </c>
      <c r="I2604" s="679">
        <v>7.72</v>
      </c>
      <c r="J2604" s="679">
        <v>7.72</v>
      </c>
    </row>
    <row r="2605" spans="1:10" ht="24" customHeight="1">
      <c r="A2605" s="677" t="s">
        <v>13472</v>
      </c>
      <c r="B2605" s="678" t="s">
        <v>13539</v>
      </c>
      <c r="C2605" s="677" t="s">
        <v>7</v>
      </c>
      <c r="D2605" s="677" t="s">
        <v>45</v>
      </c>
      <c r="E2605" s="918" t="s">
        <v>13470</v>
      </c>
      <c r="F2605" s="918"/>
      <c r="G2605" s="676" t="s">
        <v>19</v>
      </c>
      <c r="H2605" s="675">
        <v>0.14299999999999999</v>
      </c>
      <c r="I2605" s="674">
        <v>18.3</v>
      </c>
      <c r="J2605" s="674">
        <v>2.61</v>
      </c>
    </row>
    <row r="2606" spans="1:10" ht="24" customHeight="1">
      <c r="A2606" s="677" t="s">
        <v>13472</v>
      </c>
      <c r="B2606" s="678" t="s">
        <v>13538</v>
      </c>
      <c r="C2606" s="677" t="s">
        <v>7</v>
      </c>
      <c r="D2606" s="677" t="s">
        <v>47</v>
      </c>
      <c r="E2606" s="918" t="s">
        <v>13470</v>
      </c>
      <c r="F2606" s="918"/>
      <c r="G2606" s="676" t="s">
        <v>19</v>
      </c>
      <c r="H2606" s="675">
        <v>0.14299999999999999</v>
      </c>
      <c r="I2606" s="674">
        <v>14</v>
      </c>
      <c r="J2606" s="674">
        <v>2</v>
      </c>
    </row>
    <row r="2607" spans="1:10" ht="24" customHeight="1">
      <c r="A2607" s="672" t="s">
        <v>13467</v>
      </c>
      <c r="B2607" s="673" t="s">
        <v>14609</v>
      </c>
      <c r="C2607" s="672" t="s">
        <v>7</v>
      </c>
      <c r="D2607" s="672" t="s">
        <v>14608</v>
      </c>
      <c r="E2607" s="919" t="s">
        <v>13464</v>
      </c>
      <c r="F2607" s="919"/>
      <c r="G2607" s="671" t="s">
        <v>34</v>
      </c>
      <c r="H2607" s="670">
        <v>1</v>
      </c>
      <c r="I2607" s="669">
        <v>3.11</v>
      </c>
      <c r="J2607" s="669">
        <v>3.11</v>
      </c>
    </row>
    <row r="2608" spans="1:10" ht="25.5">
      <c r="A2608" s="668"/>
      <c r="B2608" s="668"/>
      <c r="C2608" s="668"/>
      <c r="D2608" s="668"/>
      <c r="E2608" s="668" t="s">
        <v>13463</v>
      </c>
      <c r="F2608" s="667">
        <v>1.9124198630881235</v>
      </c>
      <c r="G2608" s="668" t="s">
        <v>13462</v>
      </c>
      <c r="H2608" s="667">
        <v>1.61</v>
      </c>
      <c r="I2608" s="668" t="s">
        <v>13461</v>
      </c>
      <c r="J2608" s="667">
        <v>3.52</v>
      </c>
    </row>
    <row r="2609" spans="1:10" ht="15" thickBot="1">
      <c r="A2609" s="668"/>
      <c r="B2609" s="668"/>
      <c r="C2609" s="668"/>
      <c r="D2609" s="668"/>
      <c r="E2609" s="668" t="s">
        <v>13460</v>
      </c>
      <c r="F2609" s="667">
        <v>2.1800000000000002</v>
      </c>
      <c r="G2609" s="668"/>
      <c r="H2609" s="925" t="s">
        <v>13459</v>
      </c>
      <c r="I2609" s="925"/>
      <c r="J2609" s="667">
        <v>9.9</v>
      </c>
    </row>
    <row r="2610" spans="1:10" ht="0.95" customHeight="1" thickTop="1">
      <c r="A2610" s="666"/>
      <c r="B2610" s="666"/>
      <c r="C2610" s="666"/>
      <c r="D2610" s="666"/>
      <c r="E2610" s="666"/>
      <c r="F2610" s="666"/>
      <c r="G2610" s="666"/>
      <c r="H2610" s="666"/>
      <c r="I2610" s="666"/>
      <c r="J2610" s="666"/>
    </row>
    <row r="2611" spans="1:10" ht="18" customHeight="1">
      <c r="A2611" s="686" t="s">
        <v>14607</v>
      </c>
      <c r="B2611" s="684" t="s">
        <v>13484</v>
      </c>
      <c r="C2611" s="686" t="s">
        <v>13483</v>
      </c>
      <c r="D2611" s="686" t="s">
        <v>13482</v>
      </c>
      <c r="E2611" s="924" t="s">
        <v>13481</v>
      </c>
      <c r="F2611" s="924"/>
      <c r="G2611" s="685" t="s">
        <v>13480</v>
      </c>
      <c r="H2611" s="684" t="s">
        <v>13479</v>
      </c>
      <c r="I2611" s="684" t="s">
        <v>13478</v>
      </c>
      <c r="J2611" s="684" t="s">
        <v>13477</v>
      </c>
    </row>
    <row r="2612" spans="1:10" ht="36" customHeight="1">
      <c r="A2612" s="682" t="s">
        <v>13476</v>
      </c>
      <c r="B2612" s="683" t="s">
        <v>14606</v>
      </c>
      <c r="C2612" s="682" t="s">
        <v>7</v>
      </c>
      <c r="D2612" s="682" t="s">
        <v>2007</v>
      </c>
      <c r="E2612" s="917" t="s">
        <v>13540</v>
      </c>
      <c r="F2612" s="917"/>
      <c r="G2612" s="681" t="s">
        <v>34</v>
      </c>
      <c r="H2612" s="680">
        <v>1</v>
      </c>
      <c r="I2612" s="679">
        <v>18.940000000000001</v>
      </c>
      <c r="J2612" s="679">
        <v>18.940000000000001</v>
      </c>
    </row>
    <row r="2613" spans="1:10" ht="24" customHeight="1">
      <c r="A2613" s="677" t="s">
        <v>13472</v>
      </c>
      <c r="B2613" s="678" t="s">
        <v>14118</v>
      </c>
      <c r="C2613" s="677" t="s">
        <v>7</v>
      </c>
      <c r="D2613" s="677" t="s">
        <v>4422</v>
      </c>
      <c r="E2613" s="918" t="s">
        <v>13470</v>
      </c>
      <c r="F2613" s="918"/>
      <c r="G2613" s="676" t="s">
        <v>13515</v>
      </c>
      <c r="H2613" s="675">
        <v>8.9999999999999998E-4</v>
      </c>
      <c r="I2613" s="674">
        <v>509.05</v>
      </c>
      <c r="J2613" s="674">
        <v>0.45</v>
      </c>
    </row>
    <row r="2614" spans="1:10" ht="24" customHeight="1">
      <c r="A2614" s="677" t="s">
        <v>13472</v>
      </c>
      <c r="B2614" s="678" t="s">
        <v>13539</v>
      </c>
      <c r="C2614" s="677" t="s">
        <v>7</v>
      </c>
      <c r="D2614" s="677" t="s">
        <v>45</v>
      </c>
      <c r="E2614" s="918" t="s">
        <v>13470</v>
      </c>
      <c r="F2614" s="918"/>
      <c r="G2614" s="676" t="s">
        <v>19</v>
      </c>
      <c r="H2614" s="675">
        <v>0.51900000000000002</v>
      </c>
      <c r="I2614" s="674">
        <v>18.3</v>
      </c>
      <c r="J2614" s="674">
        <v>9.49</v>
      </c>
    </row>
    <row r="2615" spans="1:10" ht="24" customHeight="1">
      <c r="A2615" s="677" t="s">
        <v>13472</v>
      </c>
      <c r="B2615" s="678" t="s">
        <v>13538</v>
      </c>
      <c r="C2615" s="677" t="s">
        <v>7</v>
      </c>
      <c r="D2615" s="677" t="s">
        <v>47</v>
      </c>
      <c r="E2615" s="918" t="s">
        <v>13470</v>
      </c>
      <c r="F2615" s="918"/>
      <c r="G2615" s="676" t="s">
        <v>19</v>
      </c>
      <c r="H2615" s="675">
        <v>0.51900000000000002</v>
      </c>
      <c r="I2615" s="674">
        <v>14</v>
      </c>
      <c r="J2615" s="674">
        <v>7.26</v>
      </c>
    </row>
    <row r="2616" spans="1:10" ht="24" customHeight="1">
      <c r="A2616" s="672" t="s">
        <v>13467</v>
      </c>
      <c r="B2616" s="673" t="s">
        <v>14601</v>
      </c>
      <c r="C2616" s="672" t="s">
        <v>7</v>
      </c>
      <c r="D2616" s="672" t="s">
        <v>14600</v>
      </c>
      <c r="E2616" s="919" t="s">
        <v>13464</v>
      </c>
      <c r="F2616" s="919"/>
      <c r="G2616" s="671" t="s">
        <v>34</v>
      </c>
      <c r="H2616" s="670">
        <v>1</v>
      </c>
      <c r="I2616" s="669">
        <v>1.74</v>
      </c>
      <c r="J2616" s="669">
        <v>1.74</v>
      </c>
    </row>
    <row r="2617" spans="1:10" ht="25.5">
      <c r="A2617" s="668"/>
      <c r="B2617" s="668"/>
      <c r="C2617" s="668"/>
      <c r="D2617" s="668"/>
      <c r="E2617" s="668" t="s">
        <v>13463</v>
      </c>
      <c r="F2617" s="667">
        <v>6.9922851244159512</v>
      </c>
      <c r="G2617" s="668" t="s">
        <v>13462</v>
      </c>
      <c r="H2617" s="667">
        <v>5.88</v>
      </c>
      <c r="I2617" s="668" t="s">
        <v>13461</v>
      </c>
      <c r="J2617" s="667">
        <v>12.87</v>
      </c>
    </row>
    <row r="2618" spans="1:10" ht="15" thickBot="1">
      <c r="A2618" s="668"/>
      <c r="B2618" s="668"/>
      <c r="C2618" s="668"/>
      <c r="D2618" s="668"/>
      <c r="E2618" s="668" t="s">
        <v>13460</v>
      </c>
      <c r="F2618" s="667">
        <v>5.34</v>
      </c>
      <c r="G2618" s="668"/>
      <c r="H2618" s="925" t="s">
        <v>13459</v>
      </c>
      <c r="I2618" s="925"/>
      <c r="J2618" s="667">
        <v>24.28</v>
      </c>
    </row>
    <row r="2619" spans="1:10" ht="0.95" customHeight="1" thickTop="1">
      <c r="A2619" s="666"/>
      <c r="B2619" s="666"/>
      <c r="C2619" s="666"/>
      <c r="D2619" s="666"/>
      <c r="E2619" s="666"/>
      <c r="F2619" s="666"/>
      <c r="G2619" s="666"/>
      <c r="H2619" s="666"/>
      <c r="I2619" s="666"/>
      <c r="J2619" s="666"/>
    </row>
    <row r="2620" spans="1:10" ht="18" customHeight="1">
      <c r="A2620" s="686" t="s">
        <v>14605</v>
      </c>
      <c r="B2620" s="684" t="s">
        <v>13484</v>
      </c>
      <c r="C2620" s="686" t="s">
        <v>13483</v>
      </c>
      <c r="D2620" s="686" t="s">
        <v>13482</v>
      </c>
      <c r="E2620" s="924" t="s">
        <v>13481</v>
      </c>
      <c r="F2620" s="924"/>
      <c r="G2620" s="685" t="s">
        <v>13480</v>
      </c>
      <c r="H2620" s="684" t="s">
        <v>13479</v>
      </c>
      <c r="I2620" s="684" t="s">
        <v>13478</v>
      </c>
      <c r="J2620" s="684" t="s">
        <v>13477</v>
      </c>
    </row>
    <row r="2621" spans="1:10" ht="36" customHeight="1">
      <c r="A2621" s="682" t="s">
        <v>13476</v>
      </c>
      <c r="B2621" s="683" t="s">
        <v>14604</v>
      </c>
      <c r="C2621" s="682" t="s">
        <v>7</v>
      </c>
      <c r="D2621" s="682" t="s">
        <v>2008</v>
      </c>
      <c r="E2621" s="917" t="s">
        <v>13540</v>
      </c>
      <c r="F2621" s="917"/>
      <c r="G2621" s="681" t="s">
        <v>34</v>
      </c>
      <c r="H2621" s="680">
        <v>1</v>
      </c>
      <c r="I2621" s="679">
        <v>10.16</v>
      </c>
      <c r="J2621" s="679">
        <v>10.16</v>
      </c>
    </row>
    <row r="2622" spans="1:10" ht="24" customHeight="1">
      <c r="A2622" s="677" t="s">
        <v>13472</v>
      </c>
      <c r="B2622" s="678" t="s">
        <v>14118</v>
      </c>
      <c r="C2622" s="677" t="s">
        <v>7</v>
      </c>
      <c r="D2622" s="677" t="s">
        <v>4422</v>
      </c>
      <c r="E2622" s="918" t="s">
        <v>13470</v>
      </c>
      <c r="F2622" s="918"/>
      <c r="G2622" s="676" t="s">
        <v>13515</v>
      </c>
      <c r="H2622" s="675">
        <v>8.9999999999999998E-4</v>
      </c>
      <c r="I2622" s="674">
        <v>509.05</v>
      </c>
      <c r="J2622" s="674">
        <v>0.45</v>
      </c>
    </row>
    <row r="2623" spans="1:10" ht="24" customHeight="1">
      <c r="A2623" s="677" t="s">
        <v>13472</v>
      </c>
      <c r="B2623" s="678" t="s">
        <v>13539</v>
      </c>
      <c r="C2623" s="677" t="s">
        <v>7</v>
      </c>
      <c r="D2623" s="677" t="s">
        <v>45</v>
      </c>
      <c r="E2623" s="918" t="s">
        <v>13470</v>
      </c>
      <c r="F2623" s="918"/>
      <c r="G2623" s="676" t="s">
        <v>19</v>
      </c>
      <c r="H2623" s="675">
        <v>0.247</v>
      </c>
      <c r="I2623" s="674">
        <v>18.3</v>
      </c>
      <c r="J2623" s="674">
        <v>4.5199999999999996</v>
      </c>
    </row>
    <row r="2624" spans="1:10" ht="24" customHeight="1">
      <c r="A2624" s="677" t="s">
        <v>13472</v>
      </c>
      <c r="B2624" s="678" t="s">
        <v>13538</v>
      </c>
      <c r="C2624" s="677" t="s">
        <v>7</v>
      </c>
      <c r="D2624" s="677" t="s">
        <v>47</v>
      </c>
      <c r="E2624" s="918" t="s">
        <v>13470</v>
      </c>
      <c r="F2624" s="918"/>
      <c r="G2624" s="676" t="s">
        <v>19</v>
      </c>
      <c r="H2624" s="675">
        <v>0.247</v>
      </c>
      <c r="I2624" s="674">
        <v>14</v>
      </c>
      <c r="J2624" s="674">
        <v>3.45</v>
      </c>
    </row>
    <row r="2625" spans="1:10" ht="24" customHeight="1">
      <c r="A2625" s="672" t="s">
        <v>13467</v>
      </c>
      <c r="B2625" s="673" t="s">
        <v>14601</v>
      </c>
      <c r="C2625" s="672" t="s">
        <v>7</v>
      </c>
      <c r="D2625" s="672" t="s">
        <v>14600</v>
      </c>
      <c r="E2625" s="919" t="s">
        <v>13464</v>
      </c>
      <c r="F2625" s="919"/>
      <c r="G2625" s="671" t="s">
        <v>34</v>
      </c>
      <c r="H2625" s="670">
        <v>1</v>
      </c>
      <c r="I2625" s="669">
        <v>1.74</v>
      </c>
      <c r="J2625" s="669">
        <v>1.74</v>
      </c>
    </row>
    <row r="2626" spans="1:10" ht="25.5">
      <c r="A2626" s="668"/>
      <c r="B2626" s="668"/>
      <c r="C2626" s="668"/>
      <c r="D2626" s="668"/>
      <c r="E2626" s="668" t="s">
        <v>13463</v>
      </c>
      <c r="F2626" s="667">
        <v>3.3413017494295341</v>
      </c>
      <c r="G2626" s="668" t="s">
        <v>13462</v>
      </c>
      <c r="H2626" s="667">
        <v>2.81</v>
      </c>
      <c r="I2626" s="668" t="s">
        <v>13461</v>
      </c>
      <c r="J2626" s="667">
        <v>6.15</v>
      </c>
    </row>
    <row r="2627" spans="1:10" ht="15" thickBot="1">
      <c r="A2627" s="668"/>
      <c r="B2627" s="668"/>
      <c r="C2627" s="668"/>
      <c r="D2627" s="668"/>
      <c r="E2627" s="668" t="s">
        <v>13460</v>
      </c>
      <c r="F2627" s="667">
        <v>2.86</v>
      </c>
      <c r="G2627" s="668"/>
      <c r="H2627" s="925" t="s">
        <v>13459</v>
      </c>
      <c r="I2627" s="925"/>
      <c r="J2627" s="667">
        <v>13.02</v>
      </c>
    </row>
    <row r="2628" spans="1:10" ht="0.95" customHeight="1" thickTop="1">
      <c r="A2628" s="666"/>
      <c r="B2628" s="666"/>
      <c r="C2628" s="666"/>
      <c r="D2628" s="666"/>
      <c r="E2628" s="666"/>
      <c r="F2628" s="666"/>
      <c r="G2628" s="666"/>
      <c r="H2628" s="666"/>
      <c r="I2628" s="666"/>
      <c r="J2628" s="666"/>
    </row>
    <row r="2629" spans="1:10" ht="18" customHeight="1">
      <c r="A2629" s="686" t="s">
        <v>14603</v>
      </c>
      <c r="B2629" s="684" t="s">
        <v>13484</v>
      </c>
      <c r="C2629" s="686" t="s">
        <v>13483</v>
      </c>
      <c r="D2629" s="686" t="s">
        <v>13482</v>
      </c>
      <c r="E2629" s="924" t="s">
        <v>13481</v>
      </c>
      <c r="F2629" s="924"/>
      <c r="G2629" s="685" t="s">
        <v>13480</v>
      </c>
      <c r="H2629" s="684" t="s">
        <v>13479</v>
      </c>
      <c r="I2629" s="684" t="s">
        <v>13478</v>
      </c>
      <c r="J2629" s="684" t="s">
        <v>13477</v>
      </c>
    </row>
    <row r="2630" spans="1:10" ht="36" customHeight="1">
      <c r="A2630" s="682" t="s">
        <v>13476</v>
      </c>
      <c r="B2630" s="683" t="s">
        <v>14602</v>
      </c>
      <c r="C2630" s="682" t="s">
        <v>7</v>
      </c>
      <c r="D2630" s="682" t="s">
        <v>2009</v>
      </c>
      <c r="E2630" s="917" t="s">
        <v>13540</v>
      </c>
      <c r="F2630" s="917"/>
      <c r="G2630" s="681" t="s">
        <v>34</v>
      </c>
      <c r="H2630" s="680">
        <v>1</v>
      </c>
      <c r="I2630" s="679">
        <v>6.87</v>
      </c>
      <c r="J2630" s="679">
        <v>6.87</v>
      </c>
    </row>
    <row r="2631" spans="1:10" ht="24" customHeight="1">
      <c r="A2631" s="677" t="s">
        <v>13472</v>
      </c>
      <c r="B2631" s="678" t="s">
        <v>14118</v>
      </c>
      <c r="C2631" s="677" t="s">
        <v>7</v>
      </c>
      <c r="D2631" s="677" t="s">
        <v>4422</v>
      </c>
      <c r="E2631" s="918" t="s">
        <v>13470</v>
      </c>
      <c r="F2631" s="918"/>
      <c r="G2631" s="676" t="s">
        <v>13515</v>
      </c>
      <c r="H2631" s="675">
        <v>8.9999999999999998E-4</v>
      </c>
      <c r="I2631" s="674">
        <v>509.05</v>
      </c>
      <c r="J2631" s="674">
        <v>0.45</v>
      </c>
    </row>
    <row r="2632" spans="1:10" ht="24" customHeight="1">
      <c r="A2632" s="677" t="s">
        <v>13472</v>
      </c>
      <c r="B2632" s="678" t="s">
        <v>13539</v>
      </c>
      <c r="C2632" s="677" t="s">
        <v>7</v>
      </c>
      <c r="D2632" s="677" t="s">
        <v>45</v>
      </c>
      <c r="E2632" s="918" t="s">
        <v>13470</v>
      </c>
      <c r="F2632" s="918"/>
      <c r="G2632" s="676" t="s">
        <v>19</v>
      </c>
      <c r="H2632" s="675">
        <v>0.14499999999999999</v>
      </c>
      <c r="I2632" s="674">
        <v>18.3</v>
      </c>
      <c r="J2632" s="674">
        <v>2.65</v>
      </c>
    </row>
    <row r="2633" spans="1:10" ht="24" customHeight="1">
      <c r="A2633" s="677" t="s">
        <v>13472</v>
      </c>
      <c r="B2633" s="678" t="s">
        <v>13538</v>
      </c>
      <c r="C2633" s="677" t="s">
        <v>7</v>
      </c>
      <c r="D2633" s="677" t="s">
        <v>47</v>
      </c>
      <c r="E2633" s="918" t="s">
        <v>13470</v>
      </c>
      <c r="F2633" s="918"/>
      <c r="G2633" s="676" t="s">
        <v>19</v>
      </c>
      <c r="H2633" s="675">
        <v>0.14499999999999999</v>
      </c>
      <c r="I2633" s="674">
        <v>14</v>
      </c>
      <c r="J2633" s="674">
        <v>2.0299999999999998</v>
      </c>
    </row>
    <row r="2634" spans="1:10" ht="24" customHeight="1">
      <c r="A2634" s="672" t="s">
        <v>13467</v>
      </c>
      <c r="B2634" s="673" t="s">
        <v>14601</v>
      </c>
      <c r="C2634" s="672" t="s">
        <v>7</v>
      </c>
      <c r="D2634" s="672" t="s">
        <v>14600</v>
      </c>
      <c r="E2634" s="919" t="s">
        <v>13464</v>
      </c>
      <c r="F2634" s="919"/>
      <c r="G2634" s="671" t="s">
        <v>34</v>
      </c>
      <c r="H2634" s="670">
        <v>1</v>
      </c>
      <c r="I2634" s="669">
        <v>1.74</v>
      </c>
      <c r="J2634" s="669">
        <v>1.74</v>
      </c>
    </row>
    <row r="2635" spans="1:10" ht="25.5">
      <c r="A2635" s="668"/>
      <c r="B2635" s="668"/>
      <c r="C2635" s="668"/>
      <c r="D2635" s="668"/>
      <c r="E2635" s="668" t="s">
        <v>13463</v>
      </c>
      <c r="F2635" s="667">
        <v>1.9776159947843095</v>
      </c>
      <c r="G2635" s="668" t="s">
        <v>13462</v>
      </c>
      <c r="H2635" s="667">
        <v>1.66</v>
      </c>
      <c r="I2635" s="668" t="s">
        <v>13461</v>
      </c>
      <c r="J2635" s="667">
        <v>3.64</v>
      </c>
    </row>
    <row r="2636" spans="1:10" ht="15" thickBot="1">
      <c r="A2636" s="668"/>
      <c r="B2636" s="668"/>
      <c r="C2636" s="668"/>
      <c r="D2636" s="668"/>
      <c r="E2636" s="668" t="s">
        <v>13460</v>
      </c>
      <c r="F2636" s="667">
        <v>1.94</v>
      </c>
      <c r="G2636" s="668"/>
      <c r="H2636" s="925" t="s">
        <v>13459</v>
      </c>
      <c r="I2636" s="925"/>
      <c r="J2636" s="667">
        <v>8.81</v>
      </c>
    </row>
    <row r="2637" spans="1:10" ht="0.95" customHeight="1" thickTop="1">
      <c r="A2637" s="666"/>
      <c r="B2637" s="666"/>
      <c r="C2637" s="666"/>
      <c r="D2637" s="666"/>
      <c r="E2637" s="666"/>
      <c r="F2637" s="666"/>
      <c r="G2637" s="666"/>
      <c r="H2637" s="666"/>
      <c r="I2637" s="666"/>
      <c r="J2637" s="666"/>
    </row>
    <row r="2638" spans="1:10" ht="18" customHeight="1">
      <c r="A2638" s="686" t="s">
        <v>14599</v>
      </c>
      <c r="B2638" s="684" t="s">
        <v>13484</v>
      </c>
      <c r="C2638" s="686" t="s">
        <v>13483</v>
      </c>
      <c r="D2638" s="686" t="s">
        <v>13482</v>
      </c>
      <c r="E2638" s="924" t="s">
        <v>13481</v>
      </c>
      <c r="F2638" s="924"/>
      <c r="G2638" s="685" t="s">
        <v>13480</v>
      </c>
      <c r="H2638" s="684" t="s">
        <v>13479</v>
      </c>
      <c r="I2638" s="684" t="s">
        <v>13478</v>
      </c>
      <c r="J2638" s="684" t="s">
        <v>13477</v>
      </c>
    </row>
    <row r="2639" spans="1:10" ht="24" customHeight="1">
      <c r="A2639" s="682" t="s">
        <v>13476</v>
      </c>
      <c r="B2639" s="683" t="s">
        <v>14598</v>
      </c>
      <c r="C2639" s="682" t="s">
        <v>7</v>
      </c>
      <c r="D2639" s="682" t="s">
        <v>1728</v>
      </c>
      <c r="E2639" s="917" t="s">
        <v>13474</v>
      </c>
      <c r="F2639" s="917"/>
      <c r="G2639" s="681" t="s">
        <v>34</v>
      </c>
      <c r="H2639" s="680">
        <v>1</v>
      </c>
      <c r="I2639" s="679">
        <v>2.85</v>
      </c>
      <c r="J2639" s="679">
        <v>2.85</v>
      </c>
    </row>
    <row r="2640" spans="1:10" ht="24" customHeight="1">
      <c r="A2640" s="677" t="s">
        <v>13472</v>
      </c>
      <c r="B2640" s="678" t="s">
        <v>13526</v>
      </c>
      <c r="C2640" s="677" t="s">
        <v>7</v>
      </c>
      <c r="D2640" s="677" t="s">
        <v>1093</v>
      </c>
      <c r="E2640" s="918" t="s">
        <v>13470</v>
      </c>
      <c r="F2640" s="918"/>
      <c r="G2640" s="676" t="s">
        <v>19</v>
      </c>
      <c r="H2640" s="675">
        <v>2.3E-2</v>
      </c>
      <c r="I2640" s="674">
        <v>13.48</v>
      </c>
      <c r="J2640" s="674">
        <v>0.31</v>
      </c>
    </row>
    <row r="2641" spans="1:10" ht="24" customHeight="1">
      <c r="A2641" s="677" t="s">
        <v>13472</v>
      </c>
      <c r="B2641" s="678" t="s">
        <v>13473</v>
      </c>
      <c r="C2641" s="677" t="s">
        <v>7</v>
      </c>
      <c r="D2641" s="677" t="s">
        <v>44</v>
      </c>
      <c r="E2641" s="918" t="s">
        <v>13470</v>
      </c>
      <c r="F2641" s="918"/>
      <c r="G2641" s="676" t="s">
        <v>19</v>
      </c>
      <c r="H2641" s="675">
        <v>0.14399999999999999</v>
      </c>
      <c r="I2641" s="674">
        <v>17.66</v>
      </c>
      <c r="J2641" s="674">
        <v>2.54</v>
      </c>
    </row>
    <row r="2642" spans="1:10" ht="25.5">
      <c r="A2642" s="668"/>
      <c r="B2642" s="668"/>
      <c r="C2642" s="668"/>
      <c r="D2642" s="668"/>
      <c r="E2642" s="668" t="s">
        <v>13463</v>
      </c>
      <c r="F2642" s="667">
        <v>1.2387265022275344</v>
      </c>
      <c r="G2642" s="668" t="s">
        <v>13462</v>
      </c>
      <c r="H2642" s="667">
        <v>1.04</v>
      </c>
      <c r="I2642" s="668" t="s">
        <v>13461</v>
      </c>
      <c r="J2642" s="667">
        <v>2.2799999999999998</v>
      </c>
    </row>
    <row r="2643" spans="1:10" ht="15" thickBot="1">
      <c r="A2643" s="668"/>
      <c r="B2643" s="668"/>
      <c r="C2643" s="668"/>
      <c r="D2643" s="668"/>
      <c r="E2643" s="668" t="s">
        <v>13460</v>
      </c>
      <c r="F2643" s="667">
        <v>0.8</v>
      </c>
      <c r="G2643" s="668"/>
      <c r="H2643" s="925" t="s">
        <v>13459</v>
      </c>
      <c r="I2643" s="925"/>
      <c r="J2643" s="667">
        <v>3.65</v>
      </c>
    </row>
    <row r="2644" spans="1:10" ht="0.95" customHeight="1" thickTop="1">
      <c r="A2644" s="666"/>
      <c r="B2644" s="666"/>
      <c r="C2644" s="666"/>
      <c r="D2644" s="666"/>
      <c r="E2644" s="666"/>
      <c r="F2644" s="666"/>
      <c r="G2644" s="666"/>
      <c r="H2644" s="666"/>
      <c r="I2644" s="666"/>
      <c r="J2644" s="666"/>
    </row>
    <row r="2645" spans="1:10" ht="18" customHeight="1">
      <c r="A2645" s="686" t="s">
        <v>14597</v>
      </c>
      <c r="B2645" s="684" t="s">
        <v>13484</v>
      </c>
      <c r="C2645" s="686" t="s">
        <v>13483</v>
      </c>
      <c r="D2645" s="686" t="s">
        <v>13482</v>
      </c>
      <c r="E2645" s="924" t="s">
        <v>13481</v>
      </c>
      <c r="F2645" s="924"/>
      <c r="G2645" s="685" t="s">
        <v>13480</v>
      </c>
      <c r="H2645" s="684" t="s">
        <v>13479</v>
      </c>
      <c r="I2645" s="684" t="s">
        <v>13478</v>
      </c>
      <c r="J2645" s="684" t="s">
        <v>13477</v>
      </c>
    </row>
    <row r="2646" spans="1:10" ht="36" customHeight="1">
      <c r="A2646" s="682" t="s">
        <v>13476</v>
      </c>
      <c r="B2646" s="683" t="s">
        <v>14596</v>
      </c>
      <c r="C2646" s="682" t="s">
        <v>7</v>
      </c>
      <c r="D2646" s="682" t="s">
        <v>1974</v>
      </c>
      <c r="E2646" s="917" t="s">
        <v>13540</v>
      </c>
      <c r="F2646" s="917"/>
      <c r="G2646" s="681" t="s">
        <v>34</v>
      </c>
      <c r="H2646" s="680">
        <v>1</v>
      </c>
      <c r="I2646" s="679">
        <v>7.09</v>
      </c>
      <c r="J2646" s="679">
        <v>7.09</v>
      </c>
    </row>
    <row r="2647" spans="1:10" ht="24" customHeight="1">
      <c r="A2647" s="677" t="s">
        <v>13472</v>
      </c>
      <c r="B2647" s="678" t="s">
        <v>13539</v>
      </c>
      <c r="C2647" s="677" t="s">
        <v>7</v>
      </c>
      <c r="D2647" s="677" t="s">
        <v>45</v>
      </c>
      <c r="E2647" s="918" t="s">
        <v>13470</v>
      </c>
      <c r="F2647" s="918"/>
      <c r="G2647" s="676" t="s">
        <v>19</v>
      </c>
      <c r="H2647" s="675">
        <v>0.182</v>
      </c>
      <c r="I2647" s="674">
        <v>18.3</v>
      </c>
      <c r="J2647" s="674">
        <v>3.33</v>
      </c>
    </row>
    <row r="2648" spans="1:10" ht="24" customHeight="1">
      <c r="A2648" s="677" t="s">
        <v>13472</v>
      </c>
      <c r="B2648" s="678" t="s">
        <v>13538</v>
      </c>
      <c r="C2648" s="677" t="s">
        <v>7</v>
      </c>
      <c r="D2648" s="677" t="s">
        <v>47</v>
      </c>
      <c r="E2648" s="918" t="s">
        <v>13470</v>
      </c>
      <c r="F2648" s="918"/>
      <c r="G2648" s="676" t="s">
        <v>19</v>
      </c>
      <c r="H2648" s="675">
        <v>0.182</v>
      </c>
      <c r="I2648" s="674">
        <v>14</v>
      </c>
      <c r="J2648" s="674">
        <v>2.54</v>
      </c>
    </row>
    <row r="2649" spans="1:10" ht="24" customHeight="1">
      <c r="A2649" s="672" t="s">
        <v>13467</v>
      </c>
      <c r="B2649" s="673" t="s">
        <v>14595</v>
      </c>
      <c r="C2649" s="672" t="s">
        <v>7</v>
      </c>
      <c r="D2649" s="672" t="s">
        <v>14594</v>
      </c>
      <c r="E2649" s="919" t="s">
        <v>13464</v>
      </c>
      <c r="F2649" s="919"/>
      <c r="G2649" s="671" t="s">
        <v>34</v>
      </c>
      <c r="H2649" s="670">
        <v>1</v>
      </c>
      <c r="I2649" s="669">
        <v>1.22</v>
      </c>
      <c r="J2649" s="669">
        <v>1.22</v>
      </c>
    </row>
    <row r="2650" spans="1:10" ht="25.5">
      <c r="A2650" s="668"/>
      <c r="B2650" s="668"/>
      <c r="C2650" s="668"/>
      <c r="D2650" s="668"/>
      <c r="E2650" s="668" t="s">
        <v>13463</v>
      </c>
      <c r="F2650" s="667">
        <v>2.4339889166576119</v>
      </c>
      <c r="G2650" s="668" t="s">
        <v>13462</v>
      </c>
      <c r="H2650" s="667">
        <v>2.0499999999999998</v>
      </c>
      <c r="I2650" s="668" t="s">
        <v>13461</v>
      </c>
      <c r="J2650" s="667">
        <v>4.4800000000000004</v>
      </c>
    </row>
    <row r="2651" spans="1:10" ht="15" thickBot="1">
      <c r="A2651" s="668"/>
      <c r="B2651" s="668"/>
      <c r="C2651" s="668"/>
      <c r="D2651" s="668"/>
      <c r="E2651" s="668" t="s">
        <v>13460</v>
      </c>
      <c r="F2651" s="667">
        <v>2</v>
      </c>
      <c r="G2651" s="668"/>
      <c r="H2651" s="925" t="s">
        <v>13459</v>
      </c>
      <c r="I2651" s="925"/>
      <c r="J2651" s="667">
        <v>9.09</v>
      </c>
    </row>
    <row r="2652" spans="1:10" ht="0.95" customHeight="1" thickTop="1">
      <c r="A2652" s="666"/>
      <c r="B2652" s="666"/>
      <c r="C2652" s="666"/>
      <c r="D2652" s="666"/>
      <c r="E2652" s="666"/>
      <c r="F2652" s="666"/>
      <c r="G2652" s="666"/>
      <c r="H2652" s="666"/>
      <c r="I2652" s="666"/>
      <c r="J2652" s="666"/>
    </row>
    <row r="2653" spans="1:10" ht="18" customHeight="1">
      <c r="A2653" s="686" t="s">
        <v>14593</v>
      </c>
      <c r="B2653" s="684" t="s">
        <v>13484</v>
      </c>
      <c r="C2653" s="686" t="s">
        <v>13483</v>
      </c>
      <c r="D2653" s="686" t="s">
        <v>13482</v>
      </c>
      <c r="E2653" s="924" t="s">
        <v>13481</v>
      </c>
      <c r="F2653" s="924"/>
      <c r="G2653" s="685" t="s">
        <v>13480</v>
      </c>
      <c r="H2653" s="684" t="s">
        <v>13479</v>
      </c>
      <c r="I2653" s="684" t="s">
        <v>13478</v>
      </c>
      <c r="J2653" s="684" t="s">
        <v>13477</v>
      </c>
    </row>
    <row r="2654" spans="1:10" ht="36" customHeight="1">
      <c r="A2654" s="682" t="s">
        <v>13476</v>
      </c>
      <c r="B2654" s="683" t="s">
        <v>14592</v>
      </c>
      <c r="C2654" s="682" t="s">
        <v>7</v>
      </c>
      <c r="D2654" s="682" t="s">
        <v>2957</v>
      </c>
      <c r="E2654" s="917" t="s">
        <v>13540</v>
      </c>
      <c r="F2654" s="917"/>
      <c r="G2654" s="681" t="s">
        <v>34</v>
      </c>
      <c r="H2654" s="680">
        <v>1</v>
      </c>
      <c r="I2654" s="679">
        <v>17.28</v>
      </c>
      <c r="J2654" s="679">
        <v>17.28</v>
      </c>
    </row>
    <row r="2655" spans="1:10" ht="24" customHeight="1">
      <c r="A2655" s="677" t="s">
        <v>13472</v>
      </c>
      <c r="B2655" s="678" t="s">
        <v>13539</v>
      </c>
      <c r="C2655" s="677" t="s">
        <v>7</v>
      </c>
      <c r="D2655" s="677" t="s">
        <v>45</v>
      </c>
      <c r="E2655" s="918" t="s">
        <v>13470</v>
      </c>
      <c r="F2655" s="918"/>
      <c r="G2655" s="676" t="s">
        <v>19</v>
      </c>
      <c r="H2655" s="675">
        <v>0.17249999999999999</v>
      </c>
      <c r="I2655" s="674">
        <v>18.3</v>
      </c>
      <c r="J2655" s="674">
        <v>3.15</v>
      </c>
    </row>
    <row r="2656" spans="1:10" ht="24" customHeight="1">
      <c r="A2656" s="677" t="s">
        <v>13472</v>
      </c>
      <c r="B2656" s="678" t="s">
        <v>13538</v>
      </c>
      <c r="C2656" s="677" t="s">
        <v>7</v>
      </c>
      <c r="D2656" s="677" t="s">
        <v>47</v>
      </c>
      <c r="E2656" s="918" t="s">
        <v>13470</v>
      </c>
      <c r="F2656" s="918"/>
      <c r="G2656" s="676" t="s">
        <v>19</v>
      </c>
      <c r="H2656" s="675">
        <v>0.17249999999999999</v>
      </c>
      <c r="I2656" s="674">
        <v>14</v>
      </c>
      <c r="J2656" s="674">
        <v>2.41</v>
      </c>
    </row>
    <row r="2657" spans="1:10" ht="24" customHeight="1">
      <c r="A2657" s="672" t="s">
        <v>13467</v>
      </c>
      <c r="B2657" s="673" t="s">
        <v>14591</v>
      </c>
      <c r="C2657" s="672" t="s">
        <v>7</v>
      </c>
      <c r="D2657" s="672" t="s">
        <v>14590</v>
      </c>
      <c r="E2657" s="919" t="s">
        <v>13464</v>
      </c>
      <c r="F2657" s="919"/>
      <c r="G2657" s="671" t="s">
        <v>34</v>
      </c>
      <c r="H2657" s="670">
        <v>1</v>
      </c>
      <c r="I2657" s="669">
        <v>11.72</v>
      </c>
      <c r="J2657" s="669">
        <v>11.72</v>
      </c>
    </row>
    <row r="2658" spans="1:10" ht="25.5">
      <c r="A2658" s="668"/>
      <c r="B2658" s="668"/>
      <c r="C2658" s="668"/>
      <c r="D2658" s="668"/>
      <c r="E2658" s="668" t="s">
        <v>13463</v>
      </c>
      <c r="F2658" s="667">
        <v>2.3035966532652394</v>
      </c>
      <c r="G2658" s="668" t="s">
        <v>13462</v>
      </c>
      <c r="H2658" s="667">
        <v>1.94</v>
      </c>
      <c r="I2658" s="668" t="s">
        <v>13461</v>
      </c>
      <c r="J2658" s="667">
        <v>4.24</v>
      </c>
    </row>
    <row r="2659" spans="1:10" ht="15" thickBot="1">
      <c r="A2659" s="668"/>
      <c r="B2659" s="668"/>
      <c r="C2659" s="668"/>
      <c r="D2659" s="668"/>
      <c r="E2659" s="668" t="s">
        <v>13460</v>
      </c>
      <c r="F2659" s="667">
        <v>4.87</v>
      </c>
      <c r="G2659" s="668"/>
      <c r="H2659" s="925" t="s">
        <v>13459</v>
      </c>
      <c r="I2659" s="925"/>
      <c r="J2659" s="667">
        <v>22.15</v>
      </c>
    </row>
    <row r="2660" spans="1:10" ht="0.95" customHeight="1" thickTop="1">
      <c r="A2660" s="666"/>
      <c r="B2660" s="666"/>
      <c r="C2660" s="666"/>
      <c r="D2660" s="666"/>
      <c r="E2660" s="666"/>
      <c r="F2660" s="666"/>
      <c r="G2660" s="666"/>
      <c r="H2660" s="666"/>
      <c r="I2660" s="666"/>
      <c r="J2660" s="666"/>
    </row>
    <row r="2661" spans="1:10" ht="18" customHeight="1">
      <c r="A2661" s="686" t="s">
        <v>14589</v>
      </c>
      <c r="B2661" s="684" t="s">
        <v>13484</v>
      </c>
      <c r="C2661" s="686" t="s">
        <v>13483</v>
      </c>
      <c r="D2661" s="686" t="s">
        <v>13482</v>
      </c>
      <c r="E2661" s="924" t="s">
        <v>13481</v>
      </c>
      <c r="F2661" s="924"/>
      <c r="G2661" s="685" t="s">
        <v>13480</v>
      </c>
      <c r="H2661" s="684" t="s">
        <v>13479</v>
      </c>
      <c r="I2661" s="684" t="s">
        <v>13478</v>
      </c>
      <c r="J2661" s="684" t="s">
        <v>13477</v>
      </c>
    </row>
    <row r="2662" spans="1:10" ht="36" customHeight="1">
      <c r="A2662" s="682" t="s">
        <v>13476</v>
      </c>
      <c r="B2662" s="683" t="s">
        <v>14588</v>
      </c>
      <c r="C2662" s="682" t="s">
        <v>7</v>
      </c>
      <c r="D2662" s="682" t="s">
        <v>2954</v>
      </c>
      <c r="E2662" s="917" t="s">
        <v>13540</v>
      </c>
      <c r="F2662" s="917"/>
      <c r="G2662" s="681" t="s">
        <v>34</v>
      </c>
      <c r="H2662" s="680">
        <v>1</v>
      </c>
      <c r="I2662" s="679">
        <v>13.08</v>
      </c>
      <c r="J2662" s="679">
        <v>13.08</v>
      </c>
    </row>
    <row r="2663" spans="1:10" ht="24" customHeight="1">
      <c r="A2663" s="677" t="s">
        <v>13472</v>
      </c>
      <c r="B2663" s="678" t="s">
        <v>13539</v>
      </c>
      <c r="C2663" s="677" t="s">
        <v>7</v>
      </c>
      <c r="D2663" s="677" t="s">
        <v>45</v>
      </c>
      <c r="E2663" s="918" t="s">
        <v>13470</v>
      </c>
      <c r="F2663" s="918"/>
      <c r="G2663" s="676" t="s">
        <v>19</v>
      </c>
      <c r="H2663" s="675">
        <v>0.115</v>
      </c>
      <c r="I2663" s="674">
        <v>18.3</v>
      </c>
      <c r="J2663" s="674">
        <v>2.1</v>
      </c>
    </row>
    <row r="2664" spans="1:10" ht="24" customHeight="1">
      <c r="A2664" s="677" t="s">
        <v>13472</v>
      </c>
      <c r="B2664" s="678" t="s">
        <v>13538</v>
      </c>
      <c r="C2664" s="677" t="s">
        <v>7</v>
      </c>
      <c r="D2664" s="677" t="s">
        <v>47</v>
      </c>
      <c r="E2664" s="918" t="s">
        <v>13470</v>
      </c>
      <c r="F2664" s="918"/>
      <c r="G2664" s="676" t="s">
        <v>19</v>
      </c>
      <c r="H2664" s="675">
        <v>0.115</v>
      </c>
      <c r="I2664" s="674">
        <v>14</v>
      </c>
      <c r="J2664" s="674">
        <v>1.61</v>
      </c>
    </row>
    <row r="2665" spans="1:10" ht="24" customHeight="1">
      <c r="A2665" s="672" t="s">
        <v>13467</v>
      </c>
      <c r="B2665" s="673" t="s">
        <v>14587</v>
      </c>
      <c r="C2665" s="672" t="s">
        <v>7</v>
      </c>
      <c r="D2665" s="672" t="s">
        <v>14586</v>
      </c>
      <c r="E2665" s="919" t="s">
        <v>13464</v>
      </c>
      <c r="F2665" s="919"/>
      <c r="G2665" s="671" t="s">
        <v>34</v>
      </c>
      <c r="H2665" s="670">
        <v>1</v>
      </c>
      <c r="I2665" s="669">
        <v>9.3699999999999992</v>
      </c>
      <c r="J2665" s="669">
        <v>9.3699999999999992</v>
      </c>
    </row>
    <row r="2666" spans="1:10" ht="25.5">
      <c r="A2666" s="668"/>
      <c r="B2666" s="668"/>
      <c r="C2666" s="668"/>
      <c r="D2666" s="668"/>
      <c r="E2666" s="668" t="s">
        <v>13463</v>
      </c>
      <c r="F2666" s="667">
        <v>1.5375421058350538</v>
      </c>
      <c r="G2666" s="668" t="s">
        <v>13462</v>
      </c>
      <c r="H2666" s="667">
        <v>1.29</v>
      </c>
      <c r="I2666" s="668" t="s">
        <v>13461</v>
      </c>
      <c r="J2666" s="667">
        <v>2.83</v>
      </c>
    </row>
    <row r="2667" spans="1:10" ht="15" thickBot="1">
      <c r="A2667" s="668"/>
      <c r="B2667" s="668"/>
      <c r="C2667" s="668"/>
      <c r="D2667" s="668"/>
      <c r="E2667" s="668" t="s">
        <v>13460</v>
      </c>
      <c r="F2667" s="667">
        <v>3.69</v>
      </c>
      <c r="G2667" s="668"/>
      <c r="H2667" s="925" t="s">
        <v>13459</v>
      </c>
      <c r="I2667" s="925"/>
      <c r="J2667" s="667">
        <v>16.77</v>
      </c>
    </row>
    <row r="2668" spans="1:10" ht="0.95" customHeight="1" thickTop="1">
      <c r="A2668" s="666"/>
      <c r="B2668" s="666"/>
      <c r="C2668" s="666"/>
      <c r="D2668" s="666"/>
      <c r="E2668" s="666"/>
      <c r="F2668" s="666"/>
      <c r="G2668" s="666"/>
      <c r="H2668" s="666"/>
      <c r="I2668" s="666"/>
      <c r="J2668" s="666"/>
    </row>
    <row r="2669" spans="1:10" ht="18" customHeight="1">
      <c r="A2669" s="686" t="s">
        <v>14585</v>
      </c>
      <c r="B2669" s="684" t="s">
        <v>13484</v>
      </c>
      <c r="C2669" s="686" t="s">
        <v>13483</v>
      </c>
      <c r="D2669" s="686" t="s">
        <v>13482</v>
      </c>
      <c r="E2669" s="924" t="s">
        <v>13481</v>
      </c>
      <c r="F2669" s="924"/>
      <c r="G2669" s="685" t="s">
        <v>13480</v>
      </c>
      <c r="H2669" s="684" t="s">
        <v>13479</v>
      </c>
      <c r="I2669" s="684" t="s">
        <v>13478</v>
      </c>
      <c r="J2669" s="684" t="s">
        <v>13477</v>
      </c>
    </row>
    <row r="2670" spans="1:10" ht="24" customHeight="1">
      <c r="A2670" s="682" t="s">
        <v>13476</v>
      </c>
      <c r="B2670" s="683" t="s">
        <v>14584</v>
      </c>
      <c r="C2670" s="682" t="s">
        <v>7</v>
      </c>
      <c r="D2670" s="682" t="s">
        <v>4927</v>
      </c>
      <c r="E2670" s="917" t="s">
        <v>13540</v>
      </c>
      <c r="F2670" s="917"/>
      <c r="G2670" s="681" t="s">
        <v>34</v>
      </c>
      <c r="H2670" s="680">
        <v>1</v>
      </c>
      <c r="I2670" s="679">
        <v>14.17</v>
      </c>
      <c r="J2670" s="679">
        <v>14.17</v>
      </c>
    </row>
    <row r="2671" spans="1:10" ht="24" customHeight="1">
      <c r="A2671" s="677" t="s">
        <v>13472</v>
      </c>
      <c r="B2671" s="678" t="s">
        <v>13539</v>
      </c>
      <c r="C2671" s="677" t="s">
        <v>7</v>
      </c>
      <c r="D2671" s="677" t="s">
        <v>45</v>
      </c>
      <c r="E2671" s="918" t="s">
        <v>13470</v>
      </c>
      <c r="F2671" s="918"/>
      <c r="G2671" s="676" t="s">
        <v>19</v>
      </c>
      <c r="H2671" s="675">
        <v>0.157</v>
      </c>
      <c r="I2671" s="674">
        <v>18.3</v>
      </c>
      <c r="J2671" s="674">
        <v>2.87</v>
      </c>
    </row>
    <row r="2672" spans="1:10" ht="24" customHeight="1">
      <c r="A2672" s="677" t="s">
        <v>13472</v>
      </c>
      <c r="B2672" s="678" t="s">
        <v>13538</v>
      </c>
      <c r="C2672" s="677" t="s">
        <v>7</v>
      </c>
      <c r="D2672" s="677" t="s">
        <v>47</v>
      </c>
      <c r="E2672" s="918" t="s">
        <v>13470</v>
      </c>
      <c r="F2672" s="918"/>
      <c r="G2672" s="676" t="s">
        <v>19</v>
      </c>
      <c r="H2672" s="675">
        <v>1.7442699999999998E-2</v>
      </c>
      <c r="I2672" s="674">
        <v>14</v>
      </c>
      <c r="J2672" s="674">
        <v>0.24</v>
      </c>
    </row>
    <row r="2673" spans="1:10" ht="36" customHeight="1">
      <c r="A2673" s="672" t="s">
        <v>13467</v>
      </c>
      <c r="B2673" s="673" t="s">
        <v>14583</v>
      </c>
      <c r="C2673" s="672" t="s">
        <v>7</v>
      </c>
      <c r="D2673" s="672" t="s">
        <v>14582</v>
      </c>
      <c r="E2673" s="919" t="s">
        <v>13464</v>
      </c>
      <c r="F2673" s="919"/>
      <c r="G2673" s="671" t="s">
        <v>34</v>
      </c>
      <c r="H2673" s="670">
        <v>1</v>
      </c>
      <c r="I2673" s="669">
        <v>11.06</v>
      </c>
      <c r="J2673" s="669">
        <v>11.06</v>
      </c>
    </row>
    <row r="2674" spans="1:10" ht="25.5">
      <c r="A2674" s="668"/>
      <c r="B2674" s="668"/>
      <c r="C2674" s="668"/>
      <c r="D2674" s="668"/>
      <c r="E2674" s="668" t="s">
        <v>13463</v>
      </c>
      <c r="F2674" s="667">
        <v>1.3256546778224492</v>
      </c>
      <c r="G2674" s="668" t="s">
        <v>13462</v>
      </c>
      <c r="H2674" s="667">
        <v>1.1100000000000001</v>
      </c>
      <c r="I2674" s="668" t="s">
        <v>13461</v>
      </c>
      <c r="J2674" s="667">
        <v>2.44</v>
      </c>
    </row>
    <row r="2675" spans="1:10" ht="15" thickBot="1">
      <c r="A2675" s="668"/>
      <c r="B2675" s="668"/>
      <c r="C2675" s="668"/>
      <c r="D2675" s="668"/>
      <c r="E2675" s="668" t="s">
        <v>13460</v>
      </c>
      <c r="F2675" s="667">
        <v>4</v>
      </c>
      <c r="G2675" s="668"/>
      <c r="H2675" s="925" t="s">
        <v>13459</v>
      </c>
      <c r="I2675" s="925"/>
      <c r="J2675" s="667">
        <v>18.170000000000002</v>
      </c>
    </row>
    <row r="2676" spans="1:10" ht="0.95" customHeight="1" thickTop="1">
      <c r="A2676" s="666"/>
      <c r="B2676" s="666"/>
      <c r="C2676" s="666"/>
      <c r="D2676" s="666"/>
      <c r="E2676" s="666"/>
      <c r="F2676" s="666"/>
      <c r="G2676" s="666"/>
      <c r="H2676" s="666"/>
      <c r="I2676" s="666"/>
      <c r="J2676" s="666"/>
    </row>
    <row r="2677" spans="1:10" ht="18" customHeight="1">
      <c r="A2677" s="686" t="s">
        <v>14581</v>
      </c>
      <c r="B2677" s="684" t="s">
        <v>13484</v>
      </c>
      <c r="C2677" s="686" t="s">
        <v>13483</v>
      </c>
      <c r="D2677" s="686" t="s">
        <v>13482</v>
      </c>
      <c r="E2677" s="924" t="s">
        <v>13481</v>
      </c>
      <c r="F2677" s="924"/>
      <c r="G2677" s="685" t="s">
        <v>13480</v>
      </c>
      <c r="H2677" s="684" t="s">
        <v>13479</v>
      </c>
      <c r="I2677" s="684" t="s">
        <v>13478</v>
      </c>
      <c r="J2677" s="684" t="s">
        <v>13477</v>
      </c>
    </row>
    <row r="2678" spans="1:10" ht="24" customHeight="1">
      <c r="A2678" s="682" t="s">
        <v>13476</v>
      </c>
      <c r="B2678" s="683" t="s">
        <v>14580</v>
      </c>
      <c r="C2678" s="682" t="s">
        <v>7</v>
      </c>
      <c r="D2678" s="682" t="s">
        <v>6595</v>
      </c>
      <c r="E2678" s="917" t="s">
        <v>13540</v>
      </c>
      <c r="F2678" s="917"/>
      <c r="G2678" s="681" t="s">
        <v>34</v>
      </c>
      <c r="H2678" s="680">
        <v>1</v>
      </c>
      <c r="I2678" s="679">
        <v>177.52</v>
      </c>
      <c r="J2678" s="679">
        <v>177.52</v>
      </c>
    </row>
    <row r="2679" spans="1:10" ht="24" customHeight="1">
      <c r="A2679" s="677" t="s">
        <v>13472</v>
      </c>
      <c r="B2679" s="678" t="s">
        <v>13539</v>
      </c>
      <c r="C2679" s="677" t="s">
        <v>7</v>
      </c>
      <c r="D2679" s="677" t="s">
        <v>45</v>
      </c>
      <c r="E2679" s="918" t="s">
        <v>13470</v>
      </c>
      <c r="F2679" s="918"/>
      <c r="G2679" s="676" t="s">
        <v>19</v>
      </c>
      <c r="H2679" s="675">
        <v>0.44359999999999999</v>
      </c>
      <c r="I2679" s="674">
        <v>18.3</v>
      </c>
      <c r="J2679" s="674">
        <v>8.11</v>
      </c>
    </row>
    <row r="2680" spans="1:10" ht="24" customHeight="1">
      <c r="A2680" s="677" t="s">
        <v>13472</v>
      </c>
      <c r="B2680" s="678" t="s">
        <v>13538</v>
      </c>
      <c r="C2680" s="677" t="s">
        <v>7</v>
      </c>
      <c r="D2680" s="677" t="s">
        <v>47</v>
      </c>
      <c r="E2680" s="918" t="s">
        <v>13470</v>
      </c>
      <c r="F2680" s="918"/>
      <c r="G2680" s="676" t="s">
        <v>19</v>
      </c>
      <c r="H2680" s="675">
        <v>0.44359999999999999</v>
      </c>
      <c r="I2680" s="674">
        <v>14</v>
      </c>
      <c r="J2680" s="674">
        <v>6.21</v>
      </c>
    </row>
    <row r="2681" spans="1:10" ht="24" customHeight="1">
      <c r="A2681" s="672" t="s">
        <v>13467</v>
      </c>
      <c r="B2681" s="673" t="s">
        <v>14579</v>
      </c>
      <c r="C2681" s="672" t="s">
        <v>7</v>
      </c>
      <c r="D2681" s="672" t="s">
        <v>14578</v>
      </c>
      <c r="E2681" s="919" t="s">
        <v>13464</v>
      </c>
      <c r="F2681" s="919"/>
      <c r="G2681" s="671" t="s">
        <v>34</v>
      </c>
      <c r="H2681" s="670">
        <v>1</v>
      </c>
      <c r="I2681" s="669">
        <v>163.19999999999999</v>
      </c>
      <c r="J2681" s="669">
        <v>163.19999999999999</v>
      </c>
    </row>
    <row r="2682" spans="1:10" ht="25.5">
      <c r="A2682" s="668"/>
      <c r="B2682" s="668"/>
      <c r="C2682" s="668"/>
      <c r="D2682" s="668"/>
      <c r="E2682" s="668" t="s">
        <v>13463</v>
      </c>
      <c r="F2682" s="667">
        <v>5.9437140063022929</v>
      </c>
      <c r="G2682" s="668" t="s">
        <v>13462</v>
      </c>
      <c r="H2682" s="667">
        <v>5</v>
      </c>
      <c r="I2682" s="668" t="s">
        <v>13461</v>
      </c>
      <c r="J2682" s="667">
        <v>10.94</v>
      </c>
    </row>
    <row r="2683" spans="1:10" ht="15" thickBot="1">
      <c r="A2683" s="668"/>
      <c r="B2683" s="668"/>
      <c r="C2683" s="668"/>
      <c r="D2683" s="668"/>
      <c r="E2683" s="668" t="s">
        <v>13460</v>
      </c>
      <c r="F2683" s="667">
        <v>50.13</v>
      </c>
      <c r="G2683" s="668"/>
      <c r="H2683" s="925" t="s">
        <v>13459</v>
      </c>
      <c r="I2683" s="925"/>
      <c r="J2683" s="667">
        <v>227.65</v>
      </c>
    </row>
    <row r="2684" spans="1:10" ht="0.95" customHeight="1" thickTop="1">
      <c r="A2684" s="666"/>
      <c r="B2684" s="666"/>
      <c r="C2684" s="666"/>
      <c r="D2684" s="666"/>
      <c r="E2684" s="666"/>
      <c r="F2684" s="666"/>
      <c r="G2684" s="666"/>
      <c r="H2684" s="666"/>
      <c r="I2684" s="666"/>
      <c r="J2684" s="666"/>
    </row>
    <row r="2685" spans="1:10" ht="18" customHeight="1">
      <c r="A2685" s="686" t="s">
        <v>14577</v>
      </c>
      <c r="B2685" s="684" t="s">
        <v>13484</v>
      </c>
      <c r="C2685" s="686" t="s">
        <v>13483</v>
      </c>
      <c r="D2685" s="686" t="s">
        <v>13482</v>
      </c>
      <c r="E2685" s="924" t="s">
        <v>13481</v>
      </c>
      <c r="F2685" s="924"/>
      <c r="G2685" s="685" t="s">
        <v>13480</v>
      </c>
      <c r="H2685" s="684" t="s">
        <v>13479</v>
      </c>
      <c r="I2685" s="684" t="s">
        <v>13478</v>
      </c>
      <c r="J2685" s="684" t="s">
        <v>13477</v>
      </c>
    </row>
    <row r="2686" spans="1:10" ht="48" customHeight="1">
      <c r="A2686" s="682" t="s">
        <v>13476</v>
      </c>
      <c r="B2686" s="683" t="s">
        <v>14576</v>
      </c>
      <c r="C2686" s="682" t="s">
        <v>7</v>
      </c>
      <c r="D2686" s="682" t="s">
        <v>6590</v>
      </c>
      <c r="E2686" s="917" t="s">
        <v>13540</v>
      </c>
      <c r="F2686" s="917"/>
      <c r="G2686" s="681" t="s">
        <v>34</v>
      </c>
      <c r="H2686" s="680">
        <v>1</v>
      </c>
      <c r="I2686" s="679">
        <v>13570.7</v>
      </c>
      <c r="J2686" s="679">
        <v>13570.7</v>
      </c>
    </row>
    <row r="2687" spans="1:10" ht="60" customHeight="1">
      <c r="A2687" s="677" t="s">
        <v>13472</v>
      </c>
      <c r="B2687" s="678" t="s">
        <v>13802</v>
      </c>
      <c r="C2687" s="677" t="s">
        <v>7</v>
      </c>
      <c r="D2687" s="677" t="s">
        <v>761</v>
      </c>
      <c r="E2687" s="918" t="s">
        <v>13491</v>
      </c>
      <c r="F2687" s="918"/>
      <c r="G2687" s="676" t="s">
        <v>38</v>
      </c>
      <c r="H2687" s="675">
        <v>0.25331999999999999</v>
      </c>
      <c r="I2687" s="674">
        <v>189.61</v>
      </c>
      <c r="J2687" s="674">
        <v>48.03</v>
      </c>
    </row>
    <row r="2688" spans="1:10" ht="24" customHeight="1">
      <c r="A2688" s="677" t="s">
        <v>13472</v>
      </c>
      <c r="B2688" s="678" t="s">
        <v>13539</v>
      </c>
      <c r="C2688" s="677" t="s">
        <v>7</v>
      </c>
      <c r="D2688" s="677" t="s">
        <v>45</v>
      </c>
      <c r="E2688" s="918" t="s">
        <v>13470</v>
      </c>
      <c r="F2688" s="918"/>
      <c r="G2688" s="676" t="s">
        <v>19</v>
      </c>
      <c r="H2688" s="675">
        <v>9.3335000000000008</v>
      </c>
      <c r="I2688" s="674">
        <v>18.3</v>
      </c>
      <c r="J2688" s="674">
        <v>170.8</v>
      </c>
    </row>
    <row r="2689" spans="1:10" ht="24" customHeight="1">
      <c r="A2689" s="677" t="s">
        <v>13472</v>
      </c>
      <c r="B2689" s="678" t="s">
        <v>13538</v>
      </c>
      <c r="C2689" s="677" t="s">
        <v>7</v>
      </c>
      <c r="D2689" s="677" t="s">
        <v>47</v>
      </c>
      <c r="E2689" s="918" t="s">
        <v>13470</v>
      </c>
      <c r="F2689" s="918"/>
      <c r="G2689" s="676" t="s">
        <v>19</v>
      </c>
      <c r="H2689" s="675">
        <v>9.3335000000000008</v>
      </c>
      <c r="I2689" s="674">
        <v>14</v>
      </c>
      <c r="J2689" s="674">
        <v>130.66</v>
      </c>
    </row>
    <row r="2690" spans="1:10" ht="36" customHeight="1">
      <c r="A2690" s="672" t="s">
        <v>13467</v>
      </c>
      <c r="B2690" s="673" t="s">
        <v>14575</v>
      </c>
      <c r="C2690" s="672" t="s">
        <v>7</v>
      </c>
      <c r="D2690" s="672" t="s">
        <v>14574</v>
      </c>
      <c r="E2690" s="919" t="s">
        <v>13464</v>
      </c>
      <c r="F2690" s="919"/>
      <c r="G2690" s="671" t="s">
        <v>34</v>
      </c>
      <c r="H2690" s="670">
        <v>1</v>
      </c>
      <c r="I2690" s="669">
        <v>13221.21</v>
      </c>
      <c r="J2690" s="669">
        <v>13221.21</v>
      </c>
    </row>
    <row r="2691" spans="1:10" ht="25.5">
      <c r="A2691" s="668"/>
      <c r="B2691" s="668"/>
      <c r="C2691" s="668"/>
      <c r="D2691" s="668"/>
      <c r="E2691" s="668" t="s">
        <v>13463</v>
      </c>
      <c r="F2691" s="667">
        <v>126.96946647832227</v>
      </c>
      <c r="G2691" s="668" t="s">
        <v>13462</v>
      </c>
      <c r="H2691" s="667">
        <v>106.73</v>
      </c>
      <c r="I2691" s="668" t="s">
        <v>13461</v>
      </c>
      <c r="J2691" s="667">
        <v>233.7</v>
      </c>
    </row>
    <row r="2692" spans="1:10" ht="15" thickBot="1">
      <c r="A2692" s="668"/>
      <c r="B2692" s="668"/>
      <c r="C2692" s="668"/>
      <c r="D2692" s="668"/>
      <c r="E2692" s="668" t="s">
        <v>13460</v>
      </c>
      <c r="F2692" s="667">
        <v>3832.36</v>
      </c>
      <c r="G2692" s="668"/>
      <c r="H2692" s="925" t="s">
        <v>13459</v>
      </c>
      <c r="I2692" s="925"/>
      <c r="J2692" s="667">
        <v>17403.060000000001</v>
      </c>
    </row>
    <row r="2693" spans="1:10" ht="0.95" customHeight="1" thickTop="1">
      <c r="A2693" s="666"/>
      <c r="B2693" s="666"/>
      <c r="C2693" s="666"/>
      <c r="D2693" s="666"/>
      <c r="E2693" s="666"/>
      <c r="F2693" s="666"/>
      <c r="G2693" s="666"/>
      <c r="H2693" s="666"/>
      <c r="I2693" s="666"/>
      <c r="J2693" s="666"/>
    </row>
    <row r="2694" spans="1:10" ht="18" customHeight="1">
      <c r="A2694" s="686" t="s">
        <v>14573</v>
      </c>
      <c r="B2694" s="684" t="s">
        <v>13484</v>
      </c>
      <c r="C2694" s="686" t="s">
        <v>13483</v>
      </c>
      <c r="D2694" s="686" t="s">
        <v>13482</v>
      </c>
      <c r="E2694" s="924" t="s">
        <v>13481</v>
      </c>
      <c r="F2694" s="924"/>
      <c r="G2694" s="685" t="s">
        <v>13480</v>
      </c>
      <c r="H2694" s="684" t="s">
        <v>13479</v>
      </c>
      <c r="I2694" s="684" t="s">
        <v>13478</v>
      </c>
      <c r="J2694" s="684" t="s">
        <v>13477</v>
      </c>
    </row>
    <row r="2695" spans="1:10" ht="36" customHeight="1">
      <c r="A2695" s="682" t="s">
        <v>13476</v>
      </c>
      <c r="B2695" s="683" t="s">
        <v>14572</v>
      </c>
      <c r="C2695" s="682" t="s">
        <v>7</v>
      </c>
      <c r="D2695" s="682" t="s">
        <v>1954</v>
      </c>
      <c r="E2695" s="917" t="s">
        <v>13540</v>
      </c>
      <c r="F2695" s="917"/>
      <c r="G2695" s="681" t="s">
        <v>14</v>
      </c>
      <c r="H2695" s="680">
        <v>1</v>
      </c>
      <c r="I2695" s="679">
        <v>7.41</v>
      </c>
      <c r="J2695" s="679">
        <v>7.41</v>
      </c>
    </row>
    <row r="2696" spans="1:10" ht="60" customHeight="1">
      <c r="A2696" s="677" t="s">
        <v>13472</v>
      </c>
      <c r="B2696" s="678" t="s">
        <v>13828</v>
      </c>
      <c r="C2696" s="677" t="s">
        <v>7</v>
      </c>
      <c r="D2696" s="677" t="s">
        <v>1840</v>
      </c>
      <c r="E2696" s="918" t="s">
        <v>13474</v>
      </c>
      <c r="F2696" s="918"/>
      <c r="G2696" s="676" t="s">
        <v>14</v>
      </c>
      <c r="H2696" s="675">
        <v>1</v>
      </c>
      <c r="I2696" s="674">
        <v>2.52</v>
      </c>
      <c r="J2696" s="674">
        <v>2.52</v>
      </c>
    </row>
    <row r="2697" spans="1:10" ht="24" customHeight="1">
      <c r="A2697" s="677" t="s">
        <v>13472</v>
      </c>
      <c r="B2697" s="678" t="s">
        <v>13539</v>
      </c>
      <c r="C2697" s="677" t="s">
        <v>7</v>
      </c>
      <c r="D2697" s="677" t="s">
        <v>45</v>
      </c>
      <c r="E2697" s="918" t="s">
        <v>13470</v>
      </c>
      <c r="F2697" s="918"/>
      <c r="G2697" s="676" t="s">
        <v>19</v>
      </c>
      <c r="H2697" s="675">
        <v>6.5000000000000002E-2</v>
      </c>
      <c r="I2697" s="674">
        <v>18.3</v>
      </c>
      <c r="J2697" s="674">
        <v>1.18</v>
      </c>
    </row>
    <row r="2698" spans="1:10" ht="24" customHeight="1">
      <c r="A2698" s="677" t="s">
        <v>13472</v>
      </c>
      <c r="B2698" s="678" t="s">
        <v>13538</v>
      </c>
      <c r="C2698" s="677" t="s">
        <v>7</v>
      </c>
      <c r="D2698" s="677" t="s">
        <v>47</v>
      </c>
      <c r="E2698" s="918" t="s">
        <v>13470</v>
      </c>
      <c r="F2698" s="918"/>
      <c r="G2698" s="676" t="s">
        <v>19</v>
      </c>
      <c r="H2698" s="675">
        <v>6.5000000000000002E-2</v>
      </c>
      <c r="I2698" s="674">
        <v>14</v>
      </c>
      <c r="J2698" s="674">
        <v>0.91</v>
      </c>
    </row>
    <row r="2699" spans="1:10" ht="24" customHeight="1">
      <c r="A2699" s="672" t="s">
        <v>13467</v>
      </c>
      <c r="B2699" s="673" t="s">
        <v>14571</v>
      </c>
      <c r="C2699" s="672" t="s">
        <v>7</v>
      </c>
      <c r="D2699" s="672" t="s">
        <v>14570</v>
      </c>
      <c r="E2699" s="919" t="s">
        <v>13464</v>
      </c>
      <c r="F2699" s="919"/>
      <c r="G2699" s="671" t="s">
        <v>14</v>
      </c>
      <c r="H2699" s="670">
        <v>1.0169999999999999</v>
      </c>
      <c r="I2699" s="669">
        <v>2.76</v>
      </c>
      <c r="J2699" s="669">
        <v>2.8</v>
      </c>
    </row>
    <row r="2700" spans="1:10" ht="25.5">
      <c r="A2700" s="668"/>
      <c r="B2700" s="668"/>
      <c r="C2700" s="668"/>
      <c r="D2700" s="668"/>
      <c r="E2700" s="668" t="s">
        <v>13463</v>
      </c>
      <c r="F2700" s="667">
        <v>1.4560469412148211</v>
      </c>
      <c r="G2700" s="668" t="s">
        <v>13462</v>
      </c>
      <c r="H2700" s="667">
        <v>1.22</v>
      </c>
      <c r="I2700" s="668" t="s">
        <v>13461</v>
      </c>
      <c r="J2700" s="667">
        <v>2.6799999999999997</v>
      </c>
    </row>
    <row r="2701" spans="1:10" ht="15" thickBot="1">
      <c r="A2701" s="668"/>
      <c r="B2701" s="668"/>
      <c r="C2701" s="668"/>
      <c r="D2701" s="668"/>
      <c r="E2701" s="668" t="s">
        <v>13460</v>
      </c>
      <c r="F2701" s="667">
        <v>2.09</v>
      </c>
      <c r="G2701" s="668"/>
      <c r="H2701" s="925" t="s">
        <v>13459</v>
      </c>
      <c r="I2701" s="925"/>
      <c r="J2701" s="667">
        <v>9.5</v>
      </c>
    </row>
    <row r="2702" spans="1:10" ht="0.95" customHeight="1" thickTop="1">
      <c r="A2702" s="666"/>
      <c r="B2702" s="666"/>
      <c r="C2702" s="666"/>
      <c r="D2702" s="666"/>
      <c r="E2702" s="666"/>
      <c r="F2702" s="666"/>
      <c r="G2702" s="666"/>
      <c r="H2702" s="666"/>
      <c r="I2702" s="666"/>
      <c r="J2702" s="666"/>
    </row>
    <row r="2703" spans="1:10" ht="18" customHeight="1">
      <c r="A2703" s="686" t="s">
        <v>14569</v>
      </c>
      <c r="B2703" s="684" t="s">
        <v>13484</v>
      </c>
      <c r="C2703" s="686" t="s">
        <v>13483</v>
      </c>
      <c r="D2703" s="686" t="s">
        <v>13482</v>
      </c>
      <c r="E2703" s="924" t="s">
        <v>13481</v>
      </c>
      <c r="F2703" s="924"/>
      <c r="G2703" s="685" t="s">
        <v>13480</v>
      </c>
      <c r="H2703" s="684" t="s">
        <v>13479</v>
      </c>
      <c r="I2703" s="684" t="s">
        <v>13478</v>
      </c>
      <c r="J2703" s="684" t="s">
        <v>13477</v>
      </c>
    </row>
    <row r="2704" spans="1:10" ht="36" customHeight="1">
      <c r="A2704" s="682" t="s">
        <v>13476</v>
      </c>
      <c r="B2704" s="683" t="s">
        <v>14568</v>
      </c>
      <c r="C2704" s="682" t="s">
        <v>7</v>
      </c>
      <c r="D2704" s="682" t="s">
        <v>2321</v>
      </c>
      <c r="E2704" s="917" t="s">
        <v>13540</v>
      </c>
      <c r="F2704" s="917"/>
      <c r="G2704" s="681" t="s">
        <v>14</v>
      </c>
      <c r="H2704" s="680">
        <v>1</v>
      </c>
      <c r="I2704" s="679">
        <v>199.85</v>
      </c>
      <c r="J2704" s="679">
        <v>199.85</v>
      </c>
    </row>
    <row r="2705" spans="1:10" ht="24" customHeight="1">
      <c r="A2705" s="677" t="s">
        <v>13472</v>
      </c>
      <c r="B2705" s="678" t="s">
        <v>13539</v>
      </c>
      <c r="C2705" s="677" t="s">
        <v>7</v>
      </c>
      <c r="D2705" s="677" t="s">
        <v>45</v>
      </c>
      <c r="E2705" s="918" t="s">
        <v>13470</v>
      </c>
      <c r="F2705" s="918"/>
      <c r="G2705" s="676" t="s">
        <v>19</v>
      </c>
      <c r="H2705" s="675">
        <v>0.21199999999999999</v>
      </c>
      <c r="I2705" s="674">
        <v>18.3</v>
      </c>
      <c r="J2705" s="674">
        <v>3.87</v>
      </c>
    </row>
    <row r="2706" spans="1:10" ht="24" customHeight="1">
      <c r="A2706" s="677" t="s">
        <v>13472</v>
      </c>
      <c r="B2706" s="678" t="s">
        <v>13538</v>
      </c>
      <c r="C2706" s="677" t="s">
        <v>7</v>
      </c>
      <c r="D2706" s="677" t="s">
        <v>47</v>
      </c>
      <c r="E2706" s="918" t="s">
        <v>13470</v>
      </c>
      <c r="F2706" s="918"/>
      <c r="G2706" s="676" t="s">
        <v>19</v>
      </c>
      <c r="H2706" s="675">
        <v>0.21199999999999999</v>
      </c>
      <c r="I2706" s="674">
        <v>14</v>
      </c>
      <c r="J2706" s="674">
        <v>2.96</v>
      </c>
    </row>
    <row r="2707" spans="1:10" ht="48" customHeight="1">
      <c r="A2707" s="672" t="s">
        <v>13467</v>
      </c>
      <c r="B2707" s="673" t="s">
        <v>14567</v>
      </c>
      <c r="C2707" s="672" t="s">
        <v>7</v>
      </c>
      <c r="D2707" s="672" t="s">
        <v>14566</v>
      </c>
      <c r="E2707" s="919" t="s">
        <v>13464</v>
      </c>
      <c r="F2707" s="919"/>
      <c r="G2707" s="671" t="s">
        <v>14</v>
      </c>
      <c r="H2707" s="670">
        <v>1.0149999999999999</v>
      </c>
      <c r="I2707" s="669">
        <v>190.14</v>
      </c>
      <c r="J2707" s="669">
        <v>192.99</v>
      </c>
    </row>
    <row r="2708" spans="1:10" ht="24" customHeight="1">
      <c r="A2708" s="672" t="s">
        <v>13467</v>
      </c>
      <c r="B2708" s="673" t="s">
        <v>14270</v>
      </c>
      <c r="C2708" s="672" t="s">
        <v>7</v>
      </c>
      <c r="D2708" s="672" t="s">
        <v>14269</v>
      </c>
      <c r="E2708" s="919" t="s">
        <v>13464</v>
      </c>
      <c r="F2708" s="919"/>
      <c r="G2708" s="671" t="s">
        <v>34</v>
      </c>
      <c r="H2708" s="670">
        <v>8.9999999999999993E-3</v>
      </c>
      <c r="I2708" s="669">
        <v>3.78</v>
      </c>
      <c r="J2708" s="669">
        <v>0.03</v>
      </c>
    </row>
    <row r="2709" spans="1:10" ht="25.5">
      <c r="A2709" s="668"/>
      <c r="B2709" s="668"/>
      <c r="C2709" s="668"/>
      <c r="D2709" s="668"/>
      <c r="E2709" s="668" t="s">
        <v>13463</v>
      </c>
      <c r="F2709" s="667">
        <v>2.8414647397587744</v>
      </c>
      <c r="G2709" s="668" t="s">
        <v>13462</v>
      </c>
      <c r="H2709" s="667">
        <v>2.39</v>
      </c>
      <c r="I2709" s="668" t="s">
        <v>13461</v>
      </c>
      <c r="J2709" s="667">
        <v>5.23</v>
      </c>
    </row>
    <row r="2710" spans="1:10" ht="15" thickBot="1">
      <c r="A2710" s="668"/>
      <c r="B2710" s="668"/>
      <c r="C2710" s="668"/>
      <c r="D2710" s="668"/>
      <c r="E2710" s="668" t="s">
        <v>13460</v>
      </c>
      <c r="F2710" s="667">
        <v>56.43</v>
      </c>
      <c r="G2710" s="668"/>
      <c r="H2710" s="925" t="s">
        <v>13459</v>
      </c>
      <c r="I2710" s="925"/>
      <c r="J2710" s="667">
        <v>256.27999999999997</v>
      </c>
    </row>
    <row r="2711" spans="1:10" ht="0.95" customHeight="1" thickTop="1">
      <c r="A2711" s="666"/>
      <c r="B2711" s="666"/>
      <c r="C2711" s="666"/>
      <c r="D2711" s="666"/>
      <c r="E2711" s="666"/>
      <c r="F2711" s="666"/>
      <c r="G2711" s="666"/>
      <c r="H2711" s="666"/>
      <c r="I2711" s="666"/>
      <c r="J2711" s="666"/>
    </row>
    <row r="2712" spans="1:10" ht="18" customHeight="1">
      <c r="A2712" s="686" t="s">
        <v>14565</v>
      </c>
      <c r="B2712" s="684" t="s">
        <v>13484</v>
      </c>
      <c r="C2712" s="686" t="s">
        <v>13483</v>
      </c>
      <c r="D2712" s="686" t="s">
        <v>13482</v>
      </c>
      <c r="E2712" s="924" t="s">
        <v>13481</v>
      </c>
      <c r="F2712" s="924"/>
      <c r="G2712" s="685" t="s">
        <v>13480</v>
      </c>
      <c r="H2712" s="684" t="s">
        <v>13479</v>
      </c>
      <c r="I2712" s="684" t="s">
        <v>13478</v>
      </c>
      <c r="J2712" s="684" t="s">
        <v>13477</v>
      </c>
    </row>
    <row r="2713" spans="1:10" ht="36" customHeight="1">
      <c r="A2713" s="682" t="s">
        <v>13476</v>
      </c>
      <c r="B2713" s="683" t="s">
        <v>14564</v>
      </c>
      <c r="C2713" s="682" t="s">
        <v>7</v>
      </c>
      <c r="D2713" s="682" t="s">
        <v>2315</v>
      </c>
      <c r="E2713" s="917" t="s">
        <v>13540</v>
      </c>
      <c r="F2713" s="917"/>
      <c r="G2713" s="681" t="s">
        <v>14</v>
      </c>
      <c r="H2713" s="680">
        <v>1</v>
      </c>
      <c r="I2713" s="679">
        <v>101.77</v>
      </c>
      <c r="J2713" s="679">
        <v>101.77</v>
      </c>
    </row>
    <row r="2714" spans="1:10" ht="24" customHeight="1">
      <c r="A2714" s="677" t="s">
        <v>13472</v>
      </c>
      <c r="B2714" s="678" t="s">
        <v>13539</v>
      </c>
      <c r="C2714" s="677" t="s">
        <v>7</v>
      </c>
      <c r="D2714" s="677" t="s">
        <v>45</v>
      </c>
      <c r="E2714" s="918" t="s">
        <v>13470</v>
      </c>
      <c r="F2714" s="918"/>
      <c r="G2714" s="676" t="s">
        <v>19</v>
      </c>
      <c r="H2714" s="675">
        <v>0.128</v>
      </c>
      <c r="I2714" s="674">
        <v>18.3</v>
      </c>
      <c r="J2714" s="674">
        <v>2.34</v>
      </c>
    </row>
    <row r="2715" spans="1:10" ht="24" customHeight="1">
      <c r="A2715" s="677" t="s">
        <v>13472</v>
      </c>
      <c r="B2715" s="678" t="s">
        <v>13538</v>
      </c>
      <c r="C2715" s="677" t="s">
        <v>7</v>
      </c>
      <c r="D2715" s="677" t="s">
        <v>47</v>
      </c>
      <c r="E2715" s="918" t="s">
        <v>13470</v>
      </c>
      <c r="F2715" s="918"/>
      <c r="G2715" s="676" t="s">
        <v>19</v>
      </c>
      <c r="H2715" s="675">
        <v>0.128</v>
      </c>
      <c r="I2715" s="674">
        <v>14</v>
      </c>
      <c r="J2715" s="674">
        <v>1.79</v>
      </c>
    </row>
    <row r="2716" spans="1:10" ht="48" customHeight="1">
      <c r="A2716" s="672" t="s">
        <v>13467</v>
      </c>
      <c r="B2716" s="673" t="s">
        <v>14563</v>
      </c>
      <c r="C2716" s="672" t="s">
        <v>7</v>
      </c>
      <c r="D2716" s="672" t="s">
        <v>14562</v>
      </c>
      <c r="E2716" s="919" t="s">
        <v>13464</v>
      </c>
      <c r="F2716" s="919"/>
      <c r="G2716" s="671" t="s">
        <v>14</v>
      </c>
      <c r="H2716" s="670">
        <v>1.0149999999999999</v>
      </c>
      <c r="I2716" s="669">
        <v>96.17</v>
      </c>
      <c r="J2716" s="669">
        <v>97.61</v>
      </c>
    </row>
    <row r="2717" spans="1:10" ht="24" customHeight="1">
      <c r="A2717" s="672" t="s">
        <v>13467</v>
      </c>
      <c r="B2717" s="673" t="s">
        <v>14270</v>
      </c>
      <c r="C2717" s="672" t="s">
        <v>7</v>
      </c>
      <c r="D2717" s="672" t="s">
        <v>14269</v>
      </c>
      <c r="E2717" s="919" t="s">
        <v>13464</v>
      </c>
      <c r="F2717" s="919"/>
      <c r="G2717" s="671" t="s">
        <v>34</v>
      </c>
      <c r="H2717" s="670">
        <v>8.9999999999999993E-3</v>
      </c>
      <c r="I2717" s="669">
        <v>3.78</v>
      </c>
      <c r="J2717" s="669">
        <v>0.03</v>
      </c>
    </row>
    <row r="2718" spans="1:10" ht="25.5">
      <c r="A2718" s="668"/>
      <c r="B2718" s="668"/>
      <c r="C2718" s="668"/>
      <c r="D2718" s="668"/>
      <c r="E2718" s="668" t="s">
        <v>13463</v>
      </c>
      <c r="F2718" s="667">
        <v>1.7113984570248832</v>
      </c>
      <c r="G2718" s="668" t="s">
        <v>13462</v>
      </c>
      <c r="H2718" s="667">
        <v>1.44</v>
      </c>
      <c r="I2718" s="668" t="s">
        <v>13461</v>
      </c>
      <c r="J2718" s="667">
        <v>3.15</v>
      </c>
    </row>
    <row r="2719" spans="1:10" ht="15" thickBot="1">
      <c r="A2719" s="668"/>
      <c r="B2719" s="668"/>
      <c r="C2719" s="668"/>
      <c r="D2719" s="668"/>
      <c r="E2719" s="668" t="s">
        <v>13460</v>
      </c>
      <c r="F2719" s="667">
        <v>28.73</v>
      </c>
      <c r="G2719" s="668"/>
      <c r="H2719" s="925" t="s">
        <v>13459</v>
      </c>
      <c r="I2719" s="925"/>
      <c r="J2719" s="667">
        <v>130.5</v>
      </c>
    </row>
    <row r="2720" spans="1:10" ht="0.95" customHeight="1" thickTop="1">
      <c r="A2720" s="666"/>
      <c r="B2720" s="666"/>
      <c r="C2720" s="666"/>
      <c r="D2720" s="666"/>
      <c r="E2720" s="666"/>
      <c r="F2720" s="666"/>
      <c r="G2720" s="666"/>
      <c r="H2720" s="666"/>
      <c r="I2720" s="666"/>
      <c r="J2720" s="666"/>
    </row>
    <row r="2721" spans="1:10" ht="18" customHeight="1">
      <c r="A2721" s="686" t="s">
        <v>14561</v>
      </c>
      <c r="B2721" s="684" t="s">
        <v>13484</v>
      </c>
      <c r="C2721" s="686" t="s">
        <v>13483</v>
      </c>
      <c r="D2721" s="686" t="s">
        <v>13482</v>
      </c>
      <c r="E2721" s="924" t="s">
        <v>13481</v>
      </c>
      <c r="F2721" s="924"/>
      <c r="G2721" s="685" t="s">
        <v>13480</v>
      </c>
      <c r="H2721" s="684" t="s">
        <v>13479</v>
      </c>
      <c r="I2721" s="684" t="s">
        <v>13478</v>
      </c>
      <c r="J2721" s="684" t="s">
        <v>13477</v>
      </c>
    </row>
    <row r="2722" spans="1:10" ht="36" customHeight="1">
      <c r="A2722" s="682" t="s">
        <v>13476</v>
      </c>
      <c r="B2722" s="683" t="s">
        <v>14560</v>
      </c>
      <c r="C2722" s="682" t="s">
        <v>7</v>
      </c>
      <c r="D2722" s="682" t="s">
        <v>2002</v>
      </c>
      <c r="E2722" s="917" t="s">
        <v>13540</v>
      </c>
      <c r="F2722" s="917"/>
      <c r="G2722" s="681" t="s">
        <v>14</v>
      </c>
      <c r="H2722" s="680">
        <v>1</v>
      </c>
      <c r="I2722" s="679">
        <v>16.05</v>
      </c>
      <c r="J2722" s="679">
        <v>16.05</v>
      </c>
    </row>
    <row r="2723" spans="1:10" ht="24" customHeight="1">
      <c r="A2723" s="677" t="s">
        <v>13472</v>
      </c>
      <c r="B2723" s="678" t="s">
        <v>13539</v>
      </c>
      <c r="C2723" s="677" t="s">
        <v>7</v>
      </c>
      <c r="D2723" s="677" t="s">
        <v>45</v>
      </c>
      <c r="E2723" s="918" t="s">
        <v>13470</v>
      </c>
      <c r="F2723" s="918"/>
      <c r="G2723" s="676" t="s">
        <v>19</v>
      </c>
      <c r="H2723" s="675">
        <v>7.6999999999999999E-2</v>
      </c>
      <c r="I2723" s="674">
        <v>18.3</v>
      </c>
      <c r="J2723" s="674">
        <v>1.4</v>
      </c>
    </row>
    <row r="2724" spans="1:10" ht="24" customHeight="1">
      <c r="A2724" s="677" t="s">
        <v>13472</v>
      </c>
      <c r="B2724" s="678" t="s">
        <v>13538</v>
      </c>
      <c r="C2724" s="677" t="s">
        <v>7</v>
      </c>
      <c r="D2724" s="677" t="s">
        <v>47</v>
      </c>
      <c r="E2724" s="918" t="s">
        <v>13470</v>
      </c>
      <c r="F2724" s="918"/>
      <c r="G2724" s="676" t="s">
        <v>19</v>
      </c>
      <c r="H2724" s="675">
        <v>7.6999999999999999E-2</v>
      </c>
      <c r="I2724" s="674">
        <v>14</v>
      </c>
      <c r="J2724" s="674">
        <v>1.07</v>
      </c>
    </row>
    <row r="2725" spans="1:10" ht="48" customHeight="1">
      <c r="A2725" s="672" t="s">
        <v>13467</v>
      </c>
      <c r="B2725" s="673" t="s">
        <v>14559</v>
      </c>
      <c r="C2725" s="672" t="s">
        <v>7</v>
      </c>
      <c r="D2725" s="672" t="s">
        <v>14558</v>
      </c>
      <c r="E2725" s="919" t="s">
        <v>13464</v>
      </c>
      <c r="F2725" s="919"/>
      <c r="G2725" s="671" t="s">
        <v>14</v>
      </c>
      <c r="H2725" s="670">
        <v>1.19</v>
      </c>
      <c r="I2725" s="669">
        <v>11.39</v>
      </c>
      <c r="J2725" s="669">
        <v>13.55</v>
      </c>
    </row>
    <row r="2726" spans="1:10" ht="24" customHeight="1">
      <c r="A2726" s="672" t="s">
        <v>13467</v>
      </c>
      <c r="B2726" s="673" t="s">
        <v>14270</v>
      </c>
      <c r="C2726" s="672" t="s">
        <v>7</v>
      </c>
      <c r="D2726" s="672" t="s">
        <v>14269</v>
      </c>
      <c r="E2726" s="919" t="s">
        <v>13464</v>
      </c>
      <c r="F2726" s="919"/>
      <c r="G2726" s="671" t="s">
        <v>34</v>
      </c>
      <c r="H2726" s="670">
        <v>8.9999999999999993E-3</v>
      </c>
      <c r="I2726" s="669">
        <v>3.78</v>
      </c>
      <c r="J2726" s="669">
        <v>0.03</v>
      </c>
    </row>
    <row r="2727" spans="1:10" ht="25.5">
      <c r="A2727" s="668"/>
      <c r="B2727" s="668"/>
      <c r="C2727" s="668"/>
      <c r="D2727" s="668"/>
      <c r="E2727" s="668" t="s">
        <v>13463</v>
      </c>
      <c r="F2727" s="667">
        <v>1.0268390742149298</v>
      </c>
      <c r="G2727" s="668" t="s">
        <v>13462</v>
      </c>
      <c r="H2727" s="667">
        <v>0.86</v>
      </c>
      <c r="I2727" s="668" t="s">
        <v>13461</v>
      </c>
      <c r="J2727" s="667">
        <v>1.89</v>
      </c>
    </row>
    <row r="2728" spans="1:10" ht="15" thickBot="1">
      <c r="A2728" s="668"/>
      <c r="B2728" s="668"/>
      <c r="C2728" s="668"/>
      <c r="D2728" s="668"/>
      <c r="E2728" s="668" t="s">
        <v>13460</v>
      </c>
      <c r="F2728" s="667">
        <v>4.53</v>
      </c>
      <c r="G2728" s="668"/>
      <c r="H2728" s="925" t="s">
        <v>13459</v>
      </c>
      <c r="I2728" s="925"/>
      <c r="J2728" s="667">
        <v>20.58</v>
      </c>
    </row>
    <row r="2729" spans="1:10" ht="0.95" customHeight="1" thickTop="1">
      <c r="A2729" s="666"/>
      <c r="B2729" s="666"/>
      <c r="C2729" s="666"/>
      <c r="D2729" s="666"/>
      <c r="E2729" s="666"/>
      <c r="F2729" s="666"/>
      <c r="G2729" s="666"/>
      <c r="H2729" s="666"/>
      <c r="I2729" s="666"/>
      <c r="J2729" s="666"/>
    </row>
    <row r="2730" spans="1:10" ht="18" customHeight="1">
      <c r="A2730" s="686" t="s">
        <v>14557</v>
      </c>
      <c r="B2730" s="684" t="s">
        <v>13484</v>
      </c>
      <c r="C2730" s="686" t="s">
        <v>13483</v>
      </c>
      <c r="D2730" s="686" t="s">
        <v>13482</v>
      </c>
      <c r="E2730" s="924" t="s">
        <v>13481</v>
      </c>
      <c r="F2730" s="924"/>
      <c r="G2730" s="685" t="s">
        <v>13480</v>
      </c>
      <c r="H2730" s="684" t="s">
        <v>13479</v>
      </c>
      <c r="I2730" s="684" t="s">
        <v>13478</v>
      </c>
      <c r="J2730" s="684" t="s">
        <v>13477</v>
      </c>
    </row>
    <row r="2731" spans="1:10" ht="24" customHeight="1">
      <c r="A2731" s="682" t="s">
        <v>13476</v>
      </c>
      <c r="B2731" s="683" t="s">
        <v>14266</v>
      </c>
      <c r="C2731" s="682" t="s">
        <v>7</v>
      </c>
      <c r="D2731" s="682" t="s">
        <v>3447</v>
      </c>
      <c r="E2731" s="917" t="s">
        <v>13540</v>
      </c>
      <c r="F2731" s="917"/>
      <c r="G2731" s="681" t="s">
        <v>14</v>
      </c>
      <c r="H2731" s="680">
        <v>1</v>
      </c>
      <c r="I2731" s="679">
        <v>43.24</v>
      </c>
      <c r="J2731" s="679">
        <v>43.24</v>
      </c>
    </row>
    <row r="2732" spans="1:10" ht="24" customHeight="1">
      <c r="A2732" s="677" t="s">
        <v>13472</v>
      </c>
      <c r="B2732" s="678" t="s">
        <v>13539</v>
      </c>
      <c r="C2732" s="677" t="s">
        <v>7</v>
      </c>
      <c r="D2732" s="677" t="s">
        <v>45</v>
      </c>
      <c r="E2732" s="918" t="s">
        <v>13470</v>
      </c>
      <c r="F2732" s="918"/>
      <c r="G2732" s="676" t="s">
        <v>19</v>
      </c>
      <c r="H2732" s="675">
        <v>3.3700000000000001E-2</v>
      </c>
      <c r="I2732" s="674">
        <v>18.3</v>
      </c>
      <c r="J2732" s="674">
        <v>0.61</v>
      </c>
    </row>
    <row r="2733" spans="1:10" ht="24" customHeight="1">
      <c r="A2733" s="677" t="s">
        <v>13472</v>
      </c>
      <c r="B2733" s="678" t="s">
        <v>13538</v>
      </c>
      <c r="C2733" s="677" t="s">
        <v>7</v>
      </c>
      <c r="D2733" s="677" t="s">
        <v>47</v>
      </c>
      <c r="E2733" s="918" t="s">
        <v>13470</v>
      </c>
      <c r="F2733" s="918"/>
      <c r="G2733" s="676" t="s">
        <v>19</v>
      </c>
      <c r="H2733" s="675">
        <v>3.3700000000000001E-2</v>
      </c>
      <c r="I2733" s="674">
        <v>14</v>
      </c>
      <c r="J2733" s="674">
        <v>0.47</v>
      </c>
    </row>
    <row r="2734" spans="1:10" ht="24" customHeight="1">
      <c r="A2734" s="672" t="s">
        <v>13467</v>
      </c>
      <c r="B2734" s="673" t="s">
        <v>14556</v>
      </c>
      <c r="C2734" s="672" t="s">
        <v>7</v>
      </c>
      <c r="D2734" s="672" t="s">
        <v>14555</v>
      </c>
      <c r="E2734" s="919" t="s">
        <v>13464</v>
      </c>
      <c r="F2734" s="919"/>
      <c r="G2734" s="671" t="s">
        <v>14</v>
      </c>
      <c r="H2734" s="670">
        <v>1.1000000000000001</v>
      </c>
      <c r="I2734" s="669">
        <v>38.33</v>
      </c>
      <c r="J2734" s="669">
        <v>42.16</v>
      </c>
    </row>
    <row r="2735" spans="1:10" ht="25.5">
      <c r="A2735" s="668"/>
      <c r="B2735" s="668"/>
      <c r="C2735" s="668"/>
      <c r="D2735" s="668"/>
      <c r="E2735" s="668" t="s">
        <v>13463</v>
      </c>
      <c r="F2735" s="667">
        <v>0.44550689992393783</v>
      </c>
      <c r="G2735" s="668" t="s">
        <v>13462</v>
      </c>
      <c r="H2735" s="667">
        <v>0.37</v>
      </c>
      <c r="I2735" s="668" t="s">
        <v>13461</v>
      </c>
      <c r="J2735" s="667">
        <v>0.82</v>
      </c>
    </row>
    <row r="2736" spans="1:10" ht="15" thickBot="1">
      <c r="A2736" s="668"/>
      <c r="B2736" s="668"/>
      <c r="C2736" s="668"/>
      <c r="D2736" s="668"/>
      <c r="E2736" s="668" t="s">
        <v>13460</v>
      </c>
      <c r="F2736" s="667">
        <v>12.21</v>
      </c>
      <c r="G2736" s="668"/>
      <c r="H2736" s="925" t="s">
        <v>13459</v>
      </c>
      <c r="I2736" s="925"/>
      <c r="J2736" s="667">
        <v>55.45</v>
      </c>
    </row>
    <row r="2737" spans="1:10" ht="0.95" customHeight="1" thickTop="1">
      <c r="A2737" s="666"/>
      <c r="B2737" s="666"/>
      <c r="C2737" s="666"/>
      <c r="D2737" s="666"/>
      <c r="E2737" s="666"/>
      <c r="F2737" s="666"/>
      <c r="G2737" s="666"/>
      <c r="H2737" s="666"/>
      <c r="I2737" s="666"/>
      <c r="J2737" s="666"/>
    </row>
    <row r="2738" spans="1:10" ht="18" customHeight="1">
      <c r="A2738" s="686" t="s">
        <v>14554</v>
      </c>
      <c r="B2738" s="684" t="s">
        <v>13484</v>
      </c>
      <c r="C2738" s="686" t="s">
        <v>13483</v>
      </c>
      <c r="D2738" s="686" t="s">
        <v>13482</v>
      </c>
      <c r="E2738" s="924" t="s">
        <v>13481</v>
      </c>
      <c r="F2738" s="924"/>
      <c r="G2738" s="685" t="s">
        <v>13480</v>
      </c>
      <c r="H2738" s="684" t="s">
        <v>13479</v>
      </c>
      <c r="I2738" s="684" t="s">
        <v>13478</v>
      </c>
      <c r="J2738" s="684" t="s">
        <v>13477</v>
      </c>
    </row>
    <row r="2739" spans="1:10" ht="24" customHeight="1">
      <c r="A2739" s="682" t="s">
        <v>13476</v>
      </c>
      <c r="B2739" s="683" t="s">
        <v>14553</v>
      </c>
      <c r="C2739" s="682" t="s">
        <v>7</v>
      </c>
      <c r="D2739" s="682" t="s">
        <v>5077</v>
      </c>
      <c r="E2739" s="917" t="s">
        <v>14426</v>
      </c>
      <c r="F2739" s="917"/>
      <c r="G2739" s="681" t="s">
        <v>34</v>
      </c>
      <c r="H2739" s="680">
        <v>1</v>
      </c>
      <c r="I2739" s="679">
        <v>35.67</v>
      </c>
      <c r="J2739" s="679">
        <v>35.67</v>
      </c>
    </row>
    <row r="2740" spans="1:10" ht="24" customHeight="1">
      <c r="A2740" s="677" t="s">
        <v>13472</v>
      </c>
      <c r="B2740" s="678" t="s">
        <v>13539</v>
      </c>
      <c r="C2740" s="677" t="s">
        <v>7</v>
      </c>
      <c r="D2740" s="677" t="s">
        <v>45</v>
      </c>
      <c r="E2740" s="918" t="s">
        <v>13470</v>
      </c>
      <c r="F2740" s="918"/>
      <c r="G2740" s="676" t="s">
        <v>19</v>
      </c>
      <c r="H2740" s="675">
        <v>0.20619999999999999</v>
      </c>
      <c r="I2740" s="674">
        <v>18.3</v>
      </c>
      <c r="J2740" s="674">
        <v>3.77</v>
      </c>
    </row>
    <row r="2741" spans="1:10" ht="24" customHeight="1">
      <c r="A2741" s="677" t="s">
        <v>13472</v>
      </c>
      <c r="B2741" s="678" t="s">
        <v>13538</v>
      </c>
      <c r="C2741" s="677" t="s">
        <v>7</v>
      </c>
      <c r="D2741" s="677" t="s">
        <v>47</v>
      </c>
      <c r="E2741" s="918" t="s">
        <v>13470</v>
      </c>
      <c r="F2741" s="918"/>
      <c r="G2741" s="676" t="s">
        <v>19</v>
      </c>
      <c r="H2741" s="675">
        <v>0.20619999999999999</v>
      </c>
      <c r="I2741" s="674">
        <v>14</v>
      </c>
      <c r="J2741" s="674">
        <v>2.88</v>
      </c>
    </row>
    <row r="2742" spans="1:10" ht="24" customHeight="1">
      <c r="A2742" s="672" t="s">
        <v>13467</v>
      </c>
      <c r="B2742" s="673" t="s">
        <v>14552</v>
      </c>
      <c r="C2742" s="672" t="s">
        <v>7</v>
      </c>
      <c r="D2742" s="672" t="s">
        <v>14551</v>
      </c>
      <c r="E2742" s="919" t="s">
        <v>13464</v>
      </c>
      <c r="F2742" s="919"/>
      <c r="G2742" s="671" t="s">
        <v>34</v>
      </c>
      <c r="H2742" s="670">
        <v>1</v>
      </c>
      <c r="I2742" s="669">
        <v>29.02</v>
      </c>
      <c r="J2742" s="669">
        <v>29.02</v>
      </c>
    </row>
    <row r="2743" spans="1:10" ht="25.5">
      <c r="A2743" s="668"/>
      <c r="B2743" s="668"/>
      <c r="C2743" s="668"/>
      <c r="D2743" s="668"/>
      <c r="E2743" s="668" t="s">
        <v>13463</v>
      </c>
      <c r="F2743" s="667">
        <v>2.7599695751385416</v>
      </c>
      <c r="G2743" s="668" t="s">
        <v>13462</v>
      </c>
      <c r="H2743" s="667">
        <v>2.3199999999999998</v>
      </c>
      <c r="I2743" s="668" t="s">
        <v>13461</v>
      </c>
      <c r="J2743" s="667">
        <v>5.08</v>
      </c>
    </row>
    <row r="2744" spans="1:10" ht="15" thickBot="1">
      <c r="A2744" s="668"/>
      <c r="B2744" s="668"/>
      <c r="C2744" s="668"/>
      <c r="D2744" s="668"/>
      <c r="E2744" s="668" t="s">
        <v>13460</v>
      </c>
      <c r="F2744" s="667">
        <v>10.07</v>
      </c>
      <c r="G2744" s="668"/>
      <c r="H2744" s="925" t="s">
        <v>13459</v>
      </c>
      <c r="I2744" s="925"/>
      <c r="J2744" s="667">
        <v>45.74</v>
      </c>
    </row>
    <row r="2745" spans="1:10" ht="0.95" customHeight="1" thickTop="1">
      <c r="A2745" s="666"/>
      <c r="B2745" s="666"/>
      <c r="C2745" s="666"/>
      <c r="D2745" s="666"/>
      <c r="E2745" s="666"/>
      <c r="F2745" s="666"/>
      <c r="G2745" s="666"/>
      <c r="H2745" s="666"/>
      <c r="I2745" s="666"/>
      <c r="J2745" s="666"/>
    </row>
    <row r="2746" spans="1:10" ht="18" customHeight="1">
      <c r="A2746" s="686" t="s">
        <v>14550</v>
      </c>
      <c r="B2746" s="684" t="s">
        <v>13484</v>
      </c>
      <c r="C2746" s="686" t="s">
        <v>13483</v>
      </c>
      <c r="D2746" s="686" t="s">
        <v>13482</v>
      </c>
      <c r="E2746" s="924" t="s">
        <v>13481</v>
      </c>
      <c r="F2746" s="924"/>
      <c r="G2746" s="685" t="s">
        <v>13480</v>
      </c>
      <c r="H2746" s="684" t="s">
        <v>13479</v>
      </c>
      <c r="I2746" s="684" t="s">
        <v>13478</v>
      </c>
      <c r="J2746" s="684" t="s">
        <v>13477</v>
      </c>
    </row>
    <row r="2747" spans="1:10" ht="24" customHeight="1">
      <c r="A2747" s="682" t="s">
        <v>13476</v>
      </c>
      <c r="B2747" s="683" t="s">
        <v>14549</v>
      </c>
      <c r="C2747" s="682" t="s">
        <v>7</v>
      </c>
      <c r="D2747" s="682" t="s">
        <v>5075</v>
      </c>
      <c r="E2747" s="917" t="s">
        <v>14426</v>
      </c>
      <c r="F2747" s="917"/>
      <c r="G2747" s="681" t="s">
        <v>34</v>
      </c>
      <c r="H2747" s="680">
        <v>1</v>
      </c>
      <c r="I2747" s="679">
        <v>548.41999999999996</v>
      </c>
      <c r="J2747" s="679">
        <v>548.41999999999996</v>
      </c>
    </row>
    <row r="2748" spans="1:10" ht="24" customHeight="1">
      <c r="A2748" s="677" t="s">
        <v>13472</v>
      </c>
      <c r="B2748" s="678" t="s">
        <v>13539</v>
      </c>
      <c r="C2748" s="677" t="s">
        <v>7</v>
      </c>
      <c r="D2748" s="677" t="s">
        <v>45</v>
      </c>
      <c r="E2748" s="918" t="s">
        <v>13470</v>
      </c>
      <c r="F2748" s="918"/>
      <c r="G2748" s="676" t="s">
        <v>19</v>
      </c>
      <c r="H2748" s="675">
        <v>6.2007000000000003</v>
      </c>
      <c r="I2748" s="674">
        <v>18.3</v>
      </c>
      <c r="J2748" s="674">
        <v>113.47</v>
      </c>
    </row>
    <row r="2749" spans="1:10" ht="24" customHeight="1">
      <c r="A2749" s="677" t="s">
        <v>13472</v>
      </c>
      <c r="B2749" s="678" t="s">
        <v>13538</v>
      </c>
      <c r="C2749" s="677" t="s">
        <v>7</v>
      </c>
      <c r="D2749" s="677" t="s">
        <v>47</v>
      </c>
      <c r="E2749" s="918" t="s">
        <v>13470</v>
      </c>
      <c r="F2749" s="918"/>
      <c r="G2749" s="676" t="s">
        <v>19</v>
      </c>
      <c r="H2749" s="675">
        <v>6.2007000000000003</v>
      </c>
      <c r="I2749" s="674">
        <v>14</v>
      </c>
      <c r="J2749" s="674">
        <v>86.8</v>
      </c>
    </row>
    <row r="2750" spans="1:10" ht="24" customHeight="1">
      <c r="A2750" s="672" t="s">
        <v>13467</v>
      </c>
      <c r="B2750" s="673" t="s">
        <v>14548</v>
      </c>
      <c r="C2750" s="672" t="s">
        <v>7</v>
      </c>
      <c r="D2750" s="672" t="s">
        <v>14547</v>
      </c>
      <c r="E2750" s="919" t="s">
        <v>13464</v>
      </c>
      <c r="F2750" s="919"/>
      <c r="G2750" s="671" t="s">
        <v>34</v>
      </c>
      <c r="H2750" s="670">
        <v>1</v>
      </c>
      <c r="I2750" s="669">
        <v>348.15</v>
      </c>
      <c r="J2750" s="669">
        <v>348.15</v>
      </c>
    </row>
    <row r="2751" spans="1:10" ht="25.5">
      <c r="A2751" s="668"/>
      <c r="B2751" s="668"/>
      <c r="C2751" s="668"/>
      <c r="D2751" s="668"/>
      <c r="E2751" s="668" t="s">
        <v>13463</v>
      </c>
      <c r="F2751" s="667">
        <v>83.135933934586546</v>
      </c>
      <c r="G2751" s="668" t="s">
        <v>13462</v>
      </c>
      <c r="H2751" s="667">
        <v>69.88</v>
      </c>
      <c r="I2751" s="668" t="s">
        <v>13461</v>
      </c>
      <c r="J2751" s="667">
        <v>153.02000000000001</v>
      </c>
    </row>
    <row r="2752" spans="1:10" ht="15" thickBot="1">
      <c r="A2752" s="668"/>
      <c r="B2752" s="668"/>
      <c r="C2752" s="668"/>
      <c r="D2752" s="668"/>
      <c r="E2752" s="668" t="s">
        <v>13460</v>
      </c>
      <c r="F2752" s="667">
        <v>154.87</v>
      </c>
      <c r="G2752" s="668"/>
      <c r="H2752" s="925" t="s">
        <v>13459</v>
      </c>
      <c r="I2752" s="925"/>
      <c r="J2752" s="667">
        <v>703.29</v>
      </c>
    </row>
    <row r="2753" spans="1:10" ht="0.95" customHeight="1" thickTop="1">
      <c r="A2753" s="666"/>
      <c r="B2753" s="666"/>
      <c r="C2753" s="666"/>
      <c r="D2753" s="666"/>
      <c r="E2753" s="666"/>
      <c r="F2753" s="666"/>
      <c r="G2753" s="666"/>
      <c r="H2753" s="666"/>
      <c r="I2753" s="666"/>
      <c r="J2753" s="666"/>
    </row>
    <row r="2754" spans="1:10" ht="18" customHeight="1">
      <c r="A2754" s="686" t="s">
        <v>14546</v>
      </c>
      <c r="B2754" s="684" t="s">
        <v>13484</v>
      </c>
      <c r="C2754" s="686" t="s">
        <v>13483</v>
      </c>
      <c r="D2754" s="686" t="s">
        <v>13482</v>
      </c>
      <c r="E2754" s="924" t="s">
        <v>13481</v>
      </c>
      <c r="F2754" s="924"/>
      <c r="G2754" s="685" t="s">
        <v>13480</v>
      </c>
      <c r="H2754" s="684" t="s">
        <v>13479</v>
      </c>
      <c r="I2754" s="684" t="s">
        <v>13478</v>
      </c>
      <c r="J2754" s="684" t="s">
        <v>13477</v>
      </c>
    </row>
    <row r="2755" spans="1:10" ht="36" customHeight="1">
      <c r="A2755" s="682" t="s">
        <v>13476</v>
      </c>
      <c r="B2755" s="683" t="s">
        <v>14545</v>
      </c>
      <c r="C2755" s="682" t="s">
        <v>7</v>
      </c>
      <c r="D2755" s="682" t="s">
        <v>5071</v>
      </c>
      <c r="E2755" s="917" t="s">
        <v>14426</v>
      </c>
      <c r="F2755" s="917"/>
      <c r="G2755" s="681" t="s">
        <v>14</v>
      </c>
      <c r="H2755" s="680">
        <v>1</v>
      </c>
      <c r="I2755" s="679">
        <v>1.38</v>
      </c>
      <c r="J2755" s="679">
        <v>1.38</v>
      </c>
    </row>
    <row r="2756" spans="1:10" ht="24" customHeight="1">
      <c r="A2756" s="677" t="s">
        <v>13472</v>
      </c>
      <c r="B2756" s="678" t="s">
        <v>13539</v>
      </c>
      <c r="C2756" s="677" t="s">
        <v>7</v>
      </c>
      <c r="D2756" s="677" t="s">
        <v>45</v>
      </c>
      <c r="E2756" s="918" t="s">
        <v>13470</v>
      </c>
      <c r="F2756" s="918"/>
      <c r="G2756" s="676" t="s">
        <v>19</v>
      </c>
      <c r="H2756" s="675">
        <v>2.8E-3</v>
      </c>
      <c r="I2756" s="674">
        <v>18.3</v>
      </c>
      <c r="J2756" s="674">
        <v>0.05</v>
      </c>
    </row>
    <row r="2757" spans="1:10" ht="24" customHeight="1">
      <c r="A2757" s="677" t="s">
        <v>13472</v>
      </c>
      <c r="B2757" s="678" t="s">
        <v>13538</v>
      </c>
      <c r="C2757" s="677" t="s">
        <v>7</v>
      </c>
      <c r="D2757" s="677" t="s">
        <v>47</v>
      </c>
      <c r="E2757" s="918" t="s">
        <v>13470</v>
      </c>
      <c r="F2757" s="918"/>
      <c r="G2757" s="676" t="s">
        <v>19</v>
      </c>
      <c r="H2757" s="675">
        <v>2.8E-3</v>
      </c>
      <c r="I2757" s="674">
        <v>14</v>
      </c>
      <c r="J2757" s="674">
        <v>0.03</v>
      </c>
    </row>
    <row r="2758" spans="1:10" ht="24" customHeight="1">
      <c r="A2758" s="672" t="s">
        <v>13467</v>
      </c>
      <c r="B2758" s="673" t="s">
        <v>14544</v>
      </c>
      <c r="C2758" s="672" t="s">
        <v>7</v>
      </c>
      <c r="D2758" s="672" t="s">
        <v>14543</v>
      </c>
      <c r="E2758" s="919" t="s">
        <v>13464</v>
      </c>
      <c r="F2758" s="919"/>
      <c r="G2758" s="671" t="s">
        <v>14</v>
      </c>
      <c r="H2758" s="670">
        <v>1.05</v>
      </c>
      <c r="I2758" s="669">
        <v>1.24</v>
      </c>
      <c r="J2758" s="669">
        <v>1.3</v>
      </c>
    </row>
    <row r="2759" spans="1:10" ht="25.5">
      <c r="A2759" s="668"/>
      <c r="B2759" s="668"/>
      <c r="C2759" s="668"/>
      <c r="D2759" s="668"/>
      <c r="E2759" s="668" t="s">
        <v>13463</v>
      </c>
      <c r="F2759" s="667">
        <v>3.2598065848093015E-2</v>
      </c>
      <c r="G2759" s="668" t="s">
        <v>13462</v>
      </c>
      <c r="H2759" s="667">
        <v>0.03</v>
      </c>
      <c r="I2759" s="668" t="s">
        <v>13461</v>
      </c>
      <c r="J2759" s="667">
        <v>0.06</v>
      </c>
    </row>
    <row r="2760" spans="1:10" ht="15" thickBot="1">
      <c r="A2760" s="668"/>
      <c r="B2760" s="668"/>
      <c r="C2760" s="668"/>
      <c r="D2760" s="668"/>
      <c r="E2760" s="668" t="s">
        <v>13460</v>
      </c>
      <c r="F2760" s="667">
        <v>0.38</v>
      </c>
      <c r="G2760" s="668"/>
      <c r="H2760" s="925" t="s">
        <v>13459</v>
      </c>
      <c r="I2760" s="925"/>
      <c r="J2760" s="667">
        <v>1.76</v>
      </c>
    </row>
    <row r="2761" spans="1:10" ht="0.95" customHeight="1" thickTop="1">
      <c r="A2761" s="666"/>
      <c r="B2761" s="666"/>
      <c r="C2761" s="666"/>
      <c r="D2761" s="666"/>
      <c r="E2761" s="666"/>
      <c r="F2761" s="666"/>
      <c r="G2761" s="666"/>
      <c r="H2761" s="666"/>
      <c r="I2761" s="666"/>
      <c r="J2761" s="666"/>
    </row>
    <row r="2762" spans="1:10" ht="18" customHeight="1">
      <c r="A2762" s="686" t="s">
        <v>14542</v>
      </c>
      <c r="B2762" s="684" t="s">
        <v>13484</v>
      </c>
      <c r="C2762" s="686" t="s">
        <v>13483</v>
      </c>
      <c r="D2762" s="686" t="s">
        <v>13482</v>
      </c>
      <c r="E2762" s="924" t="s">
        <v>13481</v>
      </c>
      <c r="F2762" s="924"/>
      <c r="G2762" s="685" t="s">
        <v>13480</v>
      </c>
      <c r="H2762" s="684" t="s">
        <v>13479</v>
      </c>
      <c r="I2762" s="684" t="s">
        <v>13478</v>
      </c>
      <c r="J2762" s="684" t="s">
        <v>13477</v>
      </c>
    </row>
    <row r="2763" spans="1:10" ht="36" customHeight="1">
      <c r="A2763" s="682" t="s">
        <v>13476</v>
      </c>
      <c r="B2763" s="683" t="s">
        <v>14541</v>
      </c>
      <c r="C2763" s="682" t="s">
        <v>7</v>
      </c>
      <c r="D2763" s="682" t="s">
        <v>5073</v>
      </c>
      <c r="E2763" s="917" t="s">
        <v>14426</v>
      </c>
      <c r="F2763" s="917"/>
      <c r="G2763" s="681" t="s">
        <v>14</v>
      </c>
      <c r="H2763" s="680">
        <v>1</v>
      </c>
      <c r="I2763" s="679">
        <v>2.1</v>
      </c>
      <c r="J2763" s="679">
        <v>2.1</v>
      </c>
    </row>
    <row r="2764" spans="1:10" ht="24" customHeight="1">
      <c r="A2764" s="677" t="s">
        <v>13472</v>
      </c>
      <c r="B2764" s="678" t="s">
        <v>13539</v>
      </c>
      <c r="C2764" s="677" t="s">
        <v>7</v>
      </c>
      <c r="D2764" s="677" t="s">
        <v>45</v>
      </c>
      <c r="E2764" s="918" t="s">
        <v>13470</v>
      </c>
      <c r="F2764" s="918"/>
      <c r="G2764" s="676" t="s">
        <v>19</v>
      </c>
      <c r="H2764" s="675">
        <v>4.4999999999999997E-3</v>
      </c>
      <c r="I2764" s="674">
        <v>18.3</v>
      </c>
      <c r="J2764" s="674">
        <v>0.08</v>
      </c>
    </row>
    <row r="2765" spans="1:10" ht="24" customHeight="1">
      <c r="A2765" s="677" t="s">
        <v>13472</v>
      </c>
      <c r="B2765" s="678" t="s">
        <v>13538</v>
      </c>
      <c r="C2765" s="677" t="s">
        <v>7</v>
      </c>
      <c r="D2765" s="677" t="s">
        <v>47</v>
      </c>
      <c r="E2765" s="918" t="s">
        <v>13470</v>
      </c>
      <c r="F2765" s="918"/>
      <c r="G2765" s="676" t="s">
        <v>19</v>
      </c>
      <c r="H2765" s="675">
        <v>4.4999999999999997E-3</v>
      </c>
      <c r="I2765" s="674">
        <v>14</v>
      </c>
      <c r="J2765" s="674">
        <v>0.06</v>
      </c>
    </row>
    <row r="2766" spans="1:10" ht="24" customHeight="1">
      <c r="A2766" s="672" t="s">
        <v>13467</v>
      </c>
      <c r="B2766" s="673" t="s">
        <v>14540</v>
      </c>
      <c r="C2766" s="672" t="s">
        <v>7</v>
      </c>
      <c r="D2766" s="672" t="s">
        <v>14539</v>
      </c>
      <c r="E2766" s="919" t="s">
        <v>13464</v>
      </c>
      <c r="F2766" s="919"/>
      <c r="G2766" s="671" t="s">
        <v>14</v>
      </c>
      <c r="H2766" s="670">
        <v>1.05</v>
      </c>
      <c r="I2766" s="669">
        <v>1.87</v>
      </c>
      <c r="J2766" s="669">
        <v>1.96</v>
      </c>
    </row>
    <row r="2767" spans="1:10" ht="25.5">
      <c r="A2767" s="668"/>
      <c r="B2767" s="668"/>
      <c r="C2767" s="668"/>
      <c r="D2767" s="668"/>
      <c r="E2767" s="668" t="s">
        <v>13463</v>
      </c>
      <c r="F2767" s="667">
        <v>5.4330109746821689E-2</v>
      </c>
      <c r="G2767" s="668" t="s">
        <v>13462</v>
      </c>
      <c r="H2767" s="667">
        <v>0.05</v>
      </c>
      <c r="I2767" s="668" t="s">
        <v>13461</v>
      </c>
      <c r="J2767" s="667">
        <v>0.1</v>
      </c>
    </row>
    <row r="2768" spans="1:10" ht="15" thickBot="1">
      <c r="A2768" s="668"/>
      <c r="B2768" s="668"/>
      <c r="C2768" s="668"/>
      <c r="D2768" s="668"/>
      <c r="E2768" s="668" t="s">
        <v>13460</v>
      </c>
      <c r="F2768" s="667">
        <v>0.59</v>
      </c>
      <c r="G2768" s="668"/>
      <c r="H2768" s="925" t="s">
        <v>13459</v>
      </c>
      <c r="I2768" s="925"/>
      <c r="J2768" s="667">
        <v>2.69</v>
      </c>
    </row>
    <row r="2769" spans="1:10" ht="0.95" customHeight="1" thickTop="1">
      <c r="A2769" s="666"/>
      <c r="B2769" s="666"/>
      <c r="C2769" s="666"/>
      <c r="D2769" s="666"/>
      <c r="E2769" s="666"/>
      <c r="F2769" s="666"/>
      <c r="G2769" s="666"/>
      <c r="H2769" s="666"/>
      <c r="I2769" s="666"/>
      <c r="J2769" s="666"/>
    </row>
    <row r="2770" spans="1:10" ht="18" customHeight="1">
      <c r="A2770" s="686" t="s">
        <v>14538</v>
      </c>
      <c r="B2770" s="684" t="s">
        <v>13484</v>
      </c>
      <c r="C2770" s="686" t="s">
        <v>13483</v>
      </c>
      <c r="D2770" s="686" t="s">
        <v>13482</v>
      </c>
      <c r="E2770" s="924" t="s">
        <v>13481</v>
      </c>
      <c r="F2770" s="924"/>
      <c r="G2770" s="685" t="s">
        <v>13480</v>
      </c>
      <c r="H2770" s="684" t="s">
        <v>13479</v>
      </c>
      <c r="I2770" s="684" t="s">
        <v>13478</v>
      </c>
      <c r="J2770" s="684" t="s">
        <v>13477</v>
      </c>
    </row>
    <row r="2771" spans="1:10" ht="36" customHeight="1">
      <c r="A2771" s="682" t="s">
        <v>13476</v>
      </c>
      <c r="B2771" s="683" t="s">
        <v>14537</v>
      </c>
      <c r="C2771" s="682" t="s">
        <v>7</v>
      </c>
      <c r="D2771" s="682" t="s">
        <v>2922</v>
      </c>
      <c r="E2771" s="917" t="s">
        <v>13540</v>
      </c>
      <c r="F2771" s="917"/>
      <c r="G2771" s="681" t="s">
        <v>14</v>
      </c>
      <c r="H2771" s="680">
        <v>1</v>
      </c>
      <c r="I2771" s="679">
        <v>21.24</v>
      </c>
      <c r="J2771" s="679">
        <v>21.24</v>
      </c>
    </row>
    <row r="2772" spans="1:10" ht="36" customHeight="1">
      <c r="A2772" s="677" t="s">
        <v>13472</v>
      </c>
      <c r="B2772" s="678" t="s">
        <v>13734</v>
      </c>
      <c r="C2772" s="677" t="s">
        <v>7</v>
      </c>
      <c r="D2772" s="677" t="s">
        <v>2930</v>
      </c>
      <c r="E2772" s="918" t="s">
        <v>13540</v>
      </c>
      <c r="F2772" s="918"/>
      <c r="G2772" s="676" t="s">
        <v>34</v>
      </c>
      <c r="H2772" s="675">
        <v>0.33329999999999999</v>
      </c>
      <c r="I2772" s="674">
        <v>7.62</v>
      </c>
      <c r="J2772" s="674">
        <v>2.5299999999999998</v>
      </c>
    </row>
    <row r="2773" spans="1:10" ht="48" customHeight="1">
      <c r="A2773" s="677" t="s">
        <v>13472</v>
      </c>
      <c r="B2773" s="678" t="s">
        <v>13827</v>
      </c>
      <c r="C2773" s="677" t="s">
        <v>7</v>
      </c>
      <c r="D2773" s="677" t="s">
        <v>1843</v>
      </c>
      <c r="E2773" s="918" t="s">
        <v>13474</v>
      </c>
      <c r="F2773" s="918"/>
      <c r="G2773" s="676" t="s">
        <v>14</v>
      </c>
      <c r="H2773" s="675">
        <v>2</v>
      </c>
      <c r="I2773" s="674">
        <v>1.27</v>
      </c>
      <c r="J2773" s="674">
        <v>2.54</v>
      </c>
    </row>
    <row r="2774" spans="1:10" ht="24" customHeight="1">
      <c r="A2774" s="677" t="s">
        <v>13472</v>
      </c>
      <c r="B2774" s="678" t="s">
        <v>13539</v>
      </c>
      <c r="C2774" s="677" t="s">
        <v>7</v>
      </c>
      <c r="D2774" s="677" t="s">
        <v>45</v>
      </c>
      <c r="E2774" s="918" t="s">
        <v>13470</v>
      </c>
      <c r="F2774" s="918"/>
      <c r="G2774" s="676" t="s">
        <v>19</v>
      </c>
      <c r="H2774" s="675">
        <v>0.19439999999999999</v>
      </c>
      <c r="I2774" s="674">
        <v>18.3</v>
      </c>
      <c r="J2774" s="674">
        <v>3.55</v>
      </c>
    </row>
    <row r="2775" spans="1:10" ht="24" customHeight="1">
      <c r="A2775" s="677" t="s">
        <v>13472</v>
      </c>
      <c r="B2775" s="678" t="s">
        <v>13538</v>
      </c>
      <c r="C2775" s="677" t="s">
        <v>7</v>
      </c>
      <c r="D2775" s="677" t="s">
        <v>47</v>
      </c>
      <c r="E2775" s="918" t="s">
        <v>13470</v>
      </c>
      <c r="F2775" s="918"/>
      <c r="G2775" s="676" t="s">
        <v>19</v>
      </c>
      <c r="H2775" s="675">
        <v>0.19439999999999999</v>
      </c>
      <c r="I2775" s="674">
        <v>14</v>
      </c>
      <c r="J2775" s="674">
        <v>2.72</v>
      </c>
    </row>
    <row r="2776" spans="1:10" ht="36" customHeight="1">
      <c r="A2776" s="672" t="s">
        <v>13467</v>
      </c>
      <c r="B2776" s="673" t="s">
        <v>14536</v>
      </c>
      <c r="C2776" s="672" t="s">
        <v>7</v>
      </c>
      <c r="D2776" s="672" t="s">
        <v>14535</v>
      </c>
      <c r="E2776" s="919" t="s">
        <v>13464</v>
      </c>
      <c r="F2776" s="919"/>
      <c r="G2776" s="671" t="s">
        <v>14</v>
      </c>
      <c r="H2776" s="670">
        <v>1.05</v>
      </c>
      <c r="I2776" s="669">
        <v>9.43</v>
      </c>
      <c r="J2776" s="669">
        <v>9.9</v>
      </c>
    </row>
    <row r="2777" spans="1:10" ht="25.5">
      <c r="A2777" s="668"/>
      <c r="B2777" s="668"/>
      <c r="C2777" s="668"/>
      <c r="D2777" s="668"/>
      <c r="E2777" s="668" t="s">
        <v>13463</v>
      </c>
      <c r="F2777" s="667">
        <v>4.0095620993154411</v>
      </c>
      <c r="G2777" s="668" t="s">
        <v>13462</v>
      </c>
      <c r="H2777" s="667">
        <v>3.37</v>
      </c>
      <c r="I2777" s="668" t="s">
        <v>13461</v>
      </c>
      <c r="J2777" s="667">
        <v>7.38</v>
      </c>
    </row>
    <row r="2778" spans="1:10" ht="15" thickBot="1">
      <c r="A2778" s="668"/>
      <c r="B2778" s="668"/>
      <c r="C2778" s="668"/>
      <c r="D2778" s="668"/>
      <c r="E2778" s="668" t="s">
        <v>13460</v>
      </c>
      <c r="F2778" s="667">
        <v>5.99</v>
      </c>
      <c r="G2778" s="668"/>
      <c r="H2778" s="925" t="s">
        <v>13459</v>
      </c>
      <c r="I2778" s="925"/>
      <c r="J2778" s="667">
        <v>27.23</v>
      </c>
    </row>
    <row r="2779" spans="1:10" ht="0.95" customHeight="1" thickTop="1">
      <c r="A2779" s="666"/>
      <c r="B2779" s="666"/>
      <c r="C2779" s="666"/>
      <c r="D2779" s="666"/>
      <c r="E2779" s="666"/>
      <c r="F2779" s="666"/>
      <c r="G2779" s="666"/>
      <c r="H2779" s="666"/>
      <c r="I2779" s="666"/>
      <c r="J2779" s="666"/>
    </row>
    <row r="2780" spans="1:10" ht="18" customHeight="1">
      <c r="A2780" s="686" t="s">
        <v>14534</v>
      </c>
      <c r="B2780" s="684" t="s">
        <v>13484</v>
      </c>
      <c r="C2780" s="686" t="s">
        <v>13483</v>
      </c>
      <c r="D2780" s="686" t="s">
        <v>13482</v>
      </c>
      <c r="E2780" s="924" t="s">
        <v>13481</v>
      </c>
      <c r="F2780" s="924"/>
      <c r="G2780" s="685" t="s">
        <v>13480</v>
      </c>
      <c r="H2780" s="684" t="s">
        <v>13479</v>
      </c>
      <c r="I2780" s="684" t="s">
        <v>13478</v>
      </c>
      <c r="J2780" s="684" t="s">
        <v>13477</v>
      </c>
    </row>
    <row r="2781" spans="1:10" ht="60" customHeight="1">
      <c r="A2781" s="682" t="s">
        <v>13476</v>
      </c>
      <c r="B2781" s="683" t="s">
        <v>14533</v>
      </c>
      <c r="C2781" s="682" t="s">
        <v>7</v>
      </c>
      <c r="D2781" s="682" t="s">
        <v>5837</v>
      </c>
      <c r="E2781" s="917" t="s">
        <v>14426</v>
      </c>
      <c r="F2781" s="917"/>
      <c r="G2781" s="681" t="s">
        <v>34</v>
      </c>
      <c r="H2781" s="680">
        <v>1</v>
      </c>
      <c r="I2781" s="679">
        <v>5384.42</v>
      </c>
      <c r="J2781" s="679">
        <v>5384.42</v>
      </c>
    </row>
    <row r="2782" spans="1:10" ht="24" customHeight="1">
      <c r="A2782" s="677" t="s">
        <v>13472</v>
      </c>
      <c r="B2782" s="678" t="s">
        <v>13526</v>
      </c>
      <c r="C2782" s="677" t="s">
        <v>7</v>
      </c>
      <c r="D2782" s="677" t="s">
        <v>1093</v>
      </c>
      <c r="E2782" s="918" t="s">
        <v>13470</v>
      </c>
      <c r="F2782" s="918"/>
      <c r="G2782" s="676" t="s">
        <v>19</v>
      </c>
      <c r="H2782" s="675">
        <v>73.850899999999996</v>
      </c>
      <c r="I2782" s="674">
        <v>13.48</v>
      </c>
      <c r="J2782" s="674">
        <v>995.51</v>
      </c>
    </row>
    <row r="2783" spans="1:10" ht="24" customHeight="1">
      <c r="A2783" s="677" t="s">
        <v>13472</v>
      </c>
      <c r="B2783" s="678" t="s">
        <v>13473</v>
      </c>
      <c r="C2783" s="677" t="s">
        <v>7</v>
      </c>
      <c r="D2783" s="677" t="s">
        <v>44</v>
      </c>
      <c r="E2783" s="918" t="s">
        <v>13470</v>
      </c>
      <c r="F2783" s="918"/>
      <c r="G2783" s="676" t="s">
        <v>19</v>
      </c>
      <c r="H2783" s="675">
        <v>73.850899999999996</v>
      </c>
      <c r="I2783" s="674">
        <v>17.66</v>
      </c>
      <c r="J2783" s="674">
        <v>1304.2</v>
      </c>
    </row>
    <row r="2784" spans="1:10" ht="24" customHeight="1">
      <c r="A2784" s="672" t="s">
        <v>13467</v>
      </c>
      <c r="B2784" s="673" t="s">
        <v>14532</v>
      </c>
      <c r="C2784" s="672" t="s">
        <v>7</v>
      </c>
      <c r="D2784" s="672" t="s">
        <v>14531</v>
      </c>
      <c r="E2784" s="919" t="s">
        <v>13464</v>
      </c>
      <c r="F2784" s="919"/>
      <c r="G2784" s="671" t="s">
        <v>34</v>
      </c>
      <c r="H2784" s="670">
        <v>16</v>
      </c>
      <c r="I2784" s="669">
        <v>14.36</v>
      </c>
      <c r="J2784" s="669">
        <v>229.76</v>
      </c>
    </row>
    <row r="2785" spans="1:10" ht="24" customHeight="1">
      <c r="A2785" s="672" t="s">
        <v>13467</v>
      </c>
      <c r="B2785" s="673" t="s">
        <v>14530</v>
      </c>
      <c r="C2785" s="672" t="s">
        <v>7</v>
      </c>
      <c r="D2785" s="672" t="s">
        <v>14529</v>
      </c>
      <c r="E2785" s="919" t="s">
        <v>13464</v>
      </c>
      <c r="F2785" s="919"/>
      <c r="G2785" s="671" t="s">
        <v>34</v>
      </c>
      <c r="H2785" s="670">
        <v>3</v>
      </c>
      <c r="I2785" s="669">
        <v>24.34</v>
      </c>
      <c r="J2785" s="669">
        <v>73.02</v>
      </c>
    </row>
    <row r="2786" spans="1:10" ht="24" customHeight="1">
      <c r="A2786" s="672" t="s">
        <v>13467</v>
      </c>
      <c r="B2786" s="673" t="s">
        <v>13534</v>
      </c>
      <c r="C2786" s="672" t="s">
        <v>7</v>
      </c>
      <c r="D2786" s="672" t="s">
        <v>13533</v>
      </c>
      <c r="E2786" s="919" t="s">
        <v>13464</v>
      </c>
      <c r="F2786" s="919"/>
      <c r="G2786" s="671" t="s">
        <v>34</v>
      </c>
      <c r="H2786" s="670">
        <v>1.218</v>
      </c>
      <c r="I2786" s="669">
        <v>18.440000000000001</v>
      </c>
      <c r="J2786" s="669">
        <v>22.45</v>
      </c>
    </row>
    <row r="2787" spans="1:10" ht="24" customHeight="1">
      <c r="A2787" s="672" t="s">
        <v>13467</v>
      </c>
      <c r="B2787" s="673" t="s">
        <v>14209</v>
      </c>
      <c r="C2787" s="672" t="s">
        <v>7</v>
      </c>
      <c r="D2787" s="672" t="s">
        <v>14208</v>
      </c>
      <c r="E2787" s="919" t="s">
        <v>13464</v>
      </c>
      <c r="F2787" s="919"/>
      <c r="G2787" s="671" t="s">
        <v>50</v>
      </c>
      <c r="H2787" s="670">
        <v>0.28970000000000001</v>
      </c>
      <c r="I2787" s="669">
        <v>26.96</v>
      </c>
      <c r="J2787" s="669">
        <v>7.81</v>
      </c>
    </row>
    <row r="2788" spans="1:10" ht="24" customHeight="1">
      <c r="A2788" s="672" t="s">
        <v>13467</v>
      </c>
      <c r="B2788" s="673" t="s">
        <v>14528</v>
      </c>
      <c r="C2788" s="672" t="s">
        <v>7</v>
      </c>
      <c r="D2788" s="672" t="s">
        <v>14527</v>
      </c>
      <c r="E2788" s="919" t="s">
        <v>13464</v>
      </c>
      <c r="F2788" s="919"/>
      <c r="G2788" s="671" t="s">
        <v>34</v>
      </c>
      <c r="H2788" s="670">
        <v>16</v>
      </c>
      <c r="I2788" s="669">
        <v>16.920000000000002</v>
      </c>
      <c r="J2788" s="669">
        <v>270.72000000000003</v>
      </c>
    </row>
    <row r="2789" spans="1:10" ht="24" customHeight="1">
      <c r="A2789" s="672" t="s">
        <v>13467</v>
      </c>
      <c r="B2789" s="673" t="s">
        <v>14526</v>
      </c>
      <c r="C2789" s="672" t="s">
        <v>7</v>
      </c>
      <c r="D2789" s="672" t="s">
        <v>14525</v>
      </c>
      <c r="E2789" s="919" t="s">
        <v>13464</v>
      </c>
      <c r="F2789" s="919"/>
      <c r="G2789" s="671" t="s">
        <v>34</v>
      </c>
      <c r="H2789" s="670">
        <v>19</v>
      </c>
      <c r="I2789" s="669">
        <v>31.35</v>
      </c>
      <c r="J2789" s="669">
        <v>595.65</v>
      </c>
    </row>
    <row r="2790" spans="1:10" ht="36" customHeight="1">
      <c r="A2790" s="672" t="s">
        <v>13467</v>
      </c>
      <c r="B2790" s="673" t="s">
        <v>14524</v>
      </c>
      <c r="C2790" s="672" t="s">
        <v>7</v>
      </c>
      <c r="D2790" s="672" t="s">
        <v>14523</v>
      </c>
      <c r="E2790" s="919" t="s">
        <v>13464</v>
      </c>
      <c r="F2790" s="919"/>
      <c r="G2790" s="671" t="s">
        <v>14</v>
      </c>
      <c r="H2790" s="670">
        <v>11.222300000000001</v>
      </c>
      <c r="I2790" s="669">
        <v>75.53</v>
      </c>
      <c r="J2790" s="669">
        <v>847.62</v>
      </c>
    </row>
    <row r="2791" spans="1:10" ht="24" customHeight="1">
      <c r="A2791" s="672" t="s">
        <v>13467</v>
      </c>
      <c r="B2791" s="673" t="s">
        <v>14522</v>
      </c>
      <c r="C2791" s="672" t="s">
        <v>7</v>
      </c>
      <c r="D2791" s="672" t="s">
        <v>14521</v>
      </c>
      <c r="E2791" s="919" t="s">
        <v>13464</v>
      </c>
      <c r="F2791" s="919"/>
      <c r="G2791" s="671" t="s">
        <v>34</v>
      </c>
      <c r="H2791" s="670">
        <v>17</v>
      </c>
      <c r="I2791" s="669">
        <v>61.04</v>
      </c>
      <c r="J2791" s="669">
        <v>1037.68</v>
      </c>
    </row>
    <row r="2792" spans="1:10" ht="25.5">
      <c r="A2792" s="668"/>
      <c r="B2792" s="668"/>
      <c r="C2792" s="668"/>
      <c r="D2792" s="668"/>
      <c r="E2792" s="668" t="s">
        <v>13463</v>
      </c>
      <c r="F2792" s="667">
        <v>979.80549820710633</v>
      </c>
      <c r="G2792" s="668" t="s">
        <v>13462</v>
      </c>
      <c r="H2792" s="667">
        <v>823.62</v>
      </c>
      <c r="I2792" s="668" t="s">
        <v>13461</v>
      </c>
      <c r="J2792" s="667">
        <v>1803.43</v>
      </c>
    </row>
    <row r="2793" spans="1:10" ht="15" thickBot="1">
      <c r="A2793" s="668"/>
      <c r="B2793" s="668"/>
      <c r="C2793" s="668"/>
      <c r="D2793" s="668"/>
      <c r="E2793" s="668" t="s">
        <v>13460</v>
      </c>
      <c r="F2793" s="667">
        <v>1520.56</v>
      </c>
      <c r="G2793" s="668"/>
      <c r="H2793" s="925" t="s">
        <v>13459</v>
      </c>
      <c r="I2793" s="925"/>
      <c r="J2793" s="667">
        <v>6904.98</v>
      </c>
    </row>
    <row r="2794" spans="1:10" ht="0.95" customHeight="1" thickTop="1">
      <c r="A2794" s="666"/>
      <c r="B2794" s="666"/>
      <c r="C2794" s="666"/>
      <c r="D2794" s="666"/>
      <c r="E2794" s="666"/>
      <c r="F2794" s="666"/>
      <c r="G2794" s="666"/>
      <c r="H2794" s="666"/>
      <c r="I2794" s="666"/>
      <c r="J2794" s="666"/>
    </row>
    <row r="2795" spans="1:10" ht="18" customHeight="1">
      <c r="A2795" s="686" t="s">
        <v>14520</v>
      </c>
      <c r="B2795" s="684" t="s">
        <v>13484</v>
      </c>
      <c r="C2795" s="686" t="s">
        <v>13483</v>
      </c>
      <c r="D2795" s="686" t="s">
        <v>13482</v>
      </c>
      <c r="E2795" s="924" t="s">
        <v>13481</v>
      </c>
      <c r="F2795" s="924"/>
      <c r="G2795" s="685" t="s">
        <v>13480</v>
      </c>
      <c r="H2795" s="684" t="s">
        <v>13479</v>
      </c>
      <c r="I2795" s="684" t="s">
        <v>13478</v>
      </c>
      <c r="J2795" s="684" t="s">
        <v>13477</v>
      </c>
    </row>
    <row r="2796" spans="1:10" ht="48" customHeight="1">
      <c r="A2796" s="682" t="s">
        <v>13476</v>
      </c>
      <c r="B2796" s="683" t="s">
        <v>14519</v>
      </c>
      <c r="C2796" s="682" t="s">
        <v>7</v>
      </c>
      <c r="D2796" s="682" t="s">
        <v>5080</v>
      </c>
      <c r="E2796" s="917" t="s">
        <v>13474</v>
      </c>
      <c r="F2796" s="917"/>
      <c r="G2796" s="681" t="s">
        <v>34</v>
      </c>
      <c r="H2796" s="680">
        <v>1</v>
      </c>
      <c r="I2796" s="679">
        <v>431.87</v>
      </c>
      <c r="J2796" s="679">
        <v>431.87</v>
      </c>
    </row>
    <row r="2797" spans="1:10" ht="24" customHeight="1">
      <c r="A2797" s="677" t="s">
        <v>13472</v>
      </c>
      <c r="B2797" s="678" t="s">
        <v>13526</v>
      </c>
      <c r="C2797" s="677" t="s">
        <v>7</v>
      </c>
      <c r="D2797" s="677" t="s">
        <v>1093</v>
      </c>
      <c r="E2797" s="918" t="s">
        <v>13470</v>
      </c>
      <c r="F2797" s="918"/>
      <c r="G2797" s="676" t="s">
        <v>19</v>
      </c>
      <c r="H2797" s="675">
        <v>1.6462000000000001</v>
      </c>
      <c r="I2797" s="674">
        <v>13.48</v>
      </c>
      <c r="J2797" s="674">
        <v>22.19</v>
      </c>
    </row>
    <row r="2798" spans="1:10" ht="24" customHeight="1">
      <c r="A2798" s="677" t="s">
        <v>13472</v>
      </c>
      <c r="B2798" s="678" t="s">
        <v>13473</v>
      </c>
      <c r="C2798" s="677" t="s">
        <v>7</v>
      </c>
      <c r="D2798" s="677" t="s">
        <v>44</v>
      </c>
      <c r="E2798" s="918" t="s">
        <v>13470</v>
      </c>
      <c r="F2798" s="918"/>
      <c r="G2798" s="676" t="s">
        <v>19</v>
      </c>
      <c r="H2798" s="675">
        <v>5.4324000000000003</v>
      </c>
      <c r="I2798" s="674">
        <v>17.66</v>
      </c>
      <c r="J2798" s="674">
        <v>95.93</v>
      </c>
    </row>
    <row r="2799" spans="1:10" ht="24" customHeight="1">
      <c r="A2799" s="672" t="s">
        <v>13467</v>
      </c>
      <c r="B2799" s="673" t="s">
        <v>14213</v>
      </c>
      <c r="C2799" s="672" t="s">
        <v>7</v>
      </c>
      <c r="D2799" s="672" t="s">
        <v>14212</v>
      </c>
      <c r="E2799" s="919" t="s">
        <v>13464</v>
      </c>
      <c r="F2799" s="919"/>
      <c r="G2799" s="671" t="s">
        <v>34</v>
      </c>
      <c r="H2799" s="670">
        <v>2</v>
      </c>
      <c r="I2799" s="669">
        <v>11.66</v>
      </c>
      <c r="J2799" s="669">
        <v>23.32</v>
      </c>
    </row>
    <row r="2800" spans="1:10" ht="24" customHeight="1">
      <c r="A2800" s="672" t="s">
        <v>13467</v>
      </c>
      <c r="B2800" s="673" t="s">
        <v>13534</v>
      </c>
      <c r="C2800" s="672" t="s">
        <v>7</v>
      </c>
      <c r="D2800" s="672" t="s">
        <v>13533</v>
      </c>
      <c r="E2800" s="919" t="s">
        <v>13464</v>
      </c>
      <c r="F2800" s="919"/>
      <c r="G2800" s="671" t="s">
        <v>34</v>
      </c>
      <c r="H2800" s="670">
        <v>0.20519999999999999</v>
      </c>
      <c r="I2800" s="669">
        <v>18.440000000000001</v>
      </c>
      <c r="J2800" s="669">
        <v>3.78</v>
      </c>
    </row>
    <row r="2801" spans="1:10" ht="24" customHeight="1">
      <c r="A2801" s="672" t="s">
        <v>13467</v>
      </c>
      <c r="B2801" s="673" t="s">
        <v>14203</v>
      </c>
      <c r="C2801" s="672" t="s">
        <v>7</v>
      </c>
      <c r="D2801" s="672" t="s">
        <v>14202</v>
      </c>
      <c r="E2801" s="919" t="s">
        <v>13464</v>
      </c>
      <c r="F2801" s="919"/>
      <c r="G2801" s="671" t="s">
        <v>34</v>
      </c>
      <c r="H2801" s="670">
        <v>4</v>
      </c>
      <c r="I2801" s="669">
        <v>8.65</v>
      </c>
      <c r="J2801" s="669">
        <v>34.6</v>
      </c>
    </row>
    <row r="2802" spans="1:10" ht="24" customHeight="1">
      <c r="A2802" s="672" t="s">
        <v>13467</v>
      </c>
      <c r="B2802" s="673" t="s">
        <v>14518</v>
      </c>
      <c r="C2802" s="672" t="s">
        <v>7</v>
      </c>
      <c r="D2802" s="672" t="s">
        <v>14517</v>
      </c>
      <c r="E2802" s="919" t="s">
        <v>13464</v>
      </c>
      <c r="F2802" s="919"/>
      <c r="G2802" s="671" t="s">
        <v>34</v>
      </c>
      <c r="H2802" s="670">
        <v>2</v>
      </c>
      <c r="I2802" s="669">
        <v>3.08</v>
      </c>
      <c r="J2802" s="669">
        <v>6.16</v>
      </c>
    </row>
    <row r="2803" spans="1:10" ht="24" customHeight="1">
      <c r="A2803" s="672" t="s">
        <v>13467</v>
      </c>
      <c r="B2803" s="673" t="s">
        <v>14516</v>
      </c>
      <c r="C2803" s="672" t="s">
        <v>7</v>
      </c>
      <c r="D2803" s="672" t="s">
        <v>14515</v>
      </c>
      <c r="E2803" s="919" t="s">
        <v>13464</v>
      </c>
      <c r="F2803" s="919"/>
      <c r="G2803" s="671" t="s">
        <v>34</v>
      </c>
      <c r="H2803" s="670">
        <v>2</v>
      </c>
      <c r="I2803" s="669">
        <v>18.97</v>
      </c>
      <c r="J2803" s="669">
        <v>37.94</v>
      </c>
    </row>
    <row r="2804" spans="1:10" ht="24" customHeight="1">
      <c r="A2804" s="672" t="s">
        <v>13467</v>
      </c>
      <c r="B2804" s="673" t="s">
        <v>14514</v>
      </c>
      <c r="C2804" s="672" t="s">
        <v>7</v>
      </c>
      <c r="D2804" s="672" t="s">
        <v>14513</v>
      </c>
      <c r="E2804" s="919" t="s">
        <v>13464</v>
      </c>
      <c r="F2804" s="919"/>
      <c r="G2804" s="671" t="s">
        <v>14</v>
      </c>
      <c r="H2804" s="670">
        <v>0.72729999999999995</v>
      </c>
      <c r="I2804" s="669">
        <v>51.56</v>
      </c>
      <c r="J2804" s="669">
        <v>37.49</v>
      </c>
    </row>
    <row r="2805" spans="1:10" ht="24" customHeight="1">
      <c r="A2805" s="672" t="s">
        <v>13467</v>
      </c>
      <c r="B2805" s="673" t="s">
        <v>14512</v>
      </c>
      <c r="C2805" s="672" t="s">
        <v>7</v>
      </c>
      <c r="D2805" s="672" t="s">
        <v>14511</v>
      </c>
      <c r="E2805" s="919" t="s">
        <v>13464</v>
      </c>
      <c r="F2805" s="919"/>
      <c r="G2805" s="671" t="s">
        <v>34</v>
      </c>
      <c r="H2805" s="670">
        <v>3</v>
      </c>
      <c r="I2805" s="669">
        <v>33.979999999999997</v>
      </c>
      <c r="J2805" s="669">
        <v>101.94</v>
      </c>
    </row>
    <row r="2806" spans="1:10" ht="24" customHeight="1">
      <c r="A2806" s="672" t="s">
        <v>13467</v>
      </c>
      <c r="B2806" s="673" t="s">
        <v>14510</v>
      </c>
      <c r="C2806" s="672" t="s">
        <v>7</v>
      </c>
      <c r="D2806" s="672" t="s">
        <v>14509</v>
      </c>
      <c r="E2806" s="919" t="s">
        <v>13464</v>
      </c>
      <c r="F2806" s="919"/>
      <c r="G2806" s="671" t="s">
        <v>34</v>
      </c>
      <c r="H2806" s="670">
        <v>1</v>
      </c>
      <c r="I2806" s="669">
        <v>24.9</v>
      </c>
      <c r="J2806" s="669">
        <v>24.9</v>
      </c>
    </row>
    <row r="2807" spans="1:10" ht="24" customHeight="1">
      <c r="A2807" s="672" t="s">
        <v>13467</v>
      </c>
      <c r="B2807" s="673" t="s">
        <v>14508</v>
      </c>
      <c r="C2807" s="672" t="s">
        <v>7</v>
      </c>
      <c r="D2807" s="672" t="s">
        <v>14507</v>
      </c>
      <c r="E2807" s="919" t="s">
        <v>13464</v>
      </c>
      <c r="F2807" s="919"/>
      <c r="G2807" s="671" t="s">
        <v>34</v>
      </c>
      <c r="H2807" s="670">
        <v>2</v>
      </c>
      <c r="I2807" s="669">
        <v>21.81</v>
      </c>
      <c r="J2807" s="669">
        <v>43.62</v>
      </c>
    </row>
    <row r="2808" spans="1:10" ht="25.5">
      <c r="A2808" s="668"/>
      <c r="B2808" s="668"/>
      <c r="C2808" s="668"/>
      <c r="D2808" s="668"/>
      <c r="E2808" s="668" t="s">
        <v>13463</v>
      </c>
      <c r="F2808" s="667">
        <v>51.249592524176904</v>
      </c>
      <c r="G2808" s="668" t="s">
        <v>13462</v>
      </c>
      <c r="H2808" s="667">
        <v>43.08</v>
      </c>
      <c r="I2808" s="668" t="s">
        <v>13461</v>
      </c>
      <c r="J2808" s="667">
        <v>94.330000000000013</v>
      </c>
    </row>
    <row r="2809" spans="1:10" ht="15" thickBot="1">
      <c r="A2809" s="668"/>
      <c r="B2809" s="668"/>
      <c r="C2809" s="668"/>
      <c r="D2809" s="668"/>
      <c r="E2809" s="668" t="s">
        <v>13460</v>
      </c>
      <c r="F2809" s="667">
        <v>121.96</v>
      </c>
      <c r="G2809" s="668"/>
      <c r="H2809" s="925" t="s">
        <v>13459</v>
      </c>
      <c r="I2809" s="925"/>
      <c r="J2809" s="667">
        <v>553.83000000000004</v>
      </c>
    </row>
    <row r="2810" spans="1:10" ht="0.95" customHeight="1" thickTop="1">
      <c r="A2810" s="666"/>
      <c r="B2810" s="666"/>
      <c r="C2810" s="666"/>
      <c r="D2810" s="666"/>
      <c r="E2810" s="666"/>
      <c r="F2810" s="666"/>
      <c r="G2810" s="666"/>
      <c r="H2810" s="666"/>
      <c r="I2810" s="666"/>
      <c r="J2810" s="666"/>
    </row>
    <row r="2811" spans="1:10" ht="18" customHeight="1">
      <c r="A2811" s="686" t="s">
        <v>14506</v>
      </c>
      <c r="B2811" s="684" t="s">
        <v>13484</v>
      </c>
      <c r="C2811" s="686" t="s">
        <v>13483</v>
      </c>
      <c r="D2811" s="686" t="s">
        <v>13482</v>
      </c>
      <c r="E2811" s="924" t="s">
        <v>13481</v>
      </c>
      <c r="F2811" s="924"/>
      <c r="G2811" s="685" t="s">
        <v>13480</v>
      </c>
      <c r="H2811" s="684" t="s">
        <v>13479</v>
      </c>
      <c r="I2811" s="684" t="s">
        <v>13478</v>
      </c>
      <c r="J2811" s="684" t="s">
        <v>13477</v>
      </c>
    </row>
    <row r="2812" spans="1:10" ht="36" customHeight="1">
      <c r="A2812" s="682" t="s">
        <v>13476</v>
      </c>
      <c r="B2812" s="683" t="s">
        <v>14505</v>
      </c>
      <c r="C2812" s="682" t="s">
        <v>7</v>
      </c>
      <c r="D2812" s="682" t="s">
        <v>6771</v>
      </c>
      <c r="E2812" s="917" t="s">
        <v>13474</v>
      </c>
      <c r="F2812" s="917"/>
      <c r="G2812" s="681" t="s">
        <v>14</v>
      </c>
      <c r="H2812" s="680">
        <v>1</v>
      </c>
      <c r="I2812" s="679">
        <v>30.89</v>
      </c>
      <c r="J2812" s="679">
        <v>30.89</v>
      </c>
    </row>
    <row r="2813" spans="1:10" ht="24" customHeight="1">
      <c r="A2813" s="677" t="s">
        <v>13472</v>
      </c>
      <c r="B2813" s="678" t="s">
        <v>13526</v>
      </c>
      <c r="C2813" s="677" t="s">
        <v>7</v>
      </c>
      <c r="D2813" s="677" t="s">
        <v>1093</v>
      </c>
      <c r="E2813" s="918" t="s">
        <v>13470</v>
      </c>
      <c r="F2813" s="918"/>
      <c r="G2813" s="676" t="s">
        <v>19</v>
      </c>
      <c r="H2813" s="675">
        <v>0.14680000000000001</v>
      </c>
      <c r="I2813" s="674">
        <v>13.48</v>
      </c>
      <c r="J2813" s="674">
        <v>1.97</v>
      </c>
    </row>
    <row r="2814" spans="1:10" ht="24" customHeight="1">
      <c r="A2814" s="677" t="s">
        <v>13472</v>
      </c>
      <c r="B2814" s="678" t="s">
        <v>13473</v>
      </c>
      <c r="C2814" s="677" t="s">
        <v>7</v>
      </c>
      <c r="D2814" s="677" t="s">
        <v>44</v>
      </c>
      <c r="E2814" s="918" t="s">
        <v>13470</v>
      </c>
      <c r="F2814" s="918"/>
      <c r="G2814" s="676" t="s">
        <v>19</v>
      </c>
      <c r="H2814" s="675">
        <v>0.48420000000000002</v>
      </c>
      <c r="I2814" s="674">
        <v>17.66</v>
      </c>
      <c r="J2814" s="674">
        <v>8.5500000000000007</v>
      </c>
    </row>
    <row r="2815" spans="1:10" ht="24" customHeight="1">
      <c r="A2815" s="672" t="s">
        <v>13467</v>
      </c>
      <c r="B2815" s="673" t="s">
        <v>14504</v>
      </c>
      <c r="C2815" s="672" t="s">
        <v>7</v>
      </c>
      <c r="D2815" s="672" t="s">
        <v>14503</v>
      </c>
      <c r="E2815" s="919" t="s">
        <v>13464</v>
      </c>
      <c r="F2815" s="919"/>
      <c r="G2815" s="671" t="s">
        <v>14</v>
      </c>
      <c r="H2815" s="670">
        <v>1.0216000000000001</v>
      </c>
      <c r="I2815" s="669">
        <v>19.940000000000001</v>
      </c>
      <c r="J2815" s="669">
        <v>20.37</v>
      </c>
    </row>
    <row r="2816" spans="1:10" ht="25.5">
      <c r="A2816" s="668"/>
      <c r="B2816" s="668"/>
      <c r="C2816" s="668"/>
      <c r="D2816" s="668"/>
      <c r="E2816" s="668" t="s">
        <v>13463</v>
      </c>
      <c r="F2816" s="667">
        <v>4.5637292187330214</v>
      </c>
      <c r="G2816" s="668" t="s">
        <v>13462</v>
      </c>
      <c r="H2816" s="667">
        <v>3.84</v>
      </c>
      <c r="I2816" s="668" t="s">
        <v>13461</v>
      </c>
      <c r="J2816" s="667">
        <v>8.4</v>
      </c>
    </row>
    <row r="2817" spans="1:10" ht="15" thickBot="1">
      <c r="A2817" s="668"/>
      <c r="B2817" s="668"/>
      <c r="C2817" s="668"/>
      <c r="D2817" s="668"/>
      <c r="E2817" s="668" t="s">
        <v>13460</v>
      </c>
      <c r="F2817" s="667">
        <v>8.7200000000000006</v>
      </c>
      <c r="G2817" s="668"/>
      <c r="H2817" s="925" t="s">
        <v>13459</v>
      </c>
      <c r="I2817" s="925"/>
      <c r="J2817" s="667">
        <v>39.61</v>
      </c>
    </row>
    <row r="2818" spans="1:10" ht="0.95" customHeight="1" thickTop="1">
      <c r="A2818" s="666"/>
      <c r="B2818" s="666"/>
      <c r="C2818" s="666"/>
      <c r="D2818" s="666"/>
      <c r="E2818" s="666"/>
      <c r="F2818" s="666"/>
      <c r="G2818" s="666"/>
      <c r="H2818" s="666"/>
      <c r="I2818" s="666"/>
      <c r="J2818" s="666"/>
    </row>
    <row r="2819" spans="1:10" ht="18" customHeight="1">
      <c r="A2819" s="686" t="s">
        <v>14502</v>
      </c>
      <c r="B2819" s="684" t="s">
        <v>13484</v>
      </c>
      <c r="C2819" s="686" t="s">
        <v>13483</v>
      </c>
      <c r="D2819" s="686" t="s">
        <v>13482</v>
      </c>
      <c r="E2819" s="924" t="s">
        <v>13481</v>
      </c>
      <c r="F2819" s="924"/>
      <c r="G2819" s="685" t="s">
        <v>13480</v>
      </c>
      <c r="H2819" s="684" t="s">
        <v>13479</v>
      </c>
      <c r="I2819" s="684" t="s">
        <v>13478</v>
      </c>
      <c r="J2819" s="684" t="s">
        <v>13477</v>
      </c>
    </row>
    <row r="2820" spans="1:10" ht="60" customHeight="1">
      <c r="A2820" s="682" t="s">
        <v>13476</v>
      </c>
      <c r="B2820" s="683" t="s">
        <v>14501</v>
      </c>
      <c r="C2820" s="682" t="s">
        <v>7</v>
      </c>
      <c r="D2820" s="682" t="s">
        <v>2569</v>
      </c>
      <c r="E2820" s="917" t="s">
        <v>13474</v>
      </c>
      <c r="F2820" s="917"/>
      <c r="G2820" s="681" t="s">
        <v>34</v>
      </c>
      <c r="H2820" s="680">
        <v>1</v>
      </c>
      <c r="I2820" s="679">
        <v>68.03</v>
      </c>
      <c r="J2820" s="679">
        <v>68.03</v>
      </c>
    </row>
    <row r="2821" spans="1:10" ht="24" customHeight="1">
      <c r="A2821" s="677" t="s">
        <v>13472</v>
      </c>
      <c r="B2821" s="678" t="s">
        <v>13526</v>
      </c>
      <c r="C2821" s="677" t="s">
        <v>7</v>
      </c>
      <c r="D2821" s="677" t="s">
        <v>1093</v>
      </c>
      <c r="E2821" s="918" t="s">
        <v>13470</v>
      </c>
      <c r="F2821" s="918"/>
      <c r="G2821" s="676" t="s">
        <v>19</v>
      </c>
      <c r="H2821" s="675">
        <v>0.32300000000000001</v>
      </c>
      <c r="I2821" s="674">
        <v>13.48</v>
      </c>
      <c r="J2821" s="674">
        <v>4.3499999999999996</v>
      </c>
    </row>
    <row r="2822" spans="1:10" ht="24" customHeight="1">
      <c r="A2822" s="677" t="s">
        <v>13472</v>
      </c>
      <c r="B2822" s="678" t="s">
        <v>13473</v>
      </c>
      <c r="C2822" s="677" t="s">
        <v>7</v>
      </c>
      <c r="D2822" s="677" t="s">
        <v>44</v>
      </c>
      <c r="E2822" s="918" t="s">
        <v>13470</v>
      </c>
      <c r="F2822" s="918"/>
      <c r="G2822" s="676" t="s">
        <v>19</v>
      </c>
      <c r="H2822" s="675">
        <v>0.32300000000000001</v>
      </c>
      <c r="I2822" s="674">
        <v>17.66</v>
      </c>
      <c r="J2822" s="674">
        <v>5.7</v>
      </c>
    </row>
    <row r="2823" spans="1:10" ht="24" customHeight="1">
      <c r="A2823" s="672" t="s">
        <v>13467</v>
      </c>
      <c r="B2823" s="673" t="s">
        <v>14500</v>
      </c>
      <c r="C2823" s="672" t="s">
        <v>7</v>
      </c>
      <c r="D2823" s="672" t="s">
        <v>14499</v>
      </c>
      <c r="E2823" s="919" t="s">
        <v>13464</v>
      </c>
      <c r="F2823" s="919"/>
      <c r="G2823" s="671" t="s">
        <v>34</v>
      </c>
      <c r="H2823" s="670">
        <v>1</v>
      </c>
      <c r="I2823" s="669">
        <v>44.81</v>
      </c>
      <c r="J2823" s="669">
        <v>44.81</v>
      </c>
    </row>
    <row r="2824" spans="1:10" ht="24" customHeight="1">
      <c r="A2824" s="672" t="s">
        <v>13467</v>
      </c>
      <c r="B2824" s="673" t="s">
        <v>13525</v>
      </c>
      <c r="C2824" s="672" t="s">
        <v>7</v>
      </c>
      <c r="D2824" s="672" t="s">
        <v>13524</v>
      </c>
      <c r="E2824" s="919" t="s">
        <v>13464</v>
      </c>
      <c r="F2824" s="919"/>
      <c r="G2824" s="671" t="s">
        <v>34</v>
      </c>
      <c r="H2824" s="670">
        <v>0.28899999999999998</v>
      </c>
      <c r="I2824" s="669">
        <v>26.38</v>
      </c>
      <c r="J2824" s="669">
        <v>7.62</v>
      </c>
    </row>
    <row r="2825" spans="1:10" ht="24" customHeight="1">
      <c r="A2825" s="672" t="s">
        <v>13467</v>
      </c>
      <c r="B2825" s="673" t="s">
        <v>13523</v>
      </c>
      <c r="C2825" s="672" t="s">
        <v>7</v>
      </c>
      <c r="D2825" s="672" t="s">
        <v>13522</v>
      </c>
      <c r="E2825" s="919" t="s">
        <v>13464</v>
      </c>
      <c r="F2825" s="919"/>
      <c r="G2825" s="671" t="s">
        <v>34</v>
      </c>
      <c r="H2825" s="670">
        <v>3.2000000000000001E-2</v>
      </c>
      <c r="I2825" s="669">
        <v>2.2000000000000002</v>
      </c>
      <c r="J2825" s="669">
        <v>7.0000000000000007E-2</v>
      </c>
    </row>
    <row r="2826" spans="1:10" ht="24" customHeight="1">
      <c r="A2826" s="672" t="s">
        <v>13467</v>
      </c>
      <c r="B2826" s="673" t="s">
        <v>13521</v>
      </c>
      <c r="C2826" s="672" t="s">
        <v>7</v>
      </c>
      <c r="D2826" s="672" t="s">
        <v>13520</v>
      </c>
      <c r="E2826" s="919" t="s">
        <v>13464</v>
      </c>
      <c r="F2826" s="919"/>
      <c r="G2826" s="671" t="s">
        <v>34</v>
      </c>
      <c r="H2826" s="670">
        <v>7.5999999999999998E-2</v>
      </c>
      <c r="I2826" s="669">
        <v>72.17</v>
      </c>
      <c r="J2826" s="669">
        <v>5.48</v>
      </c>
    </row>
    <row r="2827" spans="1:10" ht="25.5">
      <c r="A2827" s="668"/>
      <c r="B2827" s="668"/>
      <c r="C2827" s="668"/>
      <c r="D2827" s="668"/>
      <c r="E2827" s="668" t="s">
        <v>13463</v>
      </c>
      <c r="F2827" s="667">
        <v>4.2757796370748666</v>
      </c>
      <c r="G2827" s="668" t="s">
        <v>13462</v>
      </c>
      <c r="H2827" s="667">
        <v>3.59</v>
      </c>
      <c r="I2827" s="668" t="s">
        <v>13461</v>
      </c>
      <c r="J2827" s="667">
        <v>7.87</v>
      </c>
    </row>
    <row r="2828" spans="1:10" ht="15" thickBot="1">
      <c r="A2828" s="668"/>
      <c r="B2828" s="668"/>
      <c r="C2828" s="668"/>
      <c r="D2828" s="668"/>
      <c r="E2828" s="668" t="s">
        <v>13460</v>
      </c>
      <c r="F2828" s="667">
        <v>19.21</v>
      </c>
      <c r="G2828" s="668"/>
      <c r="H2828" s="925" t="s">
        <v>13459</v>
      </c>
      <c r="I2828" s="925"/>
      <c r="J2828" s="667">
        <v>87.24</v>
      </c>
    </row>
    <row r="2829" spans="1:10" ht="0.95" customHeight="1" thickTop="1">
      <c r="A2829" s="666"/>
      <c r="B2829" s="666"/>
      <c r="C2829" s="666"/>
      <c r="D2829" s="666"/>
      <c r="E2829" s="666"/>
      <c r="F2829" s="666"/>
      <c r="G2829" s="666"/>
      <c r="H2829" s="666"/>
      <c r="I2829" s="666"/>
      <c r="J2829" s="666"/>
    </row>
    <row r="2830" spans="1:10" ht="18" customHeight="1">
      <c r="A2830" s="686" t="s">
        <v>14498</v>
      </c>
      <c r="B2830" s="684" t="s">
        <v>13484</v>
      </c>
      <c r="C2830" s="686" t="s">
        <v>13483</v>
      </c>
      <c r="D2830" s="686" t="s">
        <v>13482</v>
      </c>
      <c r="E2830" s="924" t="s">
        <v>13481</v>
      </c>
      <c r="F2830" s="924"/>
      <c r="G2830" s="685" t="s">
        <v>13480</v>
      </c>
      <c r="H2830" s="684" t="s">
        <v>13479</v>
      </c>
      <c r="I2830" s="684" t="s">
        <v>13478</v>
      </c>
      <c r="J2830" s="684" t="s">
        <v>13477</v>
      </c>
    </row>
    <row r="2831" spans="1:10" ht="60" customHeight="1">
      <c r="A2831" s="682" t="s">
        <v>13476</v>
      </c>
      <c r="B2831" s="683" t="s">
        <v>14497</v>
      </c>
      <c r="C2831" s="682" t="s">
        <v>7</v>
      </c>
      <c r="D2831" s="682" t="s">
        <v>2523</v>
      </c>
      <c r="E2831" s="917" t="s">
        <v>13474</v>
      </c>
      <c r="F2831" s="917"/>
      <c r="G2831" s="681" t="s">
        <v>34</v>
      </c>
      <c r="H2831" s="680">
        <v>1</v>
      </c>
      <c r="I2831" s="679">
        <v>84.78</v>
      </c>
      <c r="J2831" s="679">
        <v>84.78</v>
      </c>
    </row>
    <row r="2832" spans="1:10" ht="24" customHeight="1">
      <c r="A2832" s="677" t="s">
        <v>13472</v>
      </c>
      <c r="B2832" s="678" t="s">
        <v>13526</v>
      </c>
      <c r="C2832" s="677" t="s">
        <v>7</v>
      </c>
      <c r="D2832" s="677" t="s">
        <v>1093</v>
      </c>
      <c r="E2832" s="918" t="s">
        <v>13470</v>
      </c>
      <c r="F2832" s="918"/>
      <c r="G2832" s="676" t="s">
        <v>19</v>
      </c>
      <c r="H2832" s="675">
        <v>0.52200000000000002</v>
      </c>
      <c r="I2832" s="674">
        <v>13.48</v>
      </c>
      <c r="J2832" s="674">
        <v>7.03</v>
      </c>
    </row>
    <row r="2833" spans="1:10" ht="24" customHeight="1">
      <c r="A2833" s="677" t="s">
        <v>13472</v>
      </c>
      <c r="B2833" s="678" t="s">
        <v>13473</v>
      </c>
      <c r="C2833" s="677" t="s">
        <v>7</v>
      </c>
      <c r="D2833" s="677" t="s">
        <v>44</v>
      </c>
      <c r="E2833" s="918" t="s">
        <v>13470</v>
      </c>
      <c r="F2833" s="918"/>
      <c r="G2833" s="676" t="s">
        <v>19</v>
      </c>
      <c r="H2833" s="675">
        <v>0.52200000000000002</v>
      </c>
      <c r="I2833" s="674">
        <v>17.66</v>
      </c>
      <c r="J2833" s="674">
        <v>9.2100000000000009</v>
      </c>
    </row>
    <row r="2834" spans="1:10" ht="24" customHeight="1">
      <c r="A2834" s="672" t="s">
        <v>13467</v>
      </c>
      <c r="B2834" s="673" t="s">
        <v>14496</v>
      </c>
      <c r="C2834" s="672" t="s">
        <v>7</v>
      </c>
      <c r="D2834" s="672" t="s">
        <v>14495</v>
      </c>
      <c r="E2834" s="919" t="s">
        <v>13464</v>
      </c>
      <c r="F2834" s="919"/>
      <c r="G2834" s="671" t="s">
        <v>34</v>
      </c>
      <c r="H2834" s="670">
        <v>1</v>
      </c>
      <c r="I2834" s="669">
        <v>67.97</v>
      </c>
      <c r="J2834" s="669">
        <v>67.97</v>
      </c>
    </row>
    <row r="2835" spans="1:10" ht="24" customHeight="1">
      <c r="A2835" s="672" t="s">
        <v>13467</v>
      </c>
      <c r="B2835" s="673" t="s">
        <v>13534</v>
      </c>
      <c r="C2835" s="672" t="s">
        <v>7</v>
      </c>
      <c r="D2835" s="672" t="s">
        <v>13533</v>
      </c>
      <c r="E2835" s="919" t="s">
        <v>13464</v>
      </c>
      <c r="F2835" s="919"/>
      <c r="G2835" s="671" t="s">
        <v>34</v>
      </c>
      <c r="H2835" s="670">
        <v>2.7E-2</v>
      </c>
      <c r="I2835" s="669">
        <v>18.440000000000001</v>
      </c>
      <c r="J2835" s="669">
        <v>0.49</v>
      </c>
    </row>
    <row r="2836" spans="1:10" ht="24" customHeight="1">
      <c r="A2836" s="672" t="s">
        <v>13467</v>
      </c>
      <c r="B2836" s="673" t="s">
        <v>14209</v>
      </c>
      <c r="C2836" s="672" t="s">
        <v>7</v>
      </c>
      <c r="D2836" s="672" t="s">
        <v>14208</v>
      </c>
      <c r="E2836" s="919" t="s">
        <v>13464</v>
      </c>
      <c r="F2836" s="919"/>
      <c r="G2836" s="671" t="s">
        <v>50</v>
      </c>
      <c r="H2836" s="670">
        <v>3.0000000000000001E-3</v>
      </c>
      <c r="I2836" s="669">
        <v>26.96</v>
      </c>
      <c r="J2836" s="669">
        <v>0.08</v>
      </c>
    </row>
    <row r="2837" spans="1:10" ht="25.5">
      <c r="A2837" s="668"/>
      <c r="B2837" s="668"/>
      <c r="C2837" s="668"/>
      <c r="D2837" s="668"/>
      <c r="E2837" s="668" t="s">
        <v>13463</v>
      </c>
      <c r="F2837" s="667">
        <v>6.9216559817450829</v>
      </c>
      <c r="G2837" s="668" t="s">
        <v>13462</v>
      </c>
      <c r="H2837" s="667">
        <v>5.82</v>
      </c>
      <c r="I2837" s="668" t="s">
        <v>13461</v>
      </c>
      <c r="J2837" s="667">
        <v>12.74</v>
      </c>
    </row>
    <row r="2838" spans="1:10" ht="15" thickBot="1">
      <c r="A2838" s="668"/>
      <c r="B2838" s="668"/>
      <c r="C2838" s="668"/>
      <c r="D2838" s="668"/>
      <c r="E2838" s="668" t="s">
        <v>13460</v>
      </c>
      <c r="F2838" s="667">
        <v>23.94</v>
      </c>
      <c r="G2838" s="668"/>
      <c r="H2838" s="925" t="s">
        <v>13459</v>
      </c>
      <c r="I2838" s="925"/>
      <c r="J2838" s="667">
        <v>108.72</v>
      </c>
    </row>
    <row r="2839" spans="1:10" ht="0.95" customHeight="1" thickTop="1">
      <c r="A2839" s="666"/>
      <c r="B2839" s="666"/>
      <c r="C2839" s="666"/>
      <c r="D2839" s="666"/>
      <c r="E2839" s="666"/>
      <c r="F2839" s="666"/>
      <c r="G2839" s="666"/>
      <c r="H2839" s="666"/>
      <c r="I2839" s="666"/>
      <c r="J2839" s="666"/>
    </row>
    <row r="2840" spans="1:10" ht="18" customHeight="1">
      <c r="A2840" s="686" t="s">
        <v>14494</v>
      </c>
      <c r="B2840" s="684" t="s">
        <v>13484</v>
      </c>
      <c r="C2840" s="686" t="s">
        <v>13483</v>
      </c>
      <c r="D2840" s="686" t="s">
        <v>13482</v>
      </c>
      <c r="E2840" s="924" t="s">
        <v>13481</v>
      </c>
      <c r="F2840" s="924"/>
      <c r="G2840" s="685" t="s">
        <v>13480</v>
      </c>
      <c r="H2840" s="684" t="s">
        <v>13479</v>
      </c>
      <c r="I2840" s="684" t="s">
        <v>13478</v>
      </c>
      <c r="J2840" s="684" t="s">
        <v>13477</v>
      </c>
    </row>
    <row r="2841" spans="1:10" ht="36" customHeight="1">
      <c r="A2841" s="682" t="s">
        <v>13476</v>
      </c>
      <c r="B2841" s="683" t="s">
        <v>14493</v>
      </c>
      <c r="C2841" s="682" t="s">
        <v>7</v>
      </c>
      <c r="D2841" s="682" t="s">
        <v>6088</v>
      </c>
      <c r="E2841" s="917" t="s">
        <v>13474</v>
      </c>
      <c r="F2841" s="917"/>
      <c r="G2841" s="681" t="s">
        <v>34</v>
      </c>
      <c r="H2841" s="680">
        <v>1</v>
      </c>
      <c r="I2841" s="679">
        <v>268.49</v>
      </c>
      <c r="J2841" s="679">
        <v>268.49</v>
      </c>
    </row>
    <row r="2842" spans="1:10" ht="24" customHeight="1">
      <c r="A2842" s="677" t="s">
        <v>13472</v>
      </c>
      <c r="B2842" s="678" t="s">
        <v>13526</v>
      </c>
      <c r="C2842" s="677" t="s">
        <v>7</v>
      </c>
      <c r="D2842" s="677" t="s">
        <v>1093</v>
      </c>
      <c r="E2842" s="918" t="s">
        <v>13470</v>
      </c>
      <c r="F2842" s="918"/>
      <c r="G2842" s="676" t="s">
        <v>19</v>
      </c>
      <c r="H2842" s="675">
        <v>0.58599999999999997</v>
      </c>
      <c r="I2842" s="674">
        <v>13.48</v>
      </c>
      <c r="J2842" s="674">
        <v>7.89</v>
      </c>
    </row>
    <row r="2843" spans="1:10" ht="24" customHeight="1">
      <c r="A2843" s="677" t="s">
        <v>13472</v>
      </c>
      <c r="B2843" s="678" t="s">
        <v>13473</v>
      </c>
      <c r="C2843" s="677" t="s">
        <v>7</v>
      </c>
      <c r="D2843" s="677" t="s">
        <v>44</v>
      </c>
      <c r="E2843" s="918" t="s">
        <v>13470</v>
      </c>
      <c r="F2843" s="918"/>
      <c r="G2843" s="676" t="s">
        <v>19</v>
      </c>
      <c r="H2843" s="675">
        <v>0.58599999999999997</v>
      </c>
      <c r="I2843" s="674">
        <v>17.66</v>
      </c>
      <c r="J2843" s="674">
        <v>10.34</v>
      </c>
    </row>
    <row r="2844" spans="1:10" ht="24" customHeight="1">
      <c r="A2844" s="677" t="s">
        <v>13472</v>
      </c>
      <c r="B2844" s="678" t="s">
        <v>14110</v>
      </c>
      <c r="C2844" s="677" t="s">
        <v>7</v>
      </c>
      <c r="D2844" s="677" t="s">
        <v>174</v>
      </c>
      <c r="E2844" s="918" t="s">
        <v>13470</v>
      </c>
      <c r="F2844" s="918"/>
      <c r="G2844" s="676" t="s">
        <v>19</v>
      </c>
      <c r="H2844" s="675">
        <v>0.58599999999999997</v>
      </c>
      <c r="I2844" s="674">
        <v>18.239999999999998</v>
      </c>
      <c r="J2844" s="674">
        <v>10.68</v>
      </c>
    </row>
    <row r="2845" spans="1:10" ht="24" customHeight="1">
      <c r="A2845" s="672" t="s">
        <v>13467</v>
      </c>
      <c r="B2845" s="673" t="s">
        <v>14370</v>
      </c>
      <c r="C2845" s="672" t="s">
        <v>7</v>
      </c>
      <c r="D2845" s="672" t="s">
        <v>14369</v>
      </c>
      <c r="E2845" s="919" t="s">
        <v>13464</v>
      </c>
      <c r="F2845" s="919"/>
      <c r="G2845" s="671" t="s">
        <v>17</v>
      </c>
      <c r="H2845" s="670">
        <v>6.7000000000000004E-2</v>
      </c>
      <c r="I2845" s="669">
        <v>21.12</v>
      </c>
      <c r="J2845" s="669">
        <v>1.41</v>
      </c>
    </row>
    <row r="2846" spans="1:10" ht="24" customHeight="1">
      <c r="A2846" s="672" t="s">
        <v>13467</v>
      </c>
      <c r="B2846" s="673" t="s">
        <v>14492</v>
      </c>
      <c r="C2846" s="672" t="s">
        <v>7</v>
      </c>
      <c r="D2846" s="672" t="s">
        <v>14491</v>
      </c>
      <c r="E2846" s="919" t="s">
        <v>13464</v>
      </c>
      <c r="F2846" s="919"/>
      <c r="G2846" s="671" t="s">
        <v>34</v>
      </c>
      <c r="H2846" s="670">
        <v>1</v>
      </c>
      <c r="I2846" s="669">
        <v>238.17</v>
      </c>
      <c r="J2846" s="669">
        <v>238.17</v>
      </c>
    </row>
    <row r="2847" spans="1:10" ht="25.5">
      <c r="A2847" s="668"/>
      <c r="B2847" s="668"/>
      <c r="C2847" s="668"/>
      <c r="D2847" s="668"/>
      <c r="E2847" s="668" t="s">
        <v>13463</v>
      </c>
      <c r="F2847" s="667">
        <v>12.148212539389329</v>
      </c>
      <c r="G2847" s="668" t="s">
        <v>13462</v>
      </c>
      <c r="H2847" s="667">
        <v>10.210000000000001</v>
      </c>
      <c r="I2847" s="668" t="s">
        <v>13461</v>
      </c>
      <c r="J2847" s="667">
        <v>22.36</v>
      </c>
    </row>
    <row r="2848" spans="1:10" ht="15" thickBot="1">
      <c r="A2848" s="668"/>
      <c r="B2848" s="668"/>
      <c r="C2848" s="668"/>
      <c r="D2848" s="668"/>
      <c r="E2848" s="668" t="s">
        <v>13460</v>
      </c>
      <c r="F2848" s="667">
        <v>75.819999999999993</v>
      </c>
      <c r="G2848" s="668"/>
      <c r="H2848" s="925" t="s">
        <v>13459</v>
      </c>
      <c r="I2848" s="925"/>
      <c r="J2848" s="667">
        <v>344.31</v>
      </c>
    </row>
    <row r="2849" spans="1:10" ht="0.95" customHeight="1" thickTop="1">
      <c r="A2849" s="666"/>
      <c r="B2849" s="666"/>
      <c r="C2849" s="666"/>
      <c r="D2849" s="666"/>
      <c r="E2849" s="666"/>
      <c r="F2849" s="666"/>
      <c r="G2849" s="666"/>
      <c r="H2849" s="666"/>
      <c r="I2849" s="666"/>
      <c r="J2849" s="666"/>
    </row>
    <row r="2850" spans="1:10" ht="18" customHeight="1">
      <c r="A2850" s="686" t="s">
        <v>14490</v>
      </c>
      <c r="B2850" s="684" t="s">
        <v>13484</v>
      </c>
      <c r="C2850" s="686" t="s">
        <v>13483</v>
      </c>
      <c r="D2850" s="686" t="s">
        <v>13482</v>
      </c>
      <c r="E2850" s="924" t="s">
        <v>13481</v>
      </c>
      <c r="F2850" s="924"/>
      <c r="G2850" s="685" t="s">
        <v>13480</v>
      </c>
      <c r="H2850" s="684" t="s">
        <v>13479</v>
      </c>
      <c r="I2850" s="684" t="s">
        <v>13478</v>
      </c>
      <c r="J2850" s="684" t="s">
        <v>13477</v>
      </c>
    </row>
    <row r="2851" spans="1:10" ht="36" customHeight="1">
      <c r="A2851" s="682" t="s">
        <v>13476</v>
      </c>
      <c r="B2851" s="683" t="s">
        <v>14489</v>
      </c>
      <c r="C2851" s="682" t="s">
        <v>7</v>
      </c>
      <c r="D2851" s="682" t="s">
        <v>5916</v>
      </c>
      <c r="E2851" s="917" t="s">
        <v>13474</v>
      </c>
      <c r="F2851" s="917"/>
      <c r="G2851" s="681" t="s">
        <v>34</v>
      </c>
      <c r="H2851" s="680">
        <v>1</v>
      </c>
      <c r="I2851" s="679">
        <v>71.599999999999994</v>
      </c>
      <c r="J2851" s="679">
        <v>71.599999999999994</v>
      </c>
    </row>
    <row r="2852" spans="1:10" ht="24" customHeight="1">
      <c r="A2852" s="677" t="s">
        <v>13472</v>
      </c>
      <c r="B2852" s="678" t="s">
        <v>13526</v>
      </c>
      <c r="C2852" s="677" t="s">
        <v>7</v>
      </c>
      <c r="D2852" s="677" t="s">
        <v>1093</v>
      </c>
      <c r="E2852" s="918" t="s">
        <v>13470</v>
      </c>
      <c r="F2852" s="918"/>
      <c r="G2852" s="676" t="s">
        <v>19</v>
      </c>
      <c r="H2852" s="675">
        <v>0.73599999999999999</v>
      </c>
      <c r="I2852" s="674">
        <v>13.48</v>
      </c>
      <c r="J2852" s="674">
        <v>9.92</v>
      </c>
    </row>
    <row r="2853" spans="1:10" ht="24" customHeight="1">
      <c r="A2853" s="677" t="s">
        <v>13472</v>
      </c>
      <c r="B2853" s="678" t="s">
        <v>13473</v>
      </c>
      <c r="C2853" s="677" t="s">
        <v>7</v>
      </c>
      <c r="D2853" s="677" t="s">
        <v>44</v>
      </c>
      <c r="E2853" s="918" t="s">
        <v>13470</v>
      </c>
      <c r="F2853" s="918"/>
      <c r="G2853" s="676" t="s">
        <v>19</v>
      </c>
      <c r="H2853" s="675">
        <v>0.73599999999999999</v>
      </c>
      <c r="I2853" s="674">
        <v>17.66</v>
      </c>
      <c r="J2853" s="674">
        <v>12.99</v>
      </c>
    </row>
    <row r="2854" spans="1:10" ht="24" customHeight="1">
      <c r="A2854" s="672" t="s">
        <v>13467</v>
      </c>
      <c r="B2854" s="673" t="s">
        <v>13534</v>
      </c>
      <c r="C2854" s="672" t="s">
        <v>7</v>
      </c>
      <c r="D2854" s="672" t="s">
        <v>13533</v>
      </c>
      <c r="E2854" s="919" t="s">
        <v>13464</v>
      </c>
      <c r="F2854" s="919"/>
      <c r="G2854" s="671" t="s">
        <v>34</v>
      </c>
      <c r="H2854" s="670">
        <v>0.03</v>
      </c>
      <c r="I2854" s="669">
        <v>18.440000000000001</v>
      </c>
      <c r="J2854" s="669">
        <v>0.55000000000000004</v>
      </c>
    </row>
    <row r="2855" spans="1:10" ht="24" customHeight="1">
      <c r="A2855" s="672" t="s">
        <v>13467</v>
      </c>
      <c r="B2855" s="673" t="s">
        <v>14209</v>
      </c>
      <c r="C2855" s="672" t="s">
        <v>7</v>
      </c>
      <c r="D2855" s="672" t="s">
        <v>14208</v>
      </c>
      <c r="E2855" s="919" t="s">
        <v>13464</v>
      </c>
      <c r="F2855" s="919"/>
      <c r="G2855" s="671" t="s">
        <v>50</v>
      </c>
      <c r="H2855" s="670">
        <v>7.0000000000000001E-3</v>
      </c>
      <c r="I2855" s="669">
        <v>26.96</v>
      </c>
      <c r="J2855" s="669">
        <v>0.18</v>
      </c>
    </row>
    <row r="2856" spans="1:10" ht="24" customHeight="1">
      <c r="A2856" s="672" t="s">
        <v>13467</v>
      </c>
      <c r="B2856" s="673" t="s">
        <v>14488</v>
      </c>
      <c r="C2856" s="672" t="s">
        <v>7</v>
      </c>
      <c r="D2856" s="672" t="s">
        <v>14487</v>
      </c>
      <c r="E2856" s="919" t="s">
        <v>13464</v>
      </c>
      <c r="F2856" s="919"/>
      <c r="G2856" s="671" t="s">
        <v>34</v>
      </c>
      <c r="H2856" s="670">
        <v>1</v>
      </c>
      <c r="I2856" s="669">
        <v>47.96</v>
      </c>
      <c r="J2856" s="669">
        <v>47.96</v>
      </c>
    </row>
    <row r="2857" spans="1:10" ht="25.5">
      <c r="A2857" s="668"/>
      <c r="B2857" s="668"/>
      <c r="C2857" s="668"/>
      <c r="D2857" s="668"/>
      <c r="E2857" s="668" t="s">
        <v>13463</v>
      </c>
      <c r="F2857" s="667">
        <v>9.7576877105291757</v>
      </c>
      <c r="G2857" s="668" t="s">
        <v>13462</v>
      </c>
      <c r="H2857" s="667">
        <v>8.1999999999999993</v>
      </c>
      <c r="I2857" s="668" t="s">
        <v>13461</v>
      </c>
      <c r="J2857" s="667">
        <v>17.96</v>
      </c>
    </row>
    <row r="2858" spans="1:10" ht="15" thickBot="1">
      <c r="A2858" s="668"/>
      <c r="B2858" s="668"/>
      <c r="C2858" s="668"/>
      <c r="D2858" s="668"/>
      <c r="E2858" s="668" t="s">
        <v>13460</v>
      </c>
      <c r="F2858" s="667">
        <v>20.21</v>
      </c>
      <c r="G2858" s="668"/>
      <c r="H2858" s="925" t="s">
        <v>13459</v>
      </c>
      <c r="I2858" s="925"/>
      <c r="J2858" s="667">
        <v>91.81</v>
      </c>
    </row>
    <row r="2859" spans="1:10" ht="0.95" customHeight="1" thickTop="1">
      <c r="A2859" s="666"/>
      <c r="B2859" s="666"/>
      <c r="C2859" s="666"/>
      <c r="D2859" s="666"/>
      <c r="E2859" s="666"/>
      <c r="F2859" s="666"/>
      <c r="G2859" s="666"/>
      <c r="H2859" s="666"/>
      <c r="I2859" s="666"/>
      <c r="J2859" s="666"/>
    </row>
    <row r="2860" spans="1:10" ht="18" customHeight="1">
      <c r="A2860" s="686" t="s">
        <v>14486</v>
      </c>
      <c r="B2860" s="684" t="s">
        <v>13484</v>
      </c>
      <c r="C2860" s="686" t="s">
        <v>13483</v>
      </c>
      <c r="D2860" s="686" t="s">
        <v>13482</v>
      </c>
      <c r="E2860" s="924" t="s">
        <v>13481</v>
      </c>
      <c r="F2860" s="924"/>
      <c r="G2860" s="685" t="s">
        <v>13480</v>
      </c>
      <c r="H2860" s="684" t="s">
        <v>13479</v>
      </c>
      <c r="I2860" s="684" t="s">
        <v>13478</v>
      </c>
      <c r="J2860" s="684" t="s">
        <v>13477</v>
      </c>
    </row>
    <row r="2861" spans="1:10" ht="48" customHeight="1">
      <c r="A2861" s="682" t="s">
        <v>13476</v>
      </c>
      <c r="B2861" s="683" t="s">
        <v>14485</v>
      </c>
      <c r="C2861" s="682" t="s">
        <v>7</v>
      </c>
      <c r="D2861" s="682" t="s">
        <v>5915</v>
      </c>
      <c r="E2861" s="917" t="s">
        <v>13474</v>
      </c>
      <c r="F2861" s="917"/>
      <c r="G2861" s="681" t="s">
        <v>34</v>
      </c>
      <c r="H2861" s="680">
        <v>1</v>
      </c>
      <c r="I2861" s="679">
        <v>63.91</v>
      </c>
      <c r="J2861" s="679">
        <v>63.91</v>
      </c>
    </row>
    <row r="2862" spans="1:10" ht="24" customHeight="1">
      <c r="A2862" s="677" t="s">
        <v>13472</v>
      </c>
      <c r="B2862" s="678" t="s">
        <v>13526</v>
      </c>
      <c r="C2862" s="677" t="s">
        <v>7</v>
      </c>
      <c r="D2862" s="677" t="s">
        <v>1093</v>
      </c>
      <c r="E2862" s="918" t="s">
        <v>13470</v>
      </c>
      <c r="F2862" s="918"/>
      <c r="G2862" s="676" t="s">
        <v>19</v>
      </c>
      <c r="H2862" s="675">
        <v>0.73599999999999999</v>
      </c>
      <c r="I2862" s="674">
        <v>13.48</v>
      </c>
      <c r="J2862" s="674">
        <v>9.92</v>
      </c>
    </row>
    <row r="2863" spans="1:10" ht="24" customHeight="1">
      <c r="A2863" s="677" t="s">
        <v>13472</v>
      </c>
      <c r="B2863" s="678" t="s">
        <v>13473</v>
      </c>
      <c r="C2863" s="677" t="s">
        <v>7</v>
      </c>
      <c r="D2863" s="677" t="s">
        <v>44</v>
      </c>
      <c r="E2863" s="918" t="s">
        <v>13470</v>
      </c>
      <c r="F2863" s="918"/>
      <c r="G2863" s="676" t="s">
        <v>19</v>
      </c>
      <c r="H2863" s="675">
        <v>0.73599999999999999</v>
      </c>
      <c r="I2863" s="674">
        <v>17.66</v>
      </c>
      <c r="J2863" s="674">
        <v>12.99</v>
      </c>
    </row>
    <row r="2864" spans="1:10" ht="24" customHeight="1">
      <c r="A2864" s="672" t="s">
        <v>13467</v>
      </c>
      <c r="B2864" s="673" t="s">
        <v>13534</v>
      </c>
      <c r="C2864" s="672" t="s">
        <v>7</v>
      </c>
      <c r="D2864" s="672" t="s">
        <v>13533</v>
      </c>
      <c r="E2864" s="919" t="s">
        <v>13464</v>
      </c>
      <c r="F2864" s="919"/>
      <c r="G2864" s="671" t="s">
        <v>34</v>
      </c>
      <c r="H2864" s="670">
        <v>0.03</v>
      </c>
      <c r="I2864" s="669">
        <v>18.440000000000001</v>
      </c>
      <c r="J2864" s="669">
        <v>0.55000000000000004</v>
      </c>
    </row>
    <row r="2865" spans="1:10" ht="24" customHeight="1">
      <c r="A2865" s="672" t="s">
        <v>13467</v>
      </c>
      <c r="B2865" s="673" t="s">
        <v>14209</v>
      </c>
      <c r="C2865" s="672" t="s">
        <v>7</v>
      </c>
      <c r="D2865" s="672" t="s">
        <v>14208</v>
      </c>
      <c r="E2865" s="919" t="s">
        <v>13464</v>
      </c>
      <c r="F2865" s="919"/>
      <c r="G2865" s="671" t="s">
        <v>50</v>
      </c>
      <c r="H2865" s="670">
        <v>7.0000000000000001E-3</v>
      </c>
      <c r="I2865" s="669">
        <v>26.96</v>
      </c>
      <c r="J2865" s="669">
        <v>0.18</v>
      </c>
    </row>
    <row r="2866" spans="1:10" ht="24" customHeight="1">
      <c r="A2866" s="672" t="s">
        <v>13467</v>
      </c>
      <c r="B2866" s="673" t="s">
        <v>14484</v>
      </c>
      <c r="C2866" s="672" t="s">
        <v>7</v>
      </c>
      <c r="D2866" s="672" t="s">
        <v>14483</v>
      </c>
      <c r="E2866" s="919" t="s">
        <v>13464</v>
      </c>
      <c r="F2866" s="919"/>
      <c r="G2866" s="671" t="s">
        <v>34</v>
      </c>
      <c r="H2866" s="670">
        <v>1</v>
      </c>
      <c r="I2866" s="669">
        <v>40.270000000000003</v>
      </c>
      <c r="J2866" s="669">
        <v>40.270000000000003</v>
      </c>
    </row>
    <row r="2867" spans="1:10" ht="25.5">
      <c r="A2867" s="668"/>
      <c r="B2867" s="668"/>
      <c r="C2867" s="668"/>
      <c r="D2867" s="668"/>
      <c r="E2867" s="668" t="s">
        <v>13463</v>
      </c>
      <c r="F2867" s="667">
        <v>9.7576877105291757</v>
      </c>
      <c r="G2867" s="668" t="s">
        <v>13462</v>
      </c>
      <c r="H2867" s="667">
        <v>8.1999999999999993</v>
      </c>
      <c r="I2867" s="668" t="s">
        <v>13461</v>
      </c>
      <c r="J2867" s="667">
        <v>17.96</v>
      </c>
    </row>
    <row r="2868" spans="1:10" ht="15" thickBot="1">
      <c r="A2868" s="668"/>
      <c r="B2868" s="668"/>
      <c r="C2868" s="668"/>
      <c r="D2868" s="668"/>
      <c r="E2868" s="668" t="s">
        <v>13460</v>
      </c>
      <c r="F2868" s="667">
        <v>18.04</v>
      </c>
      <c r="G2868" s="668"/>
      <c r="H2868" s="925" t="s">
        <v>13459</v>
      </c>
      <c r="I2868" s="925"/>
      <c r="J2868" s="667">
        <v>81.95</v>
      </c>
    </row>
    <row r="2869" spans="1:10" ht="0.95" customHeight="1" thickTop="1">
      <c r="A2869" s="666"/>
      <c r="B2869" s="666"/>
      <c r="C2869" s="666"/>
      <c r="D2869" s="666"/>
      <c r="E2869" s="666"/>
      <c r="F2869" s="666"/>
      <c r="G2869" s="666"/>
      <c r="H2869" s="666"/>
      <c r="I2869" s="666"/>
      <c r="J2869" s="666"/>
    </row>
    <row r="2870" spans="1:10" ht="18" customHeight="1">
      <c r="A2870" s="686" t="s">
        <v>14482</v>
      </c>
      <c r="B2870" s="684" t="s">
        <v>13484</v>
      </c>
      <c r="C2870" s="686" t="s">
        <v>13483</v>
      </c>
      <c r="D2870" s="686" t="s">
        <v>13482</v>
      </c>
      <c r="E2870" s="924" t="s">
        <v>13481</v>
      </c>
      <c r="F2870" s="924"/>
      <c r="G2870" s="685" t="s">
        <v>13480</v>
      </c>
      <c r="H2870" s="684" t="s">
        <v>13479</v>
      </c>
      <c r="I2870" s="684" t="s">
        <v>13478</v>
      </c>
      <c r="J2870" s="684" t="s">
        <v>13477</v>
      </c>
    </row>
    <row r="2871" spans="1:10" ht="48" customHeight="1">
      <c r="A2871" s="682" t="s">
        <v>13476</v>
      </c>
      <c r="B2871" s="683" t="s">
        <v>14481</v>
      </c>
      <c r="C2871" s="682" t="s">
        <v>7</v>
      </c>
      <c r="D2871" s="682" t="s">
        <v>5854</v>
      </c>
      <c r="E2871" s="917" t="s">
        <v>13474</v>
      </c>
      <c r="F2871" s="917"/>
      <c r="G2871" s="681" t="s">
        <v>14</v>
      </c>
      <c r="H2871" s="680">
        <v>1</v>
      </c>
      <c r="I2871" s="679">
        <v>148.06</v>
      </c>
      <c r="J2871" s="679">
        <v>148.06</v>
      </c>
    </row>
    <row r="2872" spans="1:10" ht="24" customHeight="1">
      <c r="A2872" s="677" t="s">
        <v>13472</v>
      </c>
      <c r="B2872" s="678" t="s">
        <v>13526</v>
      </c>
      <c r="C2872" s="677" t="s">
        <v>7</v>
      </c>
      <c r="D2872" s="677" t="s">
        <v>1093</v>
      </c>
      <c r="E2872" s="918" t="s">
        <v>13470</v>
      </c>
      <c r="F2872" s="918"/>
      <c r="G2872" s="676" t="s">
        <v>19</v>
      </c>
      <c r="H2872" s="675">
        <v>0.245</v>
      </c>
      <c r="I2872" s="674">
        <v>13.48</v>
      </c>
      <c r="J2872" s="674">
        <v>3.3</v>
      </c>
    </row>
    <row r="2873" spans="1:10" ht="24" customHeight="1">
      <c r="A2873" s="677" t="s">
        <v>13472</v>
      </c>
      <c r="B2873" s="678" t="s">
        <v>13473</v>
      </c>
      <c r="C2873" s="677" t="s">
        <v>7</v>
      </c>
      <c r="D2873" s="677" t="s">
        <v>44</v>
      </c>
      <c r="E2873" s="918" t="s">
        <v>13470</v>
      </c>
      <c r="F2873" s="918"/>
      <c r="G2873" s="676" t="s">
        <v>19</v>
      </c>
      <c r="H2873" s="675">
        <v>0.245</v>
      </c>
      <c r="I2873" s="674">
        <v>17.66</v>
      </c>
      <c r="J2873" s="674">
        <v>4.32</v>
      </c>
    </row>
    <row r="2874" spans="1:10" ht="36" customHeight="1">
      <c r="A2874" s="672" t="s">
        <v>13467</v>
      </c>
      <c r="B2874" s="673" t="s">
        <v>14480</v>
      </c>
      <c r="C2874" s="672" t="s">
        <v>7</v>
      </c>
      <c r="D2874" s="672" t="s">
        <v>14479</v>
      </c>
      <c r="E2874" s="919" t="s">
        <v>13464</v>
      </c>
      <c r="F2874" s="919"/>
      <c r="G2874" s="671" t="s">
        <v>14</v>
      </c>
      <c r="H2874" s="670">
        <v>1.0389999999999999</v>
      </c>
      <c r="I2874" s="669">
        <v>135.16999999999999</v>
      </c>
      <c r="J2874" s="669">
        <v>140.44</v>
      </c>
    </row>
    <row r="2875" spans="1:10" ht="25.5">
      <c r="A2875" s="668"/>
      <c r="B2875" s="668"/>
      <c r="C2875" s="668"/>
      <c r="D2875" s="668"/>
      <c r="E2875" s="668" t="s">
        <v>13463</v>
      </c>
      <c r="F2875" s="667">
        <v>3.243507551885255</v>
      </c>
      <c r="G2875" s="668" t="s">
        <v>13462</v>
      </c>
      <c r="H2875" s="667">
        <v>2.73</v>
      </c>
      <c r="I2875" s="668" t="s">
        <v>13461</v>
      </c>
      <c r="J2875" s="667">
        <v>5.97</v>
      </c>
    </row>
    <row r="2876" spans="1:10" ht="15" thickBot="1">
      <c r="A2876" s="668"/>
      <c r="B2876" s="668"/>
      <c r="C2876" s="668"/>
      <c r="D2876" s="668"/>
      <c r="E2876" s="668" t="s">
        <v>13460</v>
      </c>
      <c r="F2876" s="667">
        <v>41.81</v>
      </c>
      <c r="G2876" s="668"/>
      <c r="H2876" s="925" t="s">
        <v>13459</v>
      </c>
      <c r="I2876" s="925"/>
      <c r="J2876" s="667">
        <v>189.87</v>
      </c>
    </row>
    <row r="2877" spans="1:10" ht="0.95" customHeight="1" thickTop="1">
      <c r="A2877" s="666"/>
      <c r="B2877" s="666"/>
      <c r="C2877" s="666"/>
      <c r="D2877" s="666"/>
      <c r="E2877" s="666"/>
      <c r="F2877" s="666"/>
      <c r="G2877" s="666"/>
      <c r="H2877" s="666"/>
      <c r="I2877" s="666"/>
      <c r="J2877" s="666"/>
    </row>
    <row r="2878" spans="1:10" ht="18" customHeight="1">
      <c r="A2878" s="686" t="s">
        <v>14478</v>
      </c>
      <c r="B2878" s="684" t="s">
        <v>13484</v>
      </c>
      <c r="C2878" s="686" t="s">
        <v>13483</v>
      </c>
      <c r="D2878" s="686" t="s">
        <v>13482</v>
      </c>
      <c r="E2878" s="924" t="s">
        <v>13481</v>
      </c>
      <c r="F2878" s="924"/>
      <c r="G2878" s="685" t="s">
        <v>13480</v>
      </c>
      <c r="H2878" s="684" t="s">
        <v>13479</v>
      </c>
      <c r="I2878" s="684" t="s">
        <v>13478</v>
      </c>
      <c r="J2878" s="684" t="s">
        <v>13477</v>
      </c>
    </row>
    <row r="2879" spans="1:10" ht="36" customHeight="1">
      <c r="A2879" s="682" t="s">
        <v>13476</v>
      </c>
      <c r="B2879" s="683" t="s">
        <v>14477</v>
      </c>
      <c r="C2879" s="682" t="s">
        <v>7</v>
      </c>
      <c r="D2879" s="682" t="s">
        <v>5935</v>
      </c>
      <c r="E2879" s="917" t="s">
        <v>13474</v>
      </c>
      <c r="F2879" s="917"/>
      <c r="G2879" s="681" t="s">
        <v>34</v>
      </c>
      <c r="H2879" s="680">
        <v>1</v>
      </c>
      <c r="I2879" s="679">
        <v>141.19</v>
      </c>
      <c r="J2879" s="679">
        <v>141.19</v>
      </c>
    </row>
    <row r="2880" spans="1:10" ht="24" customHeight="1">
      <c r="A2880" s="677" t="s">
        <v>13472</v>
      </c>
      <c r="B2880" s="678" t="s">
        <v>13526</v>
      </c>
      <c r="C2880" s="677" t="s">
        <v>7</v>
      </c>
      <c r="D2880" s="677" t="s">
        <v>1093</v>
      </c>
      <c r="E2880" s="918" t="s">
        <v>13470</v>
      </c>
      <c r="F2880" s="918"/>
      <c r="G2880" s="676" t="s">
        <v>19</v>
      </c>
      <c r="H2880" s="675">
        <v>1.4710000000000001</v>
      </c>
      <c r="I2880" s="674">
        <v>13.48</v>
      </c>
      <c r="J2880" s="674">
        <v>19.82</v>
      </c>
    </row>
    <row r="2881" spans="1:10" ht="24" customHeight="1">
      <c r="A2881" s="677" t="s">
        <v>13472</v>
      </c>
      <c r="B2881" s="678" t="s">
        <v>13473</v>
      </c>
      <c r="C2881" s="677" t="s">
        <v>7</v>
      </c>
      <c r="D2881" s="677" t="s">
        <v>44</v>
      </c>
      <c r="E2881" s="918" t="s">
        <v>13470</v>
      </c>
      <c r="F2881" s="918"/>
      <c r="G2881" s="676" t="s">
        <v>19</v>
      </c>
      <c r="H2881" s="675">
        <v>1.4710000000000001</v>
      </c>
      <c r="I2881" s="674">
        <v>17.66</v>
      </c>
      <c r="J2881" s="674">
        <v>25.97</v>
      </c>
    </row>
    <row r="2882" spans="1:10" ht="24" customHeight="1">
      <c r="A2882" s="672" t="s">
        <v>13467</v>
      </c>
      <c r="B2882" s="673" t="s">
        <v>13534</v>
      </c>
      <c r="C2882" s="672" t="s">
        <v>7</v>
      </c>
      <c r="D2882" s="672" t="s">
        <v>13533</v>
      </c>
      <c r="E2882" s="919" t="s">
        <v>13464</v>
      </c>
      <c r="F2882" s="919"/>
      <c r="G2882" s="671" t="s">
        <v>34</v>
      </c>
      <c r="H2882" s="670">
        <v>4.4999999999999998E-2</v>
      </c>
      <c r="I2882" s="669">
        <v>18.440000000000001</v>
      </c>
      <c r="J2882" s="669">
        <v>0.82</v>
      </c>
    </row>
    <row r="2883" spans="1:10" ht="24" customHeight="1">
      <c r="A2883" s="672" t="s">
        <v>13467</v>
      </c>
      <c r="B2883" s="673" t="s">
        <v>14209</v>
      </c>
      <c r="C2883" s="672" t="s">
        <v>7</v>
      </c>
      <c r="D2883" s="672" t="s">
        <v>14208</v>
      </c>
      <c r="E2883" s="919" t="s">
        <v>13464</v>
      </c>
      <c r="F2883" s="919"/>
      <c r="G2883" s="671" t="s">
        <v>50</v>
      </c>
      <c r="H2883" s="670">
        <v>1.0999999999999999E-2</v>
      </c>
      <c r="I2883" s="669">
        <v>26.96</v>
      </c>
      <c r="J2883" s="669">
        <v>0.28999999999999998</v>
      </c>
    </row>
    <row r="2884" spans="1:10" ht="24" customHeight="1">
      <c r="A2884" s="672" t="s">
        <v>13467</v>
      </c>
      <c r="B2884" s="673" t="s">
        <v>14476</v>
      </c>
      <c r="C2884" s="672" t="s">
        <v>7</v>
      </c>
      <c r="D2884" s="672" t="s">
        <v>14475</v>
      </c>
      <c r="E2884" s="919" t="s">
        <v>13464</v>
      </c>
      <c r="F2884" s="919"/>
      <c r="G2884" s="671" t="s">
        <v>34</v>
      </c>
      <c r="H2884" s="670">
        <v>1</v>
      </c>
      <c r="I2884" s="669">
        <v>94.29</v>
      </c>
      <c r="J2884" s="669">
        <v>94.29</v>
      </c>
    </row>
    <row r="2885" spans="1:10" ht="25.5">
      <c r="A2885" s="668"/>
      <c r="B2885" s="668"/>
      <c r="C2885" s="668"/>
      <c r="D2885" s="668"/>
      <c r="E2885" s="668" t="s">
        <v>13463</v>
      </c>
      <c r="F2885" s="667">
        <v>19.509942410083667</v>
      </c>
      <c r="G2885" s="668" t="s">
        <v>13462</v>
      </c>
      <c r="H2885" s="667">
        <v>16.399999999999999</v>
      </c>
      <c r="I2885" s="668" t="s">
        <v>13461</v>
      </c>
      <c r="J2885" s="667">
        <v>35.909999999999997</v>
      </c>
    </row>
    <row r="2886" spans="1:10" ht="15" thickBot="1">
      <c r="A2886" s="668"/>
      <c r="B2886" s="668"/>
      <c r="C2886" s="668"/>
      <c r="D2886" s="668"/>
      <c r="E2886" s="668" t="s">
        <v>13460</v>
      </c>
      <c r="F2886" s="667">
        <v>39.869999999999997</v>
      </c>
      <c r="G2886" s="668"/>
      <c r="H2886" s="925" t="s">
        <v>13459</v>
      </c>
      <c r="I2886" s="925"/>
      <c r="J2886" s="667">
        <v>181.06</v>
      </c>
    </row>
    <row r="2887" spans="1:10" ht="0.95" customHeight="1" thickTop="1">
      <c r="A2887" s="666"/>
      <c r="B2887" s="666"/>
      <c r="C2887" s="666"/>
      <c r="D2887" s="666"/>
      <c r="E2887" s="666"/>
      <c r="F2887" s="666"/>
      <c r="G2887" s="666"/>
      <c r="H2887" s="666"/>
      <c r="I2887" s="666"/>
      <c r="J2887" s="666"/>
    </row>
    <row r="2888" spans="1:10" ht="18" customHeight="1">
      <c r="A2888" s="686" t="s">
        <v>14474</v>
      </c>
      <c r="B2888" s="684" t="s">
        <v>13484</v>
      </c>
      <c r="C2888" s="686" t="s">
        <v>13483</v>
      </c>
      <c r="D2888" s="686" t="s">
        <v>13482</v>
      </c>
      <c r="E2888" s="924" t="s">
        <v>13481</v>
      </c>
      <c r="F2888" s="924"/>
      <c r="G2888" s="685" t="s">
        <v>13480</v>
      </c>
      <c r="H2888" s="684" t="s">
        <v>13479</v>
      </c>
      <c r="I2888" s="684" t="s">
        <v>13478</v>
      </c>
      <c r="J2888" s="684" t="s">
        <v>13477</v>
      </c>
    </row>
    <row r="2889" spans="1:10" ht="48" customHeight="1">
      <c r="A2889" s="682" t="s">
        <v>13476</v>
      </c>
      <c r="B2889" s="683" t="s">
        <v>14473</v>
      </c>
      <c r="C2889" s="682" t="s">
        <v>7</v>
      </c>
      <c r="D2889" s="682" t="s">
        <v>5989</v>
      </c>
      <c r="E2889" s="917" t="s">
        <v>13474</v>
      </c>
      <c r="F2889" s="917"/>
      <c r="G2889" s="681" t="s">
        <v>34</v>
      </c>
      <c r="H2889" s="680">
        <v>1</v>
      </c>
      <c r="I2889" s="679">
        <v>149.78</v>
      </c>
      <c r="J2889" s="679">
        <v>149.78</v>
      </c>
    </row>
    <row r="2890" spans="1:10" ht="24" customHeight="1">
      <c r="A2890" s="677" t="s">
        <v>13472</v>
      </c>
      <c r="B2890" s="678" t="s">
        <v>13526</v>
      </c>
      <c r="C2890" s="677" t="s">
        <v>7</v>
      </c>
      <c r="D2890" s="677" t="s">
        <v>1093</v>
      </c>
      <c r="E2890" s="918" t="s">
        <v>13470</v>
      </c>
      <c r="F2890" s="918"/>
      <c r="G2890" s="676" t="s">
        <v>19</v>
      </c>
      <c r="H2890" s="675">
        <v>0.73599999999999999</v>
      </c>
      <c r="I2890" s="674">
        <v>13.48</v>
      </c>
      <c r="J2890" s="674">
        <v>9.92</v>
      </c>
    </row>
    <row r="2891" spans="1:10" ht="24" customHeight="1">
      <c r="A2891" s="677" t="s">
        <v>13472</v>
      </c>
      <c r="B2891" s="678" t="s">
        <v>13473</v>
      </c>
      <c r="C2891" s="677" t="s">
        <v>7</v>
      </c>
      <c r="D2891" s="677" t="s">
        <v>44</v>
      </c>
      <c r="E2891" s="918" t="s">
        <v>13470</v>
      </c>
      <c r="F2891" s="918"/>
      <c r="G2891" s="676" t="s">
        <v>19</v>
      </c>
      <c r="H2891" s="675">
        <v>0.73599999999999999</v>
      </c>
      <c r="I2891" s="674">
        <v>17.66</v>
      </c>
      <c r="J2891" s="674">
        <v>12.99</v>
      </c>
    </row>
    <row r="2892" spans="1:10" ht="24" customHeight="1">
      <c r="A2892" s="672" t="s">
        <v>13467</v>
      </c>
      <c r="B2892" s="673" t="s">
        <v>13534</v>
      </c>
      <c r="C2892" s="672" t="s">
        <v>7</v>
      </c>
      <c r="D2892" s="672" t="s">
        <v>13533</v>
      </c>
      <c r="E2892" s="919" t="s">
        <v>13464</v>
      </c>
      <c r="F2892" s="919"/>
      <c r="G2892" s="671" t="s">
        <v>34</v>
      </c>
      <c r="H2892" s="670">
        <v>0.03</v>
      </c>
      <c r="I2892" s="669">
        <v>18.440000000000001</v>
      </c>
      <c r="J2892" s="669">
        <v>0.55000000000000004</v>
      </c>
    </row>
    <row r="2893" spans="1:10" ht="24" customHeight="1">
      <c r="A2893" s="672" t="s">
        <v>13467</v>
      </c>
      <c r="B2893" s="673" t="s">
        <v>14209</v>
      </c>
      <c r="C2893" s="672" t="s">
        <v>7</v>
      </c>
      <c r="D2893" s="672" t="s">
        <v>14208</v>
      </c>
      <c r="E2893" s="919" t="s">
        <v>13464</v>
      </c>
      <c r="F2893" s="919"/>
      <c r="G2893" s="671" t="s">
        <v>50</v>
      </c>
      <c r="H2893" s="670">
        <v>7.0000000000000001E-3</v>
      </c>
      <c r="I2893" s="669">
        <v>26.96</v>
      </c>
      <c r="J2893" s="669">
        <v>0.18</v>
      </c>
    </row>
    <row r="2894" spans="1:10" ht="24" customHeight="1">
      <c r="A2894" s="672" t="s">
        <v>13467</v>
      </c>
      <c r="B2894" s="673" t="s">
        <v>14472</v>
      </c>
      <c r="C2894" s="672" t="s">
        <v>7</v>
      </c>
      <c r="D2894" s="672" t="s">
        <v>14471</v>
      </c>
      <c r="E2894" s="919" t="s">
        <v>13464</v>
      </c>
      <c r="F2894" s="919"/>
      <c r="G2894" s="671" t="s">
        <v>34</v>
      </c>
      <c r="H2894" s="670">
        <v>1</v>
      </c>
      <c r="I2894" s="669">
        <v>126.14</v>
      </c>
      <c r="J2894" s="669">
        <v>126.14</v>
      </c>
    </row>
    <row r="2895" spans="1:10" ht="25.5">
      <c r="A2895" s="668"/>
      <c r="B2895" s="668"/>
      <c r="C2895" s="668"/>
      <c r="D2895" s="668"/>
      <c r="E2895" s="668" t="s">
        <v>13463</v>
      </c>
      <c r="F2895" s="667">
        <v>9.7576877105291757</v>
      </c>
      <c r="G2895" s="668" t="s">
        <v>13462</v>
      </c>
      <c r="H2895" s="667">
        <v>8.1999999999999993</v>
      </c>
      <c r="I2895" s="668" t="s">
        <v>13461</v>
      </c>
      <c r="J2895" s="667">
        <v>17.96</v>
      </c>
    </row>
    <row r="2896" spans="1:10" ht="15" thickBot="1">
      <c r="A2896" s="668"/>
      <c r="B2896" s="668"/>
      <c r="C2896" s="668"/>
      <c r="D2896" s="668"/>
      <c r="E2896" s="668" t="s">
        <v>13460</v>
      </c>
      <c r="F2896" s="667">
        <v>42.29</v>
      </c>
      <c r="G2896" s="668"/>
      <c r="H2896" s="925" t="s">
        <v>13459</v>
      </c>
      <c r="I2896" s="925"/>
      <c r="J2896" s="667">
        <v>192.07</v>
      </c>
    </row>
    <row r="2897" spans="1:10" ht="0.95" customHeight="1" thickTop="1">
      <c r="A2897" s="666"/>
      <c r="B2897" s="666"/>
      <c r="C2897" s="666"/>
      <c r="D2897" s="666"/>
      <c r="E2897" s="666"/>
      <c r="F2897" s="666"/>
      <c r="G2897" s="666"/>
      <c r="H2897" s="666"/>
      <c r="I2897" s="666"/>
      <c r="J2897" s="666"/>
    </row>
    <row r="2898" spans="1:10" ht="18" customHeight="1">
      <c r="A2898" s="686" t="s">
        <v>14470</v>
      </c>
      <c r="B2898" s="684" t="s">
        <v>13484</v>
      </c>
      <c r="C2898" s="686" t="s">
        <v>13483</v>
      </c>
      <c r="D2898" s="686" t="s">
        <v>13482</v>
      </c>
      <c r="E2898" s="924" t="s">
        <v>13481</v>
      </c>
      <c r="F2898" s="924"/>
      <c r="G2898" s="685" t="s">
        <v>13480</v>
      </c>
      <c r="H2898" s="684" t="s">
        <v>13479</v>
      </c>
      <c r="I2898" s="684" t="s">
        <v>13478</v>
      </c>
      <c r="J2898" s="684" t="s">
        <v>13477</v>
      </c>
    </row>
    <row r="2899" spans="1:10" ht="60" customHeight="1">
      <c r="A2899" s="682" t="s">
        <v>13476</v>
      </c>
      <c r="B2899" s="683" t="s">
        <v>14469</v>
      </c>
      <c r="C2899" s="682" t="s">
        <v>7</v>
      </c>
      <c r="D2899" s="682" t="s">
        <v>5823</v>
      </c>
      <c r="E2899" s="917" t="s">
        <v>14426</v>
      </c>
      <c r="F2899" s="917"/>
      <c r="G2899" s="681" t="s">
        <v>34</v>
      </c>
      <c r="H2899" s="680">
        <v>1</v>
      </c>
      <c r="I2899" s="679">
        <v>1244.3699999999999</v>
      </c>
      <c r="J2899" s="679">
        <v>1244.3699999999999</v>
      </c>
    </row>
    <row r="2900" spans="1:10" ht="24" customHeight="1">
      <c r="A2900" s="677" t="s">
        <v>13472</v>
      </c>
      <c r="B2900" s="678" t="s">
        <v>13526</v>
      </c>
      <c r="C2900" s="677" t="s">
        <v>7</v>
      </c>
      <c r="D2900" s="677" t="s">
        <v>1093</v>
      </c>
      <c r="E2900" s="918" t="s">
        <v>13470</v>
      </c>
      <c r="F2900" s="918"/>
      <c r="G2900" s="676" t="s">
        <v>19</v>
      </c>
      <c r="H2900" s="675">
        <v>3.0369999999999999</v>
      </c>
      <c r="I2900" s="674">
        <v>13.48</v>
      </c>
      <c r="J2900" s="674">
        <v>40.93</v>
      </c>
    </row>
    <row r="2901" spans="1:10" ht="24" customHeight="1">
      <c r="A2901" s="677" t="s">
        <v>13472</v>
      </c>
      <c r="B2901" s="678" t="s">
        <v>13473</v>
      </c>
      <c r="C2901" s="677" t="s">
        <v>7</v>
      </c>
      <c r="D2901" s="677" t="s">
        <v>44</v>
      </c>
      <c r="E2901" s="918" t="s">
        <v>13470</v>
      </c>
      <c r="F2901" s="918"/>
      <c r="G2901" s="676" t="s">
        <v>19</v>
      </c>
      <c r="H2901" s="675">
        <v>3.0369999999999999</v>
      </c>
      <c r="I2901" s="674">
        <v>17.66</v>
      </c>
      <c r="J2901" s="674">
        <v>53.63</v>
      </c>
    </row>
    <row r="2902" spans="1:10" ht="36" customHeight="1">
      <c r="A2902" s="672" t="s">
        <v>13467</v>
      </c>
      <c r="B2902" s="673" t="s">
        <v>14468</v>
      </c>
      <c r="C2902" s="672" t="s">
        <v>7</v>
      </c>
      <c r="D2902" s="672" t="s">
        <v>14467</v>
      </c>
      <c r="E2902" s="919" t="s">
        <v>13464</v>
      </c>
      <c r="F2902" s="919"/>
      <c r="G2902" s="671" t="s">
        <v>34</v>
      </c>
      <c r="H2902" s="670">
        <v>1</v>
      </c>
      <c r="I2902" s="669">
        <v>66.8</v>
      </c>
      <c r="J2902" s="669">
        <v>66.8</v>
      </c>
    </row>
    <row r="2903" spans="1:10" ht="60" customHeight="1">
      <c r="A2903" s="672" t="s">
        <v>13467</v>
      </c>
      <c r="B2903" s="673" t="s">
        <v>14466</v>
      </c>
      <c r="C2903" s="672" t="s">
        <v>7</v>
      </c>
      <c r="D2903" s="672" t="s">
        <v>14465</v>
      </c>
      <c r="E2903" s="919" t="s">
        <v>13464</v>
      </c>
      <c r="F2903" s="919"/>
      <c r="G2903" s="671" t="s">
        <v>34</v>
      </c>
      <c r="H2903" s="670">
        <v>1</v>
      </c>
      <c r="I2903" s="669">
        <v>291.52999999999997</v>
      </c>
      <c r="J2903" s="669">
        <v>291.52999999999997</v>
      </c>
    </row>
    <row r="2904" spans="1:10" ht="36" customHeight="1">
      <c r="A2904" s="672" t="s">
        <v>13467</v>
      </c>
      <c r="B2904" s="673" t="s">
        <v>14425</v>
      </c>
      <c r="C2904" s="672" t="s">
        <v>7</v>
      </c>
      <c r="D2904" s="672" t="s">
        <v>14424</v>
      </c>
      <c r="E2904" s="919" t="s">
        <v>13464</v>
      </c>
      <c r="F2904" s="919"/>
      <c r="G2904" s="671" t="s">
        <v>34</v>
      </c>
      <c r="H2904" s="670">
        <v>4</v>
      </c>
      <c r="I2904" s="669">
        <v>0.42</v>
      </c>
      <c r="J2904" s="669">
        <v>1.68</v>
      </c>
    </row>
    <row r="2905" spans="1:10" ht="36" customHeight="1">
      <c r="A2905" s="672" t="s">
        <v>13467</v>
      </c>
      <c r="B2905" s="673" t="s">
        <v>14464</v>
      </c>
      <c r="C2905" s="672" t="s">
        <v>7</v>
      </c>
      <c r="D2905" s="672" t="s">
        <v>14463</v>
      </c>
      <c r="E2905" s="919" t="s">
        <v>13464</v>
      </c>
      <c r="F2905" s="919"/>
      <c r="G2905" s="671" t="s">
        <v>34</v>
      </c>
      <c r="H2905" s="670">
        <v>1</v>
      </c>
      <c r="I2905" s="669">
        <v>14.52</v>
      </c>
      <c r="J2905" s="669">
        <v>14.52</v>
      </c>
    </row>
    <row r="2906" spans="1:10" ht="24" customHeight="1">
      <c r="A2906" s="672" t="s">
        <v>13467</v>
      </c>
      <c r="B2906" s="673" t="s">
        <v>14462</v>
      </c>
      <c r="C2906" s="672" t="s">
        <v>7</v>
      </c>
      <c r="D2906" s="672" t="s">
        <v>14461</v>
      </c>
      <c r="E2906" s="919" t="s">
        <v>13464</v>
      </c>
      <c r="F2906" s="919"/>
      <c r="G2906" s="671" t="s">
        <v>34</v>
      </c>
      <c r="H2906" s="670">
        <v>1</v>
      </c>
      <c r="I2906" s="669">
        <v>217.85</v>
      </c>
      <c r="J2906" s="669">
        <v>217.85</v>
      </c>
    </row>
    <row r="2907" spans="1:10" ht="48" customHeight="1">
      <c r="A2907" s="672" t="s">
        <v>13467</v>
      </c>
      <c r="B2907" s="673" t="s">
        <v>14460</v>
      </c>
      <c r="C2907" s="672" t="s">
        <v>7</v>
      </c>
      <c r="D2907" s="672" t="s">
        <v>14459</v>
      </c>
      <c r="E2907" s="919" t="s">
        <v>13464</v>
      </c>
      <c r="F2907" s="919"/>
      <c r="G2907" s="671" t="s">
        <v>34</v>
      </c>
      <c r="H2907" s="670">
        <v>1</v>
      </c>
      <c r="I2907" s="669">
        <v>404.93</v>
      </c>
      <c r="J2907" s="669">
        <v>404.93</v>
      </c>
    </row>
    <row r="2908" spans="1:10" ht="48" customHeight="1">
      <c r="A2908" s="672" t="s">
        <v>13467</v>
      </c>
      <c r="B2908" s="673" t="s">
        <v>14458</v>
      </c>
      <c r="C2908" s="672" t="s">
        <v>7</v>
      </c>
      <c r="D2908" s="672" t="s">
        <v>14457</v>
      </c>
      <c r="E2908" s="919" t="s">
        <v>13464</v>
      </c>
      <c r="F2908" s="919"/>
      <c r="G2908" s="671" t="s">
        <v>34</v>
      </c>
      <c r="H2908" s="670">
        <v>1</v>
      </c>
      <c r="I2908" s="669">
        <v>152.5</v>
      </c>
      <c r="J2908" s="669">
        <v>152.5</v>
      </c>
    </row>
    <row r="2909" spans="1:10" ht="25.5">
      <c r="A2909" s="668"/>
      <c r="B2909" s="668"/>
      <c r="C2909" s="668"/>
      <c r="D2909" s="668"/>
      <c r="E2909" s="668" t="s">
        <v>13463</v>
      </c>
      <c r="F2909" s="667">
        <v>40.285776377268284</v>
      </c>
      <c r="G2909" s="668" t="s">
        <v>13462</v>
      </c>
      <c r="H2909" s="667">
        <v>33.86</v>
      </c>
      <c r="I2909" s="668" t="s">
        <v>13461</v>
      </c>
      <c r="J2909" s="667">
        <v>74.150000000000006</v>
      </c>
    </row>
    <row r="2910" spans="1:10" ht="15" thickBot="1">
      <c r="A2910" s="668"/>
      <c r="B2910" s="668"/>
      <c r="C2910" s="668"/>
      <c r="D2910" s="668"/>
      <c r="E2910" s="668" t="s">
        <v>13460</v>
      </c>
      <c r="F2910" s="667">
        <v>351.41</v>
      </c>
      <c r="G2910" s="668"/>
      <c r="H2910" s="925" t="s">
        <v>13459</v>
      </c>
      <c r="I2910" s="925"/>
      <c r="J2910" s="667">
        <v>1595.78</v>
      </c>
    </row>
    <row r="2911" spans="1:10" ht="0.95" customHeight="1" thickTop="1">
      <c r="A2911" s="666"/>
      <c r="B2911" s="666"/>
      <c r="C2911" s="666"/>
      <c r="D2911" s="666"/>
      <c r="E2911" s="666"/>
      <c r="F2911" s="666"/>
      <c r="G2911" s="666"/>
      <c r="H2911" s="666"/>
      <c r="I2911" s="666"/>
      <c r="J2911" s="666"/>
    </row>
    <row r="2912" spans="1:10" ht="18" customHeight="1">
      <c r="A2912" s="686" t="s">
        <v>14456</v>
      </c>
      <c r="B2912" s="684" t="s">
        <v>13484</v>
      </c>
      <c r="C2912" s="686" t="s">
        <v>13483</v>
      </c>
      <c r="D2912" s="686" t="s">
        <v>13482</v>
      </c>
      <c r="E2912" s="924" t="s">
        <v>13481</v>
      </c>
      <c r="F2912" s="924"/>
      <c r="G2912" s="685" t="s">
        <v>13480</v>
      </c>
      <c r="H2912" s="684" t="s">
        <v>13479</v>
      </c>
      <c r="I2912" s="684" t="s">
        <v>13478</v>
      </c>
      <c r="J2912" s="684" t="s">
        <v>13477</v>
      </c>
    </row>
    <row r="2913" spans="1:10" ht="48" customHeight="1">
      <c r="A2913" s="682" t="s">
        <v>13476</v>
      </c>
      <c r="B2913" s="683" t="s">
        <v>14455</v>
      </c>
      <c r="C2913" s="682" t="s">
        <v>7</v>
      </c>
      <c r="D2913" s="682" t="s">
        <v>2544</v>
      </c>
      <c r="E2913" s="917" t="s">
        <v>13474</v>
      </c>
      <c r="F2913" s="917"/>
      <c r="G2913" s="681" t="s">
        <v>34</v>
      </c>
      <c r="H2913" s="680">
        <v>1</v>
      </c>
      <c r="I2913" s="679">
        <v>146.56</v>
      </c>
      <c r="J2913" s="679">
        <v>146.56</v>
      </c>
    </row>
    <row r="2914" spans="1:10" ht="24" customHeight="1">
      <c r="A2914" s="677" t="s">
        <v>13472</v>
      </c>
      <c r="B2914" s="678" t="s">
        <v>13526</v>
      </c>
      <c r="C2914" s="677" t="s">
        <v>7</v>
      </c>
      <c r="D2914" s="677" t="s">
        <v>1093</v>
      </c>
      <c r="E2914" s="918" t="s">
        <v>13470</v>
      </c>
      <c r="F2914" s="918"/>
      <c r="G2914" s="676" t="s">
        <v>19</v>
      </c>
      <c r="H2914" s="675">
        <v>0.81799999999999995</v>
      </c>
      <c r="I2914" s="674">
        <v>13.48</v>
      </c>
      <c r="J2914" s="674">
        <v>11.02</v>
      </c>
    </row>
    <row r="2915" spans="1:10" ht="24" customHeight="1">
      <c r="A2915" s="677" t="s">
        <v>13472</v>
      </c>
      <c r="B2915" s="678" t="s">
        <v>13473</v>
      </c>
      <c r="C2915" s="677" t="s">
        <v>7</v>
      </c>
      <c r="D2915" s="677" t="s">
        <v>44</v>
      </c>
      <c r="E2915" s="918" t="s">
        <v>13470</v>
      </c>
      <c r="F2915" s="918"/>
      <c r="G2915" s="676" t="s">
        <v>19</v>
      </c>
      <c r="H2915" s="675">
        <v>0.81799999999999995</v>
      </c>
      <c r="I2915" s="674">
        <v>17.66</v>
      </c>
      <c r="J2915" s="674">
        <v>14.44</v>
      </c>
    </row>
    <row r="2916" spans="1:10" ht="24" customHeight="1">
      <c r="A2916" s="672" t="s">
        <v>13467</v>
      </c>
      <c r="B2916" s="673" t="s">
        <v>13534</v>
      </c>
      <c r="C2916" s="672" t="s">
        <v>7</v>
      </c>
      <c r="D2916" s="672" t="s">
        <v>13533</v>
      </c>
      <c r="E2916" s="919" t="s">
        <v>13464</v>
      </c>
      <c r="F2916" s="919"/>
      <c r="G2916" s="671" t="s">
        <v>34</v>
      </c>
      <c r="H2916" s="670">
        <v>3.7999999999999999E-2</v>
      </c>
      <c r="I2916" s="669">
        <v>18.440000000000001</v>
      </c>
      <c r="J2916" s="669">
        <v>0.7</v>
      </c>
    </row>
    <row r="2917" spans="1:10" ht="24" customHeight="1">
      <c r="A2917" s="672" t="s">
        <v>13467</v>
      </c>
      <c r="B2917" s="673" t="s">
        <v>14454</v>
      </c>
      <c r="C2917" s="672" t="s">
        <v>7</v>
      </c>
      <c r="D2917" s="672" t="s">
        <v>14453</v>
      </c>
      <c r="E2917" s="919" t="s">
        <v>13464</v>
      </c>
      <c r="F2917" s="919"/>
      <c r="G2917" s="671" t="s">
        <v>34</v>
      </c>
      <c r="H2917" s="670">
        <v>1</v>
      </c>
      <c r="I2917" s="669">
        <v>120.4</v>
      </c>
      <c r="J2917" s="669">
        <v>120.4</v>
      </c>
    </row>
    <row r="2918" spans="1:10" ht="25.5">
      <c r="A2918" s="668"/>
      <c r="B2918" s="668"/>
      <c r="C2918" s="668"/>
      <c r="D2918" s="668"/>
      <c r="E2918" s="668" t="s">
        <v>13463</v>
      </c>
      <c r="F2918" s="667">
        <v>10.84428990546561</v>
      </c>
      <c r="G2918" s="668" t="s">
        <v>13462</v>
      </c>
      <c r="H2918" s="667">
        <v>9.1199999999999992</v>
      </c>
      <c r="I2918" s="668" t="s">
        <v>13461</v>
      </c>
      <c r="J2918" s="667">
        <v>19.96</v>
      </c>
    </row>
    <row r="2919" spans="1:10" ht="15" thickBot="1">
      <c r="A2919" s="668"/>
      <c r="B2919" s="668"/>
      <c r="C2919" s="668"/>
      <c r="D2919" s="668"/>
      <c r="E2919" s="668" t="s">
        <v>13460</v>
      </c>
      <c r="F2919" s="667">
        <v>41.38</v>
      </c>
      <c r="G2919" s="668"/>
      <c r="H2919" s="925" t="s">
        <v>13459</v>
      </c>
      <c r="I2919" s="925"/>
      <c r="J2919" s="667">
        <v>187.94</v>
      </c>
    </row>
    <row r="2920" spans="1:10" ht="0.95" customHeight="1" thickTop="1">
      <c r="A2920" s="666"/>
      <c r="B2920" s="666"/>
      <c r="C2920" s="666"/>
      <c r="D2920" s="666"/>
      <c r="E2920" s="666"/>
      <c r="F2920" s="666"/>
      <c r="G2920" s="666"/>
      <c r="H2920" s="666"/>
      <c r="I2920" s="666"/>
      <c r="J2920" s="666"/>
    </row>
    <row r="2921" spans="1:10" ht="18" customHeight="1">
      <c r="A2921" s="686" t="s">
        <v>14452</v>
      </c>
      <c r="B2921" s="684" t="s">
        <v>13484</v>
      </c>
      <c r="C2921" s="686" t="s">
        <v>13483</v>
      </c>
      <c r="D2921" s="686" t="s">
        <v>13482</v>
      </c>
      <c r="E2921" s="924" t="s">
        <v>13481</v>
      </c>
      <c r="F2921" s="924"/>
      <c r="G2921" s="685" t="s">
        <v>13480</v>
      </c>
      <c r="H2921" s="684" t="s">
        <v>13479</v>
      </c>
      <c r="I2921" s="684" t="s">
        <v>13478</v>
      </c>
      <c r="J2921" s="684" t="s">
        <v>13477</v>
      </c>
    </row>
    <row r="2922" spans="1:10" ht="24" customHeight="1">
      <c r="A2922" s="682" t="s">
        <v>13476</v>
      </c>
      <c r="B2922" s="683" t="s">
        <v>14451</v>
      </c>
      <c r="C2922" s="682" t="s">
        <v>7</v>
      </c>
      <c r="D2922" s="682" t="s">
        <v>4057</v>
      </c>
      <c r="E2922" s="917" t="s">
        <v>13474</v>
      </c>
      <c r="F2922" s="917"/>
      <c r="G2922" s="681" t="s">
        <v>34</v>
      </c>
      <c r="H2922" s="680">
        <v>1</v>
      </c>
      <c r="I2922" s="679">
        <v>424.1</v>
      </c>
      <c r="J2922" s="679">
        <v>424.1</v>
      </c>
    </row>
    <row r="2923" spans="1:10" ht="24" customHeight="1">
      <c r="A2923" s="677" t="s">
        <v>13472</v>
      </c>
      <c r="B2923" s="678" t="s">
        <v>13526</v>
      </c>
      <c r="C2923" s="677" t="s">
        <v>7</v>
      </c>
      <c r="D2923" s="677" t="s">
        <v>1093</v>
      </c>
      <c r="E2923" s="918" t="s">
        <v>13470</v>
      </c>
      <c r="F2923" s="918"/>
      <c r="G2923" s="676" t="s">
        <v>19</v>
      </c>
      <c r="H2923" s="675">
        <v>0.81799999999999995</v>
      </c>
      <c r="I2923" s="674">
        <v>13.48</v>
      </c>
      <c r="J2923" s="674">
        <v>11.02</v>
      </c>
    </row>
    <row r="2924" spans="1:10" ht="24" customHeight="1">
      <c r="A2924" s="677" t="s">
        <v>13472</v>
      </c>
      <c r="B2924" s="678" t="s">
        <v>13473</v>
      </c>
      <c r="C2924" s="677" t="s">
        <v>7</v>
      </c>
      <c r="D2924" s="677" t="s">
        <v>44</v>
      </c>
      <c r="E2924" s="918" t="s">
        <v>13470</v>
      </c>
      <c r="F2924" s="918"/>
      <c r="G2924" s="676" t="s">
        <v>19</v>
      </c>
      <c r="H2924" s="675">
        <v>0.81799999999999995</v>
      </c>
      <c r="I2924" s="674">
        <v>17.66</v>
      </c>
      <c r="J2924" s="674">
        <v>14.44</v>
      </c>
    </row>
    <row r="2925" spans="1:10" ht="24" customHeight="1">
      <c r="A2925" s="672" t="s">
        <v>13467</v>
      </c>
      <c r="B2925" s="673" t="s">
        <v>13534</v>
      </c>
      <c r="C2925" s="672" t="s">
        <v>7</v>
      </c>
      <c r="D2925" s="672" t="s">
        <v>13533</v>
      </c>
      <c r="E2925" s="919" t="s">
        <v>13464</v>
      </c>
      <c r="F2925" s="919"/>
      <c r="G2925" s="671" t="s">
        <v>34</v>
      </c>
      <c r="H2925" s="670">
        <v>3.7999999999999999E-2</v>
      </c>
      <c r="I2925" s="669">
        <v>18.440000000000001</v>
      </c>
      <c r="J2925" s="669">
        <v>0.7</v>
      </c>
    </row>
    <row r="2926" spans="1:10" ht="36" customHeight="1">
      <c r="A2926" s="672" t="s">
        <v>13467</v>
      </c>
      <c r="B2926" s="673" t="s">
        <v>14450</v>
      </c>
      <c r="C2926" s="672" t="s">
        <v>7</v>
      </c>
      <c r="D2926" s="672" t="s">
        <v>14449</v>
      </c>
      <c r="E2926" s="919" t="s">
        <v>13464</v>
      </c>
      <c r="F2926" s="919"/>
      <c r="G2926" s="671" t="s">
        <v>34</v>
      </c>
      <c r="H2926" s="670">
        <v>1</v>
      </c>
      <c r="I2926" s="669">
        <v>397.94</v>
      </c>
      <c r="J2926" s="669">
        <v>397.94</v>
      </c>
    </row>
    <row r="2927" spans="1:10" ht="25.5">
      <c r="A2927" s="668"/>
      <c r="B2927" s="668"/>
      <c r="C2927" s="668"/>
      <c r="D2927" s="668"/>
      <c r="E2927" s="668" t="s">
        <v>13463</v>
      </c>
      <c r="F2927" s="667">
        <v>10.84428990546561</v>
      </c>
      <c r="G2927" s="668" t="s">
        <v>13462</v>
      </c>
      <c r="H2927" s="667">
        <v>9.1199999999999992</v>
      </c>
      <c r="I2927" s="668" t="s">
        <v>13461</v>
      </c>
      <c r="J2927" s="667">
        <v>19.96</v>
      </c>
    </row>
    <row r="2928" spans="1:10" ht="15" thickBot="1">
      <c r="A2928" s="668"/>
      <c r="B2928" s="668"/>
      <c r="C2928" s="668"/>
      <c r="D2928" s="668"/>
      <c r="E2928" s="668" t="s">
        <v>13460</v>
      </c>
      <c r="F2928" s="667">
        <v>119.76</v>
      </c>
      <c r="G2928" s="668"/>
      <c r="H2928" s="925" t="s">
        <v>13459</v>
      </c>
      <c r="I2928" s="925"/>
      <c r="J2928" s="667">
        <v>543.86</v>
      </c>
    </row>
    <row r="2929" spans="1:10" ht="0.95" customHeight="1" thickTop="1">
      <c r="A2929" s="666"/>
      <c r="B2929" s="666"/>
      <c r="C2929" s="666"/>
      <c r="D2929" s="666"/>
      <c r="E2929" s="666"/>
      <c r="F2929" s="666"/>
      <c r="G2929" s="666"/>
      <c r="H2929" s="666"/>
      <c r="I2929" s="666"/>
      <c r="J2929" s="666"/>
    </row>
    <row r="2930" spans="1:10" ht="18" customHeight="1">
      <c r="A2930" s="686" t="s">
        <v>14448</v>
      </c>
      <c r="B2930" s="684" t="s">
        <v>13484</v>
      </c>
      <c r="C2930" s="686" t="s">
        <v>13483</v>
      </c>
      <c r="D2930" s="686" t="s">
        <v>13482</v>
      </c>
      <c r="E2930" s="924" t="s">
        <v>13481</v>
      </c>
      <c r="F2930" s="924"/>
      <c r="G2930" s="685" t="s">
        <v>13480</v>
      </c>
      <c r="H2930" s="684" t="s">
        <v>13479</v>
      </c>
      <c r="I2930" s="684" t="s">
        <v>13478</v>
      </c>
      <c r="J2930" s="684" t="s">
        <v>13477</v>
      </c>
    </row>
    <row r="2931" spans="1:10" ht="36" customHeight="1">
      <c r="A2931" s="682" t="s">
        <v>13476</v>
      </c>
      <c r="B2931" s="683" t="s">
        <v>14447</v>
      </c>
      <c r="C2931" s="682" t="s">
        <v>7</v>
      </c>
      <c r="D2931" s="682" t="s">
        <v>7132</v>
      </c>
      <c r="E2931" s="917" t="s">
        <v>14130</v>
      </c>
      <c r="F2931" s="917"/>
      <c r="G2931" s="681" t="s">
        <v>13610</v>
      </c>
      <c r="H2931" s="680">
        <v>1</v>
      </c>
      <c r="I2931" s="679">
        <v>53.72</v>
      </c>
      <c r="J2931" s="679">
        <v>53.72</v>
      </c>
    </row>
    <row r="2932" spans="1:10" ht="24" customHeight="1">
      <c r="A2932" s="677" t="s">
        <v>13472</v>
      </c>
      <c r="B2932" s="678" t="s">
        <v>14140</v>
      </c>
      <c r="C2932" s="677" t="s">
        <v>7</v>
      </c>
      <c r="D2932" s="677" t="s">
        <v>169</v>
      </c>
      <c r="E2932" s="918" t="s">
        <v>13470</v>
      </c>
      <c r="F2932" s="918"/>
      <c r="G2932" s="676" t="s">
        <v>19</v>
      </c>
      <c r="H2932" s="675">
        <v>1.724</v>
      </c>
      <c r="I2932" s="674">
        <v>18.68</v>
      </c>
      <c r="J2932" s="674">
        <v>32.200000000000003</v>
      </c>
    </row>
    <row r="2933" spans="1:10" ht="24" customHeight="1">
      <c r="A2933" s="677" t="s">
        <v>13472</v>
      </c>
      <c r="B2933" s="678" t="s">
        <v>13471</v>
      </c>
      <c r="C2933" s="677" t="s">
        <v>7</v>
      </c>
      <c r="D2933" s="677" t="s">
        <v>21</v>
      </c>
      <c r="E2933" s="918" t="s">
        <v>13470</v>
      </c>
      <c r="F2933" s="918"/>
      <c r="G2933" s="676" t="s">
        <v>19</v>
      </c>
      <c r="H2933" s="675">
        <v>0.71799999999999997</v>
      </c>
      <c r="I2933" s="674">
        <v>14.02</v>
      </c>
      <c r="J2933" s="674">
        <v>10.06</v>
      </c>
    </row>
    <row r="2934" spans="1:10" ht="24" customHeight="1">
      <c r="A2934" s="672" t="s">
        <v>13467</v>
      </c>
      <c r="B2934" s="673" t="s">
        <v>14446</v>
      </c>
      <c r="C2934" s="672" t="s">
        <v>7</v>
      </c>
      <c r="D2934" s="672" t="s">
        <v>14445</v>
      </c>
      <c r="E2934" s="919" t="s">
        <v>13464</v>
      </c>
      <c r="F2934" s="919"/>
      <c r="G2934" s="671" t="s">
        <v>34</v>
      </c>
      <c r="H2934" s="670">
        <v>0.19</v>
      </c>
      <c r="I2934" s="669">
        <v>9.02</v>
      </c>
      <c r="J2934" s="669">
        <v>1.71</v>
      </c>
    </row>
    <row r="2935" spans="1:10" ht="24" customHeight="1">
      <c r="A2935" s="672" t="s">
        <v>13467</v>
      </c>
      <c r="B2935" s="673" t="s">
        <v>14444</v>
      </c>
      <c r="C2935" s="672" t="s">
        <v>7</v>
      </c>
      <c r="D2935" s="672" t="s">
        <v>14443</v>
      </c>
      <c r="E2935" s="919" t="s">
        <v>13464</v>
      </c>
      <c r="F2935" s="919"/>
      <c r="G2935" s="671" t="s">
        <v>34</v>
      </c>
      <c r="H2935" s="670">
        <v>0.06</v>
      </c>
      <c r="I2935" s="669">
        <v>0.7</v>
      </c>
      <c r="J2935" s="669">
        <v>0.04</v>
      </c>
    </row>
    <row r="2936" spans="1:10" ht="24" customHeight="1">
      <c r="A2936" s="672" t="s">
        <v>13467</v>
      </c>
      <c r="B2936" s="673" t="s">
        <v>14442</v>
      </c>
      <c r="C2936" s="672" t="s">
        <v>7</v>
      </c>
      <c r="D2936" s="672" t="s">
        <v>14441</v>
      </c>
      <c r="E2936" s="919" t="s">
        <v>13464</v>
      </c>
      <c r="F2936" s="919"/>
      <c r="G2936" s="671" t="s">
        <v>50</v>
      </c>
      <c r="H2936" s="670">
        <v>0.16</v>
      </c>
      <c r="I2936" s="669">
        <v>4.17</v>
      </c>
      <c r="J2936" s="669">
        <v>0.66</v>
      </c>
    </row>
    <row r="2937" spans="1:10" ht="24" customHeight="1">
      <c r="A2937" s="672" t="s">
        <v>13467</v>
      </c>
      <c r="B2937" s="673" t="s">
        <v>14147</v>
      </c>
      <c r="C2937" s="672" t="s">
        <v>7</v>
      </c>
      <c r="D2937" s="672" t="s">
        <v>14146</v>
      </c>
      <c r="E2937" s="919" t="s">
        <v>13464</v>
      </c>
      <c r="F2937" s="919"/>
      <c r="G2937" s="671" t="s">
        <v>50</v>
      </c>
      <c r="H2937" s="670">
        <v>0.42699999999999999</v>
      </c>
      <c r="I2937" s="669">
        <v>21.21</v>
      </c>
      <c r="J2937" s="669">
        <v>9.0500000000000007</v>
      </c>
    </row>
    <row r="2938" spans="1:10" ht="25.5">
      <c r="A2938" s="668"/>
      <c r="B2938" s="668"/>
      <c r="C2938" s="668"/>
      <c r="D2938" s="668"/>
      <c r="E2938" s="668" t="s">
        <v>13463</v>
      </c>
      <c r="F2938" s="667">
        <v>16.945561230033686</v>
      </c>
      <c r="G2938" s="668" t="s">
        <v>13462</v>
      </c>
      <c r="H2938" s="667">
        <v>14.24</v>
      </c>
      <c r="I2938" s="668" t="s">
        <v>13461</v>
      </c>
      <c r="J2938" s="667">
        <v>31.19</v>
      </c>
    </row>
    <row r="2939" spans="1:10" ht="15" thickBot="1">
      <c r="A2939" s="668"/>
      <c r="B2939" s="668"/>
      <c r="C2939" s="668"/>
      <c r="D2939" s="668"/>
      <c r="E2939" s="668" t="s">
        <v>13460</v>
      </c>
      <c r="F2939" s="667">
        <v>15.17</v>
      </c>
      <c r="G2939" s="668"/>
      <c r="H2939" s="925" t="s">
        <v>13459</v>
      </c>
      <c r="I2939" s="925"/>
      <c r="J2939" s="667">
        <v>68.89</v>
      </c>
    </row>
    <row r="2940" spans="1:10" ht="0.95" customHeight="1" thickTop="1">
      <c r="A2940" s="666"/>
      <c r="B2940" s="666"/>
      <c r="C2940" s="666"/>
      <c r="D2940" s="666"/>
      <c r="E2940" s="666"/>
      <c r="F2940" s="666"/>
      <c r="G2940" s="666"/>
      <c r="H2940" s="666"/>
      <c r="I2940" s="666"/>
      <c r="J2940" s="666"/>
    </row>
    <row r="2941" spans="1:10" ht="18" customHeight="1">
      <c r="A2941" s="686" t="s">
        <v>14440</v>
      </c>
      <c r="B2941" s="684" t="s">
        <v>13484</v>
      </c>
      <c r="C2941" s="686" t="s">
        <v>13483</v>
      </c>
      <c r="D2941" s="686" t="s">
        <v>13482</v>
      </c>
      <c r="E2941" s="924" t="s">
        <v>13481</v>
      </c>
      <c r="F2941" s="924"/>
      <c r="G2941" s="685" t="s">
        <v>13480</v>
      </c>
      <c r="H2941" s="684" t="s">
        <v>13479</v>
      </c>
      <c r="I2941" s="684" t="s">
        <v>13478</v>
      </c>
      <c r="J2941" s="684" t="s">
        <v>13477</v>
      </c>
    </row>
    <row r="2942" spans="1:10" ht="36" customHeight="1">
      <c r="A2942" s="682" t="s">
        <v>13476</v>
      </c>
      <c r="B2942" s="683" t="s">
        <v>14439</v>
      </c>
      <c r="C2942" s="682" t="s">
        <v>7</v>
      </c>
      <c r="D2942" s="682" t="s">
        <v>5835</v>
      </c>
      <c r="E2942" s="917" t="s">
        <v>14426</v>
      </c>
      <c r="F2942" s="917"/>
      <c r="G2942" s="681" t="s">
        <v>34</v>
      </c>
      <c r="H2942" s="680">
        <v>1</v>
      </c>
      <c r="I2942" s="679">
        <v>2746.96</v>
      </c>
      <c r="J2942" s="679">
        <v>2746.96</v>
      </c>
    </row>
    <row r="2943" spans="1:10" ht="24" customHeight="1">
      <c r="A2943" s="677" t="s">
        <v>13472</v>
      </c>
      <c r="B2943" s="678" t="s">
        <v>13526</v>
      </c>
      <c r="C2943" s="677" t="s">
        <v>7</v>
      </c>
      <c r="D2943" s="677" t="s">
        <v>1093</v>
      </c>
      <c r="E2943" s="918" t="s">
        <v>13470</v>
      </c>
      <c r="F2943" s="918"/>
      <c r="G2943" s="676" t="s">
        <v>19</v>
      </c>
      <c r="H2943" s="675">
        <v>4.4385000000000003</v>
      </c>
      <c r="I2943" s="674">
        <v>13.48</v>
      </c>
      <c r="J2943" s="674">
        <v>59.83</v>
      </c>
    </row>
    <row r="2944" spans="1:10" ht="24" customHeight="1">
      <c r="A2944" s="677" t="s">
        <v>13472</v>
      </c>
      <c r="B2944" s="678" t="s">
        <v>13473</v>
      </c>
      <c r="C2944" s="677" t="s">
        <v>7</v>
      </c>
      <c r="D2944" s="677" t="s">
        <v>44</v>
      </c>
      <c r="E2944" s="918" t="s">
        <v>13470</v>
      </c>
      <c r="F2944" s="918"/>
      <c r="G2944" s="676" t="s">
        <v>19</v>
      </c>
      <c r="H2944" s="675">
        <v>4.4385000000000003</v>
      </c>
      <c r="I2944" s="674">
        <v>17.66</v>
      </c>
      <c r="J2944" s="674">
        <v>78.38</v>
      </c>
    </row>
    <row r="2945" spans="1:10" ht="24" customHeight="1">
      <c r="A2945" s="672" t="s">
        <v>13467</v>
      </c>
      <c r="B2945" s="673" t="s">
        <v>13534</v>
      </c>
      <c r="C2945" s="672" t="s">
        <v>7</v>
      </c>
      <c r="D2945" s="672" t="s">
        <v>13533</v>
      </c>
      <c r="E2945" s="919" t="s">
        <v>13464</v>
      </c>
      <c r="F2945" s="919"/>
      <c r="G2945" s="671" t="s">
        <v>34</v>
      </c>
      <c r="H2945" s="670">
        <v>0.1661</v>
      </c>
      <c r="I2945" s="669">
        <v>18.440000000000001</v>
      </c>
      <c r="J2945" s="669">
        <v>3.06</v>
      </c>
    </row>
    <row r="2946" spans="1:10" ht="24" customHeight="1">
      <c r="A2946" s="672" t="s">
        <v>13467</v>
      </c>
      <c r="B2946" s="673" t="s">
        <v>14209</v>
      </c>
      <c r="C2946" s="672" t="s">
        <v>7</v>
      </c>
      <c r="D2946" s="672" t="s">
        <v>14208</v>
      </c>
      <c r="E2946" s="919" t="s">
        <v>13464</v>
      </c>
      <c r="F2946" s="919"/>
      <c r="G2946" s="671" t="s">
        <v>50</v>
      </c>
      <c r="H2946" s="670">
        <v>3.9399999999999998E-2</v>
      </c>
      <c r="I2946" s="669">
        <v>26.96</v>
      </c>
      <c r="J2946" s="669">
        <v>1.06</v>
      </c>
    </row>
    <row r="2947" spans="1:10" ht="24" customHeight="1">
      <c r="A2947" s="672" t="s">
        <v>13467</v>
      </c>
      <c r="B2947" s="673" t="s">
        <v>14438</v>
      </c>
      <c r="C2947" s="672" t="s">
        <v>7</v>
      </c>
      <c r="D2947" s="672" t="s">
        <v>14437</v>
      </c>
      <c r="E2947" s="919" t="s">
        <v>13464</v>
      </c>
      <c r="F2947" s="919"/>
      <c r="G2947" s="671" t="s">
        <v>34</v>
      </c>
      <c r="H2947" s="670">
        <v>1</v>
      </c>
      <c r="I2947" s="669">
        <v>2604.63</v>
      </c>
      <c r="J2947" s="669">
        <v>2604.63</v>
      </c>
    </row>
    <row r="2948" spans="1:10" ht="25.5">
      <c r="A2948" s="668"/>
      <c r="B2948" s="668"/>
      <c r="C2948" s="668"/>
      <c r="D2948" s="668"/>
      <c r="E2948" s="668" t="s">
        <v>13463</v>
      </c>
      <c r="F2948" s="667">
        <v>58.882972943605346</v>
      </c>
      <c r="G2948" s="668" t="s">
        <v>13462</v>
      </c>
      <c r="H2948" s="667">
        <v>49.5</v>
      </c>
      <c r="I2948" s="668" t="s">
        <v>13461</v>
      </c>
      <c r="J2948" s="667">
        <v>108.38</v>
      </c>
    </row>
    <row r="2949" spans="1:10" ht="15" thickBot="1">
      <c r="A2949" s="668"/>
      <c r="B2949" s="668"/>
      <c r="C2949" s="668"/>
      <c r="D2949" s="668"/>
      <c r="E2949" s="668" t="s">
        <v>13460</v>
      </c>
      <c r="F2949" s="667">
        <v>775.74</v>
      </c>
      <c r="G2949" s="668"/>
      <c r="H2949" s="925" t="s">
        <v>13459</v>
      </c>
      <c r="I2949" s="925"/>
      <c r="J2949" s="667">
        <v>3522.7</v>
      </c>
    </row>
    <row r="2950" spans="1:10" ht="0.95" customHeight="1" thickTop="1">
      <c r="A2950" s="666"/>
      <c r="B2950" s="666"/>
      <c r="C2950" s="666"/>
      <c r="D2950" s="666"/>
      <c r="E2950" s="666"/>
      <c r="F2950" s="666"/>
      <c r="G2950" s="666"/>
      <c r="H2950" s="666"/>
      <c r="I2950" s="666"/>
      <c r="J2950" s="666"/>
    </row>
    <row r="2951" spans="1:10" ht="18" customHeight="1">
      <c r="A2951" s="686" t="s">
        <v>14436</v>
      </c>
      <c r="B2951" s="684" t="s">
        <v>13484</v>
      </c>
      <c r="C2951" s="686" t="s">
        <v>13483</v>
      </c>
      <c r="D2951" s="686" t="s">
        <v>13482</v>
      </c>
      <c r="E2951" s="924" t="s">
        <v>13481</v>
      </c>
      <c r="F2951" s="924"/>
      <c r="G2951" s="685" t="s">
        <v>13480</v>
      </c>
      <c r="H2951" s="684" t="s">
        <v>13479</v>
      </c>
      <c r="I2951" s="684" t="s">
        <v>13478</v>
      </c>
      <c r="J2951" s="684" t="s">
        <v>13477</v>
      </c>
    </row>
    <row r="2952" spans="1:10" ht="36" customHeight="1">
      <c r="A2952" s="682" t="s">
        <v>13476</v>
      </c>
      <c r="B2952" s="683" t="s">
        <v>14435</v>
      </c>
      <c r="C2952" s="682" t="s">
        <v>7</v>
      </c>
      <c r="D2952" s="682" t="s">
        <v>5828</v>
      </c>
      <c r="E2952" s="917" t="s">
        <v>14426</v>
      </c>
      <c r="F2952" s="917"/>
      <c r="G2952" s="681" t="s">
        <v>34</v>
      </c>
      <c r="H2952" s="680">
        <v>1</v>
      </c>
      <c r="I2952" s="679">
        <v>203.07</v>
      </c>
      <c r="J2952" s="679">
        <v>203.07</v>
      </c>
    </row>
    <row r="2953" spans="1:10" ht="24" customHeight="1">
      <c r="A2953" s="677" t="s">
        <v>13472</v>
      </c>
      <c r="B2953" s="678" t="s">
        <v>13526</v>
      </c>
      <c r="C2953" s="677" t="s">
        <v>7</v>
      </c>
      <c r="D2953" s="677" t="s">
        <v>1093</v>
      </c>
      <c r="E2953" s="918" t="s">
        <v>13470</v>
      </c>
      <c r="F2953" s="918"/>
      <c r="G2953" s="676" t="s">
        <v>19</v>
      </c>
      <c r="H2953" s="675">
        <v>0.45739999999999997</v>
      </c>
      <c r="I2953" s="674">
        <v>13.48</v>
      </c>
      <c r="J2953" s="674">
        <v>6.16</v>
      </c>
    </row>
    <row r="2954" spans="1:10" ht="24" customHeight="1">
      <c r="A2954" s="677" t="s">
        <v>13472</v>
      </c>
      <c r="B2954" s="678" t="s">
        <v>13473</v>
      </c>
      <c r="C2954" s="677" t="s">
        <v>7</v>
      </c>
      <c r="D2954" s="677" t="s">
        <v>44</v>
      </c>
      <c r="E2954" s="918" t="s">
        <v>13470</v>
      </c>
      <c r="F2954" s="918"/>
      <c r="G2954" s="676" t="s">
        <v>19</v>
      </c>
      <c r="H2954" s="675">
        <v>0.45739999999999997</v>
      </c>
      <c r="I2954" s="674">
        <v>17.66</v>
      </c>
      <c r="J2954" s="674">
        <v>8.07</v>
      </c>
    </row>
    <row r="2955" spans="1:10" ht="36" customHeight="1">
      <c r="A2955" s="672" t="s">
        <v>13467</v>
      </c>
      <c r="B2955" s="673" t="s">
        <v>14425</v>
      </c>
      <c r="C2955" s="672" t="s">
        <v>7</v>
      </c>
      <c r="D2955" s="672" t="s">
        <v>14424</v>
      </c>
      <c r="E2955" s="919" t="s">
        <v>13464</v>
      </c>
      <c r="F2955" s="919"/>
      <c r="G2955" s="671" t="s">
        <v>34</v>
      </c>
      <c r="H2955" s="670">
        <v>2</v>
      </c>
      <c r="I2955" s="669">
        <v>0.42</v>
      </c>
      <c r="J2955" s="669">
        <v>0.84</v>
      </c>
    </row>
    <row r="2956" spans="1:10" ht="24" customHeight="1">
      <c r="A2956" s="672" t="s">
        <v>13467</v>
      </c>
      <c r="B2956" s="673" t="s">
        <v>14434</v>
      </c>
      <c r="C2956" s="672" t="s">
        <v>7</v>
      </c>
      <c r="D2956" s="672" t="s">
        <v>14433</v>
      </c>
      <c r="E2956" s="919" t="s">
        <v>13464</v>
      </c>
      <c r="F2956" s="919"/>
      <c r="G2956" s="671" t="s">
        <v>34</v>
      </c>
      <c r="H2956" s="670">
        <v>1</v>
      </c>
      <c r="I2956" s="669">
        <v>188</v>
      </c>
      <c r="J2956" s="669">
        <v>188</v>
      </c>
    </row>
    <row r="2957" spans="1:10" ht="25.5">
      <c r="A2957" s="668"/>
      <c r="B2957" s="668"/>
      <c r="C2957" s="668"/>
      <c r="D2957" s="668"/>
      <c r="E2957" s="668" t="s">
        <v>13463</v>
      </c>
      <c r="F2957" s="667">
        <v>6.0632402477453002</v>
      </c>
      <c r="G2957" s="668" t="s">
        <v>13462</v>
      </c>
      <c r="H2957" s="667">
        <v>5.0999999999999996</v>
      </c>
      <c r="I2957" s="668" t="s">
        <v>13461</v>
      </c>
      <c r="J2957" s="667">
        <v>11.16</v>
      </c>
    </row>
    <row r="2958" spans="1:10" ht="15" thickBot="1">
      <c r="A2958" s="668"/>
      <c r="B2958" s="668"/>
      <c r="C2958" s="668"/>
      <c r="D2958" s="668"/>
      <c r="E2958" s="668" t="s">
        <v>13460</v>
      </c>
      <c r="F2958" s="667">
        <v>57.34</v>
      </c>
      <c r="G2958" s="668"/>
      <c r="H2958" s="925" t="s">
        <v>13459</v>
      </c>
      <c r="I2958" s="925"/>
      <c r="J2958" s="667">
        <v>260.41000000000003</v>
      </c>
    </row>
    <row r="2959" spans="1:10" ht="0.95" customHeight="1" thickTop="1">
      <c r="A2959" s="666"/>
      <c r="B2959" s="666"/>
      <c r="C2959" s="666"/>
      <c r="D2959" s="666"/>
      <c r="E2959" s="666"/>
      <c r="F2959" s="666"/>
      <c r="G2959" s="666"/>
      <c r="H2959" s="666"/>
      <c r="I2959" s="666"/>
      <c r="J2959" s="666"/>
    </row>
    <row r="2960" spans="1:10" ht="18" customHeight="1">
      <c r="A2960" s="686" t="s">
        <v>14432</v>
      </c>
      <c r="B2960" s="684" t="s">
        <v>13484</v>
      </c>
      <c r="C2960" s="686" t="s">
        <v>13483</v>
      </c>
      <c r="D2960" s="686" t="s">
        <v>13482</v>
      </c>
      <c r="E2960" s="924" t="s">
        <v>13481</v>
      </c>
      <c r="F2960" s="924"/>
      <c r="G2960" s="685" t="s">
        <v>13480</v>
      </c>
      <c r="H2960" s="684" t="s">
        <v>13479</v>
      </c>
      <c r="I2960" s="684" t="s">
        <v>13478</v>
      </c>
      <c r="J2960" s="684" t="s">
        <v>13477</v>
      </c>
    </row>
    <row r="2961" spans="1:10" ht="36" customHeight="1">
      <c r="A2961" s="682" t="s">
        <v>13476</v>
      </c>
      <c r="B2961" s="683" t="s">
        <v>14431</v>
      </c>
      <c r="C2961" s="682" t="s">
        <v>7</v>
      </c>
      <c r="D2961" s="682" t="s">
        <v>5826</v>
      </c>
      <c r="E2961" s="917" t="s">
        <v>14426</v>
      </c>
      <c r="F2961" s="917"/>
      <c r="G2961" s="681" t="s">
        <v>34</v>
      </c>
      <c r="H2961" s="680">
        <v>1</v>
      </c>
      <c r="I2961" s="679">
        <v>579.07000000000005</v>
      </c>
      <c r="J2961" s="679">
        <v>579.07000000000005</v>
      </c>
    </row>
    <row r="2962" spans="1:10" ht="24" customHeight="1">
      <c r="A2962" s="677" t="s">
        <v>13472</v>
      </c>
      <c r="B2962" s="678" t="s">
        <v>13526</v>
      </c>
      <c r="C2962" s="677" t="s">
        <v>7</v>
      </c>
      <c r="D2962" s="677" t="s">
        <v>1093</v>
      </c>
      <c r="E2962" s="918" t="s">
        <v>13470</v>
      </c>
      <c r="F2962" s="918"/>
      <c r="G2962" s="676" t="s">
        <v>19</v>
      </c>
      <c r="H2962" s="675">
        <v>0.45739999999999997</v>
      </c>
      <c r="I2962" s="674">
        <v>13.48</v>
      </c>
      <c r="J2962" s="674">
        <v>6.16</v>
      </c>
    </row>
    <row r="2963" spans="1:10" ht="24" customHeight="1">
      <c r="A2963" s="677" t="s">
        <v>13472</v>
      </c>
      <c r="B2963" s="678" t="s">
        <v>13473</v>
      </c>
      <c r="C2963" s="677" t="s">
        <v>7</v>
      </c>
      <c r="D2963" s="677" t="s">
        <v>44</v>
      </c>
      <c r="E2963" s="918" t="s">
        <v>13470</v>
      </c>
      <c r="F2963" s="918"/>
      <c r="G2963" s="676" t="s">
        <v>19</v>
      </c>
      <c r="H2963" s="675">
        <v>0.45739999999999997</v>
      </c>
      <c r="I2963" s="674">
        <v>17.66</v>
      </c>
      <c r="J2963" s="674">
        <v>8.07</v>
      </c>
    </row>
    <row r="2964" spans="1:10" ht="36" customHeight="1">
      <c r="A2964" s="672" t="s">
        <v>13467</v>
      </c>
      <c r="B2964" s="673" t="s">
        <v>14425</v>
      </c>
      <c r="C2964" s="672" t="s">
        <v>7</v>
      </c>
      <c r="D2964" s="672" t="s">
        <v>14424</v>
      </c>
      <c r="E2964" s="919" t="s">
        <v>13464</v>
      </c>
      <c r="F2964" s="919"/>
      <c r="G2964" s="671" t="s">
        <v>34</v>
      </c>
      <c r="H2964" s="670">
        <v>2</v>
      </c>
      <c r="I2964" s="669">
        <v>0.42</v>
      </c>
      <c r="J2964" s="669">
        <v>0.84</v>
      </c>
    </row>
    <row r="2965" spans="1:10" ht="24" customHeight="1">
      <c r="A2965" s="672" t="s">
        <v>13467</v>
      </c>
      <c r="B2965" s="673" t="s">
        <v>14430</v>
      </c>
      <c r="C2965" s="672" t="s">
        <v>7</v>
      </c>
      <c r="D2965" s="672" t="s">
        <v>14429</v>
      </c>
      <c r="E2965" s="919" t="s">
        <v>13464</v>
      </c>
      <c r="F2965" s="919"/>
      <c r="G2965" s="671" t="s">
        <v>34</v>
      </c>
      <c r="H2965" s="670">
        <v>1</v>
      </c>
      <c r="I2965" s="669">
        <v>564</v>
      </c>
      <c r="J2965" s="669">
        <v>564</v>
      </c>
    </row>
    <row r="2966" spans="1:10" ht="25.5">
      <c r="A2966" s="668"/>
      <c r="B2966" s="668"/>
      <c r="C2966" s="668"/>
      <c r="D2966" s="668"/>
      <c r="E2966" s="668" t="s">
        <v>13463</v>
      </c>
      <c r="F2966" s="667">
        <v>6.0632402477453002</v>
      </c>
      <c r="G2966" s="668" t="s">
        <v>13462</v>
      </c>
      <c r="H2966" s="667">
        <v>5.0999999999999996</v>
      </c>
      <c r="I2966" s="668" t="s">
        <v>13461</v>
      </c>
      <c r="J2966" s="667">
        <v>11.16</v>
      </c>
    </row>
    <row r="2967" spans="1:10" ht="15" thickBot="1">
      <c r="A2967" s="668"/>
      <c r="B2967" s="668"/>
      <c r="C2967" s="668"/>
      <c r="D2967" s="668"/>
      <c r="E2967" s="668" t="s">
        <v>13460</v>
      </c>
      <c r="F2967" s="667">
        <v>163.52000000000001</v>
      </c>
      <c r="G2967" s="668"/>
      <c r="H2967" s="925" t="s">
        <v>13459</v>
      </c>
      <c r="I2967" s="925"/>
      <c r="J2967" s="667">
        <v>742.59</v>
      </c>
    </row>
    <row r="2968" spans="1:10" ht="0.95" customHeight="1" thickTop="1">
      <c r="A2968" s="666"/>
      <c r="B2968" s="666"/>
      <c r="C2968" s="666"/>
      <c r="D2968" s="666"/>
      <c r="E2968" s="666"/>
      <c r="F2968" s="666"/>
      <c r="G2968" s="666"/>
      <c r="H2968" s="666"/>
      <c r="I2968" s="666"/>
      <c r="J2968" s="666"/>
    </row>
    <row r="2969" spans="1:10" ht="18" customHeight="1">
      <c r="A2969" s="686" t="s">
        <v>14428</v>
      </c>
      <c r="B2969" s="684" t="s">
        <v>13484</v>
      </c>
      <c r="C2969" s="686" t="s">
        <v>13483</v>
      </c>
      <c r="D2969" s="686" t="s">
        <v>13482</v>
      </c>
      <c r="E2969" s="924" t="s">
        <v>13481</v>
      </c>
      <c r="F2969" s="924"/>
      <c r="G2969" s="685" t="s">
        <v>13480</v>
      </c>
      <c r="H2969" s="684" t="s">
        <v>13479</v>
      </c>
      <c r="I2969" s="684" t="s">
        <v>13478</v>
      </c>
      <c r="J2969" s="684" t="s">
        <v>13477</v>
      </c>
    </row>
    <row r="2970" spans="1:10" ht="36" customHeight="1">
      <c r="A2970" s="682" t="s">
        <v>13476</v>
      </c>
      <c r="B2970" s="683" t="s">
        <v>14427</v>
      </c>
      <c r="C2970" s="682" t="s">
        <v>7</v>
      </c>
      <c r="D2970" s="682" t="s">
        <v>5824</v>
      </c>
      <c r="E2970" s="917" t="s">
        <v>14426</v>
      </c>
      <c r="F2970" s="917"/>
      <c r="G2970" s="681" t="s">
        <v>34</v>
      </c>
      <c r="H2970" s="680">
        <v>1</v>
      </c>
      <c r="I2970" s="679">
        <v>179.57</v>
      </c>
      <c r="J2970" s="679">
        <v>179.57</v>
      </c>
    </row>
    <row r="2971" spans="1:10" ht="24" customHeight="1">
      <c r="A2971" s="677" t="s">
        <v>13472</v>
      </c>
      <c r="B2971" s="678" t="s">
        <v>13526</v>
      </c>
      <c r="C2971" s="677" t="s">
        <v>7</v>
      </c>
      <c r="D2971" s="677" t="s">
        <v>1093</v>
      </c>
      <c r="E2971" s="918" t="s">
        <v>13470</v>
      </c>
      <c r="F2971" s="918"/>
      <c r="G2971" s="676" t="s">
        <v>19</v>
      </c>
      <c r="H2971" s="675">
        <v>0.45739999999999997</v>
      </c>
      <c r="I2971" s="674">
        <v>13.48</v>
      </c>
      <c r="J2971" s="674">
        <v>6.16</v>
      </c>
    </row>
    <row r="2972" spans="1:10" ht="24" customHeight="1">
      <c r="A2972" s="677" t="s">
        <v>13472</v>
      </c>
      <c r="B2972" s="678" t="s">
        <v>13473</v>
      </c>
      <c r="C2972" s="677" t="s">
        <v>7</v>
      </c>
      <c r="D2972" s="677" t="s">
        <v>44</v>
      </c>
      <c r="E2972" s="918" t="s">
        <v>13470</v>
      </c>
      <c r="F2972" s="918"/>
      <c r="G2972" s="676" t="s">
        <v>19</v>
      </c>
      <c r="H2972" s="675">
        <v>0.45739999999999997</v>
      </c>
      <c r="I2972" s="674">
        <v>17.66</v>
      </c>
      <c r="J2972" s="674">
        <v>8.07</v>
      </c>
    </row>
    <row r="2973" spans="1:10" ht="36" customHeight="1">
      <c r="A2973" s="672" t="s">
        <v>13467</v>
      </c>
      <c r="B2973" s="673" t="s">
        <v>14425</v>
      </c>
      <c r="C2973" s="672" t="s">
        <v>7</v>
      </c>
      <c r="D2973" s="672" t="s">
        <v>14424</v>
      </c>
      <c r="E2973" s="919" t="s">
        <v>13464</v>
      </c>
      <c r="F2973" s="919"/>
      <c r="G2973" s="671" t="s">
        <v>34</v>
      </c>
      <c r="H2973" s="670">
        <v>2</v>
      </c>
      <c r="I2973" s="669">
        <v>0.42</v>
      </c>
      <c r="J2973" s="669">
        <v>0.84</v>
      </c>
    </row>
    <row r="2974" spans="1:10" ht="24" customHeight="1">
      <c r="A2974" s="672" t="s">
        <v>13467</v>
      </c>
      <c r="B2974" s="673" t="s">
        <v>14423</v>
      </c>
      <c r="C2974" s="672" t="s">
        <v>7</v>
      </c>
      <c r="D2974" s="672" t="s">
        <v>14422</v>
      </c>
      <c r="E2974" s="919" t="s">
        <v>13464</v>
      </c>
      <c r="F2974" s="919"/>
      <c r="G2974" s="671" t="s">
        <v>34</v>
      </c>
      <c r="H2974" s="670">
        <v>1</v>
      </c>
      <c r="I2974" s="669">
        <v>164.5</v>
      </c>
      <c r="J2974" s="669">
        <v>164.5</v>
      </c>
    </row>
    <row r="2975" spans="1:10" ht="25.5">
      <c r="A2975" s="668"/>
      <c r="B2975" s="668"/>
      <c r="C2975" s="668"/>
      <c r="D2975" s="668"/>
      <c r="E2975" s="668" t="s">
        <v>13463</v>
      </c>
      <c r="F2975" s="667">
        <v>6.0632402477453002</v>
      </c>
      <c r="G2975" s="668" t="s">
        <v>13462</v>
      </c>
      <c r="H2975" s="667">
        <v>5.0999999999999996</v>
      </c>
      <c r="I2975" s="668" t="s">
        <v>13461</v>
      </c>
      <c r="J2975" s="667">
        <v>11.16</v>
      </c>
    </row>
    <row r="2976" spans="1:10" ht="15" thickBot="1">
      <c r="A2976" s="668"/>
      <c r="B2976" s="668"/>
      <c r="C2976" s="668"/>
      <c r="D2976" s="668"/>
      <c r="E2976" s="668" t="s">
        <v>13460</v>
      </c>
      <c r="F2976" s="667">
        <v>50.71</v>
      </c>
      <c r="G2976" s="668"/>
      <c r="H2976" s="925" t="s">
        <v>13459</v>
      </c>
      <c r="I2976" s="925"/>
      <c r="J2976" s="667">
        <v>230.28</v>
      </c>
    </row>
    <row r="2977" spans="1:10" ht="0.95" customHeight="1" thickTop="1">
      <c r="A2977" s="666"/>
      <c r="B2977" s="666"/>
      <c r="C2977" s="666"/>
      <c r="D2977" s="666"/>
      <c r="E2977" s="666"/>
      <c r="F2977" s="666"/>
      <c r="G2977" s="666"/>
      <c r="H2977" s="666"/>
      <c r="I2977" s="666"/>
      <c r="J2977" s="666"/>
    </row>
    <row r="2978" spans="1:10" ht="18" customHeight="1">
      <c r="A2978" s="686" t="s">
        <v>14421</v>
      </c>
      <c r="B2978" s="684" t="s">
        <v>13484</v>
      </c>
      <c r="C2978" s="686" t="s">
        <v>13483</v>
      </c>
      <c r="D2978" s="686" t="s">
        <v>13482</v>
      </c>
      <c r="E2978" s="924" t="s">
        <v>13481</v>
      </c>
      <c r="F2978" s="924"/>
      <c r="G2978" s="685" t="s">
        <v>13480</v>
      </c>
      <c r="H2978" s="684" t="s">
        <v>13479</v>
      </c>
      <c r="I2978" s="684" t="s">
        <v>13478</v>
      </c>
      <c r="J2978" s="684" t="s">
        <v>13477</v>
      </c>
    </row>
    <row r="2979" spans="1:10" ht="36" customHeight="1">
      <c r="A2979" s="682" t="s">
        <v>13476</v>
      </c>
      <c r="B2979" s="683" t="s">
        <v>14420</v>
      </c>
      <c r="C2979" s="682" t="s">
        <v>7</v>
      </c>
      <c r="D2979" s="682" t="s">
        <v>1994</v>
      </c>
      <c r="E2979" s="917" t="s">
        <v>13540</v>
      </c>
      <c r="F2979" s="917"/>
      <c r="G2979" s="681" t="s">
        <v>14</v>
      </c>
      <c r="H2979" s="680">
        <v>1</v>
      </c>
      <c r="I2979" s="679">
        <v>3.9</v>
      </c>
      <c r="J2979" s="679">
        <v>3.9</v>
      </c>
    </row>
    <row r="2980" spans="1:10" ht="24" customHeight="1">
      <c r="A2980" s="677" t="s">
        <v>13472</v>
      </c>
      <c r="B2980" s="678" t="s">
        <v>13539</v>
      </c>
      <c r="C2980" s="677" t="s">
        <v>7</v>
      </c>
      <c r="D2980" s="677" t="s">
        <v>45</v>
      </c>
      <c r="E2980" s="918" t="s">
        <v>13470</v>
      </c>
      <c r="F2980" s="918"/>
      <c r="G2980" s="676" t="s">
        <v>19</v>
      </c>
      <c r="H2980" s="675">
        <v>2.4E-2</v>
      </c>
      <c r="I2980" s="674">
        <v>18.3</v>
      </c>
      <c r="J2980" s="674">
        <v>0.43</v>
      </c>
    </row>
    <row r="2981" spans="1:10" ht="24" customHeight="1">
      <c r="A2981" s="677" t="s">
        <v>13472</v>
      </c>
      <c r="B2981" s="678" t="s">
        <v>13538</v>
      </c>
      <c r="C2981" s="677" t="s">
        <v>7</v>
      </c>
      <c r="D2981" s="677" t="s">
        <v>47</v>
      </c>
      <c r="E2981" s="918" t="s">
        <v>13470</v>
      </c>
      <c r="F2981" s="918"/>
      <c r="G2981" s="676" t="s">
        <v>19</v>
      </c>
      <c r="H2981" s="675">
        <v>2.4E-2</v>
      </c>
      <c r="I2981" s="674">
        <v>14</v>
      </c>
      <c r="J2981" s="674">
        <v>0.33</v>
      </c>
    </row>
    <row r="2982" spans="1:10" ht="48" customHeight="1">
      <c r="A2982" s="672" t="s">
        <v>13467</v>
      </c>
      <c r="B2982" s="673" t="s">
        <v>14419</v>
      </c>
      <c r="C2982" s="672" t="s">
        <v>7</v>
      </c>
      <c r="D2982" s="672" t="s">
        <v>14418</v>
      </c>
      <c r="E2982" s="919" t="s">
        <v>13464</v>
      </c>
      <c r="F2982" s="919"/>
      <c r="G2982" s="671" t="s">
        <v>14</v>
      </c>
      <c r="H2982" s="670">
        <v>1.19</v>
      </c>
      <c r="I2982" s="669">
        <v>2.62</v>
      </c>
      <c r="J2982" s="669">
        <v>3.11</v>
      </c>
    </row>
    <row r="2983" spans="1:10" ht="24" customHeight="1">
      <c r="A2983" s="672" t="s">
        <v>13467</v>
      </c>
      <c r="B2983" s="673" t="s">
        <v>14270</v>
      </c>
      <c r="C2983" s="672" t="s">
        <v>7</v>
      </c>
      <c r="D2983" s="672" t="s">
        <v>14269</v>
      </c>
      <c r="E2983" s="919" t="s">
        <v>13464</v>
      </c>
      <c r="F2983" s="919"/>
      <c r="G2983" s="671" t="s">
        <v>34</v>
      </c>
      <c r="H2983" s="670">
        <v>8.9999999999999993E-3</v>
      </c>
      <c r="I2983" s="669">
        <v>3.78</v>
      </c>
      <c r="J2983" s="669">
        <v>0.03</v>
      </c>
    </row>
    <row r="2984" spans="1:10" ht="25.5">
      <c r="A2984" s="668"/>
      <c r="B2984" s="668"/>
      <c r="C2984" s="668"/>
      <c r="D2984" s="668"/>
      <c r="E2984" s="668" t="s">
        <v>13463</v>
      </c>
      <c r="F2984" s="667">
        <v>0.31511463653156579</v>
      </c>
      <c r="G2984" s="668" t="s">
        <v>13462</v>
      </c>
      <c r="H2984" s="667">
        <v>0.26</v>
      </c>
      <c r="I2984" s="668" t="s">
        <v>13461</v>
      </c>
      <c r="J2984" s="667">
        <v>0.57999999999999996</v>
      </c>
    </row>
    <row r="2985" spans="1:10" ht="15" thickBot="1">
      <c r="A2985" s="668"/>
      <c r="B2985" s="668"/>
      <c r="C2985" s="668"/>
      <c r="D2985" s="668"/>
      <c r="E2985" s="668" t="s">
        <v>13460</v>
      </c>
      <c r="F2985" s="667">
        <v>1.1000000000000001</v>
      </c>
      <c r="G2985" s="668"/>
      <c r="H2985" s="925" t="s">
        <v>13459</v>
      </c>
      <c r="I2985" s="925"/>
      <c r="J2985" s="667">
        <v>5</v>
      </c>
    </row>
    <row r="2986" spans="1:10" ht="0.95" customHeight="1" thickTop="1">
      <c r="A2986" s="666"/>
      <c r="B2986" s="666"/>
      <c r="C2986" s="666"/>
      <c r="D2986" s="666"/>
      <c r="E2986" s="666"/>
      <c r="F2986" s="666"/>
      <c r="G2986" s="666"/>
      <c r="H2986" s="666"/>
      <c r="I2986" s="666"/>
      <c r="J2986" s="666"/>
    </row>
    <row r="2987" spans="1:10" ht="18" customHeight="1">
      <c r="A2987" s="686" t="s">
        <v>14417</v>
      </c>
      <c r="B2987" s="684" t="s">
        <v>13484</v>
      </c>
      <c r="C2987" s="686" t="s">
        <v>13483</v>
      </c>
      <c r="D2987" s="686" t="s">
        <v>13482</v>
      </c>
      <c r="E2987" s="924" t="s">
        <v>13481</v>
      </c>
      <c r="F2987" s="924"/>
      <c r="G2987" s="685" t="s">
        <v>13480</v>
      </c>
      <c r="H2987" s="684" t="s">
        <v>13479</v>
      </c>
      <c r="I2987" s="684" t="s">
        <v>13478</v>
      </c>
      <c r="J2987" s="684" t="s">
        <v>13477</v>
      </c>
    </row>
    <row r="2988" spans="1:10" ht="24" customHeight="1">
      <c r="A2988" s="682" t="s">
        <v>13476</v>
      </c>
      <c r="B2988" s="683" t="s">
        <v>14416</v>
      </c>
      <c r="C2988" s="682" t="s">
        <v>7</v>
      </c>
      <c r="D2988" s="682" t="s">
        <v>3452</v>
      </c>
      <c r="E2988" s="917" t="s">
        <v>13540</v>
      </c>
      <c r="F2988" s="917"/>
      <c r="G2988" s="681" t="s">
        <v>34</v>
      </c>
      <c r="H2988" s="680">
        <v>1</v>
      </c>
      <c r="I2988" s="679">
        <v>51.37</v>
      </c>
      <c r="J2988" s="679">
        <v>51.37</v>
      </c>
    </row>
    <row r="2989" spans="1:10" ht="24" customHeight="1">
      <c r="A2989" s="677" t="s">
        <v>13472</v>
      </c>
      <c r="B2989" s="678" t="s">
        <v>13539</v>
      </c>
      <c r="C2989" s="677" t="s">
        <v>7</v>
      </c>
      <c r="D2989" s="677" t="s">
        <v>45</v>
      </c>
      <c r="E2989" s="918" t="s">
        <v>13470</v>
      </c>
      <c r="F2989" s="918"/>
      <c r="G2989" s="676" t="s">
        <v>19</v>
      </c>
      <c r="H2989" s="675">
        <v>0.25309999999999999</v>
      </c>
      <c r="I2989" s="674">
        <v>18.3</v>
      </c>
      <c r="J2989" s="674">
        <v>4.63</v>
      </c>
    </row>
    <row r="2990" spans="1:10" ht="24" customHeight="1">
      <c r="A2990" s="677" t="s">
        <v>13472</v>
      </c>
      <c r="B2990" s="678" t="s">
        <v>13538</v>
      </c>
      <c r="C2990" s="677" t="s">
        <v>7</v>
      </c>
      <c r="D2990" s="677" t="s">
        <v>47</v>
      </c>
      <c r="E2990" s="918" t="s">
        <v>13470</v>
      </c>
      <c r="F2990" s="918"/>
      <c r="G2990" s="676" t="s">
        <v>19</v>
      </c>
      <c r="H2990" s="675">
        <v>0.25309999999999999</v>
      </c>
      <c r="I2990" s="674">
        <v>14</v>
      </c>
      <c r="J2990" s="674">
        <v>3.54</v>
      </c>
    </row>
    <row r="2991" spans="1:10" ht="36" customHeight="1">
      <c r="A2991" s="672" t="s">
        <v>13467</v>
      </c>
      <c r="B2991" s="673" t="s">
        <v>14415</v>
      </c>
      <c r="C2991" s="672" t="s">
        <v>7</v>
      </c>
      <c r="D2991" s="672" t="s">
        <v>14414</v>
      </c>
      <c r="E2991" s="919" t="s">
        <v>13464</v>
      </c>
      <c r="F2991" s="919"/>
      <c r="G2991" s="671" t="s">
        <v>34</v>
      </c>
      <c r="H2991" s="670">
        <v>1</v>
      </c>
      <c r="I2991" s="669">
        <v>43.2</v>
      </c>
      <c r="J2991" s="669">
        <v>43.2</v>
      </c>
    </row>
    <row r="2992" spans="1:10" ht="25.5">
      <c r="A2992" s="668"/>
      <c r="B2992" s="668"/>
      <c r="C2992" s="668"/>
      <c r="D2992" s="668"/>
      <c r="E2992" s="668" t="s">
        <v>13463</v>
      </c>
      <c r="F2992" s="667">
        <v>3.3847658372269911</v>
      </c>
      <c r="G2992" s="668" t="s">
        <v>13462</v>
      </c>
      <c r="H2992" s="667">
        <v>2.85</v>
      </c>
      <c r="I2992" s="668" t="s">
        <v>13461</v>
      </c>
      <c r="J2992" s="667">
        <v>6.23</v>
      </c>
    </row>
    <row r="2993" spans="1:10" ht="15" thickBot="1">
      <c r="A2993" s="668"/>
      <c r="B2993" s="668"/>
      <c r="C2993" s="668"/>
      <c r="D2993" s="668"/>
      <c r="E2993" s="668" t="s">
        <v>13460</v>
      </c>
      <c r="F2993" s="667">
        <v>14.5</v>
      </c>
      <c r="G2993" s="668"/>
      <c r="H2993" s="925" t="s">
        <v>13459</v>
      </c>
      <c r="I2993" s="925"/>
      <c r="J2993" s="667">
        <v>65.87</v>
      </c>
    </row>
    <row r="2994" spans="1:10" ht="0.95" customHeight="1" thickTop="1">
      <c r="A2994" s="666"/>
      <c r="B2994" s="666"/>
      <c r="C2994" s="666"/>
      <c r="D2994" s="666"/>
      <c r="E2994" s="666"/>
      <c r="F2994" s="666"/>
      <c r="G2994" s="666"/>
      <c r="H2994" s="666"/>
      <c r="I2994" s="666"/>
      <c r="J2994" s="666"/>
    </row>
    <row r="2995" spans="1:10" ht="18" customHeight="1">
      <c r="A2995" s="686" t="s">
        <v>14413</v>
      </c>
      <c r="B2995" s="684" t="s">
        <v>13484</v>
      </c>
      <c r="C2995" s="686" t="s">
        <v>13483</v>
      </c>
      <c r="D2995" s="686" t="s">
        <v>13482</v>
      </c>
      <c r="E2995" s="924" t="s">
        <v>13481</v>
      </c>
      <c r="F2995" s="924"/>
      <c r="G2995" s="685" t="s">
        <v>13480</v>
      </c>
      <c r="H2995" s="684" t="s">
        <v>13479</v>
      </c>
      <c r="I2995" s="684" t="s">
        <v>13478</v>
      </c>
      <c r="J2995" s="684" t="s">
        <v>13477</v>
      </c>
    </row>
    <row r="2996" spans="1:10" ht="24" customHeight="1">
      <c r="A2996" s="682" t="s">
        <v>13476</v>
      </c>
      <c r="B2996" s="683" t="s">
        <v>14412</v>
      </c>
      <c r="C2996" s="682" t="s">
        <v>7</v>
      </c>
      <c r="D2996" s="682" t="s">
        <v>3443</v>
      </c>
      <c r="E2996" s="917" t="s">
        <v>13540</v>
      </c>
      <c r="F2996" s="917"/>
      <c r="G2996" s="681" t="s">
        <v>14</v>
      </c>
      <c r="H2996" s="680">
        <v>1</v>
      </c>
      <c r="I2996" s="679">
        <v>47.51</v>
      </c>
      <c r="J2996" s="679">
        <v>47.51</v>
      </c>
    </row>
    <row r="2997" spans="1:10" ht="24" customHeight="1">
      <c r="A2997" s="677" t="s">
        <v>13472</v>
      </c>
      <c r="B2997" s="678" t="s">
        <v>14236</v>
      </c>
      <c r="C2997" s="677" t="s">
        <v>7</v>
      </c>
      <c r="D2997" s="677" t="s">
        <v>3450</v>
      </c>
      <c r="E2997" s="918" t="s">
        <v>13540</v>
      </c>
      <c r="F2997" s="918"/>
      <c r="G2997" s="676" t="s">
        <v>34</v>
      </c>
      <c r="H2997" s="675">
        <v>0.5</v>
      </c>
      <c r="I2997" s="674">
        <v>20.91</v>
      </c>
      <c r="J2997" s="674">
        <v>10.45</v>
      </c>
    </row>
    <row r="2998" spans="1:10" ht="24" customHeight="1">
      <c r="A2998" s="677" t="s">
        <v>13472</v>
      </c>
      <c r="B2998" s="678" t="s">
        <v>13539</v>
      </c>
      <c r="C2998" s="677" t="s">
        <v>7</v>
      </c>
      <c r="D2998" s="677" t="s">
        <v>45</v>
      </c>
      <c r="E2998" s="918" t="s">
        <v>13470</v>
      </c>
      <c r="F2998" s="918"/>
      <c r="G2998" s="676" t="s">
        <v>19</v>
      </c>
      <c r="H2998" s="675">
        <v>0.25330000000000003</v>
      </c>
      <c r="I2998" s="674">
        <v>18.3</v>
      </c>
      <c r="J2998" s="674">
        <v>4.63</v>
      </c>
    </row>
    <row r="2999" spans="1:10" ht="24" customHeight="1">
      <c r="A2999" s="677" t="s">
        <v>13472</v>
      </c>
      <c r="B2999" s="678" t="s">
        <v>13538</v>
      </c>
      <c r="C2999" s="677" t="s">
        <v>7</v>
      </c>
      <c r="D2999" s="677" t="s">
        <v>47</v>
      </c>
      <c r="E2999" s="918" t="s">
        <v>13470</v>
      </c>
      <c r="F2999" s="918"/>
      <c r="G2999" s="676" t="s">
        <v>19</v>
      </c>
      <c r="H2999" s="675">
        <v>0.25330000000000003</v>
      </c>
      <c r="I2999" s="674">
        <v>14</v>
      </c>
      <c r="J2999" s="674">
        <v>3.54</v>
      </c>
    </row>
    <row r="3000" spans="1:10" ht="24" customHeight="1">
      <c r="A3000" s="672" t="s">
        <v>13467</v>
      </c>
      <c r="B3000" s="673" t="s">
        <v>14065</v>
      </c>
      <c r="C3000" s="672" t="s">
        <v>7</v>
      </c>
      <c r="D3000" s="672" t="s">
        <v>14064</v>
      </c>
      <c r="E3000" s="919" t="s">
        <v>13464</v>
      </c>
      <c r="F3000" s="919"/>
      <c r="G3000" s="671" t="s">
        <v>14</v>
      </c>
      <c r="H3000" s="670">
        <v>1.05</v>
      </c>
      <c r="I3000" s="669">
        <v>27.52</v>
      </c>
      <c r="J3000" s="669">
        <v>28.89</v>
      </c>
    </row>
    <row r="3001" spans="1:10" ht="25.5">
      <c r="A3001" s="668"/>
      <c r="B3001" s="668"/>
      <c r="C3001" s="668"/>
      <c r="D3001" s="668"/>
      <c r="E3001" s="668" t="s">
        <v>13463</v>
      </c>
      <c r="F3001" s="667">
        <v>5.5145061393024015</v>
      </c>
      <c r="G3001" s="668" t="s">
        <v>13462</v>
      </c>
      <c r="H3001" s="667">
        <v>4.6399999999999997</v>
      </c>
      <c r="I3001" s="668" t="s">
        <v>13461</v>
      </c>
      <c r="J3001" s="667">
        <v>10.15</v>
      </c>
    </row>
    <row r="3002" spans="1:10" ht="15" thickBot="1">
      <c r="A3002" s="668"/>
      <c r="B3002" s="668"/>
      <c r="C3002" s="668"/>
      <c r="D3002" s="668"/>
      <c r="E3002" s="668" t="s">
        <v>13460</v>
      </c>
      <c r="F3002" s="667">
        <v>13.41</v>
      </c>
      <c r="G3002" s="668"/>
      <c r="H3002" s="925" t="s">
        <v>13459</v>
      </c>
      <c r="I3002" s="925"/>
      <c r="J3002" s="667">
        <v>60.92</v>
      </c>
    </row>
    <row r="3003" spans="1:10" ht="0.95" customHeight="1" thickTop="1">
      <c r="A3003" s="666"/>
      <c r="B3003" s="666"/>
      <c r="C3003" s="666"/>
      <c r="D3003" s="666"/>
      <c r="E3003" s="666"/>
      <c r="F3003" s="666"/>
      <c r="G3003" s="666"/>
      <c r="H3003" s="666"/>
      <c r="I3003" s="666"/>
      <c r="J3003" s="666"/>
    </row>
    <row r="3004" spans="1:10" ht="18" customHeight="1">
      <c r="A3004" s="686" t="s">
        <v>14411</v>
      </c>
      <c r="B3004" s="684" t="s">
        <v>13484</v>
      </c>
      <c r="C3004" s="686" t="s">
        <v>13483</v>
      </c>
      <c r="D3004" s="686" t="s">
        <v>13482</v>
      </c>
      <c r="E3004" s="924" t="s">
        <v>13481</v>
      </c>
      <c r="F3004" s="924"/>
      <c r="G3004" s="685" t="s">
        <v>13480</v>
      </c>
      <c r="H3004" s="684" t="s">
        <v>13479</v>
      </c>
      <c r="I3004" s="684" t="s">
        <v>13478</v>
      </c>
      <c r="J3004" s="684" t="s">
        <v>13477</v>
      </c>
    </row>
    <row r="3005" spans="1:10" ht="24" customHeight="1">
      <c r="A3005" s="682" t="s">
        <v>13476</v>
      </c>
      <c r="B3005" s="683" t="s">
        <v>14410</v>
      </c>
      <c r="C3005" s="682" t="s">
        <v>7</v>
      </c>
      <c r="D3005" s="682" t="s">
        <v>3451</v>
      </c>
      <c r="E3005" s="917" t="s">
        <v>13540</v>
      </c>
      <c r="F3005" s="917"/>
      <c r="G3005" s="681" t="s">
        <v>34</v>
      </c>
      <c r="H3005" s="680">
        <v>1</v>
      </c>
      <c r="I3005" s="679">
        <v>41.38</v>
      </c>
      <c r="J3005" s="679">
        <v>41.38</v>
      </c>
    </row>
    <row r="3006" spans="1:10" ht="48" customHeight="1">
      <c r="A3006" s="677" t="s">
        <v>13472</v>
      </c>
      <c r="B3006" s="678" t="s">
        <v>13827</v>
      </c>
      <c r="C3006" s="677" t="s">
        <v>7</v>
      </c>
      <c r="D3006" s="677" t="s">
        <v>1843</v>
      </c>
      <c r="E3006" s="918" t="s">
        <v>13474</v>
      </c>
      <c r="F3006" s="918"/>
      <c r="G3006" s="676" t="s">
        <v>14</v>
      </c>
      <c r="H3006" s="675">
        <v>3</v>
      </c>
      <c r="I3006" s="674">
        <v>1.27</v>
      </c>
      <c r="J3006" s="674">
        <v>3.81</v>
      </c>
    </row>
    <row r="3007" spans="1:10" ht="24" customHeight="1">
      <c r="A3007" s="677" t="s">
        <v>13472</v>
      </c>
      <c r="B3007" s="678" t="s">
        <v>13539</v>
      </c>
      <c r="C3007" s="677" t="s">
        <v>7</v>
      </c>
      <c r="D3007" s="677" t="s">
        <v>45</v>
      </c>
      <c r="E3007" s="918" t="s">
        <v>13470</v>
      </c>
      <c r="F3007" s="918"/>
      <c r="G3007" s="676" t="s">
        <v>19</v>
      </c>
      <c r="H3007" s="675">
        <v>0.76319999999999999</v>
      </c>
      <c r="I3007" s="674">
        <v>18.3</v>
      </c>
      <c r="J3007" s="674">
        <v>13.96</v>
      </c>
    </row>
    <row r="3008" spans="1:10" ht="24" customHeight="1">
      <c r="A3008" s="677" t="s">
        <v>13472</v>
      </c>
      <c r="B3008" s="678" t="s">
        <v>13538</v>
      </c>
      <c r="C3008" s="677" t="s">
        <v>7</v>
      </c>
      <c r="D3008" s="677" t="s">
        <v>47</v>
      </c>
      <c r="E3008" s="918" t="s">
        <v>13470</v>
      </c>
      <c r="F3008" s="918"/>
      <c r="G3008" s="676" t="s">
        <v>19</v>
      </c>
      <c r="H3008" s="675">
        <v>0.76319999999999999</v>
      </c>
      <c r="I3008" s="674">
        <v>14</v>
      </c>
      <c r="J3008" s="674">
        <v>10.68</v>
      </c>
    </row>
    <row r="3009" spans="1:10" ht="24" customHeight="1">
      <c r="A3009" s="672" t="s">
        <v>13467</v>
      </c>
      <c r="B3009" s="673" t="s">
        <v>14409</v>
      </c>
      <c r="C3009" s="672" t="s">
        <v>7</v>
      </c>
      <c r="D3009" s="672" t="s">
        <v>14408</v>
      </c>
      <c r="E3009" s="919" t="s">
        <v>13464</v>
      </c>
      <c r="F3009" s="919"/>
      <c r="G3009" s="671" t="s">
        <v>14</v>
      </c>
      <c r="H3009" s="670">
        <v>3</v>
      </c>
      <c r="I3009" s="669">
        <v>4.3099999999999996</v>
      </c>
      <c r="J3009" s="669">
        <v>12.93</v>
      </c>
    </row>
    <row r="3010" spans="1:10" ht="25.5">
      <c r="A3010" s="668"/>
      <c r="B3010" s="668"/>
      <c r="C3010" s="668"/>
      <c r="D3010" s="668"/>
      <c r="E3010" s="668" t="s">
        <v>13463</v>
      </c>
      <c r="F3010" s="667">
        <v>11.121373465174401</v>
      </c>
      <c r="G3010" s="668" t="s">
        <v>13462</v>
      </c>
      <c r="H3010" s="667">
        <v>9.35</v>
      </c>
      <c r="I3010" s="668" t="s">
        <v>13461</v>
      </c>
      <c r="J3010" s="667">
        <v>20.47</v>
      </c>
    </row>
    <row r="3011" spans="1:10" ht="15" thickBot="1">
      <c r="A3011" s="668"/>
      <c r="B3011" s="668"/>
      <c r="C3011" s="668"/>
      <c r="D3011" s="668"/>
      <c r="E3011" s="668" t="s">
        <v>13460</v>
      </c>
      <c r="F3011" s="667">
        <v>11.68</v>
      </c>
      <c r="G3011" s="668"/>
      <c r="H3011" s="925" t="s">
        <v>13459</v>
      </c>
      <c r="I3011" s="925"/>
      <c r="J3011" s="667">
        <v>53.06</v>
      </c>
    </row>
    <row r="3012" spans="1:10" ht="0.95" customHeight="1" thickTop="1">
      <c r="A3012" s="666"/>
      <c r="B3012" s="666"/>
      <c r="C3012" s="666"/>
      <c r="D3012" s="666"/>
      <c r="E3012" s="666"/>
      <c r="F3012" s="666"/>
      <c r="G3012" s="666"/>
      <c r="H3012" s="666"/>
      <c r="I3012" s="666"/>
      <c r="J3012" s="666"/>
    </row>
    <row r="3013" spans="1:10" ht="18" customHeight="1">
      <c r="A3013" s="686" t="s">
        <v>14407</v>
      </c>
      <c r="B3013" s="684" t="s">
        <v>13484</v>
      </c>
      <c r="C3013" s="686" t="s">
        <v>13483</v>
      </c>
      <c r="D3013" s="686" t="s">
        <v>13482</v>
      </c>
      <c r="E3013" s="924" t="s">
        <v>13481</v>
      </c>
      <c r="F3013" s="924"/>
      <c r="G3013" s="685" t="s">
        <v>13480</v>
      </c>
      <c r="H3013" s="684" t="s">
        <v>13479</v>
      </c>
      <c r="I3013" s="684" t="s">
        <v>13478</v>
      </c>
      <c r="J3013" s="684" t="s">
        <v>13477</v>
      </c>
    </row>
    <row r="3014" spans="1:10" ht="24" customHeight="1">
      <c r="A3014" s="682" t="s">
        <v>13476</v>
      </c>
      <c r="B3014" s="683" t="s">
        <v>14406</v>
      </c>
      <c r="C3014" s="682" t="s">
        <v>7</v>
      </c>
      <c r="D3014" s="682" t="s">
        <v>3730</v>
      </c>
      <c r="E3014" s="917" t="s">
        <v>14363</v>
      </c>
      <c r="F3014" s="917"/>
      <c r="G3014" s="681" t="s">
        <v>14</v>
      </c>
      <c r="H3014" s="680">
        <v>1</v>
      </c>
      <c r="I3014" s="679">
        <v>67.010000000000005</v>
      </c>
      <c r="J3014" s="679">
        <v>67.010000000000005</v>
      </c>
    </row>
    <row r="3015" spans="1:10" ht="24" customHeight="1">
      <c r="A3015" s="677" t="s">
        <v>13472</v>
      </c>
      <c r="B3015" s="678" t="s">
        <v>14112</v>
      </c>
      <c r="C3015" s="677" t="s">
        <v>7</v>
      </c>
      <c r="D3015" s="677" t="s">
        <v>129</v>
      </c>
      <c r="E3015" s="918" t="s">
        <v>13470</v>
      </c>
      <c r="F3015" s="918"/>
      <c r="G3015" s="676" t="s">
        <v>19</v>
      </c>
      <c r="H3015" s="675">
        <v>1.093</v>
      </c>
      <c r="I3015" s="674">
        <v>14.09</v>
      </c>
      <c r="J3015" s="674">
        <v>15.4</v>
      </c>
    </row>
    <row r="3016" spans="1:10" ht="24" customHeight="1">
      <c r="A3016" s="677" t="s">
        <v>13472</v>
      </c>
      <c r="B3016" s="678" t="s">
        <v>14329</v>
      </c>
      <c r="C3016" s="677" t="s">
        <v>7</v>
      </c>
      <c r="D3016" s="677" t="s">
        <v>43</v>
      </c>
      <c r="E3016" s="918" t="s">
        <v>13470</v>
      </c>
      <c r="F3016" s="918"/>
      <c r="G3016" s="676" t="s">
        <v>19</v>
      </c>
      <c r="H3016" s="675">
        <v>1.33</v>
      </c>
      <c r="I3016" s="674">
        <v>17.579999999999998</v>
      </c>
      <c r="J3016" s="674">
        <v>23.38</v>
      </c>
    </row>
    <row r="3017" spans="1:10" ht="36" customHeight="1">
      <c r="A3017" s="672" t="s">
        <v>13467</v>
      </c>
      <c r="B3017" s="673" t="s">
        <v>14355</v>
      </c>
      <c r="C3017" s="672" t="s">
        <v>7</v>
      </c>
      <c r="D3017" s="672" t="s">
        <v>14354</v>
      </c>
      <c r="E3017" s="919" t="s">
        <v>13464</v>
      </c>
      <c r="F3017" s="919"/>
      <c r="G3017" s="671" t="s">
        <v>34</v>
      </c>
      <c r="H3017" s="670">
        <v>2.1819999999999999</v>
      </c>
      <c r="I3017" s="669">
        <v>0.79</v>
      </c>
      <c r="J3017" s="669">
        <v>1.72</v>
      </c>
    </row>
    <row r="3018" spans="1:10" ht="24" customHeight="1">
      <c r="A3018" s="672" t="s">
        <v>13467</v>
      </c>
      <c r="B3018" s="673" t="s">
        <v>14405</v>
      </c>
      <c r="C3018" s="672" t="s">
        <v>7</v>
      </c>
      <c r="D3018" s="672" t="s">
        <v>14404</v>
      </c>
      <c r="E3018" s="919" t="s">
        <v>13464</v>
      </c>
      <c r="F3018" s="919"/>
      <c r="G3018" s="671" t="s">
        <v>17</v>
      </c>
      <c r="H3018" s="670">
        <v>0.47699999999999998</v>
      </c>
      <c r="I3018" s="669">
        <v>40.36</v>
      </c>
      <c r="J3018" s="669">
        <v>19.25</v>
      </c>
    </row>
    <row r="3019" spans="1:10" ht="24" customHeight="1">
      <c r="A3019" s="672" t="s">
        <v>13467</v>
      </c>
      <c r="B3019" s="673" t="s">
        <v>14403</v>
      </c>
      <c r="C3019" s="672" t="s">
        <v>7</v>
      </c>
      <c r="D3019" s="672" t="s">
        <v>14402</v>
      </c>
      <c r="E3019" s="919" t="s">
        <v>13464</v>
      </c>
      <c r="F3019" s="919"/>
      <c r="G3019" s="671" t="s">
        <v>17</v>
      </c>
      <c r="H3019" s="670">
        <v>2E-3</v>
      </c>
      <c r="I3019" s="669">
        <v>65.8</v>
      </c>
      <c r="J3019" s="669">
        <v>0.13</v>
      </c>
    </row>
    <row r="3020" spans="1:10" ht="24" customHeight="1">
      <c r="A3020" s="672" t="s">
        <v>13467</v>
      </c>
      <c r="B3020" s="673" t="s">
        <v>14401</v>
      </c>
      <c r="C3020" s="672" t="s">
        <v>7</v>
      </c>
      <c r="D3020" s="672" t="s">
        <v>14400</v>
      </c>
      <c r="E3020" s="919" t="s">
        <v>13464</v>
      </c>
      <c r="F3020" s="919"/>
      <c r="G3020" s="671" t="s">
        <v>34</v>
      </c>
      <c r="H3020" s="670">
        <v>1.091</v>
      </c>
      <c r="I3020" s="669">
        <v>6.54</v>
      </c>
      <c r="J3020" s="669">
        <v>7.13</v>
      </c>
    </row>
    <row r="3021" spans="1:10" ht="25.5">
      <c r="A3021" s="668"/>
      <c r="B3021" s="668"/>
      <c r="C3021" s="668"/>
      <c r="D3021" s="668"/>
      <c r="E3021" s="668" t="s">
        <v>13463</v>
      </c>
      <c r="F3021" s="667">
        <v>16.049114419211126</v>
      </c>
      <c r="G3021" s="668" t="s">
        <v>13462</v>
      </c>
      <c r="H3021" s="667">
        <v>13.49</v>
      </c>
      <c r="I3021" s="668" t="s">
        <v>13461</v>
      </c>
      <c r="J3021" s="667">
        <v>29.54</v>
      </c>
    </row>
    <row r="3022" spans="1:10" ht="15" thickBot="1">
      <c r="A3022" s="668"/>
      <c r="B3022" s="668"/>
      <c r="C3022" s="668"/>
      <c r="D3022" s="668"/>
      <c r="E3022" s="668" t="s">
        <v>13460</v>
      </c>
      <c r="F3022" s="667">
        <v>18.920000000000002</v>
      </c>
      <c r="G3022" s="668"/>
      <c r="H3022" s="925" t="s">
        <v>13459</v>
      </c>
      <c r="I3022" s="925"/>
      <c r="J3022" s="667">
        <v>85.93</v>
      </c>
    </row>
    <row r="3023" spans="1:10" ht="0.95" customHeight="1" thickTop="1">
      <c r="A3023" s="666"/>
      <c r="B3023" s="666"/>
      <c r="C3023" s="666"/>
      <c r="D3023" s="666"/>
      <c r="E3023" s="666"/>
      <c r="F3023" s="666"/>
      <c r="G3023" s="666"/>
      <c r="H3023" s="666"/>
      <c r="I3023" s="666"/>
      <c r="J3023" s="666"/>
    </row>
    <row r="3024" spans="1:10" ht="18" customHeight="1">
      <c r="A3024" s="686" t="s">
        <v>14399</v>
      </c>
      <c r="B3024" s="684" t="s">
        <v>13484</v>
      </c>
      <c r="C3024" s="686" t="s">
        <v>13483</v>
      </c>
      <c r="D3024" s="686" t="s">
        <v>13482</v>
      </c>
      <c r="E3024" s="924" t="s">
        <v>13481</v>
      </c>
      <c r="F3024" s="924"/>
      <c r="G3024" s="685" t="s">
        <v>13480</v>
      </c>
      <c r="H3024" s="684" t="s">
        <v>13479</v>
      </c>
      <c r="I3024" s="684" t="s">
        <v>13478</v>
      </c>
      <c r="J3024" s="684" t="s">
        <v>13477</v>
      </c>
    </row>
    <row r="3025" spans="1:10" ht="36" customHeight="1">
      <c r="A3025" s="682" t="s">
        <v>13476</v>
      </c>
      <c r="B3025" s="683" t="s">
        <v>14398</v>
      </c>
      <c r="C3025" s="682" t="s">
        <v>7</v>
      </c>
      <c r="D3025" s="682" t="s">
        <v>4220</v>
      </c>
      <c r="E3025" s="917" t="s">
        <v>14385</v>
      </c>
      <c r="F3025" s="917"/>
      <c r="G3025" s="681" t="s">
        <v>34</v>
      </c>
      <c r="H3025" s="680">
        <v>1</v>
      </c>
      <c r="I3025" s="679">
        <v>150.04</v>
      </c>
      <c r="J3025" s="679">
        <v>150.04</v>
      </c>
    </row>
    <row r="3026" spans="1:10" ht="24" customHeight="1">
      <c r="A3026" s="677" t="s">
        <v>13472</v>
      </c>
      <c r="B3026" s="678" t="s">
        <v>13754</v>
      </c>
      <c r="C3026" s="677" t="s">
        <v>7</v>
      </c>
      <c r="D3026" s="677" t="s">
        <v>192</v>
      </c>
      <c r="E3026" s="918" t="s">
        <v>13470</v>
      </c>
      <c r="F3026" s="918"/>
      <c r="G3026" s="676" t="s">
        <v>19</v>
      </c>
      <c r="H3026" s="675">
        <v>0.26</v>
      </c>
      <c r="I3026" s="674">
        <v>17.07</v>
      </c>
      <c r="J3026" s="674">
        <v>4.43</v>
      </c>
    </row>
    <row r="3027" spans="1:10" ht="24" customHeight="1">
      <c r="A3027" s="677" t="s">
        <v>13472</v>
      </c>
      <c r="B3027" s="678" t="s">
        <v>13471</v>
      </c>
      <c r="C3027" s="677" t="s">
        <v>7</v>
      </c>
      <c r="D3027" s="677" t="s">
        <v>21</v>
      </c>
      <c r="E3027" s="918" t="s">
        <v>13470</v>
      </c>
      <c r="F3027" s="918"/>
      <c r="G3027" s="676" t="s">
        <v>19</v>
      </c>
      <c r="H3027" s="675">
        <v>1.0401</v>
      </c>
      <c r="I3027" s="674">
        <v>14.02</v>
      </c>
      <c r="J3027" s="674">
        <v>14.58</v>
      </c>
    </row>
    <row r="3028" spans="1:10" ht="36" customHeight="1">
      <c r="A3028" s="672" t="s">
        <v>13467</v>
      </c>
      <c r="B3028" s="673" t="s">
        <v>14397</v>
      </c>
      <c r="C3028" s="672" t="s">
        <v>7</v>
      </c>
      <c r="D3028" s="672" t="s">
        <v>14396</v>
      </c>
      <c r="E3028" s="919" t="s">
        <v>13464</v>
      </c>
      <c r="F3028" s="919"/>
      <c r="G3028" s="671" t="s">
        <v>34</v>
      </c>
      <c r="H3028" s="670">
        <v>1</v>
      </c>
      <c r="I3028" s="669">
        <v>131.03</v>
      </c>
      <c r="J3028" s="669">
        <v>131.03</v>
      </c>
    </row>
    <row r="3029" spans="1:10" ht="25.5">
      <c r="A3029" s="668"/>
      <c r="B3029" s="668"/>
      <c r="C3029" s="668"/>
      <c r="D3029" s="668"/>
      <c r="E3029" s="668" t="s">
        <v>13463</v>
      </c>
      <c r="F3029" s="667">
        <v>7.6985765511246331</v>
      </c>
      <c r="G3029" s="668" t="s">
        <v>13462</v>
      </c>
      <c r="H3029" s="667">
        <v>6.47</v>
      </c>
      <c r="I3029" s="668" t="s">
        <v>13461</v>
      </c>
      <c r="J3029" s="667">
        <v>14.17</v>
      </c>
    </row>
    <row r="3030" spans="1:10" ht="15" thickBot="1">
      <c r="A3030" s="668"/>
      <c r="B3030" s="668"/>
      <c r="C3030" s="668"/>
      <c r="D3030" s="668"/>
      <c r="E3030" s="668" t="s">
        <v>13460</v>
      </c>
      <c r="F3030" s="667">
        <v>42.37</v>
      </c>
      <c r="G3030" s="668"/>
      <c r="H3030" s="925" t="s">
        <v>13459</v>
      </c>
      <c r="I3030" s="925"/>
      <c r="J3030" s="667">
        <v>192.41</v>
      </c>
    </row>
    <row r="3031" spans="1:10" ht="0.95" customHeight="1" thickTop="1">
      <c r="A3031" s="666"/>
      <c r="B3031" s="666"/>
      <c r="C3031" s="666"/>
      <c r="D3031" s="666"/>
      <c r="E3031" s="666"/>
      <c r="F3031" s="666"/>
      <c r="G3031" s="666"/>
      <c r="H3031" s="666"/>
      <c r="I3031" s="666"/>
      <c r="J3031" s="666"/>
    </row>
    <row r="3032" spans="1:10" ht="18" customHeight="1">
      <c r="A3032" s="686" t="s">
        <v>14395</v>
      </c>
      <c r="B3032" s="684" t="s">
        <v>13484</v>
      </c>
      <c r="C3032" s="686" t="s">
        <v>13483</v>
      </c>
      <c r="D3032" s="686" t="s">
        <v>13482</v>
      </c>
      <c r="E3032" s="924" t="s">
        <v>13481</v>
      </c>
      <c r="F3032" s="924"/>
      <c r="G3032" s="685" t="s">
        <v>13480</v>
      </c>
      <c r="H3032" s="684" t="s">
        <v>13479</v>
      </c>
      <c r="I3032" s="684" t="s">
        <v>13478</v>
      </c>
      <c r="J3032" s="684" t="s">
        <v>13477</v>
      </c>
    </row>
    <row r="3033" spans="1:10" ht="24" customHeight="1">
      <c r="A3033" s="682" t="s">
        <v>13476</v>
      </c>
      <c r="B3033" s="683" t="s">
        <v>14394</v>
      </c>
      <c r="C3033" s="682" t="s">
        <v>7</v>
      </c>
      <c r="D3033" s="682" t="s">
        <v>4221</v>
      </c>
      <c r="E3033" s="917" t="s">
        <v>14385</v>
      </c>
      <c r="F3033" s="917"/>
      <c r="G3033" s="681" t="s">
        <v>34</v>
      </c>
      <c r="H3033" s="680">
        <v>1</v>
      </c>
      <c r="I3033" s="679">
        <v>298.38</v>
      </c>
      <c r="J3033" s="679">
        <v>298.38</v>
      </c>
    </row>
    <row r="3034" spans="1:10" ht="60" customHeight="1">
      <c r="A3034" s="677" t="s">
        <v>13472</v>
      </c>
      <c r="B3034" s="678" t="s">
        <v>13791</v>
      </c>
      <c r="C3034" s="677" t="s">
        <v>7</v>
      </c>
      <c r="D3034" s="677" t="s">
        <v>1919</v>
      </c>
      <c r="E3034" s="918" t="s">
        <v>13491</v>
      </c>
      <c r="F3034" s="918"/>
      <c r="G3034" s="676" t="s">
        <v>38</v>
      </c>
      <c r="H3034" s="675">
        <v>0.2999</v>
      </c>
      <c r="I3034" s="674">
        <v>165.91</v>
      </c>
      <c r="J3034" s="674">
        <v>49.75</v>
      </c>
    </row>
    <row r="3035" spans="1:10" ht="60" customHeight="1">
      <c r="A3035" s="677" t="s">
        <v>13472</v>
      </c>
      <c r="B3035" s="678" t="s">
        <v>13792</v>
      </c>
      <c r="C3035" s="677" t="s">
        <v>7</v>
      </c>
      <c r="D3035" s="677" t="s">
        <v>1920</v>
      </c>
      <c r="E3035" s="918" t="s">
        <v>13491</v>
      </c>
      <c r="F3035" s="918"/>
      <c r="G3035" s="676" t="s">
        <v>53</v>
      </c>
      <c r="H3035" s="675">
        <v>1.2252000000000001</v>
      </c>
      <c r="I3035" s="674">
        <v>32.29</v>
      </c>
      <c r="J3035" s="674">
        <v>39.56</v>
      </c>
    </row>
    <row r="3036" spans="1:10" ht="24" customHeight="1">
      <c r="A3036" s="677" t="s">
        <v>13472</v>
      </c>
      <c r="B3036" s="678" t="s">
        <v>13754</v>
      </c>
      <c r="C3036" s="677" t="s">
        <v>7</v>
      </c>
      <c r="D3036" s="677" t="s">
        <v>192</v>
      </c>
      <c r="E3036" s="918" t="s">
        <v>13470</v>
      </c>
      <c r="F3036" s="918"/>
      <c r="G3036" s="676" t="s">
        <v>19</v>
      </c>
      <c r="H3036" s="675">
        <v>1.0905</v>
      </c>
      <c r="I3036" s="674">
        <v>17.07</v>
      </c>
      <c r="J3036" s="674">
        <v>18.61</v>
      </c>
    </row>
    <row r="3037" spans="1:10" ht="24" customHeight="1">
      <c r="A3037" s="677" t="s">
        <v>13472</v>
      </c>
      <c r="B3037" s="678" t="s">
        <v>13471</v>
      </c>
      <c r="C3037" s="677" t="s">
        <v>7</v>
      </c>
      <c r="D3037" s="677" t="s">
        <v>21</v>
      </c>
      <c r="E3037" s="918" t="s">
        <v>13470</v>
      </c>
      <c r="F3037" s="918"/>
      <c r="G3037" s="676" t="s">
        <v>19</v>
      </c>
      <c r="H3037" s="675">
        <v>4.3620000000000001</v>
      </c>
      <c r="I3037" s="674">
        <v>14.02</v>
      </c>
      <c r="J3037" s="674">
        <v>61.15</v>
      </c>
    </row>
    <row r="3038" spans="1:10" ht="24" customHeight="1">
      <c r="A3038" s="672" t="s">
        <v>13467</v>
      </c>
      <c r="B3038" s="673" t="s">
        <v>14393</v>
      </c>
      <c r="C3038" s="672" t="s">
        <v>7</v>
      </c>
      <c r="D3038" s="672" t="s">
        <v>14392</v>
      </c>
      <c r="E3038" s="919" t="s">
        <v>13464</v>
      </c>
      <c r="F3038" s="919"/>
      <c r="G3038" s="671" t="s">
        <v>34</v>
      </c>
      <c r="H3038" s="670">
        <v>1</v>
      </c>
      <c r="I3038" s="669">
        <v>129.31</v>
      </c>
      <c r="J3038" s="669">
        <v>129.31</v>
      </c>
    </row>
    <row r="3039" spans="1:10" ht="25.5">
      <c r="A3039" s="668"/>
      <c r="B3039" s="668"/>
      <c r="C3039" s="668"/>
      <c r="D3039" s="668"/>
      <c r="E3039" s="668" t="s">
        <v>13463</v>
      </c>
      <c r="F3039" s="667">
        <v>43.322829512115618</v>
      </c>
      <c r="G3039" s="668" t="s">
        <v>13462</v>
      </c>
      <c r="H3039" s="667">
        <v>36.42</v>
      </c>
      <c r="I3039" s="668" t="s">
        <v>13461</v>
      </c>
      <c r="J3039" s="667">
        <v>79.739999999999995</v>
      </c>
    </row>
    <row r="3040" spans="1:10" ht="15" thickBot="1">
      <c r="A3040" s="668"/>
      <c r="B3040" s="668"/>
      <c r="C3040" s="668"/>
      <c r="D3040" s="668"/>
      <c r="E3040" s="668" t="s">
        <v>13460</v>
      </c>
      <c r="F3040" s="667">
        <v>84.26</v>
      </c>
      <c r="G3040" s="668"/>
      <c r="H3040" s="925" t="s">
        <v>13459</v>
      </c>
      <c r="I3040" s="925"/>
      <c r="J3040" s="667">
        <v>382.64</v>
      </c>
    </row>
    <row r="3041" spans="1:10" ht="0.95" customHeight="1" thickTop="1">
      <c r="A3041" s="666"/>
      <c r="B3041" s="666"/>
      <c r="C3041" s="666"/>
      <c r="D3041" s="666"/>
      <c r="E3041" s="666"/>
      <c r="F3041" s="666"/>
      <c r="G3041" s="666"/>
      <c r="H3041" s="666"/>
      <c r="I3041" s="666"/>
      <c r="J3041" s="666"/>
    </row>
    <row r="3042" spans="1:10" ht="18" customHeight="1">
      <c r="A3042" s="686" t="s">
        <v>14391</v>
      </c>
      <c r="B3042" s="684" t="s">
        <v>13484</v>
      </c>
      <c r="C3042" s="686" t="s">
        <v>13483</v>
      </c>
      <c r="D3042" s="686" t="s">
        <v>13482</v>
      </c>
      <c r="E3042" s="924" t="s">
        <v>13481</v>
      </c>
      <c r="F3042" s="924"/>
      <c r="G3042" s="685" t="s">
        <v>13480</v>
      </c>
      <c r="H3042" s="684" t="s">
        <v>13479</v>
      </c>
      <c r="I3042" s="684" t="s">
        <v>13478</v>
      </c>
      <c r="J3042" s="684" t="s">
        <v>13477</v>
      </c>
    </row>
    <row r="3043" spans="1:10" ht="24" customHeight="1">
      <c r="A3043" s="682" t="s">
        <v>13476</v>
      </c>
      <c r="B3043" s="683" t="s">
        <v>14390</v>
      </c>
      <c r="C3043" s="682" t="s">
        <v>7</v>
      </c>
      <c r="D3043" s="682" t="s">
        <v>4229</v>
      </c>
      <c r="E3043" s="917" t="s">
        <v>14385</v>
      </c>
      <c r="F3043" s="917"/>
      <c r="G3043" s="681" t="s">
        <v>13610</v>
      </c>
      <c r="H3043" s="680">
        <v>1</v>
      </c>
      <c r="I3043" s="679">
        <v>78.849999999999994</v>
      </c>
      <c r="J3043" s="679">
        <v>78.849999999999994</v>
      </c>
    </row>
    <row r="3044" spans="1:10" ht="24" customHeight="1">
      <c r="A3044" s="677" t="s">
        <v>13472</v>
      </c>
      <c r="B3044" s="678" t="s">
        <v>13471</v>
      </c>
      <c r="C3044" s="677" t="s">
        <v>7</v>
      </c>
      <c r="D3044" s="677" t="s">
        <v>21</v>
      </c>
      <c r="E3044" s="918" t="s">
        <v>13470</v>
      </c>
      <c r="F3044" s="918"/>
      <c r="G3044" s="676" t="s">
        <v>19</v>
      </c>
      <c r="H3044" s="675">
        <v>0.21099999999999999</v>
      </c>
      <c r="I3044" s="674">
        <v>14.02</v>
      </c>
      <c r="J3044" s="674">
        <v>2.95</v>
      </c>
    </row>
    <row r="3045" spans="1:10" ht="24" customHeight="1">
      <c r="A3045" s="677" t="s">
        <v>13472</v>
      </c>
      <c r="B3045" s="678" t="s">
        <v>13754</v>
      </c>
      <c r="C3045" s="677" t="s">
        <v>7</v>
      </c>
      <c r="D3045" s="677" t="s">
        <v>192</v>
      </c>
      <c r="E3045" s="918" t="s">
        <v>13470</v>
      </c>
      <c r="F3045" s="918"/>
      <c r="G3045" s="676" t="s">
        <v>19</v>
      </c>
      <c r="H3045" s="675">
        <v>5.28E-2</v>
      </c>
      <c r="I3045" s="674">
        <v>17.07</v>
      </c>
      <c r="J3045" s="674">
        <v>0.9</v>
      </c>
    </row>
    <row r="3046" spans="1:10" ht="36" customHeight="1">
      <c r="A3046" s="672" t="s">
        <v>13467</v>
      </c>
      <c r="B3046" s="673" t="s">
        <v>14389</v>
      </c>
      <c r="C3046" s="672" t="s">
        <v>7</v>
      </c>
      <c r="D3046" s="672" t="s">
        <v>14388</v>
      </c>
      <c r="E3046" s="919" t="s">
        <v>13464</v>
      </c>
      <c r="F3046" s="919"/>
      <c r="G3046" s="671" t="s">
        <v>34</v>
      </c>
      <c r="H3046" s="670">
        <v>25</v>
      </c>
      <c r="I3046" s="669">
        <v>3</v>
      </c>
      <c r="J3046" s="669">
        <v>75</v>
      </c>
    </row>
    <row r="3047" spans="1:10" ht="25.5">
      <c r="A3047" s="668"/>
      <c r="B3047" s="668"/>
      <c r="C3047" s="668"/>
      <c r="D3047" s="668"/>
      <c r="E3047" s="668" t="s">
        <v>13463</v>
      </c>
      <c r="F3047" s="667">
        <v>1.5592741497337825</v>
      </c>
      <c r="G3047" s="668" t="s">
        <v>13462</v>
      </c>
      <c r="H3047" s="667">
        <v>1.31</v>
      </c>
      <c r="I3047" s="668" t="s">
        <v>13461</v>
      </c>
      <c r="J3047" s="667">
        <v>2.87</v>
      </c>
    </row>
    <row r="3048" spans="1:10" ht="15" thickBot="1">
      <c r="A3048" s="668"/>
      <c r="B3048" s="668"/>
      <c r="C3048" s="668"/>
      <c r="D3048" s="668"/>
      <c r="E3048" s="668" t="s">
        <v>13460</v>
      </c>
      <c r="F3048" s="667">
        <v>22.26</v>
      </c>
      <c r="G3048" s="668"/>
      <c r="H3048" s="925" t="s">
        <v>13459</v>
      </c>
      <c r="I3048" s="925"/>
      <c r="J3048" s="667">
        <v>101.11</v>
      </c>
    </row>
    <row r="3049" spans="1:10" ht="0.95" customHeight="1" thickTop="1">
      <c r="A3049" s="666"/>
      <c r="B3049" s="666"/>
      <c r="C3049" s="666"/>
      <c r="D3049" s="666"/>
      <c r="E3049" s="666"/>
      <c r="F3049" s="666"/>
      <c r="G3049" s="666"/>
      <c r="H3049" s="666"/>
      <c r="I3049" s="666"/>
      <c r="J3049" s="666"/>
    </row>
    <row r="3050" spans="1:10" ht="18" customHeight="1">
      <c r="A3050" s="686" t="s">
        <v>14387</v>
      </c>
      <c r="B3050" s="684" t="s">
        <v>13484</v>
      </c>
      <c r="C3050" s="686" t="s">
        <v>13483</v>
      </c>
      <c r="D3050" s="686" t="s">
        <v>13482</v>
      </c>
      <c r="E3050" s="924" t="s">
        <v>13481</v>
      </c>
      <c r="F3050" s="924"/>
      <c r="G3050" s="685" t="s">
        <v>13480</v>
      </c>
      <c r="H3050" s="684" t="s">
        <v>13479</v>
      </c>
      <c r="I3050" s="684" t="s">
        <v>13478</v>
      </c>
      <c r="J3050" s="684" t="s">
        <v>13477</v>
      </c>
    </row>
    <row r="3051" spans="1:10" ht="24" customHeight="1">
      <c r="A3051" s="682" t="s">
        <v>13476</v>
      </c>
      <c r="B3051" s="683" t="s">
        <v>14386</v>
      </c>
      <c r="C3051" s="682" t="s">
        <v>7</v>
      </c>
      <c r="D3051" s="682" t="s">
        <v>4218</v>
      </c>
      <c r="E3051" s="917" t="s">
        <v>14385</v>
      </c>
      <c r="F3051" s="917"/>
      <c r="G3051" s="681" t="s">
        <v>34</v>
      </c>
      <c r="H3051" s="680">
        <v>1</v>
      </c>
      <c r="I3051" s="679">
        <v>55.29</v>
      </c>
      <c r="J3051" s="679">
        <v>55.29</v>
      </c>
    </row>
    <row r="3052" spans="1:10" ht="24" customHeight="1">
      <c r="A3052" s="677" t="s">
        <v>13472</v>
      </c>
      <c r="B3052" s="678" t="s">
        <v>13754</v>
      </c>
      <c r="C3052" s="677" t="s">
        <v>7</v>
      </c>
      <c r="D3052" s="677" t="s">
        <v>192</v>
      </c>
      <c r="E3052" s="918" t="s">
        <v>13470</v>
      </c>
      <c r="F3052" s="918"/>
      <c r="G3052" s="676" t="s">
        <v>19</v>
      </c>
      <c r="H3052" s="675">
        <v>2.5499999999999998E-2</v>
      </c>
      <c r="I3052" s="674">
        <v>17.07</v>
      </c>
      <c r="J3052" s="674">
        <v>0.43</v>
      </c>
    </row>
    <row r="3053" spans="1:10" ht="24" customHeight="1">
      <c r="A3053" s="677" t="s">
        <v>13472</v>
      </c>
      <c r="B3053" s="678" t="s">
        <v>13471</v>
      </c>
      <c r="C3053" s="677" t="s">
        <v>7</v>
      </c>
      <c r="D3053" s="677" t="s">
        <v>21</v>
      </c>
      <c r="E3053" s="918" t="s">
        <v>13470</v>
      </c>
      <c r="F3053" s="918"/>
      <c r="G3053" s="676" t="s">
        <v>19</v>
      </c>
      <c r="H3053" s="675">
        <v>0.1018</v>
      </c>
      <c r="I3053" s="674">
        <v>14.02</v>
      </c>
      <c r="J3053" s="674">
        <v>1.42</v>
      </c>
    </row>
    <row r="3054" spans="1:10" ht="24" customHeight="1">
      <c r="A3054" s="672" t="s">
        <v>13467</v>
      </c>
      <c r="B3054" s="673" t="s">
        <v>14384</v>
      </c>
      <c r="C3054" s="672" t="s">
        <v>7</v>
      </c>
      <c r="D3054" s="672" t="s">
        <v>14383</v>
      </c>
      <c r="E3054" s="919" t="s">
        <v>13464</v>
      </c>
      <c r="F3054" s="919"/>
      <c r="G3054" s="671" t="s">
        <v>34</v>
      </c>
      <c r="H3054" s="670">
        <v>1</v>
      </c>
      <c r="I3054" s="669">
        <v>53.44</v>
      </c>
      <c r="J3054" s="669">
        <v>53.44</v>
      </c>
    </row>
    <row r="3055" spans="1:10" ht="25.5">
      <c r="A3055" s="668"/>
      <c r="B3055" s="668"/>
      <c r="C3055" s="668"/>
      <c r="D3055" s="668"/>
      <c r="E3055" s="668" t="s">
        <v>13463</v>
      </c>
      <c r="F3055" s="667">
        <v>0.74975551450613931</v>
      </c>
      <c r="G3055" s="668" t="s">
        <v>13462</v>
      </c>
      <c r="H3055" s="667">
        <v>0.63</v>
      </c>
      <c r="I3055" s="668" t="s">
        <v>13461</v>
      </c>
      <c r="J3055" s="667">
        <v>1.38</v>
      </c>
    </row>
    <row r="3056" spans="1:10" ht="15" thickBot="1">
      <c r="A3056" s="668"/>
      <c r="B3056" s="668"/>
      <c r="C3056" s="668"/>
      <c r="D3056" s="668"/>
      <c r="E3056" s="668" t="s">
        <v>13460</v>
      </c>
      <c r="F3056" s="667">
        <v>15.61</v>
      </c>
      <c r="G3056" s="668"/>
      <c r="H3056" s="925" t="s">
        <v>13459</v>
      </c>
      <c r="I3056" s="925"/>
      <c r="J3056" s="667">
        <v>70.900000000000006</v>
      </c>
    </row>
    <row r="3057" spans="1:10" ht="0.95" customHeight="1" thickTop="1">
      <c r="A3057" s="666"/>
      <c r="B3057" s="666"/>
      <c r="C3057" s="666"/>
      <c r="D3057" s="666"/>
      <c r="E3057" s="666"/>
      <c r="F3057" s="666"/>
      <c r="G3057" s="666"/>
      <c r="H3057" s="666"/>
      <c r="I3057" s="666"/>
      <c r="J3057" s="666"/>
    </row>
    <row r="3058" spans="1:10" ht="18" customHeight="1">
      <c r="A3058" s="686" t="s">
        <v>14382</v>
      </c>
      <c r="B3058" s="684" t="s">
        <v>13484</v>
      </c>
      <c r="C3058" s="686" t="s">
        <v>13483</v>
      </c>
      <c r="D3058" s="686" t="s">
        <v>13482</v>
      </c>
      <c r="E3058" s="924" t="s">
        <v>13481</v>
      </c>
      <c r="F3058" s="924"/>
      <c r="G3058" s="685" t="s">
        <v>13480</v>
      </c>
      <c r="H3058" s="684" t="s">
        <v>13479</v>
      </c>
      <c r="I3058" s="684" t="s">
        <v>13478</v>
      </c>
      <c r="J3058" s="684" t="s">
        <v>13477</v>
      </c>
    </row>
    <row r="3059" spans="1:10" ht="24" customHeight="1">
      <c r="A3059" s="682" t="s">
        <v>13476</v>
      </c>
      <c r="B3059" s="683" t="s">
        <v>14381</v>
      </c>
      <c r="C3059" s="682" t="s">
        <v>7</v>
      </c>
      <c r="D3059" s="682" t="s">
        <v>4198</v>
      </c>
      <c r="E3059" s="917" t="s">
        <v>13470</v>
      </c>
      <c r="F3059" s="917"/>
      <c r="G3059" s="681" t="s">
        <v>13610</v>
      </c>
      <c r="H3059" s="680">
        <v>1</v>
      </c>
      <c r="I3059" s="679">
        <v>0.56000000000000005</v>
      </c>
      <c r="J3059" s="679">
        <v>0.56000000000000005</v>
      </c>
    </row>
    <row r="3060" spans="1:10" ht="24" customHeight="1">
      <c r="A3060" s="677" t="s">
        <v>13472</v>
      </c>
      <c r="B3060" s="678" t="s">
        <v>13471</v>
      </c>
      <c r="C3060" s="677" t="s">
        <v>7</v>
      </c>
      <c r="D3060" s="677" t="s">
        <v>21</v>
      </c>
      <c r="E3060" s="918" t="s">
        <v>13470</v>
      </c>
      <c r="F3060" s="918"/>
      <c r="G3060" s="676" t="s">
        <v>19</v>
      </c>
      <c r="H3060" s="675">
        <v>0.04</v>
      </c>
      <c r="I3060" s="674">
        <v>14.02</v>
      </c>
      <c r="J3060" s="674">
        <v>0.56000000000000005</v>
      </c>
    </row>
    <row r="3061" spans="1:10" ht="25.5">
      <c r="A3061" s="668"/>
      <c r="B3061" s="668"/>
      <c r="C3061" s="668"/>
      <c r="D3061" s="668"/>
      <c r="E3061" s="668" t="s">
        <v>13463</v>
      </c>
      <c r="F3061" s="667">
        <v>0.22275344996196891</v>
      </c>
      <c r="G3061" s="668" t="s">
        <v>13462</v>
      </c>
      <c r="H3061" s="667">
        <v>0.19</v>
      </c>
      <c r="I3061" s="668" t="s">
        <v>13461</v>
      </c>
      <c r="J3061" s="667">
        <v>0.41</v>
      </c>
    </row>
    <row r="3062" spans="1:10" ht="15" thickBot="1">
      <c r="A3062" s="668"/>
      <c r="B3062" s="668"/>
      <c r="C3062" s="668"/>
      <c r="D3062" s="668"/>
      <c r="E3062" s="668" t="s">
        <v>13460</v>
      </c>
      <c r="F3062" s="667">
        <v>0.15</v>
      </c>
      <c r="G3062" s="668"/>
      <c r="H3062" s="925" t="s">
        <v>13459</v>
      </c>
      <c r="I3062" s="925"/>
      <c r="J3062" s="667">
        <v>0.71</v>
      </c>
    </row>
    <row r="3063" spans="1:10" ht="0.95" customHeight="1" thickTop="1">
      <c r="A3063" s="666"/>
      <c r="B3063" s="666"/>
      <c r="C3063" s="666"/>
      <c r="D3063" s="666"/>
      <c r="E3063" s="666"/>
      <c r="F3063" s="666"/>
      <c r="G3063" s="666"/>
      <c r="H3063" s="666"/>
      <c r="I3063" s="666"/>
      <c r="J3063" s="666"/>
    </row>
    <row r="3064" spans="1:10" ht="18" customHeight="1">
      <c r="A3064" s="686" t="s">
        <v>14380</v>
      </c>
      <c r="B3064" s="684" t="s">
        <v>13484</v>
      </c>
      <c r="C3064" s="686" t="s">
        <v>13483</v>
      </c>
      <c r="D3064" s="686" t="s">
        <v>13482</v>
      </c>
      <c r="E3064" s="924" t="s">
        <v>13481</v>
      </c>
      <c r="F3064" s="924"/>
      <c r="G3064" s="685" t="s">
        <v>13480</v>
      </c>
      <c r="H3064" s="684" t="s">
        <v>13479</v>
      </c>
      <c r="I3064" s="684" t="s">
        <v>13478</v>
      </c>
      <c r="J3064" s="684" t="s">
        <v>13477</v>
      </c>
    </row>
    <row r="3065" spans="1:10" ht="24" customHeight="1">
      <c r="A3065" s="682" t="s">
        <v>13476</v>
      </c>
      <c r="B3065" s="683" t="s">
        <v>14379</v>
      </c>
      <c r="C3065" s="682" t="s">
        <v>7</v>
      </c>
      <c r="D3065" s="682" t="s">
        <v>4203</v>
      </c>
      <c r="E3065" s="917" t="s">
        <v>13470</v>
      </c>
      <c r="F3065" s="917"/>
      <c r="G3065" s="681" t="s">
        <v>13610</v>
      </c>
      <c r="H3065" s="680">
        <v>1</v>
      </c>
      <c r="I3065" s="679">
        <v>1.26</v>
      </c>
      <c r="J3065" s="679">
        <v>1.26</v>
      </c>
    </row>
    <row r="3066" spans="1:10" ht="48" customHeight="1">
      <c r="A3066" s="677" t="s">
        <v>13472</v>
      </c>
      <c r="B3066" s="678" t="s">
        <v>13744</v>
      </c>
      <c r="C3066" s="677" t="s">
        <v>7</v>
      </c>
      <c r="D3066" s="677" t="s">
        <v>3535</v>
      </c>
      <c r="E3066" s="918" t="s">
        <v>13491</v>
      </c>
      <c r="F3066" s="918"/>
      <c r="G3066" s="676" t="s">
        <v>38</v>
      </c>
      <c r="H3066" s="675">
        <v>1.4999999999999999E-2</v>
      </c>
      <c r="I3066" s="674">
        <v>1.42</v>
      </c>
      <c r="J3066" s="674">
        <v>0.02</v>
      </c>
    </row>
    <row r="3067" spans="1:10" ht="24" customHeight="1">
      <c r="A3067" s="677" t="s">
        <v>13472</v>
      </c>
      <c r="B3067" s="678" t="s">
        <v>13471</v>
      </c>
      <c r="C3067" s="677" t="s">
        <v>7</v>
      </c>
      <c r="D3067" s="677" t="s">
        <v>21</v>
      </c>
      <c r="E3067" s="918" t="s">
        <v>13470</v>
      </c>
      <c r="F3067" s="918"/>
      <c r="G3067" s="676" t="s">
        <v>19</v>
      </c>
      <c r="H3067" s="675">
        <v>8.8999999999999996E-2</v>
      </c>
      <c r="I3067" s="674">
        <v>14.02</v>
      </c>
      <c r="J3067" s="674">
        <v>1.24</v>
      </c>
    </row>
    <row r="3068" spans="1:10" ht="25.5">
      <c r="A3068" s="668"/>
      <c r="B3068" s="668"/>
      <c r="C3068" s="668"/>
      <c r="D3068" s="668"/>
      <c r="E3068" s="668" t="s">
        <v>13463</v>
      </c>
      <c r="F3068" s="667">
        <v>0.49440399869607737</v>
      </c>
      <c r="G3068" s="668" t="s">
        <v>13462</v>
      </c>
      <c r="H3068" s="667">
        <v>0.42</v>
      </c>
      <c r="I3068" s="668" t="s">
        <v>13461</v>
      </c>
      <c r="J3068" s="667">
        <v>0.91</v>
      </c>
    </row>
    <row r="3069" spans="1:10" ht="15" thickBot="1">
      <c r="A3069" s="668"/>
      <c r="B3069" s="668"/>
      <c r="C3069" s="668"/>
      <c r="D3069" s="668"/>
      <c r="E3069" s="668" t="s">
        <v>13460</v>
      </c>
      <c r="F3069" s="667">
        <v>0.35</v>
      </c>
      <c r="G3069" s="668"/>
      <c r="H3069" s="925" t="s">
        <v>13459</v>
      </c>
      <c r="I3069" s="925"/>
      <c r="J3069" s="667">
        <v>1.61</v>
      </c>
    </row>
    <row r="3070" spans="1:10" ht="0.95" customHeight="1" thickTop="1">
      <c r="A3070" s="666"/>
      <c r="B3070" s="666"/>
      <c r="C3070" s="666"/>
      <c r="D3070" s="666"/>
      <c r="E3070" s="666"/>
      <c r="F3070" s="666"/>
      <c r="G3070" s="666"/>
      <c r="H3070" s="666"/>
      <c r="I3070" s="666"/>
      <c r="J3070" s="666"/>
    </row>
    <row r="3071" spans="1:10" ht="18" customHeight="1">
      <c r="A3071" s="686" t="s">
        <v>14344</v>
      </c>
      <c r="B3071" s="684" t="s">
        <v>13484</v>
      </c>
      <c r="C3071" s="686" t="s">
        <v>13483</v>
      </c>
      <c r="D3071" s="686" t="s">
        <v>13482</v>
      </c>
      <c r="E3071" s="924" t="s">
        <v>13481</v>
      </c>
      <c r="F3071" s="924"/>
      <c r="G3071" s="685" t="s">
        <v>13480</v>
      </c>
      <c r="H3071" s="684" t="s">
        <v>13479</v>
      </c>
      <c r="I3071" s="684" t="s">
        <v>13478</v>
      </c>
      <c r="J3071" s="684" t="s">
        <v>13477</v>
      </c>
    </row>
    <row r="3072" spans="1:10" ht="48" customHeight="1">
      <c r="A3072" s="682" t="s">
        <v>13476</v>
      </c>
      <c r="B3072" s="683" t="s">
        <v>14378</v>
      </c>
      <c r="C3072" s="682" t="s">
        <v>7</v>
      </c>
      <c r="D3072" s="682" t="s">
        <v>2858</v>
      </c>
      <c r="E3072" s="917" t="s">
        <v>13491</v>
      </c>
      <c r="F3072" s="917"/>
      <c r="G3072" s="681" t="s">
        <v>38</v>
      </c>
      <c r="H3072" s="680">
        <v>1</v>
      </c>
      <c r="I3072" s="679">
        <v>13.86</v>
      </c>
      <c r="J3072" s="679">
        <v>13.86</v>
      </c>
    </row>
    <row r="3073" spans="1:10" ht="48" customHeight="1">
      <c r="A3073" s="677" t="s">
        <v>13472</v>
      </c>
      <c r="B3073" s="678" t="s">
        <v>13659</v>
      </c>
      <c r="C3073" s="677" t="s">
        <v>7</v>
      </c>
      <c r="D3073" s="677" t="s">
        <v>2855</v>
      </c>
      <c r="E3073" s="918" t="s">
        <v>13491</v>
      </c>
      <c r="F3073" s="918"/>
      <c r="G3073" s="676" t="s">
        <v>19</v>
      </c>
      <c r="H3073" s="675">
        <v>1</v>
      </c>
      <c r="I3073" s="674">
        <v>1.1399999999999999</v>
      </c>
      <c r="J3073" s="674">
        <v>1.1399999999999999</v>
      </c>
    </row>
    <row r="3074" spans="1:10" ht="48" customHeight="1">
      <c r="A3074" s="677" t="s">
        <v>13472</v>
      </c>
      <c r="B3074" s="678" t="s">
        <v>13657</v>
      </c>
      <c r="C3074" s="677" t="s">
        <v>7</v>
      </c>
      <c r="D3074" s="677" t="s">
        <v>2857</v>
      </c>
      <c r="E3074" s="918" t="s">
        <v>13491</v>
      </c>
      <c r="F3074" s="918"/>
      <c r="G3074" s="676" t="s">
        <v>19</v>
      </c>
      <c r="H3074" s="675">
        <v>1</v>
      </c>
      <c r="I3074" s="674">
        <v>1.43</v>
      </c>
      <c r="J3074" s="674">
        <v>1.43</v>
      </c>
    </row>
    <row r="3075" spans="1:10" ht="36" customHeight="1">
      <c r="A3075" s="677" t="s">
        <v>13472</v>
      </c>
      <c r="B3075" s="678" t="s">
        <v>13658</v>
      </c>
      <c r="C3075" s="677" t="s">
        <v>7</v>
      </c>
      <c r="D3075" s="677" t="s">
        <v>2856</v>
      </c>
      <c r="E3075" s="918" t="s">
        <v>13491</v>
      </c>
      <c r="F3075" s="918"/>
      <c r="G3075" s="676" t="s">
        <v>19</v>
      </c>
      <c r="H3075" s="675">
        <v>1</v>
      </c>
      <c r="I3075" s="674">
        <v>0.13</v>
      </c>
      <c r="J3075" s="674">
        <v>0.13</v>
      </c>
    </row>
    <row r="3076" spans="1:10" ht="24" customHeight="1">
      <c r="A3076" s="677" t="s">
        <v>13472</v>
      </c>
      <c r="B3076" s="678" t="s">
        <v>13674</v>
      </c>
      <c r="C3076" s="677" t="s">
        <v>7</v>
      </c>
      <c r="D3076" s="677" t="s">
        <v>160</v>
      </c>
      <c r="E3076" s="918" t="s">
        <v>13470</v>
      </c>
      <c r="F3076" s="918"/>
      <c r="G3076" s="676" t="s">
        <v>19</v>
      </c>
      <c r="H3076" s="675">
        <v>1</v>
      </c>
      <c r="I3076" s="674">
        <v>11.16</v>
      </c>
      <c r="J3076" s="674">
        <v>11.16</v>
      </c>
    </row>
    <row r="3077" spans="1:10" ht="25.5">
      <c r="A3077" s="668"/>
      <c r="B3077" s="668"/>
      <c r="C3077" s="668"/>
      <c r="D3077" s="668"/>
      <c r="E3077" s="668" t="s">
        <v>13463</v>
      </c>
      <c r="F3077" s="667">
        <v>4.476801</v>
      </c>
      <c r="G3077" s="668" t="s">
        <v>13462</v>
      </c>
      <c r="H3077" s="667">
        <v>3.76</v>
      </c>
      <c r="I3077" s="668" t="s">
        <v>13461</v>
      </c>
      <c r="J3077" s="667">
        <v>8.24</v>
      </c>
    </row>
    <row r="3078" spans="1:10" ht="15" thickBot="1">
      <c r="A3078" s="668"/>
      <c r="B3078" s="668"/>
      <c r="C3078" s="668"/>
      <c r="D3078" s="668"/>
      <c r="E3078" s="668" t="s">
        <v>13460</v>
      </c>
      <c r="F3078" s="667">
        <v>3.91</v>
      </c>
      <c r="G3078" s="668"/>
      <c r="H3078" s="925" t="s">
        <v>13459</v>
      </c>
      <c r="I3078" s="925"/>
      <c r="J3078" s="667">
        <v>17.77</v>
      </c>
    </row>
    <row r="3079" spans="1:10" ht="0.95" customHeight="1" thickTop="1">
      <c r="A3079" s="666"/>
      <c r="B3079" s="666"/>
      <c r="C3079" s="666"/>
      <c r="D3079" s="666"/>
      <c r="E3079" s="666"/>
      <c r="F3079" s="666"/>
      <c r="G3079" s="666"/>
      <c r="H3079" s="666"/>
      <c r="I3079" s="666"/>
      <c r="J3079" s="666"/>
    </row>
    <row r="3080" spans="1:10" ht="18" customHeight="1">
      <c r="A3080" s="686" t="s">
        <v>14344</v>
      </c>
      <c r="B3080" s="684" t="s">
        <v>13484</v>
      </c>
      <c r="C3080" s="686" t="s">
        <v>13483</v>
      </c>
      <c r="D3080" s="686" t="s">
        <v>13482</v>
      </c>
      <c r="E3080" s="924" t="s">
        <v>13481</v>
      </c>
      <c r="F3080" s="924"/>
      <c r="G3080" s="685" t="s">
        <v>13480</v>
      </c>
      <c r="H3080" s="684" t="s">
        <v>13479</v>
      </c>
      <c r="I3080" s="684" t="s">
        <v>13478</v>
      </c>
      <c r="J3080" s="684" t="s">
        <v>13477</v>
      </c>
    </row>
    <row r="3081" spans="1:10" ht="36" customHeight="1">
      <c r="A3081" s="682" t="s">
        <v>13476</v>
      </c>
      <c r="B3081" s="683" t="s">
        <v>14377</v>
      </c>
      <c r="C3081" s="682" t="s">
        <v>7</v>
      </c>
      <c r="D3081" s="682" t="s">
        <v>1244</v>
      </c>
      <c r="E3081" s="917" t="s">
        <v>13491</v>
      </c>
      <c r="F3081" s="917"/>
      <c r="G3081" s="681" t="s">
        <v>38</v>
      </c>
      <c r="H3081" s="680">
        <v>1</v>
      </c>
      <c r="I3081" s="679">
        <v>158.12</v>
      </c>
      <c r="J3081" s="679">
        <v>158.12</v>
      </c>
    </row>
    <row r="3082" spans="1:10" ht="36" customHeight="1">
      <c r="A3082" s="677" t="s">
        <v>13472</v>
      </c>
      <c r="B3082" s="678" t="s">
        <v>13813</v>
      </c>
      <c r="C3082" s="677" t="s">
        <v>7</v>
      </c>
      <c r="D3082" s="677" t="s">
        <v>1242</v>
      </c>
      <c r="E3082" s="918" t="s">
        <v>13491</v>
      </c>
      <c r="F3082" s="918"/>
      <c r="G3082" s="676" t="s">
        <v>19</v>
      </c>
      <c r="H3082" s="675">
        <v>1</v>
      </c>
      <c r="I3082" s="674">
        <v>68.25</v>
      </c>
      <c r="J3082" s="674">
        <v>68.25</v>
      </c>
    </row>
    <row r="3083" spans="1:10" ht="48" customHeight="1">
      <c r="A3083" s="677" t="s">
        <v>13472</v>
      </c>
      <c r="B3083" s="678" t="s">
        <v>13810</v>
      </c>
      <c r="C3083" s="677" t="s">
        <v>7</v>
      </c>
      <c r="D3083" s="677" t="s">
        <v>1243</v>
      </c>
      <c r="E3083" s="918" t="s">
        <v>13491</v>
      </c>
      <c r="F3083" s="918"/>
      <c r="G3083" s="676" t="s">
        <v>19</v>
      </c>
      <c r="H3083" s="675">
        <v>1</v>
      </c>
      <c r="I3083" s="674">
        <v>23.91</v>
      </c>
      <c r="J3083" s="674">
        <v>23.91</v>
      </c>
    </row>
    <row r="3084" spans="1:10" ht="36" customHeight="1">
      <c r="A3084" s="677" t="s">
        <v>13472</v>
      </c>
      <c r="B3084" s="678" t="s">
        <v>13816</v>
      </c>
      <c r="C3084" s="677" t="s">
        <v>7</v>
      </c>
      <c r="D3084" s="677" t="s">
        <v>1239</v>
      </c>
      <c r="E3084" s="918" t="s">
        <v>13491</v>
      </c>
      <c r="F3084" s="918"/>
      <c r="G3084" s="676" t="s">
        <v>19</v>
      </c>
      <c r="H3084" s="675">
        <v>1</v>
      </c>
      <c r="I3084" s="674">
        <v>42.45</v>
      </c>
      <c r="J3084" s="674">
        <v>42.45</v>
      </c>
    </row>
    <row r="3085" spans="1:10" ht="48" customHeight="1">
      <c r="A3085" s="677" t="s">
        <v>13472</v>
      </c>
      <c r="B3085" s="678" t="s">
        <v>13815</v>
      </c>
      <c r="C3085" s="677" t="s">
        <v>7</v>
      </c>
      <c r="D3085" s="677" t="s">
        <v>1241</v>
      </c>
      <c r="E3085" s="918" t="s">
        <v>13491</v>
      </c>
      <c r="F3085" s="918"/>
      <c r="G3085" s="676" t="s">
        <v>19</v>
      </c>
      <c r="H3085" s="675">
        <v>1</v>
      </c>
      <c r="I3085" s="674">
        <v>2.97</v>
      </c>
      <c r="J3085" s="674">
        <v>2.97</v>
      </c>
    </row>
    <row r="3086" spans="1:10" ht="36" customHeight="1">
      <c r="A3086" s="677" t="s">
        <v>13472</v>
      </c>
      <c r="B3086" s="678" t="s">
        <v>13814</v>
      </c>
      <c r="C3086" s="677" t="s">
        <v>7</v>
      </c>
      <c r="D3086" s="677" t="s">
        <v>1240</v>
      </c>
      <c r="E3086" s="918" t="s">
        <v>13491</v>
      </c>
      <c r="F3086" s="918"/>
      <c r="G3086" s="676" t="s">
        <v>19</v>
      </c>
      <c r="H3086" s="675">
        <v>1</v>
      </c>
      <c r="I3086" s="674">
        <v>7.64</v>
      </c>
      <c r="J3086" s="674">
        <v>7.64</v>
      </c>
    </row>
    <row r="3087" spans="1:10" ht="24" customHeight="1">
      <c r="A3087" s="677" t="s">
        <v>13472</v>
      </c>
      <c r="B3087" s="678" t="s">
        <v>13678</v>
      </c>
      <c r="C3087" s="677" t="s">
        <v>7</v>
      </c>
      <c r="D3087" s="677" t="s">
        <v>158</v>
      </c>
      <c r="E3087" s="918" t="s">
        <v>13470</v>
      </c>
      <c r="F3087" s="918"/>
      <c r="G3087" s="676" t="s">
        <v>19</v>
      </c>
      <c r="H3087" s="675">
        <v>1</v>
      </c>
      <c r="I3087" s="674">
        <v>12.9</v>
      </c>
      <c r="J3087" s="674">
        <v>12.9</v>
      </c>
    </row>
    <row r="3088" spans="1:10" ht="25.5">
      <c r="A3088" s="668"/>
      <c r="B3088" s="668"/>
      <c r="C3088" s="668"/>
      <c r="D3088" s="668"/>
      <c r="E3088" s="668" t="s">
        <v>13463</v>
      </c>
      <c r="F3088" s="667">
        <v>5.4221450000000004</v>
      </c>
      <c r="G3088" s="668" t="s">
        <v>13462</v>
      </c>
      <c r="H3088" s="667">
        <v>4.5599999999999996</v>
      </c>
      <c r="I3088" s="668" t="s">
        <v>13461</v>
      </c>
      <c r="J3088" s="667">
        <v>9.98</v>
      </c>
    </row>
    <row r="3089" spans="1:10" ht="15" thickBot="1">
      <c r="A3089" s="668"/>
      <c r="B3089" s="668"/>
      <c r="C3089" s="668"/>
      <c r="D3089" s="668"/>
      <c r="E3089" s="668" t="s">
        <v>13460</v>
      </c>
      <c r="F3089" s="667">
        <v>44.65</v>
      </c>
      <c r="G3089" s="668"/>
      <c r="H3089" s="925" t="s">
        <v>13459</v>
      </c>
      <c r="I3089" s="925"/>
      <c r="J3089" s="667">
        <v>202.77</v>
      </c>
    </row>
    <row r="3090" spans="1:10" ht="0.95" customHeight="1" thickTop="1">
      <c r="A3090" s="666"/>
      <c r="B3090" s="666"/>
      <c r="C3090" s="666"/>
      <c r="D3090" s="666"/>
      <c r="E3090" s="666"/>
      <c r="F3090" s="666"/>
      <c r="G3090" s="666"/>
      <c r="H3090" s="666"/>
      <c r="I3090" s="666"/>
      <c r="J3090" s="666"/>
    </row>
    <row r="3091" spans="1:10" ht="18" customHeight="1">
      <c r="A3091" s="686" t="s">
        <v>14344</v>
      </c>
      <c r="B3091" s="684" t="s">
        <v>13484</v>
      </c>
      <c r="C3091" s="686" t="s">
        <v>13483</v>
      </c>
      <c r="D3091" s="686" t="s">
        <v>13482</v>
      </c>
      <c r="E3091" s="924" t="s">
        <v>13481</v>
      </c>
      <c r="F3091" s="924"/>
      <c r="G3091" s="685" t="s">
        <v>13480</v>
      </c>
      <c r="H3091" s="684" t="s">
        <v>13479</v>
      </c>
      <c r="I3091" s="684" t="s">
        <v>13478</v>
      </c>
      <c r="J3091" s="684" t="s">
        <v>13477</v>
      </c>
    </row>
    <row r="3092" spans="1:10" ht="48" customHeight="1">
      <c r="A3092" s="682" t="s">
        <v>13476</v>
      </c>
      <c r="B3092" s="683" t="s">
        <v>14376</v>
      </c>
      <c r="C3092" s="682" t="s">
        <v>7</v>
      </c>
      <c r="D3092" s="682" t="s">
        <v>2859</v>
      </c>
      <c r="E3092" s="917" t="s">
        <v>13491</v>
      </c>
      <c r="F3092" s="917"/>
      <c r="G3092" s="681" t="s">
        <v>53</v>
      </c>
      <c r="H3092" s="680">
        <v>1</v>
      </c>
      <c r="I3092" s="679">
        <v>12.43</v>
      </c>
      <c r="J3092" s="679">
        <v>12.43</v>
      </c>
    </row>
    <row r="3093" spans="1:10" ht="48" customHeight="1">
      <c r="A3093" s="677" t="s">
        <v>13472</v>
      </c>
      <c r="B3093" s="678" t="s">
        <v>13659</v>
      </c>
      <c r="C3093" s="677" t="s">
        <v>7</v>
      </c>
      <c r="D3093" s="677" t="s">
        <v>2855</v>
      </c>
      <c r="E3093" s="918" t="s">
        <v>13491</v>
      </c>
      <c r="F3093" s="918"/>
      <c r="G3093" s="676" t="s">
        <v>19</v>
      </c>
      <c r="H3093" s="675">
        <v>1</v>
      </c>
      <c r="I3093" s="674">
        <v>1.1399999999999999</v>
      </c>
      <c r="J3093" s="674">
        <v>1.1399999999999999</v>
      </c>
    </row>
    <row r="3094" spans="1:10" ht="36" customHeight="1">
      <c r="A3094" s="677" t="s">
        <v>13472</v>
      </c>
      <c r="B3094" s="678" t="s">
        <v>13658</v>
      </c>
      <c r="C3094" s="677" t="s">
        <v>7</v>
      </c>
      <c r="D3094" s="677" t="s">
        <v>2856</v>
      </c>
      <c r="E3094" s="918" t="s">
        <v>13491</v>
      </c>
      <c r="F3094" s="918"/>
      <c r="G3094" s="676" t="s">
        <v>19</v>
      </c>
      <c r="H3094" s="675">
        <v>1</v>
      </c>
      <c r="I3094" s="674">
        <v>0.13</v>
      </c>
      <c r="J3094" s="674">
        <v>0.13</v>
      </c>
    </row>
    <row r="3095" spans="1:10" ht="24" customHeight="1">
      <c r="A3095" s="677" t="s">
        <v>13472</v>
      </c>
      <c r="B3095" s="678" t="s">
        <v>13674</v>
      </c>
      <c r="C3095" s="677" t="s">
        <v>7</v>
      </c>
      <c r="D3095" s="677" t="s">
        <v>160</v>
      </c>
      <c r="E3095" s="918" t="s">
        <v>13470</v>
      </c>
      <c r="F3095" s="918"/>
      <c r="G3095" s="676" t="s">
        <v>19</v>
      </c>
      <c r="H3095" s="675">
        <v>1</v>
      </c>
      <c r="I3095" s="674">
        <v>11.16</v>
      </c>
      <c r="J3095" s="674">
        <v>11.16</v>
      </c>
    </row>
    <row r="3096" spans="1:10" ht="25.5">
      <c r="A3096" s="668"/>
      <c r="B3096" s="668"/>
      <c r="C3096" s="668"/>
      <c r="D3096" s="668"/>
      <c r="E3096" s="668" t="s">
        <v>13463</v>
      </c>
      <c r="F3096" s="667">
        <v>4.476801</v>
      </c>
      <c r="G3096" s="668" t="s">
        <v>13462</v>
      </c>
      <c r="H3096" s="667">
        <v>3.76</v>
      </c>
      <c r="I3096" s="668" t="s">
        <v>13461</v>
      </c>
      <c r="J3096" s="667">
        <v>8.24</v>
      </c>
    </row>
    <row r="3097" spans="1:10" ht="15" thickBot="1">
      <c r="A3097" s="668"/>
      <c r="B3097" s="668"/>
      <c r="C3097" s="668"/>
      <c r="D3097" s="668"/>
      <c r="E3097" s="668" t="s">
        <v>13460</v>
      </c>
      <c r="F3097" s="667">
        <v>3.51</v>
      </c>
      <c r="G3097" s="668"/>
      <c r="H3097" s="925" t="s">
        <v>13459</v>
      </c>
      <c r="I3097" s="925"/>
      <c r="J3097" s="667">
        <v>15.94</v>
      </c>
    </row>
    <row r="3098" spans="1:10" ht="0.95" customHeight="1" thickTop="1">
      <c r="A3098" s="666"/>
      <c r="B3098" s="666"/>
      <c r="C3098" s="666"/>
      <c r="D3098" s="666"/>
      <c r="E3098" s="666"/>
      <c r="F3098" s="666"/>
      <c r="G3098" s="666"/>
      <c r="H3098" s="666"/>
      <c r="I3098" s="666"/>
      <c r="J3098" s="666"/>
    </row>
    <row r="3099" spans="1:10" ht="18" customHeight="1">
      <c r="A3099" s="686" t="s">
        <v>14344</v>
      </c>
      <c r="B3099" s="684" t="s">
        <v>13484</v>
      </c>
      <c r="C3099" s="686" t="s">
        <v>13483</v>
      </c>
      <c r="D3099" s="686" t="s">
        <v>13482</v>
      </c>
      <c r="E3099" s="924" t="s">
        <v>13481</v>
      </c>
      <c r="F3099" s="924"/>
      <c r="G3099" s="685" t="s">
        <v>13480</v>
      </c>
      <c r="H3099" s="684" t="s">
        <v>13479</v>
      </c>
      <c r="I3099" s="684" t="s">
        <v>13478</v>
      </c>
      <c r="J3099" s="684" t="s">
        <v>13477</v>
      </c>
    </row>
    <row r="3100" spans="1:10" ht="60" customHeight="1">
      <c r="A3100" s="682" t="s">
        <v>13476</v>
      </c>
      <c r="B3100" s="683" t="s">
        <v>14375</v>
      </c>
      <c r="C3100" s="682" t="s">
        <v>7</v>
      </c>
      <c r="D3100" s="682" t="s">
        <v>3727</v>
      </c>
      <c r="E3100" s="917" t="s">
        <v>14363</v>
      </c>
      <c r="F3100" s="917"/>
      <c r="G3100" s="681" t="s">
        <v>14</v>
      </c>
      <c r="H3100" s="680">
        <v>1</v>
      </c>
      <c r="I3100" s="679">
        <v>468.89</v>
      </c>
      <c r="J3100" s="679">
        <v>468.89</v>
      </c>
    </row>
    <row r="3101" spans="1:10" ht="24" customHeight="1">
      <c r="A3101" s="677" t="s">
        <v>13472</v>
      </c>
      <c r="B3101" s="678" t="s">
        <v>14112</v>
      </c>
      <c r="C3101" s="677" t="s">
        <v>7</v>
      </c>
      <c r="D3101" s="677" t="s">
        <v>129</v>
      </c>
      <c r="E3101" s="918" t="s">
        <v>13470</v>
      </c>
      <c r="F3101" s="918"/>
      <c r="G3101" s="676" t="s">
        <v>19</v>
      </c>
      <c r="H3101" s="675">
        <v>4.7480000000000002</v>
      </c>
      <c r="I3101" s="674">
        <v>14.09</v>
      </c>
      <c r="J3101" s="674">
        <v>66.89</v>
      </c>
    </row>
    <row r="3102" spans="1:10" ht="24" customHeight="1">
      <c r="A3102" s="677" t="s">
        <v>13472</v>
      </c>
      <c r="B3102" s="678" t="s">
        <v>14329</v>
      </c>
      <c r="C3102" s="677" t="s">
        <v>7</v>
      </c>
      <c r="D3102" s="677" t="s">
        <v>43</v>
      </c>
      <c r="E3102" s="918" t="s">
        <v>13470</v>
      </c>
      <c r="F3102" s="918"/>
      <c r="G3102" s="676" t="s">
        <v>19</v>
      </c>
      <c r="H3102" s="675">
        <v>5.78</v>
      </c>
      <c r="I3102" s="674">
        <v>17.579999999999998</v>
      </c>
      <c r="J3102" s="674">
        <v>101.61</v>
      </c>
    </row>
    <row r="3103" spans="1:10" ht="24" customHeight="1">
      <c r="A3103" s="672" t="s">
        <v>13467</v>
      </c>
      <c r="B3103" s="673" t="s">
        <v>14374</v>
      </c>
      <c r="C3103" s="672" t="s">
        <v>7</v>
      </c>
      <c r="D3103" s="672" t="s">
        <v>14373</v>
      </c>
      <c r="E3103" s="919" t="s">
        <v>13464</v>
      </c>
      <c r="F3103" s="919"/>
      <c r="G3103" s="671" t="s">
        <v>17</v>
      </c>
      <c r="H3103" s="670">
        <v>9.2240000000000002</v>
      </c>
      <c r="I3103" s="669">
        <v>12.5</v>
      </c>
      <c r="J3103" s="669">
        <v>115.3</v>
      </c>
    </row>
    <row r="3104" spans="1:10" ht="24" customHeight="1">
      <c r="A3104" s="672" t="s">
        <v>13467</v>
      </c>
      <c r="B3104" s="673" t="s">
        <v>14372</v>
      </c>
      <c r="C3104" s="672" t="s">
        <v>7</v>
      </c>
      <c r="D3104" s="672" t="s">
        <v>14371</v>
      </c>
      <c r="E3104" s="919" t="s">
        <v>13464</v>
      </c>
      <c r="F3104" s="919"/>
      <c r="G3104" s="671" t="s">
        <v>17</v>
      </c>
      <c r="H3104" s="670">
        <v>0.89600000000000002</v>
      </c>
      <c r="I3104" s="669">
        <v>10.210000000000001</v>
      </c>
      <c r="J3104" s="669">
        <v>9.14</v>
      </c>
    </row>
    <row r="3105" spans="1:10" ht="24" customHeight="1">
      <c r="A3105" s="672" t="s">
        <v>13467</v>
      </c>
      <c r="B3105" s="673" t="s">
        <v>14370</v>
      </c>
      <c r="C3105" s="672" t="s">
        <v>7</v>
      </c>
      <c r="D3105" s="672" t="s">
        <v>14369</v>
      </c>
      <c r="E3105" s="919" t="s">
        <v>13464</v>
      </c>
      <c r="F3105" s="919"/>
      <c r="G3105" s="671" t="s">
        <v>17</v>
      </c>
      <c r="H3105" s="670">
        <v>7.0999999999999994E-2</v>
      </c>
      <c r="I3105" s="669">
        <v>21.12</v>
      </c>
      <c r="J3105" s="669">
        <v>1.49</v>
      </c>
    </row>
    <row r="3106" spans="1:10" ht="24" customHeight="1">
      <c r="A3106" s="672" t="s">
        <v>13467</v>
      </c>
      <c r="B3106" s="673" t="s">
        <v>13766</v>
      </c>
      <c r="C3106" s="672" t="s">
        <v>7</v>
      </c>
      <c r="D3106" s="672" t="s">
        <v>13765</v>
      </c>
      <c r="E3106" s="919" t="s">
        <v>13464</v>
      </c>
      <c r="F3106" s="919"/>
      <c r="G3106" s="671" t="s">
        <v>34</v>
      </c>
      <c r="H3106" s="670">
        <v>3.3330000000000002</v>
      </c>
      <c r="I3106" s="669">
        <v>1.57</v>
      </c>
      <c r="J3106" s="669">
        <v>5.23</v>
      </c>
    </row>
    <row r="3107" spans="1:10" ht="36" customHeight="1">
      <c r="A3107" s="672" t="s">
        <v>13467</v>
      </c>
      <c r="B3107" s="673" t="s">
        <v>14368</v>
      </c>
      <c r="C3107" s="672" t="s">
        <v>7</v>
      </c>
      <c r="D3107" s="672" t="s">
        <v>14367</v>
      </c>
      <c r="E3107" s="919" t="s">
        <v>13464</v>
      </c>
      <c r="F3107" s="919"/>
      <c r="G3107" s="671" t="s">
        <v>14</v>
      </c>
      <c r="H3107" s="670">
        <v>1.0289999999999999</v>
      </c>
      <c r="I3107" s="669">
        <v>98.47</v>
      </c>
      <c r="J3107" s="669">
        <v>101.32</v>
      </c>
    </row>
    <row r="3108" spans="1:10" ht="36" customHeight="1">
      <c r="A3108" s="672" t="s">
        <v>13467</v>
      </c>
      <c r="B3108" s="673" t="s">
        <v>14366</v>
      </c>
      <c r="C3108" s="672" t="s">
        <v>7</v>
      </c>
      <c r="D3108" s="672" t="s">
        <v>14365</v>
      </c>
      <c r="E3108" s="919" t="s">
        <v>13464</v>
      </c>
      <c r="F3108" s="919"/>
      <c r="G3108" s="671" t="s">
        <v>14</v>
      </c>
      <c r="H3108" s="670">
        <v>0.9</v>
      </c>
      <c r="I3108" s="669">
        <v>75.459999999999994</v>
      </c>
      <c r="J3108" s="669">
        <v>67.91</v>
      </c>
    </row>
    <row r="3109" spans="1:10" ht="25.5">
      <c r="A3109" s="668"/>
      <c r="B3109" s="668"/>
      <c r="C3109" s="668"/>
      <c r="D3109" s="668"/>
      <c r="E3109" s="668" t="s">
        <v>13463</v>
      </c>
      <c r="F3109" s="667">
        <v>69.754427903944361</v>
      </c>
      <c r="G3109" s="668" t="s">
        <v>13462</v>
      </c>
      <c r="H3109" s="667">
        <v>58.64</v>
      </c>
      <c r="I3109" s="668" t="s">
        <v>13461</v>
      </c>
      <c r="J3109" s="667">
        <v>128.38999999999999</v>
      </c>
    </row>
    <row r="3110" spans="1:10" ht="15" thickBot="1">
      <c r="A3110" s="668"/>
      <c r="B3110" s="668"/>
      <c r="C3110" s="668"/>
      <c r="D3110" s="668"/>
      <c r="E3110" s="668" t="s">
        <v>13460</v>
      </c>
      <c r="F3110" s="667">
        <v>132.41</v>
      </c>
      <c r="G3110" s="668"/>
      <c r="H3110" s="925" t="s">
        <v>13459</v>
      </c>
      <c r="I3110" s="925"/>
      <c r="J3110" s="667">
        <v>601.29999999999995</v>
      </c>
    </row>
    <row r="3111" spans="1:10" ht="0.95" customHeight="1" thickTop="1">
      <c r="A3111" s="666"/>
      <c r="B3111" s="666"/>
      <c r="C3111" s="666"/>
      <c r="D3111" s="666"/>
      <c r="E3111" s="666"/>
      <c r="F3111" s="666"/>
      <c r="G3111" s="666"/>
      <c r="H3111" s="666"/>
      <c r="I3111" s="666"/>
      <c r="J3111" s="666"/>
    </row>
    <row r="3112" spans="1:10" ht="18" customHeight="1">
      <c r="A3112" s="686" t="s">
        <v>14344</v>
      </c>
      <c r="B3112" s="684" t="s">
        <v>13484</v>
      </c>
      <c r="C3112" s="686" t="s">
        <v>13483</v>
      </c>
      <c r="D3112" s="686" t="s">
        <v>13482</v>
      </c>
      <c r="E3112" s="924" t="s">
        <v>13481</v>
      </c>
      <c r="F3112" s="924"/>
      <c r="G3112" s="685" t="s">
        <v>13480</v>
      </c>
      <c r="H3112" s="684" t="s">
        <v>13479</v>
      </c>
      <c r="I3112" s="684" t="s">
        <v>13478</v>
      </c>
      <c r="J3112" s="684" t="s">
        <v>13477</v>
      </c>
    </row>
    <row r="3113" spans="1:10" ht="36" customHeight="1">
      <c r="A3113" s="682" t="s">
        <v>13476</v>
      </c>
      <c r="B3113" s="683" t="s">
        <v>14364</v>
      </c>
      <c r="C3113" s="682" t="s">
        <v>7</v>
      </c>
      <c r="D3113" s="682" t="s">
        <v>4671</v>
      </c>
      <c r="E3113" s="917" t="s">
        <v>14363</v>
      </c>
      <c r="F3113" s="917"/>
      <c r="G3113" s="681" t="s">
        <v>34</v>
      </c>
      <c r="H3113" s="680">
        <v>1</v>
      </c>
      <c r="I3113" s="679">
        <v>34.020000000000003</v>
      </c>
      <c r="J3113" s="679">
        <v>34.020000000000003</v>
      </c>
    </row>
    <row r="3114" spans="1:10" ht="24" customHeight="1">
      <c r="A3114" s="677" t="s">
        <v>13472</v>
      </c>
      <c r="B3114" s="678" t="s">
        <v>13645</v>
      </c>
      <c r="C3114" s="677" t="s">
        <v>7</v>
      </c>
      <c r="D3114" s="677" t="s">
        <v>46</v>
      </c>
      <c r="E3114" s="918" t="s">
        <v>13470</v>
      </c>
      <c r="F3114" s="918"/>
      <c r="G3114" s="676" t="s">
        <v>19</v>
      </c>
      <c r="H3114" s="675">
        <v>0.91600000000000004</v>
      </c>
      <c r="I3114" s="674">
        <v>18.77</v>
      </c>
      <c r="J3114" s="674">
        <v>17.190000000000001</v>
      </c>
    </row>
    <row r="3115" spans="1:10" ht="24" customHeight="1">
      <c r="A3115" s="677" t="s">
        <v>13472</v>
      </c>
      <c r="B3115" s="678" t="s">
        <v>13471</v>
      </c>
      <c r="C3115" s="677" t="s">
        <v>7</v>
      </c>
      <c r="D3115" s="677" t="s">
        <v>21</v>
      </c>
      <c r="E3115" s="918" t="s">
        <v>13470</v>
      </c>
      <c r="F3115" s="918"/>
      <c r="G3115" s="676" t="s">
        <v>19</v>
      </c>
      <c r="H3115" s="675">
        <v>0.45800000000000002</v>
      </c>
      <c r="I3115" s="674">
        <v>14.02</v>
      </c>
      <c r="J3115" s="674">
        <v>6.42</v>
      </c>
    </row>
    <row r="3116" spans="1:10" ht="36" customHeight="1">
      <c r="A3116" s="672" t="s">
        <v>13467</v>
      </c>
      <c r="B3116" s="673" t="s">
        <v>14362</v>
      </c>
      <c r="C3116" s="672" t="s">
        <v>7</v>
      </c>
      <c r="D3116" s="672" t="s">
        <v>14361</v>
      </c>
      <c r="E3116" s="919" t="s">
        <v>13464</v>
      </c>
      <c r="F3116" s="919"/>
      <c r="G3116" s="671" t="s">
        <v>34</v>
      </c>
      <c r="H3116" s="670">
        <v>1</v>
      </c>
      <c r="I3116" s="669">
        <v>10.41</v>
      </c>
      <c r="J3116" s="669">
        <v>10.41</v>
      </c>
    </row>
    <row r="3117" spans="1:10" ht="25.5">
      <c r="A3117" s="668"/>
      <c r="B3117" s="668"/>
      <c r="C3117" s="668"/>
      <c r="D3117" s="668"/>
      <c r="E3117" s="668" t="s">
        <v>13463</v>
      </c>
      <c r="F3117" s="667">
        <v>10.056503314136695</v>
      </c>
      <c r="G3117" s="668" t="s">
        <v>13462</v>
      </c>
      <c r="H3117" s="667">
        <v>8.4499999999999993</v>
      </c>
      <c r="I3117" s="668" t="s">
        <v>13461</v>
      </c>
      <c r="J3117" s="667">
        <v>18.510000000000002</v>
      </c>
    </row>
    <row r="3118" spans="1:10" ht="15" thickBot="1">
      <c r="A3118" s="668"/>
      <c r="B3118" s="668"/>
      <c r="C3118" s="668"/>
      <c r="D3118" s="668"/>
      <c r="E3118" s="668" t="s">
        <v>13460</v>
      </c>
      <c r="F3118" s="667">
        <v>9.6</v>
      </c>
      <c r="G3118" s="668"/>
      <c r="H3118" s="925" t="s">
        <v>13459</v>
      </c>
      <c r="I3118" s="925"/>
      <c r="J3118" s="667">
        <v>43.62</v>
      </c>
    </row>
    <row r="3119" spans="1:10" ht="0.95" customHeight="1" thickTop="1">
      <c r="A3119" s="666"/>
      <c r="B3119" s="666"/>
      <c r="C3119" s="666"/>
      <c r="D3119" s="666"/>
      <c r="E3119" s="666"/>
      <c r="F3119" s="666"/>
      <c r="G3119" s="666"/>
      <c r="H3119" s="666"/>
      <c r="I3119" s="666"/>
      <c r="J3119" s="666"/>
    </row>
    <row r="3120" spans="1:10" ht="18" customHeight="1">
      <c r="A3120" s="686" t="s">
        <v>14344</v>
      </c>
      <c r="B3120" s="684" t="s">
        <v>13484</v>
      </c>
      <c r="C3120" s="686" t="s">
        <v>13483</v>
      </c>
      <c r="D3120" s="686" t="s">
        <v>13482</v>
      </c>
      <c r="E3120" s="924" t="s">
        <v>13481</v>
      </c>
      <c r="F3120" s="924"/>
      <c r="G3120" s="685" t="s">
        <v>13480</v>
      </c>
      <c r="H3120" s="684" t="s">
        <v>13479</v>
      </c>
      <c r="I3120" s="684" t="s">
        <v>13478</v>
      </c>
      <c r="J3120" s="684" t="s">
        <v>13477</v>
      </c>
    </row>
    <row r="3121" spans="1:10" ht="36" customHeight="1">
      <c r="A3121" s="682" t="s">
        <v>13476</v>
      </c>
      <c r="B3121" s="683" t="s">
        <v>14360</v>
      </c>
      <c r="C3121" s="682" t="s">
        <v>7</v>
      </c>
      <c r="D3121" s="682" t="s">
        <v>3772</v>
      </c>
      <c r="E3121" s="917" t="s">
        <v>13646</v>
      </c>
      <c r="F3121" s="917"/>
      <c r="G3121" s="681" t="s">
        <v>13515</v>
      </c>
      <c r="H3121" s="680">
        <v>1</v>
      </c>
      <c r="I3121" s="679">
        <v>1405.33</v>
      </c>
      <c r="J3121" s="679">
        <v>1405.33</v>
      </c>
    </row>
    <row r="3122" spans="1:10" ht="36" customHeight="1">
      <c r="A3122" s="677" t="s">
        <v>13472</v>
      </c>
      <c r="B3122" s="678" t="s">
        <v>13499</v>
      </c>
      <c r="C3122" s="677" t="s">
        <v>7</v>
      </c>
      <c r="D3122" s="677" t="s">
        <v>1739</v>
      </c>
      <c r="E3122" s="918" t="s">
        <v>13491</v>
      </c>
      <c r="F3122" s="918"/>
      <c r="G3122" s="676" t="s">
        <v>38</v>
      </c>
      <c r="H3122" s="675">
        <v>0.86770000000000003</v>
      </c>
      <c r="I3122" s="674">
        <v>1.77</v>
      </c>
      <c r="J3122" s="674">
        <v>1.53</v>
      </c>
    </row>
    <row r="3123" spans="1:10" ht="36" customHeight="1">
      <c r="A3123" s="677" t="s">
        <v>13472</v>
      </c>
      <c r="B3123" s="678" t="s">
        <v>13577</v>
      </c>
      <c r="C3123" s="677" t="s">
        <v>7</v>
      </c>
      <c r="D3123" s="677" t="s">
        <v>1932</v>
      </c>
      <c r="E3123" s="918" t="s">
        <v>13491</v>
      </c>
      <c r="F3123" s="918"/>
      <c r="G3123" s="676" t="s">
        <v>38</v>
      </c>
      <c r="H3123" s="675">
        <v>8.9399999999999993E-2</v>
      </c>
      <c r="I3123" s="674">
        <v>16.260000000000002</v>
      </c>
      <c r="J3123" s="674">
        <v>1.45</v>
      </c>
    </row>
    <row r="3124" spans="1:10" ht="36" customHeight="1">
      <c r="A3124" s="677" t="s">
        <v>13472</v>
      </c>
      <c r="B3124" s="678" t="s">
        <v>13578</v>
      </c>
      <c r="C3124" s="677" t="s">
        <v>7</v>
      </c>
      <c r="D3124" s="677" t="s">
        <v>1933</v>
      </c>
      <c r="E3124" s="918" t="s">
        <v>13491</v>
      </c>
      <c r="F3124" s="918"/>
      <c r="G3124" s="676" t="s">
        <v>53</v>
      </c>
      <c r="H3124" s="675">
        <v>9.7100000000000006E-2</v>
      </c>
      <c r="I3124" s="674">
        <v>13.53</v>
      </c>
      <c r="J3124" s="674">
        <v>1.31</v>
      </c>
    </row>
    <row r="3125" spans="1:10" ht="36" customHeight="1">
      <c r="A3125" s="677" t="s">
        <v>13472</v>
      </c>
      <c r="B3125" s="678" t="s">
        <v>13500</v>
      </c>
      <c r="C3125" s="677" t="s">
        <v>7</v>
      </c>
      <c r="D3125" s="677" t="s">
        <v>1740</v>
      </c>
      <c r="E3125" s="918" t="s">
        <v>13491</v>
      </c>
      <c r="F3125" s="918"/>
      <c r="G3125" s="676" t="s">
        <v>53</v>
      </c>
      <c r="H3125" s="675">
        <v>2.3860000000000001</v>
      </c>
      <c r="I3125" s="674">
        <v>0.42</v>
      </c>
      <c r="J3125" s="674">
        <v>1</v>
      </c>
    </row>
    <row r="3126" spans="1:10" ht="48" customHeight="1">
      <c r="A3126" s="677" t="s">
        <v>13472</v>
      </c>
      <c r="B3126" s="678" t="s">
        <v>14075</v>
      </c>
      <c r="C3126" s="677" t="s">
        <v>7</v>
      </c>
      <c r="D3126" s="677" t="s">
        <v>2198</v>
      </c>
      <c r="E3126" s="918" t="s">
        <v>13646</v>
      </c>
      <c r="F3126" s="918"/>
      <c r="G3126" s="676" t="s">
        <v>17</v>
      </c>
      <c r="H3126" s="675">
        <v>31.7318</v>
      </c>
      <c r="I3126" s="674">
        <v>18.96</v>
      </c>
      <c r="J3126" s="674">
        <v>601.63</v>
      </c>
    </row>
    <row r="3127" spans="1:10" ht="36" customHeight="1">
      <c r="A3127" s="677" t="s">
        <v>13472</v>
      </c>
      <c r="B3127" s="678" t="s">
        <v>13652</v>
      </c>
      <c r="C3127" s="677" t="s">
        <v>7</v>
      </c>
      <c r="D3127" s="677" t="s">
        <v>7012</v>
      </c>
      <c r="E3127" s="918" t="s">
        <v>13646</v>
      </c>
      <c r="F3127" s="918"/>
      <c r="G3127" s="676" t="s">
        <v>13515</v>
      </c>
      <c r="H3127" s="675">
        <v>1.103</v>
      </c>
      <c r="I3127" s="674">
        <v>397.66</v>
      </c>
      <c r="J3127" s="674">
        <v>438.61</v>
      </c>
    </row>
    <row r="3128" spans="1:10" ht="24" customHeight="1">
      <c r="A3128" s="677" t="s">
        <v>13472</v>
      </c>
      <c r="B3128" s="678" t="s">
        <v>13644</v>
      </c>
      <c r="C3128" s="677" t="s">
        <v>7</v>
      </c>
      <c r="D3128" s="677" t="s">
        <v>39</v>
      </c>
      <c r="E3128" s="918" t="s">
        <v>13470</v>
      </c>
      <c r="F3128" s="918"/>
      <c r="G3128" s="676" t="s">
        <v>19</v>
      </c>
      <c r="H3128" s="675">
        <v>0.1865</v>
      </c>
      <c r="I3128" s="674">
        <v>14.57</v>
      </c>
      <c r="J3128" s="674">
        <v>2.71</v>
      </c>
    </row>
    <row r="3129" spans="1:10" ht="24" customHeight="1">
      <c r="A3129" s="677" t="s">
        <v>13472</v>
      </c>
      <c r="B3129" s="678" t="s">
        <v>13645</v>
      </c>
      <c r="C3129" s="677" t="s">
        <v>7</v>
      </c>
      <c r="D3129" s="677" t="s">
        <v>46</v>
      </c>
      <c r="E3129" s="918" t="s">
        <v>13470</v>
      </c>
      <c r="F3129" s="918"/>
      <c r="G3129" s="676" t="s">
        <v>19</v>
      </c>
      <c r="H3129" s="675">
        <v>0.93259999999999998</v>
      </c>
      <c r="I3129" s="674">
        <v>18.77</v>
      </c>
      <c r="J3129" s="674">
        <v>17.5</v>
      </c>
    </row>
    <row r="3130" spans="1:10" ht="24" customHeight="1">
      <c r="A3130" s="677" t="s">
        <v>13472</v>
      </c>
      <c r="B3130" s="678" t="s">
        <v>13471</v>
      </c>
      <c r="C3130" s="677" t="s">
        <v>7</v>
      </c>
      <c r="D3130" s="677" t="s">
        <v>21</v>
      </c>
      <c r="E3130" s="918" t="s">
        <v>13470</v>
      </c>
      <c r="F3130" s="918"/>
      <c r="G3130" s="676" t="s">
        <v>19</v>
      </c>
      <c r="H3130" s="675">
        <v>6.7480000000000002</v>
      </c>
      <c r="I3130" s="674">
        <v>14.02</v>
      </c>
      <c r="J3130" s="674">
        <v>94.6</v>
      </c>
    </row>
    <row r="3131" spans="1:10" ht="24" customHeight="1">
      <c r="A3131" s="677" t="s">
        <v>13472</v>
      </c>
      <c r="B3131" s="678" t="s">
        <v>13600</v>
      </c>
      <c r="C3131" s="677" t="s">
        <v>7</v>
      </c>
      <c r="D3131" s="677" t="s">
        <v>41</v>
      </c>
      <c r="E3131" s="918" t="s">
        <v>13470</v>
      </c>
      <c r="F3131" s="918"/>
      <c r="G3131" s="676" t="s">
        <v>19</v>
      </c>
      <c r="H3131" s="675">
        <v>6.7480000000000002</v>
      </c>
      <c r="I3131" s="674">
        <v>17.670000000000002</v>
      </c>
      <c r="J3131" s="674">
        <v>119.23</v>
      </c>
    </row>
    <row r="3132" spans="1:10" ht="24" customHeight="1">
      <c r="A3132" s="672" t="s">
        <v>13467</v>
      </c>
      <c r="B3132" s="673" t="s">
        <v>13643</v>
      </c>
      <c r="C3132" s="672" t="s">
        <v>7</v>
      </c>
      <c r="D3132" s="672" t="s">
        <v>13642</v>
      </c>
      <c r="E3132" s="919" t="s">
        <v>13464</v>
      </c>
      <c r="F3132" s="919"/>
      <c r="G3132" s="671" t="s">
        <v>13610</v>
      </c>
      <c r="H3132" s="670">
        <v>0.75829999999999997</v>
      </c>
      <c r="I3132" s="669">
        <v>40.409999999999997</v>
      </c>
      <c r="J3132" s="669">
        <v>30.64</v>
      </c>
    </row>
    <row r="3133" spans="1:10" ht="24" customHeight="1">
      <c r="A3133" s="672" t="s">
        <v>13467</v>
      </c>
      <c r="B3133" s="673" t="s">
        <v>13641</v>
      </c>
      <c r="C3133" s="672" t="s">
        <v>7</v>
      </c>
      <c r="D3133" s="672" t="s">
        <v>13640</v>
      </c>
      <c r="E3133" s="919" t="s">
        <v>13464</v>
      </c>
      <c r="F3133" s="919"/>
      <c r="G3133" s="671" t="s">
        <v>50</v>
      </c>
      <c r="H3133" s="670">
        <v>3.3399999999999999E-2</v>
      </c>
      <c r="I3133" s="669">
        <v>5.22</v>
      </c>
      <c r="J3133" s="669">
        <v>0.17</v>
      </c>
    </row>
    <row r="3134" spans="1:10" ht="24" customHeight="1">
      <c r="A3134" s="672" t="s">
        <v>13467</v>
      </c>
      <c r="B3134" s="673" t="s">
        <v>14279</v>
      </c>
      <c r="C3134" s="672" t="s">
        <v>7</v>
      </c>
      <c r="D3134" s="672" t="s">
        <v>14278</v>
      </c>
      <c r="E3134" s="919" t="s">
        <v>13464</v>
      </c>
      <c r="F3134" s="919"/>
      <c r="G3134" s="671" t="s">
        <v>13515</v>
      </c>
      <c r="H3134" s="670">
        <v>0.18540000000000001</v>
      </c>
      <c r="I3134" s="669">
        <v>462.12</v>
      </c>
      <c r="J3134" s="669">
        <v>85.67</v>
      </c>
    </row>
    <row r="3135" spans="1:10" ht="24" customHeight="1">
      <c r="A3135" s="672" t="s">
        <v>13467</v>
      </c>
      <c r="B3135" s="673" t="s">
        <v>13639</v>
      </c>
      <c r="C3135" s="672" t="s">
        <v>7</v>
      </c>
      <c r="D3135" s="672" t="s">
        <v>13638</v>
      </c>
      <c r="E3135" s="919" t="s">
        <v>13464</v>
      </c>
      <c r="F3135" s="919"/>
      <c r="G3135" s="671" t="s">
        <v>17</v>
      </c>
      <c r="H3135" s="670">
        <v>6.0100000000000001E-2</v>
      </c>
      <c r="I3135" s="669">
        <v>20.27</v>
      </c>
      <c r="J3135" s="669">
        <v>1.21</v>
      </c>
    </row>
    <row r="3136" spans="1:10" ht="24" customHeight="1">
      <c r="A3136" s="672" t="s">
        <v>13467</v>
      </c>
      <c r="B3136" s="673" t="s">
        <v>13651</v>
      </c>
      <c r="C3136" s="672" t="s">
        <v>7</v>
      </c>
      <c r="D3136" s="672" t="s">
        <v>13650</v>
      </c>
      <c r="E3136" s="919" t="s">
        <v>13464</v>
      </c>
      <c r="F3136" s="919"/>
      <c r="G3136" s="671" t="s">
        <v>14</v>
      </c>
      <c r="H3136" s="670">
        <v>2.8315999999999999</v>
      </c>
      <c r="I3136" s="669">
        <v>2.85</v>
      </c>
      <c r="J3136" s="669">
        <v>8.07</v>
      </c>
    </row>
    <row r="3137" spans="1:10" ht="25.5">
      <c r="A3137" s="668"/>
      <c r="B3137" s="668"/>
      <c r="C3137" s="668"/>
      <c r="D3137" s="668"/>
      <c r="E3137" s="668" t="s">
        <v>13463</v>
      </c>
      <c r="F3137" s="667">
        <v>173.69879387156362</v>
      </c>
      <c r="G3137" s="668" t="s">
        <v>13462</v>
      </c>
      <c r="H3137" s="667">
        <v>146.01</v>
      </c>
      <c r="I3137" s="668" t="s">
        <v>13461</v>
      </c>
      <c r="J3137" s="667">
        <v>319.70999999999998</v>
      </c>
    </row>
    <row r="3138" spans="1:10" ht="15" thickBot="1">
      <c r="A3138" s="668"/>
      <c r="B3138" s="668"/>
      <c r="C3138" s="668"/>
      <c r="D3138" s="668"/>
      <c r="E3138" s="668" t="s">
        <v>13460</v>
      </c>
      <c r="F3138" s="667">
        <v>396.86</v>
      </c>
      <c r="G3138" s="668"/>
      <c r="H3138" s="925" t="s">
        <v>13459</v>
      </c>
      <c r="I3138" s="925"/>
      <c r="J3138" s="667">
        <v>1802.19</v>
      </c>
    </row>
    <row r="3139" spans="1:10" ht="0.95" customHeight="1" thickTop="1">
      <c r="A3139" s="666"/>
      <c r="B3139" s="666"/>
      <c r="C3139" s="666"/>
      <c r="D3139" s="666"/>
      <c r="E3139" s="666"/>
      <c r="F3139" s="666"/>
      <c r="G3139" s="666"/>
      <c r="H3139" s="666"/>
      <c r="I3139" s="666"/>
      <c r="J3139" s="666"/>
    </row>
    <row r="3140" spans="1:10" ht="18" customHeight="1">
      <c r="A3140" s="686" t="s">
        <v>14344</v>
      </c>
      <c r="B3140" s="684" t="s">
        <v>13484</v>
      </c>
      <c r="C3140" s="686" t="s">
        <v>13483</v>
      </c>
      <c r="D3140" s="686" t="s">
        <v>13482</v>
      </c>
      <c r="E3140" s="924" t="s">
        <v>13481</v>
      </c>
      <c r="F3140" s="924"/>
      <c r="G3140" s="685" t="s">
        <v>13480</v>
      </c>
      <c r="H3140" s="684" t="s">
        <v>13479</v>
      </c>
      <c r="I3140" s="684" t="s">
        <v>13478</v>
      </c>
      <c r="J3140" s="684" t="s">
        <v>13477</v>
      </c>
    </row>
    <row r="3141" spans="1:10" ht="24" customHeight="1">
      <c r="A3141" s="682" t="s">
        <v>13476</v>
      </c>
      <c r="B3141" s="683" t="s">
        <v>14359</v>
      </c>
      <c r="C3141" s="682" t="s">
        <v>7</v>
      </c>
      <c r="D3141" s="682" t="s">
        <v>3794</v>
      </c>
      <c r="E3141" s="917" t="s">
        <v>13646</v>
      </c>
      <c r="F3141" s="917"/>
      <c r="G3141" s="681" t="s">
        <v>14</v>
      </c>
      <c r="H3141" s="680">
        <v>1</v>
      </c>
      <c r="I3141" s="679">
        <v>42.05</v>
      </c>
      <c r="J3141" s="679">
        <v>42.05</v>
      </c>
    </row>
    <row r="3142" spans="1:10" ht="24" customHeight="1">
      <c r="A3142" s="677" t="s">
        <v>13472</v>
      </c>
      <c r="B3142" s="678" t="s">
        <v>14110</v>
      </c>
      <c r="C3142" s="677" t="s">
        <v>7</v>
      </c>
      <c r="D3142" s="677" t="s">
        <v>174</v>
      </c>
      <c r="E3142" s="918" t="s">
        <v>13470</v>
      </c>
      <c r="F3142" s="918"/>
      <c r="G3142" s="676" t="s">
        <v>19</v>
      </c>
      <c r="H3142" s="675">
        <v>1.56</v>
      </c>
      <c r="I3142" s="674">
        <v>18.239999999999998</v>
      </c>
      <c r="J3142" s="674">
        <v>28.45</v>
      </c>
    </row>
    <row r="3143" spans="1:10" ht="24" customHeight="1">
      <c r="A3143" s="672" t="s">
        <v>13467</v>
      </c>
      <c r="B3143" s="673" t="s">
        <v>14358</v>
      </c>
      <c r="C3143" s="672" t="s">
        <v>7</v>
      </c>
      <c r="D3143" s="672" t="s">
        <v>14357</v>
      </c>
      <c r="E3143" s="919" t="s">
        <v>13464</v>
      </c>
      <c r="F3143" s="919"/>
      <c r="G3143" s="671" t="s">
        <v>17</v>
      </c>
      <c r="H3143" s="670">
        <v>0.59</v>
      </c>
      <c r="I3143" s="669">
        <v>23.06</v>
      </c>
      <c r="J3143" s="669">
        <v>13.6</v>
      </c>
    </row>
    <row r="3144" spans="1:10" ht="25.5">
      <c r="A3144" s="668"/>
      <c r="B3144" s="668"/>
      <c r="C3144" s="668"/>
      <c r="D3144" s="668"/>
      <c r="E3144" s="668" t="s">
        <v>13463</v>
      </c>
      <c r="F3144" s="667">
        <v>11.670107573617299</v>
      </c>
      <c r="G3144" s="668" t="s">
        <v>13462</v>
      </c>
      <c r="H3144" s="667">
        <v>9.81</v>
      </c>
      <c r="I3144" s="668" t="s">
        <v>13461</v>
      </c>
      <c r="J3144" s="667">
        <v>21.48</v>
      </c>
    </row>
    <row r="3145" spans="1:10" ht="15" thickBot="1">
      <c r="A3145" s="668"/>
      <c r="B3145" s="668"/>
      <c r="C3145" s="668"/>
      <c r="D3145" s="668"/>
      <c r="E3145" s="668" t="s">
        <v>13460</v>
      </c>
      <c r="F3145" s="667">
        <v>11.87</v>
      </c>
      <c r="G3145" s="668"/>
      <c r="H3145" s="925" t="s">
        <v>13459</v>
      </c>
      <c r="I3145" s="925"/>
      <c r="J3145" s="667">
        <v>53.92</v>
      </c>
    </row>
    <row r="3146" spans="1:10" ht="0.95" customHeight="1" thickTop="1">
      <c r="A3146" s="666"/>
      <c r="B3146" s="666"/>
      <c r="C3146" s="666"/>
      <c r="D3146" s="666"/>
      <c r="E3146" s="666"/>
      <c r="F3146" s="666"/>
      <c r="G3146" s="666"/>
      <c r="H3146" s="666"/>
      <c r="I3146" s="666"/>
      <c r="J3146" s="666"/>
    </row>
    <row r="3147" spans="1:10" ht="18" customHeight="1">
      <c r="A3147" s="686" t="s">
        <v>14344</v>
      </c>
      <c r="B3147" s="684" t="s">
        <v>13484</v>
      </c>
      <c r="C3147" s="686" t="s">
        <v>13483</v>
      </c>
      <c r="D3147" s="686" t="s">
        <v>13482</v>
      </c>
      <c r="E3147" s="924" t="s">
        <v>13481</v>
      </c>
      <c r="F3147" s="924"/>
      <c r="G3147" s="685" t="s">
        <v>13480</v>
      </c>
      <c r="H3147" s="684" t="s">
        <v>13479</v>
      </c>
      <c r="I3147" s="684" t="s">
        <v>13478</v>
      </c>
      <c r="J3147" s="684" t="s">
        <v>13477</v>
      </c>
    </row>
    <row r="3148" spans="1:10" ht="36" customHeight="1">
      <c r="A3148" s="682" t="s">
        <v>13476</v>
      </c>
      <c r="B3148" s="683" t="s">
        <v>14356</v>
      </c>
      <c r="C3148" s="682" t="s">
        <v>7</v>
      </c>
      <c r="D3148" s="682" t="s">
        <v>5105</v>
      </c>
      <c r="E3148" s="917" t="s">
        <v>13474</v>
      </c>
      <c r="F3148" s="917"/>
      <c r="G3148" s="681" t="s">
        <v>34</v>
      </c>
      <c r="H3148" s="680">
        <v>1</v>
      </c>
      <c r="I3148" s="679">
        <v>540.62</v>
      </c>
      <c r="J3148" s="679">
        <v>540.62</v>
      </c>
    </row>
    <row r="3149" spans="1:10" ht="24" customHeight="1">
      <c r="A3149" s="677" t="s">
        <v>13472</v>
      </c>
      <c r="B3149" s="678" t="s">
        <v>13965</v>
      </c>
      <c r="C3149" s="677" t="s">
        <v>7</v>
      </c>
      <c r="D3149" s="677" t="s">
        <v>141</v>
      </c>
      <c r="E3149" s="918" t="s">
        <v>13470</v>
      </c>
      <c r="F3149" s="918"/>
      <c r="G3149" s="676" t="s">
        <v>19</v>
      </c>
      <c r="H3149" s="675">
        <v>1.4944</v>
      </c>
      <c r="I3149" s="674">
        <v>17.899999999999999</v>
      </c>
      <c r="J3149" s="674">
        <v>26.74</v>
      </c>
    </row>
    <row r="3150" spans="1:10" ht="24" customHeight="1">
      <c r="A3150" s="677" t="s">
        <v>13472</v>
      </c>
      <c r="B3150" s="678" t="s">
        <v>13471</v>
      </c>
      <c r="C3150" s="677" t="s">
        <v>7</v>
      </c>
      <c r="D3150" s="677" t="s">
        <v>21</v>
      </c>
      <c r="E3150" s="918" t="s">
        <v>13470</v>
      </c>
      <c r="F3150" s="918"/>
      <c r="G3150" s="676" t="s">
        <v>19</v>
      </c>
      <c r="H3150" s="675">
        <v>0.98340000000000005</v>
      </c>
      <c r="I3150" s="674">
        <v>14.02</v>
      </c>
      <c r="J3150" s="674">
        <v>13.78</v>
      </c>
    </row>
    <row r="3151" spans="1:10" ht="36" customHeight="1">
      <c r="A3151" s="672" t="s">
        <v>13467</v>
      </c>
      <c r="B3151" s="673" t="s">
        <v>14355</v>
      </c>
      <c r="C3151" s="672" t="s">
        <v>7</v>
      </c>
      <c r="D3151" s="672" t="s">
        <v>14354</v>
      </c>
      <c r="E3151" s="919" t="s">
        <v>13464</v>
      </c>
      <c r="F3151" s="919"/>
      <c r="G3151" s="671" t="s">
        <v>34</v>
      </c>
      <c r="H3151" s="670">
        <v>6</v>
      </c>
      <c r="I3151" s="669">
        <v>0.79</v>
      </c>
      <c r="J3151" s="669">
        <v>4.74</v>
      </c>
    </row>
    <row r="3152" spans="1:10" ht="36" customHeight="1">
      <c r="A3152" s="672" t="s">
        <v>13467</v>
      </c>
      <c r="B3152" s="673" t="s">
        <v>14353</v>
      </c>
      <c r="C3152" s="672" t="s">
        <v>7</v>
      </c>
      <c r="D3152" s="672" t="s">
        <v>14352</v>
      </c>
      <c r="E3152" s="919" t="s">
        <v>13464</v>
      </c>
      <c r="F3152" s="919"/>
      <c r="G3152" s="671" t="s">
        <v>13610</v>
      </c>
      <c r="H3152" s="670">
        <v>1.0049999999999999</v>
      </c>
      <c r="I3152" s="669">
        <v>422.64</v>
      </c>
      <c r="J3152" s="669">
        <v>424.75</v>
      </c>
    </row>
    <row r="3153" spans="1:10" ht="24" customHeight="1">
      <c r="A3153" s="672" t="s">
        <v>13467</v>
      </c>
      <c r="B3153" s="673" t="s">
        <v>13962</v>
      </c>
      <c r="C3153" s="672" t="s">
        <v>7</v>
      </c>
      <c r="D3153" s="672" t="s">
        <v>13961</v>
      </c>
      <c r="E3153" s="919" t="s">
        <v>13464</v>
      </c>
      <c r="F3153" s="919"/>
      <c r="G3153" s="671" t="s">
        <v>17</v>
      </c>
      <c r="H3153" s="670">
        <v>0.52280000000000004</v>
      </c>
      <c r="I3153" s="669">
        <v>38.299999999999997</v>
      </c>
      <c r="J3153" s="669">
        <v>20.02</v>
      </c>
    </row>
    <row r="3154" spans="1:10" ht="24" customHeight="1">
      <c r="A3154" s="672" t="s">
        <v>13467</v>
      </c>
      <c r="B3154" s="673" t="s">
        <v>13504</v>
      </c>
      <c r="C3154" s="672" t="s">
        <v>7</v>
      </c>
      <c r="D3154" s="672" t="s">
        <v>13503</v>
      </c>
      <c r="E3154" s="919" t="s">
        <v>13464</v>
      </c>
      <c r="F3154" s="919"/>
      <c r="G3154" s="671" t="s">
        <v>17</v>
      </c>
      <c r="H3154" s="670">
        <v>2.1100000000000001E-2</v>
      </c>
      <c r="I3154" s="669">
        <v>96.46</v>
      </c>
      <c r="J3154" s="669">
        <v>2.0299999999999998</v>
      </c>
    </row>
    <row r="3155" spans="1:10" ht="24" customHeight="1">
      <c r="A3155" s="672" t="s">
        <v>13467</v>
      </c>
      <c r="B3155" s="673" t="s">
        <v>14351</v>
      </c>
      <c r="C3155" s="672" t="s">
        <v>7</v>
      </c>
      <c r="D3155" s="672" t="s">
        <v>14350</v>
      </c>
      <c r="E3155" s="919" t="s">
        <v>13464</v>
      </c>
      <c r="F3155" s="919"/>
      <c r="G3155" s="671" t="s">
        <v>34</v>
      </c>
      <c r="H3155" s="670">
        <v>2</v>
      </c>
      <c r="I3155" s="669">
        <v>24.28</v>
      </c>
      <c r="J3155" s="669">
        <v>48.56</v>
      </c>
    </row>
    <row r="3156" spans="1:10" ht="25.5">
      <c r="A3156" s="668"/>
      <c r="B3156" s="668"/>
      <c r="C3156" s="668"/>
      <c r="D3156" s="668"/>
      <c r="E3156" s="668" t="s">
        <v>13463</v>
      </c>
      <c r="F3156" s="667">
        <v>16.945561230033686</v>
      </c>
      <c r="G3156" s="668" t="s">
        <v>13462</v>
      </c>
      <c r="H3156" s="667">
        <v>14.24</v>
      </c>
      <c r="I3156" s="668" t="s">
        <v>13461</v>
      </c>
      <c r="J3156" s="667">
        <v>31.19</v>
      </c>
    </row>
    <row r="3157" spans="1:10" ht="15" thickBot="1">
      <c r="A3157" s="668"/>
      <c r="B3157" s="668"/>
      <c r="C3157" s="668"/>
      <c r="D3157" s="668"/>
      <c r="E3157" s="668" t="s">
        <v>13460</v>
      </c>
      <c r="F3157" s="667">
        <v>152.66999999999999</v>
      </c>
      <c r="G3157" s="668"/>
      <c r="H3157" s="925" t="s">
        <v>13459</v>
      </c>
      <c r="I3157" s="925"/>
      <c r="J3157" s="667">
        <v>693.29</v>
      </c>
    </row>
    <row r="3158" spans="1:10" ht="0.95" customHeight="1" thickTop="1">
      <c r="A3158" s="666"/>
      <c r="B3158" s="666"/>
      <c r="C3158" s="666"/>
      <c r="D3158" s="666"/>
      <c r="E3158" s="666"/>
      <c r="F3158" s="666"/>
      <c r="G3158" s="666"/>
      <c r="H3158" s="666"/>
      <c r="I3158" s="666"/>
      <c r="J3158" s="666"/>
    </row>
    <row r="3159" spans="1:10" ht="18" customHeight="1">
      <c r="A3159" s="686" t="s">
        <v>14344</v>
      </c>
      <c r="B3159" s="684" t="s">
        <v>13484</v>
      </c>
      <c r="C3159" s="686" t="s">
        <v>13483</v>
      </c>
      <c r="D3159" s="686" t="s">
        <v>13482</v>
      </c>
      <c r="E3159" s="924" t="s">
        <v>13481</v>
      </c>
      <c r="F3159" s="924"/>
      <c r="G3159" s="685" t="s">
        <v>13480</v>
      </c>
      <c r="H3159" s="684" t="s">
        <v>13479</v>
      </c>
      <c r="I3159" s="684" t="s">
        <v>13478</v>
      </c>
      <c r="J3159" s="684" t="s">
        <v>13477</v>
      </c>
    </row>
    <row r="3160" spans="1:10" ht="24" customHeight="1">
      <c r="A3160" s="682" t="s">
        <v>13476</v>
      </c>
      <c r="B3160" s="683" t="s">
        <v>14349</v>
      </c>
      <c r="C3160" s="682" t="s">
        <v>7</v>
      </c>
      <c r="D3160" s="682" t="s">
        <v>5390</v>
      </c>
      <c r="E3160" s="917" t="s">
        <v>14130</v>
      </c>
      <c r="F3160" s="917"/>
      <c r="G3160" s="681" t="s">
        <v>13610</v>
      </c>
      <c r="H3160" s="680">
        <v>1</v>
      </c>
      <c r="I3160" s="679">
        <v>24.19</v>
      </c>
      <c r="J3160" s="679">
        <v>24.19</v>
      </c>
    </row>
    <row r="3161" spans="1:10" ht="60" customHeight="1">
      <c r="A3161" s="677" t="s">
        <v>13472</v>
      </c>
      <c r="B3161" s="678" t="s">
        <v>13699</v>
      </c>
      <c r="C3161" s="677" t="s">
        <v>7</v>
      </c>
      <c r="D3161" s="677" t="s">
        <v>4491</v>
      </c>
      <c r="E3161" s="918" t="s">
        <v>13491</v>
      </c>
      <c r="F3161" s="918"/>
      <c r="G3161" s="676" t="s">
        <v>38</v>
      </c>
      <c r="H3161" s="675">
        <v>1.5699999999999999E-2</v>
      </c>
      <c r="I3161" s="674">
        <v>69.37</v>
      </c>
      <c r="J3161" s="674">
        <v>1.08</v>
      </c>
    </row>
    <row r="3162" spans="1:10" ht="60" customHeight="1">
      <c r="A3162" s="677" t="s">
        <v>13472</v>
      </c>
      <c r="B3162" s="678" t="s">
        <v>13700</v>
      </c>
      <c r="C3162" s="677" t="s">
        <v>7</v>
      </c>
      <c r="D3162" s="677" t="s">
        <v>4494</v>
      </c>
      <c r="E3162" s="918" t="s">
        <v>13491</v>
      </c>
      <c r="F3162" s="918"/>
      <c r="G3162" s="676" t="s">
        <v>53</v>
      </c>
      <c r="H3162" s="675">
        <v>3.8199999999999998E-2</v>
      </c>
      <c r="I3162" s="674">
        <v>22.4</v>
      </c>
      <c r="J3162" s="674">
        <v>0.85</v>
      </c>
    </row>
    <row r="3163" spans="1:10" ht="24" customHeight="1">
      <c r="A3163" s="677" t="s">
        <v>13472</v>
      </c>
      <c r="B3163" s="678" t="s">
        <v>13667</v>
      </c>
      <c r="C3163" s="677" t="s">
        <v>7</v>
      </c>
      <c r="D3163" s="677" t="s">
        <v>166</v>
      </c>
      <c r="E3163" s="918" t="s">
        <v>13470</v>
      </c>
      <c r="F3163" s="918"/>
      <c r="G3163" s="676" t="s">
        <v>19</v>
      </c>
      <c r="H3163" s="675">
        <v>5.3900000000000003E-2</v>
      </c>
      <c r="I3163" s="674">
        <v>15.25</v>
      </c>
      <c r="J3163" s="674">
        <v>0.82</v>
      </c>
    </row>
    <row r="3164" spans="1:10" ht="24" customHeight="1">
      <c r="A3164" s="677" t="s">
        <v>13472</v>
      </c>
      <c r="B3164" s="678" t="s">
        <v>13471</v>
      </c>
      <c r="C3164" s="677" t="s">
        <v>7</v>
      </c>
      <c r="D3164" s="677" t="s">
        <v>21</v>
      </c>
      <c r="E3164" s="918" t="s">
        <v>13470</v>
      </c>
      <c r="F3164" s="918"/>
      <c r="G3164" s="676" t="s">
        <v>19</v>
      </c>
      <c r="H3164" s="675">
        <v>5.3499999999999999E-2</v>
      </c>
      <c r="I3164" s="674">
        <v>14.02</v>
      </c>
      <c r="J3164" s="674">
        <v>0.75</v>
      </c>
    </row>
    <row r="3165" spans="1:10" ht="24" customHeight="1">
      <c r="A3165" s="672" t="s">
        <v>13467</v>
      </c>
      <c r="B3165" s="673" t="s">
        <v>14348</v>
      </c>
      <c r="C3165" s="672" t="s">
        <v>7</v>
      </c>
      <c r="D3165" s="672" t="s">
        <v>14347</v>
      </c>
      <c r="E3165" s="919" t="s">
        <v>13493</v>
      </c>
      <c r="F3165" s="919"/>
      <c r="G3165" s="671" t="s">
        <v>85</v>
      </c>
      <c r="H3165" s="670">
        <v>0.16</v>
      </c>
      <c r="I3165" s="669">
        <v>129.35</v>
      </c>
      <c r="J3165" s="669">
        <v>20.69</v>
      </c>
    </row>
    <row r="3166" spans="1:10" ht="25.5">
      <c r="A3166" s="668"/>
      <c r="B3166" s="668"/>
      <c r="C3166" s="668"/>
      <c r="D3166" s="668"/>
      <c r="E3166" s="668" t="s">
        <v>13463</v>
      </c>
      <c r="F3166" s="667">
        <v>1.0159730522655657</v>
      </c>
      <c r="G3166" s="668" t="s">
        <v>13462</v>
      </c>
      <c r="H3166" s="667">
        <v>0.85</v>
      </c>
      <c r="I3166" s="668" t="s">
        <v>13461</v>
      </c>
      <c r="J3166" s="667">
        <v>1.87</v>
      </c>
    </row>
    <row r="3167" spans="1:10" ht="15" thickBot="1">
      <c r="A3167" s="668"/>
      <c r="B3167" s="668"/>
      <c r="C3167" s="668"/>
      <c r="D3167" s="668"/>
      <c r="E3167" s="668" t="s">
        <v>13460</v>
      </c>
      <c r="F3167" s="667">
        <v>6.83</v>
      </c>
      <c r="G3167" s="668"/>
      <c r="H3167" s="925" t="s">
        <v>13459</v>
      </c>
      <c r="I3167" s="925"/>
      <c r="J3167" s="667">
        <v>31.02</v>
      </c>
    </row>
    <row r="3168" spans="1:10" ht="0.95" customHeight="1" thickTop="1">
      <c r="A3168" s="666"/>
      <c r="B3168" s="666"/>
      <c r="C3168" s="666"/>
      <c r="D3168" s="666"/>
      <c r="E3168" s="666"/>
      <c r="F3168" s="666"/>
      <c r="G3168" s="666"/>
      <c r="H3168" s="666"/>
      <c r="I3168" s="666"/>
      <c r="J3168" s="666"/>
    </row>
    <row r="3169" spans="1:10" ht="18" customHeight="1">
      <c r="A3169" s="686" t="s">
        <v>14344</v>
      </c>
      <c r="B3169" s="684" t="s">
        <v>13484</v>
      </c>
      <c r="C3169" s="686" t="s">
        <v>13483</v>
      </c>
      <c r="D3169" s="686" t="s">
        <v>13482</v>
      </c>
      <c r="E3169" s="924" t="s">
        <v>13481</v>
      </c>
      <c r="F3169" s="924"/>
      <c r="G3169" s="685" t="s">
        <v>13480</v>
      </c>
      <c r="H3169" s="684" t="s">
        <v>13479</v>
      </c>
      <c r="I3169" s="684" t="s">
        <v>13478</v>
      </c>
      <c r="J3169" s="684" t="s">
        <v>13477</v>
      </c>
    </row>
    <row r="3170" spans="1:10" ht="36" customHeight="1">
      <c r="A3170" s="682" t="s">
        <v>13476</v>
      </c>
      <c r="B3170" s="683" t="s">
        <v>14346</v>
      </c>
      <c r="C3170" s="682" t="s">
        <v>7</v>
      </c>
      <c r="D3170" s="682" t="s">
        <v>7095</v>
      </c>
      <c r="E3170" s="917" t="s">
        <v>14130</v>
      </c>
      <c r="F3170" s="917"/>
      <c r="G3170" s="681" t="s">
        <v>13610</v>
      </c>
      <c r="H3170" s="680">
        <v>1</v>
      </c>
      <c r="I3170" s="679">
        <v>7.05</v>
      </c>
      <c r="J3170" s="679">
        <v>7.05</v>
      </c>
    </row>
    <row r="3171" spans="1:10" ht="24" customHeight="1">
      <c r="A3171" s="677" t="s">
        <v>13472</v>
      </c>
      <c r="B3171" s="678" t="s">
        <v>14140</v>
      </c>
      <c r="C3171" s="677" t="s">
        <v>7</v>
      </c>
      <c r="D3171" s="677" t="s">
        <v>169</v>
      </c>
      <c r="E3171" s="918" t="s">
        <v>13470</v>
      </c>
      <c r="F3171" s="918"/>
      <c r="G3171" s="676" t="s">
        <v>19</v>
      </c>
      <c r="H3171" s="675">
        <v>6.3500000000000001E-2</v>
      </c>
      <c r="I3171" s="674">
        <v>18.68</v>
      </c>
      <c r="J3171" s="674">
        <v>1.18</v>
      </c>
    </row>
    <row r="3172" spans="1:10" ht="24" customHeight="1">
      <c r="A3172" s="672" t="s">
        <v>13467</v>
      </c>
      <c r="B3172" s="673" t="s">
        <v>14209</v>
      </c>
      <c r="C3172" s="672" t="s">
        <v>7</v>
      </c>
      <c r="D3172" s="672" t="s">
        <v>14208</v>
      </c>
      <c r="E3172" s="919" t="s">
        <v>13464</v>
      </c>
      <c r="F3172" s="919"/>
      <c r="G3172" s="671" t="s">
        <v>50</v>
      </c>
      <c r="H3172" s="670">
        <v>0.1908</v>
      </c>
      <c r="I3172" s="669">
        <v>26.96</v>
      </c>
      <c r="J3172" s="669">
        <v>5.14</v>
      </c>
    </row>
    <row r="3173" spans="1:10" ht="24" customHeight="1">
      <c r="A3173" s="672" t="s">
        <v>13467</v>
      </c>
      <c r="B3173" s="673" t="s">
        <v>14139</v>
      </c>
      <c r="C3173" s="672" t="s">
        <v>7</v>
      </c>
      <c r="D3173" s="672" t="s">
        <v>14138</v>
      </c>
      <c r="E3173" s="919" t="s">
        <v>13464</v>
      </c>
      <c r="F3173" s="919"/>
      <c r="G3173" s="671" t="s">
        <v>50</v>
      </c>
      <c r="H3173" s="670">
        <v>5.7500000000000002E-2</v>
      </c>
      <c r="I3173" s="669">
        <v>12.84</v>
      </c>
      <c r="J3173" s="669">
        <v>0.73</v>
      </c>
    </row>
    <row r="3174" spans="1:10" ht="25.5">
      <c r="A3174" s="668"/>
      <c r="B3174" s="668"/>
      <c r="C3174" s="668"/>
      <c r="D3174" s="668"/>
      <c r="E3174" s="668" t="s">
        <v>13463</v>
      </c>
      <c r="F3174" s="667">
        <v>0.47267195479734869</v>
      </c>
      <c r="G3174" s="668" t="s">
        <v>13462</v>
      </c>
      <c r="H3174" s="667">
        <v>0.4</v>
      </c>
      <c r="I3174" s="668" t="s">
        <v>13461</v>
      </c>
      <c r="J3174" s="667">
        <v>0.87</v>
      </c>
    </row>
    <row r="3175" spans="1:10" ht="15" thickBot="1">
      <c r="A3175" s="668"/>
      <c r="B3175" s="668"/>
      <c r="C3175" s="668"/>
      <c r="D3175" s="668"/>
      <c r="E3175" s="668" t="s">
        <v>13460</v>
      </c>
      <c r="F3175" s="667">
        <v>1.99</v>
      </c>
      <c r="G3175" s="668"/>
      <c r="H3175" s="925" t="s">
        <v>13459</v>
      </c>
      <c r="I3175" s="925"/>
      <c r="J3175" s="667">
        <v>9.0399999999999991</v>
      </c>
    </row>
    <row r="3176" spans="1:10" ht="0.95" customHeight="1" thickTop="1">
      <c r="A3176" s="666"/>
      <c r="B3176" s="666"/>
      <c r="C3176" s="666"/>
      <c r="D3176" s="666"/>
      <c r="E3176" s="666"/>
      <c r="F3176" s="666"/>
      <c r="G3176" s="666"/>
      <c r="H3176" s="666"/>
      <c r="I3176" s="666"/>
      <c r="J3176" s="666"/>
    </row>
    <row r="3177" spans="1:10" ht="18" customHeight="1">
      <c r="A3177" s="686" t="s">
        <v>14344</v>
      </c>
      <c r="B3177" s="684" t="s">
        <v>13484</v>
      </c>
      <c r="C3177" s="686" t="s">
        <v>13483</v>
      </c>
      <c r="D3177" s="686" t="s">
        <v>13482</v>
      </c>
      <c r="E3177" s="924" t="s">
        <v>13481</v>
      </c>
      <c r="F3177" s="924"/>
      <c r="G3177" s="685" t="s">
        <v>13480</v>
      </c>
      <c r="H3177" s="684" t="s">
        <v>13479</v>
      </c>
      <c r="I3177" s="684" t="s">
        <v>13478</v>
      </c>
      <c r="J3177" s="684" t="s">
        <v>13477</v>
      </c>
    </row>
    <row r="3178" spans="1:10" ht="36" customHeight="1">
      <c r="A3178" s="682" t="s">
        <v>13476</v>
      </c>
      <c r="B3178" s="683" t="s">
        <v>14345</v>
      </c>
      <c r="C3178" s="682" t="s">
        <v>7</v>
      </c>
      <c r="D3178" s="682" t="s">
        <v>4334</v>
      </c>
      <c r="E3178" s="917" t="s">
        <v>13470</v>
      </c>
      <c r="F3178" s="917"/>
      <c r="G3178" s="681" t="s">
        <v>13515</v>
      </c>
      <c r="H3178" s="680">
        <v>1</v>
      </c>
      <c r="I3178" s="679">
        <v>359.96</v>
      </c>
      <c r="J3178" s="679">
        <v>359.96</v>
      </c>
    </row>
    <row r="3179" spans="1:10" ht="48" customHeight="1">
      <c r="A3179" s="677" t="s">
        <v>13472</v>
      </c>
      <c r="B3179" s="678" t="s">
        <v>14061</v>
      </c>
      <c r="C3179" s="677" t="s">
        <v>7</v>
      </c>
      <c r="D3179" s="677" t="s">
        <v>1148</v>
      </c>
      <c r="E3179" s="918" t="s">
        <v>13491</v>
      </c>
      <c r="F3179" s="918"/>
      <c r="G3179" s="676" t="s">
        <v>38</v>
      </c>
      <c r="H3179" s="675">
        <v>1.08</v>
      </c>
      <c r="I3179" s="674">
        <v>1.68</v>
      </c>
      <c r="J3179" s="674">
        <v>1.81</v>
      </c>
    </row>
    <row r="3180" spans="1:10" ht="48" customHeight="1">
      <c r="A3180" s="677" t="s">
        <v>13472</v>
      </c>
      <c r="B3180" s="678" t="s">
        <v>14062</v>
      </c>
      <c r="C3180" s="677" t="s">
        <v>7</v>
      </c>
      <c r="D3180" s="677" t="s">
        <v>1149</v>
      </c>
      <c r="E3180" s="918" t="s">
        <v>13491</v>
      </c>
      <c r="F3180" s="918"/>
      <c r="G3180" s="676" t="s">
        <v>53</v>
      </c>
      <c r="H3180" s="675">
        <v>3.56</v>
      </c>
      <c r="I3180" s="674">
        <v>0.34</v>
      </c>
      <c r="J3180" s="674">
        <v>1.21</v>
      </c>
    </row>
    <row r="3181" spans="1:10" ht="24" customHeight="1">
      <c r="A3181" s="677" t="s">
        <v>13472</v>
      </c>
      <c r="B3181" s="678" t="s">
        <v>13690</v>
      </c>
      <c r="C3181" s="677" t="s">
        <v>7</v>
      </c>
      <c r="D3181" s="677" t="s">
        <v>1097</v>
      </c>
      <c r="E3181" s="918" t="s">
        <v>13470</v>
      </c>
      <c r="F3181" s="918"/>
      <c r="G3181" s="676" t="s">
        <v>19</v>
      </c>
      <c r="H3181" s="675">
        <v>4.6399999999999997</v>
      </c>
      <c r="I3181" s="674">
        <v>12.73</v>
      </c>
      <c r="J3181" s="674">
        <v>59.06</v>
      </c>
    </row>
    <row r="3182" spans="1:10" ht="24" customHeight="1">
      <c r="A3182" s="672" t="s">
        <v>13467</v>
      </c>
      <c r="B3182" s="673" t="s">
        <v>14083</v>
      </c>
      <c r="C3182" s="672" t="s">
        <v>7</v>
      </c>
      <c r="D3182" s="672" t="s">
        <v>14082</v>
      </c>
      <c r="E3182" s="919" t="s">
        <v>13464</v>
      </c>
      <c r="F3182" s="919"/>
      <c r="G3182" s="671" t="s">
        <v>13515</v>
      </c>
      <c r="H3182" s="670">
        <v>1.02</v>
      </c>
      <c r="I3182" s="669">
        <v>76.5</v>
      </c>
      <c r="J3182" s="669">
        <v>78.03</v>
      </c>
    </row>
    <row r="3183" spans="1:10" ht="24" customHeight="1">
      <c r="A3183" s="672" t="s">
        <v>13467</v>
      </c>
      <c r="B3183" s="673" t="s">
        <v>13997</v>
      </c>
      <c r="C3183" s="672" t="s">
        <v>7</v>
      </c>
      <c r="D3183" s="672" t="s">
        <v>13996</v>
      </c>
      <c r="E3183" s="919" t="s">
        <v>13464</v>
      </c>
      <c r="F3183" s="919"/>
      <c r="G3183" s="671" t="s">
        <v>17</v>
      </c>
      <c r="H3183" s="670">
        <v>343.52</v>
      </c>
      <c r="I3183" s="669">
        <v>0.64</v>
      </c>
      <c r="J3183" s="669">
        <v>219.85</v>
      </c>
    </row>
    <row r="3184" spans="1:10" ht="25.5">
      <c r="A3184" s="668"/>
      <c r="B3184" s="668"/>
      <c r="C3184" s="668"/>
      <c r="D3184" s="668"/>
      <c r="E3184" s="668" t="s">
        <v>13463</v>
      </c>
      <c r="F3184" s="667">
        <v>24.72563294577855</v>
      </c>
      <c r="G3184" s="668" t="s">
        <v>13462</v>
      </c>
      <c r="H3184" s="667">
        <v>20.78</v>
      </c>
      <c r="I3184" s="668" t="s">
        <v>13461</v>
      </c>
      <c r="J3184" s="667">
        <v>45.51</v>
      </c>
    </row>
    <row r="3185" spans="1:10" ht="15" thickBot="1">
      <c r="A3185" s="668"/>
      <c r="B3185" s="668"/>
      <c r="C3185" s="668"/>
      <c r="D3185" s="668"/>
      <c r="E3185" s="668" t="s">
        <v>13460</v>
      </c>
      <c r="F3185" s="667">
        <v>101.65</v>
      </c>
      <c r="G3185" s="668"/>
      <c r="H3185" s="925" t="s">
        <v>13459</v>
      </c>
      <c r="I3185" s="925"/>
      <c r="J3185" s="667">
        <v>461.61</v>
      </c>
    </row>
    <row r="3186" spans="1:10" ht="0.95" customHeight="1" thickTop="1">
      <c r="A3186" s="666"/>
      <c r="B3186" s="666"/>
      <c r="C3186" s="666"/>
      <c r="D3186" s="666"/>
      <c r="E3186" s="666"/>
      <c r="F3186" s="666"/>
      <c r="G3186" s="666"/>
      <c r="H3186" s="666"/>
      <c r="I3186" s="666"/>
      <c r="J3186" s="666"/>
    </row>
    <row r="3187" spans="1:10" ht="18" customHeight="1">
      <c r="A3187" s="686" t="s">
        <v>14344</v>
      </c>
      <c r="B3187" s="684" t="s">
        <v>13484</v>
      </c>
      <c r="C3187" s="686" t="s">
        <v>13483</v>
      </c>
      <c r="D3187" s="686" t="s">
        <v>13482</v>
      </c>
      <c r="E3187" s="924" t="s">
        <v>13481</v>
      </c>
      <c r="F3187" s="924"/>
      <c r="G3187" s="685" t="s">
        <v>13480</v>
      </c>
      <c r="H3187" s="684" t="s">
        <v>13479</v>
      </c>
      <c r="I3187" s="684" t="s">
        <v>13478</v>
      </c>
      <c r="J3187" s="684" t="s">
        <v>13477</v>
      </c>
    </row>
    <row r="3188" spans="1:10" ht="24" customHeight="1">
      <c r="A3188" s="682" t="s">
        <v>13476</v>
      </c>
      <c r="B3188" s="683" t="s">
        <v>13600</v>
      </c>
      <c r="C3188" s="682" t="s">
        <v>7</v>
      </c>
      <c r="D3188" s="682" t="s">
        <v>41</v>
      </c>
      <c r="E3188" s="917" t="s">
        <v>13470</v>
      </c>
      <c r="F3188" s="917"/>
      <c r="G3188" s="681" t="s">
        <v>19</v>
      </c>
      <c r="H3188" s="680">
        <v>1</v>
      </c>
      <c r="I3188" s="679">
        <v>17.670000000000002</v>
      </c>
      <c r="J3188" s="679">
        <v>17.670000000000002</v>
      </c>
    </row>
    <row r="3189" spans="1:10" ht="24" customHeight="1">
      <c r="A3189" s="677" t="s">
        <v>13472</v>
      </c>
      <c r="B3189" s="678" t="s">
        <v>13906</v>
      </c>
      <c r="C3189" s="677" t="s">
        <v>7</v>
      </c>
      <c r="D3189" s="677" t="s">
        <v>557</v>
      </c>
      <c r="E3189" s="918" t="s">
        <v>13470</v>
      </c>
      <c r="F3189" s="918"/>
      <c r="G3189" s="676" t="s">
        <v>19</v>
      </c>
      <c r="H3189" s="675">
        <v>1</v>
      </c>
      <c r="I3189" s="674">
        <v>0.2</v>
      </c>
      <c r="J3189" s="674">
        <v>0.2</v>
      </c>
    </row>
    <row r="3190" spans="1:10" ht="24" customHeight="1">
      <c r="A3190" s="672" t="s">
        <v>13467</v>
      </c>
      <c r="B3190" s="673" t="s">
        <v>13562</v>
      </c>
      <c r="C3190" s="672" t="s">
        <v>7</v>
      </c>
      <c r="D3190" s="672" t="s">
        <v>13561</v>
      </c>
      <c r="E3190" s="919" t="s">
        <v>13556</v>
      </c>
      <c r="F3190" s="919"/>
      <c r="G3190" s="671" t="s">
        <v>19</v>
      </c>
      <c r="H3190" s="670">
        <v>1</v>
      </c>
      <c r="I3190" s="669">
        <v>0.96</v>
      </c>
      <c r="J3190" s="669">
        <v>0.96</v>
      </c>
    </row>
    <row r="3191" spans="1:10" ht="24" customHeight="1">
      <c r="A3191" s="672" t="s">
        <v>13467</v>
      </c>
      <c r="B3191" s="673" t="s">
        <v>13752</v>
      </c>
      <c r="C3191" s="672" t="s">
        <v>7</v>
      </c>
      <c r="D3191" s="672" t="s">
        <v>13751</v>
      </c>
      <c r="E3191" s="919" t="s">
        <v>13493</v>
      </c>
      <c r="F3191" s="919"/>
      <c r="G3191" s="671" t="s">
        <v>19</v>
      </c>
      <c r="H3191" s="670">
        <v>1</v>
      </c>
      <c r="I3191" s="669">
        <v>0.95</v>
      </c>
      <c r="J3191" s="669">
        <v>0.95</v>
      </c>
    </row>
    <row r="3192" spans="1:10" ht="24" customHeight="1">
      <c r="A3192" s="672" t="s">
        <v>13467</v>
      </c>
      <c r="B3192" s="673" t="s">
        <v>13558</v>
      </c>
      <c r="C3192" s="672" t="s">
        <v>7</v>
      </c>
      <c r="D3192" s="672" t="s">
        <v>13557</v>
      </c>
      <c r="E3192" s="919" t="s">
        <v>13556</v>
      </c>
      <c r="F3192" s="919"/>
      <c r="G3192" s="671" t="s">
        <v>19</v>
      </c>
      <c r="H3192" s="670">
        <v>1</v>
      </c>
      <c r="I3192" s="669">
        <v>0.55000000000000004</v>
      </c>
      <c r="J3192" s="669">
        <v>0.55000000000000004</v>
      </c>
    </row>
    <row r="3193" spans="1:10" ht="24" customHeight="1">
      <c r="A3193" s="672" t="s">
        <v>13467</v>
      </c>
      <c r="B3193" s="673" t="s">
        <v>13750</v>
      </c>
      <c r="C3193" s="672" t="s">
        <v>7</v>
      </c>
      <c r="D3193" s="672" t="s">
        <v>13749</v>
      </c>
      <c r="E3193" s="919" t="s">
        <v>13493</v>
      </c>
      <c r="F3193" s="919"/>
      <c r="G3193" s="671" t="s">
        <v>19</v>
      </c>
      <c r="H3193" s="670">
        <v>1</v>
      </c>
      <c r="I3193" s="669">
        <v>0.57999999999999996</v>
      </c>
      <c r="J3193" s="669">
        <v>0.57999999999999996</v>
      </c>
    </row>
    <row r="3194" spans="1:10" ht="24" customHeight="1">
      <c r="A3194" s="672" t="s">
        <v>13467</v>
      </c>
      <c r="B3194" s="673" t="s">
        <v>13905</v>
      </c>
      <c r="C3194" s="672" t="s">
        <v>7</v>
      </c>
      <c r="D3194" s="672" t="s">
        <v>13904</v>
      </c>
      <c r="E3194" s="919" t="s">
        <v>13548</v>
      </c>
      <c r="F3194" s="919"/>
      <c r="G3194" s="671" t="s">
        <v>19</v>
      </c>
      <c r="H3194" s="670">
        <v>1</v>
      </c>
      <c r="I3194" s="669">
        <v>13.66</v>
      </c>
      <c r="J3194" s="669">
        <v>13.66</v>
      </c>
    </row>
    <row r="3195" spans="1:10" ht="24" customHeight="1">
      <c r="A3195" s="672" t="s">
        <v>13467</v>
      </c>
      <c r="B3195" s="673" t="s">
        <v>13553</v>
      </c>
      <c r="C3195" s="672" t="s">
        <v>7</v>
      </c>
      <c r="D3195" s="672" t="s">
        <v>13552</v>
      </c>
      <c r="E3195" s="919" t="s">
        <v>13551</v>
      </c>
      <c r="F3195" s="919"/>
      <c r="G3195" s="671" t="s">
        <v>19</v>
      </c>
      <c r="H3195" s="670">
        <v>1</v>
      </c>
      <c r="I3195" s="669">
        <v>0.06</v>
      </c>
      <c r="J3195" s="669">
        <v>0.06</v>
      </c>
    </row>
    <row r="3196" spans="1:10" ht="24" customHeight="1">
      <c r="A3196" s="672" t="s">
        <v>13467</v>
      </c>
      <c r="B3196" s="673" t="s">
        <v>13547</v>
      </c>
      <c r="C3196" s="672" t="s">
        <v>7</v>
      </c>
      <c r="D3196" s="672" t="s">
        <v>13546</v>
      </c>
      <c r="E3196" s="919" t="s">
        <v>13545</v>
      </c>
      <c r="F3196" s="919"/>
      <c r="G3196" s="671" t="s">
        <v>19</v>
      </c>
      <c r="H3196" s="670">
        <v>1</v>
      </c>
      <c r="I3196" s="669">
        <v>0.71</v>
      </c>
      <c r="J3196" s="669">
        <v>0.71</v>
      </c>
    </row>
    <row r="3197" spans="1:10" ht="25.5">
      <c r="A3197" s="668"/>
      <c r="B3197" s="668"/>
      <c r="C3197" s="668"/>
      <c r="D3197" s="668"/>
      <c r="E3197" s="668" t="s">
        <v>13463</v>
      </c>
      <c r="F3197" s="667">
        <v>7.5301532</v>
      </c>
      <c r="G3197" s="668" t="s">
        <v>13462</v>
      </c>
      <c r="H3197" s="667">
        <v>6.33</v>
      </c>
      <c r="I3197" s="668" t="s">
        <v>13461</v>
      </c>
      <c r="J3197" s="667">
        <v>13.86</v>
      </c>
    </row>
    <row r="3198" spans="1:10" ht="15" thickBot="1">
      <c r="A3198" s="668"/>
      <c r="B3198" s="668"/>
      <c r="C3198" s="668"/>
      <c r="D3198" s="668"/>
      <c r="E3198" s="668" t="s">
        <v>13460</v>
      </c>
      <c r="F3198" s="667">
        <v>4.99</v>
      </c>
      <c r="G3198" s="668"/>
      <c r="H3198" s="925" t="s">
        <v>13459</v>
      </c>
      <c r="I3198" s="925"/>
      <c r="J3198" s="667">
        <v>22.66</v>
      </c>
    </row>
    <row r="3199" spans="1:10" ht="0.95" customHeight="1" thickTop="1">
      <c r="A3199" s="666"/>
      <c r="B3199" s="666"/>
      <c r="C3199" s="666"/>
      <c r="D3199" s="666"/>
      <c r="E3199" s="666"/>
      <c r="F3199" s="666"/>
      <c r="G3199" s="666"/>
      <c r="H3199" s="666"/>
      <c r="I3199" s="666"/>
      <c r="J3199" s="666"/>
    </row>
    <row r="3200" spans="1:10" ht="18" customHeight="1">
      <c r="A3200" s="686" t="s">
        <v>14328</v>
      </c>
      <c r="B3200" s="684" t="s">
        <v>13484</v>
      </c>
      <c r="C3200" s="686" t="s">
        <v>13483</v>
      </c>
      <c r="D3200" s="686" t="s">
        <v>13482</v>
      </c>
      <c r="E3200" s="924" t="s">
        <v>13481</v>
      </c>
      <c r="F3200" s="924"/>
      <c r="G3200" s="685" t="s">
        <v>13480</v>
      </c>
      <c r="H3200" s="684" t="s">
        <v>13479</v>
      </c>
      <c r="I3200" s="684" t="s">
        <v>13478</v>
      </c>
      <c r="J3200" s="684" t="s">
        <v>13477</v>
      </c>
    </row>
    <row r="3201" spans="1:10" ht="48" customHeight="1">
      <c r="A3201" s="682" t="s">
        <v>13476</v>
      </c>
      <c r="B3201" s="683" t="s">
        <v>14343</v>
      </c>
      <c r="C3201" s="682" t="s">
        <v>7</v>
      </c>
      <c r="D3201" s="682" t="s">
        <v>5195</v>
      </c>
      <c r="E3201" s="917" t="s">
        <v>13474</v>
      </c>
      <c r="F3201" s="917"/>
      <c r="G3201" s="681" t="s">
        <v>14</v>
      </c>
      <c r="H3201" s="680">
        <v>1</v>
      </c>
      <c r="I3201" s="679">
        <v>15.15</v>
      </c>
      <c r="J3201" s="679">
        <v>15.15</v>
      </c>
    </row>
    <row r="3202" spans="1:10" ht="24" customHeight="1">
      <c r="A3202" s="677" t="s">
        <v>13472</v>
      </c>
      <c r="B3202" s="678" t="s">
        <v>13526</v>
      </c>
      <c r="C3202" s="677" t="s">
        <v>7</v>
      </c>
      <c r="D3202" s="677" t="s">
        <v>1093</v>
      </c>
      <c r="E3202" s="918" t="s">
        <v>13470</v>
      </c>
      <c r="F3202" s="918"/>
      <c r="G3202" s="676" t="s">
        <v>19</v>
      </c>
      <c r="H3202" s="675">
        <v>2.3E-2</v>
      </c>
      <c r="I3202" s="674">
        <v>13.48</v>
      </c>
      <c r="J3202" s="674">
        <v>0.31</v>
      </c>
    </row>
    <row r="3203" spans="1:10" ht="24" customHeight="1">
      <c r="A3203" s="677" t="s">
        <v>13472</v>
      </c>
      <c r="B3203" s="678" t="s">
        <v>13473</v>
      </c>
      <c r="C3203" s="677" t="s">
        <v>7</v>
      </c>
      <c r="D3203" s="677" t="s">
        <v>44</v>
      </c>
      <c r="E3203" s="918" t="s">
        <v>13470</v>
      </c>
      <c r="F3203" s="918"/>
      <c r="G3203" s="676" t="s">
        <v>19</v>
      </c>
      <c r="H3203" s="675">
        <v>0.161</v>
      </c>
      <c r="I3203" s="674">
        <v>17.66</v>
      </c>
      <c r="J3203" s="674">
        <v>2.84</v>
      </c>
    </row>
    <row r="3204" spans="1:10" ht="36" customHeight="1">
      <c r="A3204" s="672" t="s">
        <v>13467</v>
      </c>
      <c r="B3204" s="673" t="s">
        <v>14179</v>
      </c>
      <c r="C3204" s="672" t="s">
        <v>7</v>
      </c>
      <c r="D3204" s="672" t="s">
        <v>14178</v>
      </c>
      <c r="E3204" s="919" t="s">
        <v>13464</v>
      </c>
      <c r="F3204" s="919"/>
      <c r="G3204" s="671" t="s">
        <v>34</v>
      </c>
      <c r="H3204" s="670">
        <v>4</v>
      </c>
      <c r="I3204" s="669">
        <v>0.9</v>
      </c>
      <c r="J3204" s="669">
        <v>3.6</v>
      </c>
    </row>
    <row r="3205" spans="1:10" ht="24" customHeight="1">
      <c r="A3205" s="672" t="s">
        <v>13467</v>
      </c>
      <c r="B3205" s="673" t="s">
        <v>14342</v>
      </c>
      <c r="C3205" s="672" t="s">
        <v>7</v>
      </c>
      <c r="D3205" s="672" t="s">
        <v>14341</v>
      </c>
      <c r="E3205" s="919" t="s">
        <v>13464</v>
      </c>
      <c r="F3205" s="919"/>
      <c r="G3205" s="671" t="s">
        <v>34</v>
      </c>
      <c r="H3205" s="670">
        <v>1.333</v>
      </c>
      <c r="I3205" s="669">
        <v>0.79</v>
      </c>
      <c r="J3205" s="669">
        <v>1.05</v>
      </c>
    </row>
    <row r="3206" spans="1:10" ht="24" customHeight="1">
      <c r="A3206" s="672" t="s">
        <v>13467</v>
      </c>
      <c r="B3206" s="673" t="s">
        <v>14340</v>
      </c>
      <c r="C3206" s="672" t="s">
        <v>7</v>
      </c>
      <c r="D3206" s="672" t="s">
        <v>14339</v>
      </c>
      <c r="E3206" s="919" t="s">
        <v>13464</v>
      </c>
      <c r="F3206" s="919"/>
      <c r="G3206" s="671" t="s">
        <v>14</v>
      </c>
      <c r="H3206" s="670">
        <v>0.29299999999999998</v>
      </c>
      <c r="I3206" s="669">
        <v>16.510000000000002</v>
      </c>
      <c r="J3206" s="669">
        <v>4.83</v>
      </c>
    </row>
    <row r="3207" spans="1:10" ht="24" customHeight="1">
      <c r="A3207" s="672" t="s">
        <v>13467</v>
      </c>
      <c r="B3207" s="673" t="s">
        <v>14177</v>
      </c>
      <c r="C3207" s="672" t="s">
        <v>7</v>
      </c>
      <c r="D3207" s="672" t="s">
        <v>14176</v>
      </c>
      <c r="E3207" s="919" t="s">
        <v>13464</v>
      </c>
      <c r="F3207" s="919"/>
      <c r="G3207" s="671" t="s">
        <v>34</v>
      </c>
      <c r="H3207" s="670">
        <v>4</v>
      </c>
      <c r="I3207" s="669">
        <v>0.2</v>
      </c>
      <c r="J3207" s="669">
        <v>0.8</v>
      </c>
    </row>
    <row r="3208" spans="1:10" ht="24" customHeight="1">
      <c r="A3208" s="672" t="s">
        <v>13467</v>
      </c>
      <c r="B3208" s="673" t="s">
        <v>14175</v>
      </c>
      <c r="C3208" s="672" t="s">
        <v>7</v>
      </c>
      <c r="D3208" s="672" t="s">
        <v>14174</v>
      </c>
      <c r="E3208" s="919" t="s">
        <v>13464</v>
      </c>
      <c r="F3208" s="919"/>
      <c r="G3208" s="671" t="s">
        <v>14</v>
      </c>
      <c r="H3208" s="670">
        <v>0.46700000000000003</v>
      </c>
      <c r="I3208" s="669">
        <v>3.69</v>
      </c>
      <c r="J3208" s="669">
        <v>1.72</v>
      </c>
    </row>
    <row r="3209" spans="1:10" ht="25.5">
      <c r="A3209" s="668"/>
      <c r="B3209" s="668"/>
      <c r="C3209" s="668"/>
      <c r="D3209" s="668"/>
      <c r="E3209" s="668" t="s">
        <v>13463</v>
      </c>
      <c r="F3209" s="667">
        <v>1.3745517765945887</v>
      </c>
      <c r="G3209" s="668" t="s">
        <v>13462</v>
      </c>
      <c r="H3209" s="667">
        <v>1.1599999999999999</v>
      </c>
      <c r="I3209" s="668" t="s">
        <v>13461</v>
      </c>
      <c r="J3209" s="667">
        <v>2.5299999999999998</v>
      </c>
    </row>
    <row r="3210" spans="1:10" ht="15" thickBot="1">
      <c r="A3210" s="668"/>
      <c r="B3210" s="668"/>
      <c r="C3210" s="668"/>
      <c r="D3210" s="668"/>
      <c r="E3210" s="668" t="s">
        <v>13460</v>
      </c>
      <c r="F3210" s="667">
        <v>4.2699999999999996</v>
      </c>
      <c r="G3210" s="668"/>
      <c r="H3210" s="925" t="s">
        <v>13459</v>
      </c>
      <c r="I3210" s="925"/>
      <c r="J3210" s="667">
        <v>19.420000000000002</v>
      </c>
    </row>
    <row r="3211" spans="1:10" ht="0.95" customHeight="1" thickTop="1">
      <c r="A3211" s="666"/>
      <c r="B3211" s="666"/>
      <c r="C3211" s="666"/>
      <c r="D3211" s="666"/>
      <c r="E3211" s="666"/>
      <c r="F3211" s="666"/>
      <c r="G3211" s="666"/>
      <c r="H3211" s="666"/>
      <c r="I3211" s="666"/>
      <c r="J3211" s="666"/>
    </row>
    <row r="3212" spans="1:10" ht="18" customHeight="1">
      <c r="A3212" s="686" t="s">
        <v>14328</v>
      </c>
      <c r="B3212" s="684" t="s">
        <v>13484</v>
      </c>
      <c r="C3212" s="686" t="s">
        <v>13483</v>
      </c>
      <c r="D3212" s="686" t="s">
        <v>13482</v>
      </c>
      <c r="E3212" s="924" t="s">
        <v>13481</v>
      </c>
      <c r="F3212" s="924"/>
      <c r="G3212" s="685" t="s">
        <v>13480</v>
      </c>
      <c r="H3212" s="684" t="s">
        <v>13479</v>
      </c>
      <c r="I3212" s="684" t="s">
        <v>13478</v>
      </c>
      <c r="J3212" s="684" t="s">
        <v>13477</v>
      </c>
    </row>
    <row r="3213" spans="1:10" ht="48" customHeight="1">
      <c r="A3213" s="682" t="s">
        <v>13476</v>
      </c>
      <c r="B3213" s="683" t="s">
        <v>14338</v>
      </c>
      <c r="C3213" s="682" t="s">
        <v>7</v>
      </c>
      <c r="D3213" s="682" t="s">
        <v>7111</v>
      </c>
      <c r="E3213" s="917" t="s">
        <v>14130</v>
      </c>
      <c r="F3213" s="917"/>
      <c r="G3213" s="681" t="s">
        <v>13610</v>
      </c>
      <c r="H3213" s="680">
        <v>1</v>
      </c>
      <c r="I3213" s="679">
        <v>31.59</v>
      </c>
      <c r="J3213" s="679">
        <v>31.59</v>
      </c>
    </row>
    <row r="3214" spans="1:10" ht="24" customHeight="1">
      <c r="A3214" s="677" t="s">
        <v>13472</v>
      </c>
      <c r="B3214" s="678" t="s">
        <v>14140</v>
      </c>
      <c r="C3214" s="677" t="s">
        <v>7</v>
      </c>
      <c r="D3214" s="677" t="s">
        <v>169</v>
      </c>
      <c r="E3214" s="918" t="s">
        <v>13470</v>
      </c>
      <c r="F3214" s="918"/>
      <c r="G3214" s="676" t="s">
        <v>19</v>
      </c>
      <c r="H3214" s="675">
        <v>1.0530999999999999</v>
      </c>
      <c r="I3214" s="674">
        <v>18.68</v>
      </c>
      <c r="J3214" s="674">
        <v>19.670000000000002</v>
      </c>
    </row>
    <row r="3215" spans="1:10" ht="24" customHeight="1">
      <c r="A3215" s="672" t="s">
        <v>13467</v>
      </c>
      <c r="B3215" s="673" t="s">
        <v>14139</v>
      </c>
      <c r="C3215" s="672" t="s">
        <v>7</v>
      </c>
      <c r="D3215" s="672" t="s">
        <v>14138</v>
      </c>
      <c r="E3215" s="919" t="s">
        <v>13464</v>
      </c>
      <c r="F3215" s="919"/>
      <c r="G3215" s="671" t="s">
        <v>50</v>
      </c>
      <c r="H3215" s="670">
        <v>0.124</v>
      </c>
      <c r="I3215" s="669">
        <v>12.84</v>
      </c>
      <c r="J3215" s="669">
        <v>1.59</v>
      </c>
    </row>
    <row r="3216" spans="1:10" ht="24" customHeight="1">
      <c r="A3216" s="672" t="s">
        <v>13467</v>
      </c>
      <c r="B3216" s="673" t="s">
        <v>14137</v>
      </c>
      <c r="C3216" s="672" t="s">
        <v>7</v>
      </c>
      <c r="D3216" s="672" t="s">
        <v>14136</v>
      </c>
      <c r="E3216" s="919" t="s">
        <v>13464</v>
      </c>
      <c r="F3216" s="919"/>
      <c r="G3216" s="671" t="s">
        <v>50</v>
      </c>
      <c r="H3216" s="670">
        <v>0.41339999999999999</v>
      </c>
      <c r="I3216" s="669">
        <v>25</v>
      </c>
      <c r="J3216" s="669">
        <v>10.33</v>
      </c>
    </row>
    <row r="3217" spans="1:10" ht="25.5">
      <c r="A3217" s="668"/>
      <c r="B3217" s="668"/>
      <c r="C3217" s="668"/>
      <c r="D3217" s="668"/>
      <c r="E3217" s="668" t="s">
        <v>13463</v>
      </c>
      <c r="F3217" s="667">
        <v>7.8941649462131913</v>
      </c>
      <c r="G3217" s="668" t="s">
        <v>13462</v>
      </c>
      <c r="H3217" s="667">
        <v>6.64</v>
      </c>
      <c r="I3217" s="668" t="s">
        <v>13461</v>
      </c>
      <c r="J3217" s="667">
        <v>14.53</v>
      </c>
    </row>
    <row r="3218" spans="1:10" ht="15" thickBot="1">
      <c r="A3218" s="668"/>
      <c r="B3218" s="668"/>
      <c r="C3218" s="668"/>
      <c r="D3218" s="668"/>
      <c r="E3218" s="668" t="s">
        <v>13460</v>
      </c>
      <c r="F3218" s="667">
        <v>8.92</v>
      </c>
      <c r="G3218" s="668"/>
      <c r="H3218" s="925" t="s">
        <v>13459</v>
      </c>
      <c r="I3218" s="925"/>
      <c r="J3218" s="667">
        <v>40.51</v>
      </c>
    </row>
    <row r="3219" spans="1:10" ht="0.95" customHeight="1" thickTop="1">
      <c r="A3219" s="666"/>
      <c r="B3219" s="666"/>
      <c r="C3219" s="666"/>
      <c r="D3219" s="666"/>
      <c r="E3219" s="666"/>
      <c r="F3219" s="666"/>
      <c r="G3219" s="666"/>
      <c r="H3219" s="666"/>
      <c r="I3219" s="666"/>
      <c r="J3219" s="666"/>
    </row>
    <row r="3220" spans="1:10" ht="18" customHeight="1">
      <c r="A3220" s="686" t="s">
        <v>14328</v>
      </c>
      <c r="B3220" s="684" t="s">
        <v>13484</v>
      </c>
      <c r="C3220" s="686" t="s">
        <v>13483</v>
      </c>
      <c r="D3220" s="686" t="s">
        <v>13482</v>
      </c>
      <c r="E3220" s="924" t="s">
        <v>13481</v>
      </c>
      <c r="F3220" s="924"/>
      <c r="G3220" s="685" t="s">
        <v>13480</v>
      </c>
      <c r="H3220" s="684" t="s">
        <v>13479</v>
      </c>
      <c r="I3220" s="684" t="s">
        <v>13478</v>
      </c>
      <c r="J3220" s="684" t="s">
        <v>13477</v>
      </c>
    </row>
    <row r="3221" spans="1:10" ht="24" customHeight="1">
      <c r="A3221" s="682" t="s">
        <v>13476</v>
      </c>
      <c r="B3221" s="683" t="s">
        <v>13526</v>
      </c>
      <c r="C3221" s="682" t="s">
        <v>7</v>
      </c>
      <c r="D3221" s="682" t="s">
        <v>1093</v>
      </c>
      <c r="E3221" s="917" t="s">
        <v>13470</v>
      </c>
      <c r="F3221" s="917"/>
      <c r="G3221" s="681" t="s">
        <v>19</v>
      </c>
      <c r="H3221" s="680">
        <v>1</v>
      </c>
      <c r="I3221" s="679">
        <v>13.48</v>
      </c>
      <c r="J3221" s="679">
        <v>13.48</v>
      </c>
    </row>
    <row r="3222" spans="1:10" ht="36" customHeight="1">
      <c r="A3222" s="677" t="s">
        <v>13472</v>
      </c>
      <c r="B3222" s="678" t="s">
        <v>13942</v>
      </c>
      <c r="C3222" s="677" t="s">
        <v>7</v>
      </c>
      <c r="D3222" s="677" t="s">
        <v>2732</v>
      </c>
      <c r="E3222" s="918" t="s">
        <v>13470</v>
      </c>
      <c r="F3222" s="918"/>
      <c r="G3222" s="676" t="s">
        <v>19</v>
      </c>
      <c r="H3222" s="675">
        <v>1</v>
      </c>
      <c r="I3222" s="674">
        <v>0.12</v>
      </c>
      <c r="J3222" s="674">
        <v>0.12</v>
      </c>
    </row>
    <row r="3223" spans="1:10" ht="24" customHeight="1">
      <c r="A3223" s="672" t="s">
        <v>13467</v>
      </c>
      <c r="B3223" s="673" t="s">
        <v>13562</v>
      </c>
      <c r="C3223" s="672" t="s">
        <v>7</v>
      </c>
      <c r="D3223" s="672" t="s">
        <v>13561</v>
      </c>
      <c r="E3223" s="919" t="s">
        <v>13556</v>
      </c>
      <c r="F3223" s="919"/>
      <c r="G3223" s="671" t="s">
        <v>19</v>
      </c>
      <c r="H3223" s="670">
        <v>1</v>
      </c>
      <c r="I3223" s="669">
        <v>0.96</v>
      </c>
      <c r="J3223" s="669">
        <v>0.96</v>
      </c>
    </row>
    <row r="3224" spans="1:10" ht="24" customHeight="1">
      <c r="A3224" s="672" t="s">
        <v>13467</v>
      </c>
      <c r="B3224" s="673" t="s">
        <v>13941</v>
      </c>
      <c r="C3224" s="672" t="s">
        <v>7</v>
      </c>
      <c r="D3224" s="672" t="s">
        <v>13940</v>
      </c>
      <c r="E3224" s="919" t="s">
        <v>13548</v>
      </c>
      <c r="F3224" s="919"/>
      <c r="G3224" s="671" t="s">
        <v>19</v>
      </c>
      <c r="H3224" s="670">
        <v>1</v>
      </c>
      <c r="I3224" s="669">
        <v>10</v>
      </c>
      <c r="J3224" s="669">
        <v>10</v>
      </c>
    </row>
    <row r="3225" spans="1:10" ht="24" customHeight="1">
      <c r="A3225" s="672" t="s">
        <v>13467</v>
      </c>
      <c r="B3225" s="673" t="s">
        <v>14333</v>
      </c>
      <c r="C3225" s="672" t="s">
        <v>7</v>
      </c>
      <c r="D3225" s="672" t="s">
        <v>14332</v>
      </c>
      <c r="E3225" s="919" t="s">
        <v>13493</v>
      </c>
      <c r="F3225" s="919"/>
      <c r="G3225" s="671" t="s">
        <v>19</v>
      </c>
      <c r="H3225" s="670">
        <v>1</v>
      </c>
      <c r="I3225" s="669">
        <v>0.8</v>
      </c>
      <c r="J3225" s="669">
        <v>0.8</v>
      </c>
    </row>
    <row r="3226" spans="1:10" ht="24" customHeight="1">
      <c r="A3226" s="672" t="s">
        <v>13467</v>
      </c>
      <c r="B3226" s="673" t="s">
        <v>13558</v>
      </c>
      <c r="C3226" s="672" t="s">
        <v>7</v>
      </c>
      <c r="D3226" s="672" t="s">
        <v>13557</v>
      </c>
      <c r="E3226" s="919" t="s">
        <v>13556</v>
      </c>
      <c r="F3226" s="919"/>
      <c r="G3226" s="671" t="s">
        <v>19</v>
      </c>
      <c r="H3226" s="670">
        <v>1</v>
      </c>
      <c r="I3226" s="669">
        <v>0.55000000000000004</v>
      </c>
      <c r="J3226" s="669">
        <v>0.55000000000000004</v>
      </c>
    </row>
    <row r="3227" spans="1:10" ht="24" customHeight="1">
      <c r="A3227" s="672" t="s">
        <v>13467</v>
      </c>
      <c r="B3227" s="673" t="s">
        <v>14331</v>
      </c>
      <c r="C3227" s="672" t="s">
        <v>7</v>
      </c>
      <c r="D3227" s="672" t="s">
        <v>14330</v>
      </c>
      <c r="E3227" s="919" t="s">
        <v>13493</v>
      </c>
      <c r="F3227" s="919"/>
      <c r="G3227" s="671" t="s">
        <v>19</v>
      </c>
      <c r="H3227" s="670">
        <v>1</v>
      </c>
      <c r="I3227" s="669">
        <v>0.28000000000000003</v>
      </c>
      <c r="J3227" s="669">
        <v>0.28000000000000003</v>
      </c>
    </row>
    <row r="3228" spans="1:10" ht="24" customHeight="1">
      <c r="A3228" s="672" t="s">
        <v>13467</v>
      </c>
      <c r="B3228" s="673" t="s">
        <v>13553</v>
      </c>
      <c r="C3228" s="672" t="s">
        <v>7</v>
      </c>
      <c r="D3228" s="672" t="s">
        <v>13552</v>
      </c>
      <c r="E3228" s="919" t="s">
        <v>13551</v>
      </c>
      <c r="F3228" s="919"/>
      <c r="G3228" s="671" t="s">
        <v>19</v>
      </c>
      <c r="H3228" s="670">
        <v>1</v>
      </c>
      <c r="I3228" s="669">
        <v>0.06</v>
      </c>
      <c r="J3228" s="669">
        <v>0.06</v>
      </c>
    </row>
    <row r="3229" spans="1:10" ht="24" customHeight="1">
      <c r="A3229" s="672" t="s">
        <v>13467</v>
      </c>
      <c r="B3229" s="673" t="s">
        <v>13547</v>
      </c>
      <c r="C3229" s="672" t="s">
        <v>7</v>
      </c>
      <c r="D3229" s="672" t="s">
        <v>13546</v>
      </c>
      <c r="E3229" s="919" t="s">
        <v>13545</v>
      </c>
      <c r="F3229" s="919"/>
      <c r="G3229" s="671" t="s">
        <v>19</v>
      </c>
      <c r="H3229" s="670">
        <v>1</v>
      </c>
      <c r="I3229" s="669">
        <v>0.71</v>
      </c>
      <c r="J3229" s="669">
        <v>0.71</v>
      </c>
    </row>
    <row r="3230" spans="1:10" ht="25.5">
      <c r="A3230" s="668"/>
      <c r="B3230" s="668"/>
      <c r="C3230" s="668"/>
      <c r="D3230" s="668"/>
      <c r="E3230" s="668" t="s">
        <v>13463</v>
      </c>
      <c r="F3230" s="667">
        <v>5.4982071000000001</v>
      </c>
      <c r="G3230" s="668" t="s">
        <v>13462</v>
      </c>
      <c r="H3230" s="667">
        <v>4.62</v>
      </c>
      <c r="I3230" s="668" t="s">
        <v>13461</v>
      </c>
      <c r="J3230" s="667">
        <v>10.119999999999999</v>
      </c>
    </row>
    <row r="3231" spans="1:10" ht="15" thickBot="1">
      <c r="A3231" s="668"/>
      <c r="B3231" s="668"/>
      <c r="C3231" s="668"/>
      <c r="D3231" s="668"/>
      <c r="E3231" s="668" t="s">
        <v>13460</v>
      </c>
      <c r="F3231" s="667">
        <v>3.8</v>
      </c>
      <c r="G3231" s="668"/>
      <c r="H3231" s="925" t="s">
        <v>13459</v>
      </c>
      <c r="I3231" s="925"/>
      <c r="J3231" s="667">
        <v>17.28</v>
      </c>
    </row>
    <row r="3232" spans="1:10" ht="0.95" customHeight="1" thickTop="1">
      <c r="A3232" s="666"/>
      <c r="B3232" s="666"/>
      <c r="C3232" s="666"/>
      <c r="D3232" s="666"/>
      <c r="E3232" s="666"/>
      <c r="F3232" s="666"/>
      <c r="G3232" s="666"/>
      <c r="H3232" s="666"/>
      <c r="I3232" s="666"/>
      <c r="J3232" s="666"/>
    </row>
    <row r="3233" spans="1:10" ht="18" customHeight="1">
      <c r="A3233" s="686" t="s">
        <v>14328</v>
      </c>
      <c r="B3233" s="684" t="s">
        <v>13484</v>
      </c>
      <c r="C3233" s="686" t="s">
        <v>13483</v>
      </c>
      <c r="D3233" s="686" t="s">
        <v>13482</v>
      </c>
      <c r="E3233" s="924" t="s">
        <v>13481</v>
      </c>
      <c r="F3233" s="924"/>
      <c r="G3233" s="685" t="s">
        <v>13480</v>
      </c>
      <c r="H3233" s="684" t="s">
        <v>13479</v>
      </c>
      <c r="I3233" s="684" t="s">
        <v>13478</v>
      </c>
      <c r="J3233" s="684" t="s">
        <v>13477</v>
      </c>
    </row>
    <row r="3234" spans="1:10" ht="24" customHeight="1">
      <c r="A3234" s="682" t="s">
        <v>13476</v>
      </c>
      <c r="B3234" s="683" t="s">
        <v>13539</v>
      </c>
      <c r="C3234" s="682" t="s">
        <v>7</v>
      </c>
      <c r="D3234" s="682" t="s">
        <v>45</v>
      </c>
      <c r="E3234" s="917" t="s">
        <v>13470</v>
      </c>
      <c r="F3234" s="917"/>
      <c r="G3234" s="681" t="s">
        <v>19</v>
      </c>
      <c r="H3234" s="680">
        <v>1</v>
      </c>
      <c r="I3234" s="679">
        <v>18.3</v>
      </c>
      <c r="J3234" s="679">
        <v>18.3</v>
      </c>
    </row>
    <row r="3235" spans="1:10" ht="24" customHeight="1">
      <c r="A3235" s="677" t="s">
        <v>13472</v>
      </c>
      <c r="B3235" s="678" t="s">
        <v>13924</v>
      </c>
      <c r="C3235" s="677" t="s">
        <v>7</v>
      </c>
      <c r="D3235" s="677" t="s">
        <v>2746</v>
      </c>
      <c r="E3235" s="918" t="s">
        <v>13470</v>
      </c>
      <c r="F3235" s="918"/>
      <c r="G3235" s="676" t="s">
        <v>19</v>
      </c>
      <c r="H3235" s="675">
        <v>1</v>
      </c>
      <c r="I3235" s="674">
        <v>0.37</v>
      </c>
      <c r="J3235" s="674">
        <v>0.37</v>
      </c>
    </row>
    <row r="3236" spans="1:10" ht="24" customHeight="1">
      <c r="A3236" s="672" t="s">
        <v>13467</v>
      </c>
      <c r="B3236" s="673" t="s">
        <v>13562</v>
      </c>
      <c r="C3236" s="672" t="s">
        <v>7</v>
      </c>
      <c r="D3236" s="672" t="s">
        <v>13561</v>
      </c>
      <c r="E3236" s="919" t="s">
        <v>13556</v>
      </c>
      <c r="F3236" s="919"/>
      <c r="G3236" s="671" t="s">
        <v>19</v>
      </c>
      <c r="H3236" s="670">
        <v>1</v>
      </c>
      <c r="I3236" s="669">
        <v>0.96</v>
      </c>
      <c r="J3236" s="669">
        <v>0.96</v>
      </c>
    </row>
    <row r="3237" spans="1:10" ht="24" customHeight="1">
      <c r="A3237" s="672" t="s">
        <v>13467</v>
      </c>
      <c r="B3237" s="673" t="s">
        <v>13923</v>
      </c>
      <c r="C3237" s="672" t="s">
        <v>7</v>
      </c>
      <c r="D3237" s="672" t="s">
        <v>13922</v>
      </c>
      <c r="E3237" s="919" t="s">
        <v>13548</v>
      </c>
      <c r="F3237" s="919"/>
      <c r="G3237" s="671" t="s">
        <v>19</v>
      </c>
      <c r="H3237" s="670">
        <v>1</v>
      </c>
      <c r="I3237" s="669">
        <v>14.12</v>
      </c>
      <c r="J3237" s="669">
        <v>14.12</v>
      </c>
    </row>
    <row r="3238" spans="1:10" ht="24" customHeight="1">
      <c r="A3238" s="672" t="s">
        <v>13467</v>
      </c>
      <c r="B3238" s="673" t="s">
        <v>14337</v>
      </c>
      <c r="C3238" s="672" t="s">
        <v>7</v>
      </c>
      <c r="D3238" s="672" t="s">
        <v>14336</v>
      </c>
      <c r="E3238" s="919" t="s">
        <v>13493</v>
      </c>
      <c r="F3238" s="919"/>
      <c r="G3238" s="671" t="s">
        <v>19</v>
      </c>
      <c r="H3238" s="670">
        <v>1</v>
      </c>
      <c r="I3238" s="669">
        <v>0.91</v>
      </c>
      <c r="J3238" s="669">
        <v>0.91</v>
      </c>
    </row>
    <row r="3239" spans="1:10" ht="24" customHeight="1">
      <c r="A3239" s="672" t="s">
        <v>13467</v>
      </c>
      <c r="B3239" s="673" t="s">
        <v>13558</v>
      </c>
      <c r="C3239" s="672" t="s">
        <v>7</v>
      </c>
      <c r="D3239" s="672" t="s">
        <v>13557</v>
      </c>
      <c r="E3239" s="919" t="s">
        <v>13556</v>
      </c>
      <c r="F3239" s="919"/>
      <c r="G3239" s="671" t="s">
        <v>19</v>
      </c>
      <c r="H3239" s="670">
        <v>1</v>
      </c>
      <c r="I3239" s="669">
        <v>0.55000000000000004</v>
      </c>
      <c r="J3239" s="669">
        <v>0.55000000000000004</v>
      </c>
    </row>
    <row r="3240" spans="1:10" ht="24" customHeight="1">
      <c r="A3240" s="672" t="s">
        <v>13467</v>
      </c>
      <c r="B3240" s="673" t="s">
        <v>14335</v>
      </c>
      <c r="C3240" s="672" t="s">
        <v>7</v>
      </c>
      <c r="D3240" s="672" t="s">
        <v>14334</v>
      </c>
      <c r="E3240" s="919" t="s">
        <v>13493</v>
      </c>
      <c r="F3240" s="919"/>
      <c r="G3240" s="671" t="s">
        <v>19</v>
      </c>
      <c r="H3240" s="670">
        <v>1</v>
      </c>
      <c r="I3240" s="669">
        <v>0.62</v>
      </c>
      <c r="J3240" s="669">
        <v>0.62</v>
      </c>
    </row>
    <row r="3241" spans="1:10" ht="24" customHeight="1">
      <c r="A3241" s="672" t="s">
        <v>13467</v>
      </c>
      <c r="B3241" s="673" t="s">
        <v>13553</v>
      </c>
      <c r="C3241" s="672" t="s">
        <v>7</v>
      </c>
      <c r="D3241" s="672" t="s">
        <v>13552</v>
      </c>
      <c r="E3241" s="919" t="s">
        <v>13551</v>
      </c>
      <c r="F3241" s="919"/>
      <c r="G3241" s="671" t="s">
        <v>19</v>
      </c>
      <c r="H3241" s="670">
        <v>1</v>
      </c>
      <c r="I3241" s="669">
        <v>0.06</v>
      </c>
      <c r="J3241" s="669">
        <v>0.06</v>
      </c>
    </row>
    <row r="3242" spans="1:10" ht="24" customHeight="1">
      <c r="A3242" s="672" t="s">
        <v>13467</v>
      </c>
      <c r="B3242" s="673" t="s">
        <v>13547</v>
      </c>
      <c r="C3242" s="672" t="s">
        <v>7</v>
      </c>
      <c r="D3242" s="672" t="s">
        <v>13546</v>
      </c>
      <c r="E3242" s="919" t="s">
        <v>13545</v>
      </c>
      <c r="F3242" s="919"/>
      <c r="G3242" s="671" t="s">
        <v>19</v>
      </c>
      <c r="H3242" s="670">
        <v>1</v>
      </c>
      <c r="I3242" s="669">
        <v>0.71</v>
      </c>
      <c r="J3242" s="669">
        <v>0.71</v>
      </c>
    </row>
    <row r="3243" spans="1:10" ht="25.5">
      <c r="A3243" s="668"/>
      <c r="B3243" s="668"/>
      <c r="C3243" s="668"/>
      <c r="D3243" s="668"/>
      <c r="E3243" s="668" t="s">
        <v>13463</v>
      </c>
      <c r="F3243" s="667">
        <v>7.8724328999999997</v>
      </c>
      <c r="G3243" s="668" t="s">
        <v>13462</v>
      </c>
      <c r="H3243" s="667">
        <v>6.62</v>
      </c>
      <c r="I3243" s="668" t="s">
        <v>13461</v>
      </c>
      <c r="J3243" s="667">
        <v>14.49</v>
      </c>
    </row>
    <row r="3244" spans="1:10" ht="15" thickBot="1">
      <c r="A3244" s="668"/>
      <c r="B3244" s="668"/>
      <c r="C3244" s="668"/>
      <c r="D3244" s="668"/>
      <c r="E3244" s="668" t="s">
        <v>13460</v>
      </c>
      <c r="F3244" s="667">
        <v>5.16</v>
      </c>
      <c r="G3244" s="668"/>
      <c r="H3244" s="925" t="s">
        <v>13459</v>
      </c>
      <c r="I3244" s="925"/>
      <c r="J3244" s="667">
        <v>23.46</v>
      </c>
    </row>
    <row r="3245" spans="1:10" ht="0.95" customHeight="1" thickTop="1">
      <c r="A3245" s="666"/>
      <c r="B3245" s="666"/>
      <c r="C3245" s="666"/>
      <c r="D3245" s="666"/>
      <c r="E3245" s="666"/>
      <c r="F3245" s="666"/>
      <c r="G3245" s="666"/>
      <c r="H3245" s="666"/>
      <c r="I3245" s="666"/>
      <c r="J3245" s="666"/>
    </row>
    <row r="3246" spans="1:10" ht="18" customHeight="1">
      <c r="A3246" s="686" t="s">
        <v>14328</v>
      </c>
      <c r="B3246" s="684" t="s">
        <v>13484</v>
      </c>
      <c r="C3246" s="686" t="s">
        <v>13483</v>
      </c>
      <c r="D3246" s="686" t="s">
        <v>13482</v>
      </c>
      <c r="E3246" s="924" t="s">
        <v>13481</v>
      </c>
      <c r="F3246" s="924"/>
      <c r="G3246" s="685" t="s">
        <v>13480</v>
      </c>
      <c r="H3246" s="684" t="s">
        <v>13479</v>
      </c>
      <c r="I3246" s="684" t="s">
        <v>13478</v>
      </c>
      <c r="J3246" s="684" t="s">
        <v>13477</v>
      </c>
    </row>
    <row r="3247" spans="1:10" ht="24" customHeight="1">
      <c r="A3247" s="682" t="s">
        <v>13476</v>
      </c>
      <c r="B3247" s="683" t="s">
        <v>13965</v>
      </c>
      <c r="C3247" s="682" t="s">
        <v>7</v>
      </c>
      <c r="D3247" s="682" t="s">
        <v>141</v>
      </c>
      <c r="E3247" s="917" t="s">
        <v>13470</v>
      </c>
      <c r="F3247" s="917"/>
      <c r="G3247" s="681" t="s">
        <v>19</v>
      </c>
      <c r="H3247" s="680">
        <v>1</v>
      </c>
      <c r="I3247" s="679">
        <v>17.899999999999999</v>
      </c>
      <c r="J3247" s="679">
        <v>17.899999999999999</v>
      </c>
    </row>
    <row r="3248" spans="1:10" ht="24" customHeight="1">
      <c r="A3248" s="677" t="s">
        <v>13472</v>
      </c>
      <c r="B3248" s="678" t="s">
        <v>13912</v>
      </c>
      <c r="C3248" s="677" t="s">
        <v>7</v>
      </c>
      <c r="D3248" s="677" t="s">
        <v>2753</v>
      </c>
      <c r="E3248" s="918" t="s">
        <v>13470</v>
      </c>
      <c r="F3248" s="918"/>
      <c r="G3248" s="676" t="s">
        <v>19</v>
      </c>
      <c r="H3248" s="675">
        <v>1</v>
      </c>
      <c r="I3248" s="674">
        <v>0.14000000000000001</v>
      </c>
      <c r="J3248" s="674">
        <v>0.14000000000000001</v>
      </c>
    </row>
    <row r="3249" spans="1:10" ht="24" customHeight="1">
      <c r="A3249" s="672" t="s">
        <v>13467</v>
      </c>
      <c r="B3249" s="673" t="s">
        <v>13562</v>
      </c>
      <c r="C3249" s="672" t="s">
        <v>7</v>
      </c>
      <c r="D3249" s="672" t="s">
        <v>13561</v>
      </c>
      <c r="E3249" s="919" t="s">
        <v>13556</v>
      </c>
      <c r="F3249" s="919"/>
      <c r="G3249" s="671" t="s">
        <v>19</v>
      </c>
      <c r="H3249" s="670">
        <v>1</v>
      </c>
      <c r="I3249" s="669">
        <v>0.96</v>
      </c>
      <c r="J3249" s="669">
        <v>0.96</v>
      </c>
    </row>
    <row r="3250" spans="1:10" ht="24" customHeight="1">
      <c r="A3250" s="672" t="s">
        <v>13467</v>
      </c>
      <c r="B3250" s="673" t="s">
        <v>13752</v>
      </c>
      <c r="C3250" s="672" t="s">
        <v>7</v>
      </c>
      <c r="D3250" s="672" t="s">
        <v>13751</v>
      </c>
      <c r="E3250" s="919" t="s">
        <v>13493</v>
      </c>
      <c r="F3250" s="919"/>
      <c r="G3250" s="671" t="s">
        <v>19</v>
      </c>
      <c r="H3250" s="670">
        <v>1</v>
      </c>
      <c r="I3250" s="669">
        <v>0.95</v>
      </c>
      <c r="J3250" s="669">
        <v>0.95</v>
      </c>
    </row>
    <row r="3251" spans="1:10" ht="24" customHeight="1">
      <c r="A3251" s="672" t="s">
        <v>13467</v>
      </c>
      <c r="B3251" s="673" t="s">
        <v>13558</v>
      </c>
      <c r="C3251" s="672" t="s">
        <v>7</v>
      </c>
      <c r="D3251" s="672" t="s">
        <v>13557</v>
      </c>
      <c r="E3251" s="919" t="s">
        <v>13556</v>
      </c>
      <c r="F3251" s="919"/>
      <c r="G3251" s="671" t="s">
        <v>19</v>
      </c>
      <c r="H3251" s="670">
        <v>1</v>
      </c>
      <c r="I3251" s="669">
        <v>0.55000000000000004</v>
      </c>
      <c r="J3251" s="669">
        <v>0.55000000000000004</v>
      </c>
    </row>
    <row r="3252" spans="1:10" ht="24" customHeight="1">
      <c r="A3252" s="672" t="s">
        <v>13467</v>
      </c>
      <c r="B3252" s="673" t="s">
        <v>13750</v>
      </c>
      <c r="C3252" s="672" t="s">
        <v>7</v>
      </c>
      <c r="D3252" s="672" t="s">
        <v>13749</v>
      </c>
      <c r="E3252" s="919" t="s">
        <v>13493</v>
      </c>
      <c r="F3252" s="919"/>
      <c r="G3252" s="671" t="s">
        <v>19</v>
      </c>
      <c r="H3252" s="670">
        <v>1</v>
      </c>
      <c r="I3252" s="669">
        <v>0.57999999999999996</v>
      </c>
      <c r="J3252" s="669">
        <v>0.57999999999999996</v>
      </c>
    </row>
    <row r="3253" spans="1:10" ht="24" customHeight="1">
      <c r="A3253" s="672" t="s">
        <v>13467</v>
      </c>
      <c r="B3253" s="673" t="s">
        <v>13911</v>
      </c>
      <c r="C3253" s="672" t="s">
        <v>7</v>
      </c>
      <c r="D3253" s="672" t="s">
        <v>13910</v>
      </c>
      <c r="E3253" s="919" t="s">
        <v>13548</v>
      </c>
      <c r="F3253" s="919"/>
      <c r="G3253" s="671" t="s">
        <v>19</v>
      </c>
      <c r="H3253" s="670">
        <v>1</v>
      </c>
      <c r="I3253" s="669">
        <v>13.95</v>
      </c>
      <c r="J3253" s="669">
        <v>13.95</v>
      </c>
    </row>
    <row r="3254" spans="1:10" ht="24" customHeight="1">
      <c r="A3254" s="672" t="s">
        <v>13467</v>
      </c>
      <c r="B3254" s="673" t="s">
        <v>13553</v>
      </c>
      <c r="C3254" s="672" t="s">
        <v>7</v>
      </c>
      <c r="D3254" s="672" t="s">
        <v>13552</v>
      </c>
      <c r="E3254" s="919" t="s">
        <v>13551</v>
      </c>
      <c r="F3254" s="919"/>
      <c r="G3254" s="671" t="s">
        <v>19</v>
      </c>
      <c r="H3254" s="670">
        <v>1</v>
      </c>
      <c r="I3254" s="669">
        <v>0.06</v>
      </c>
      <c r="J3254" s="669">
        <v>0.06</v>
      </c>
    </row>
    <row r="3255" spans="1:10" ht="24" customHeight="1">
      <c r="A3255" s="672" t="s">
        <v>13467</v>
      </c>
      <c r="B3255" s="673" t="s">
        <v>13547</v>
      </c>
      <c r="C3255" s="672" t="s">
        <v>7</v>
      </c>
      <c r="D3255" s="672" t="s">
        <v>13546</v>
      </c>
      <c r="E3255" s="919" t="s">
        <v>13545</v>
      </c>
      <c r="F3255" s="919"/>
      <c r="G3255" s="671" t="s">
        <v>19</v>
      </c>
      <c r="H3255" s="670">
        <v>1</v>
      </c>
      <c r="I3255" s="669">
        <v>0.71</v>
      </c>
      <c r="J3255" s="669">
        <v>0.71</v>
      </c>
    </row>
    <row r="3256" spans="1:10" ht="25.5">
      <c r="A3256" s="668"/>
      <c r="B3256" s="668"/>
      <c r="C3256" s="668"/>
      <c r="D3256" s="668"/>
      <c r="E3256" s="668" t="s">
        <v>13463</v>
      </c>
      <c r="F3256" s="667">
        <v>7.6551125000000004</v>
      </c>
      <c r="G3256" s="668" t="s">
        <v>13462</v>
      </c>
      <c r="H3256" s="667">
        <v>6.43</v>
      </c>
      <c r="I3256" s="668" t="s">
        <v>13461</v>
      </c>
      <c r="J3256" s="667">
        <v>14.09</v>
      </c>
    </row>
    <row r="3257" spans="1:10" ht="15" thickBot="1">
      <c r="A3257" s="668"/>
      <c r="B3257" s="668"/>
      <c r="C3257" s="668"/>
      <c r="D3257" s="668"/>
      <c r="E3257" s="668" t="s">
        <v>13460</v>
      </c>
      <c r="F3257" s="667">
        <v>5.05</v>
      </c>
      <c r="G3257" s="668"/>
      <c r="H3257" s="925" t="s">
        <v>13459</v>
      </c>
      <c r="I3257" s="925"/>
      <c r="J3257" s="667">
        <v>22.95</v>
      </c>
    </row>
    <row r="3258" spans="1:10" ht="0.95" customHeight="1" thickTop="1">
      <c r="A3258" s="666"/>
      <c r="B3258" s="666"/>
      <c r="C3258" s="666"/>
      <c r="D3258" s="666"/>
      <c r="E3258" s="666"/>
      <c r="F3258" s="666"/>
      <c r="G3258" s="666"/>
      <c r="H3258" s="666"/>
      <c r="I3258" s="666"/>
      <c r="J3258" s="666"/>
    </row>
    <row r="3259" spans="1:10" ht="18" customHeight="1">
      <c r="A3259" s="686" t="s">
        <v>14328</v>
      </c>
      <c r="B3259" s="684" t="s">
        <v>13484</v>
      </c>
      <c r="C3259" s="686" t="s">
        <v>13483</v>
      </c>
      <c r="D3259" s="686" t="s">
        <v>13482</v>
      </c>
      <c r="E3259" s="924" t="s">
        <v>13481</v>
      </c>
      <c r="F3259" s="924"/>
      <c r="G3259" s="685" t="s">
        <v>13480</v>
      </c>
      <c r="H3259" s="684" t="s">
        <v>13479</v>
      </c>
      <c r="I3259" s="684" t="s">
        <v>13478</v>
      </c>
      <c r="J3259" s="684" t="s">
        <v>13477</v>
      </c>
    </row>
    <row r="3260" spans="1:10" ht="24" customHeight="1">
      <c r="A3260" s="682" t="s">
        <v>13476</v>
      </c>
      <c r="B3260" s="683" t="s">
        <v>13538</v>
      </c>
      <c r="C3260" s="682" t="s">
        <v>7</v>
      </c>
      <c r="D3260" s="682" t="s">
        <v>47</v>
      </c>
      <c r="E3260" s="917" t="s">
        <v>13470</v>
      </c>
      <c r="F3260" s="917"/>
      <c r="G3260" s="681" t="s">
        <v>19</v>
      </c>
      <c r="H3260" s="680">
        <v>1</v>
      </c>
      <c r="I3260" s="679">
        <v>14</v>
      </c>
      <c r="J3260" s="679">
        <v>14</v>
      </c>
    </row>
    <row r="3261" spans="1:10" ht="24" customHeight="1">
      <c r="A3261" s="677" t="s">
        <v>13472</v>
      </c>
      <c r="B3261" s="678" t="s">
        <v>13945</v>
      </c>
      <c r="C3261" s="677" t="s">
        <v>7</v>
      </c>
      <c r="D3261" s="677" t="s">
        <v>2731</v>
      </c>
      <c r="E3261" s="918" t="s">
        <v>13470</v>
      </c>
      <c r="F3261" s="918"/>
      <c r="G3261" s="676" t="s">
        <v>19</v>
      </c>
      <c r="H3261" s="675">
        <v>1</v>
      </c>
      <c r="I3261" s="674">
        <v>0.26</v>
      </c>
      <c r="J3261" s="674">
        <v>0.26</v>
      </c>
    </row>
    <row r="3262" spans="1:10" ht="24" customHeight="1">
      <c r="A3262" s="672" t="s">
        <v>13467</v>
      </c>
      <c r="B3262" s="673" t="s">
        <v>13944</v>
      </c>
      <c r="C3262" s="672" t="s">
        <v>7</v>
      </c>
      <c r="D3262" s="672" t="s">
        <v>13943</v>
      </c>
      <c r="E3262" s="919" t="s">
        <v>13548</v>
      </c>
      <c r="F3262" s="919"/>
      <c r="G3262" s="671" t="s">
        <v>19</v>
      </c>
      <c r="H3262" s="670">
        <v>1</v>
      </c>
      <c r="I3262" s="669">
        <v>9.93</v>
      </c>
      <c r="J3262" s="669">
        <v>9.93</v>
      </c>
    </row>
    <row r="3263" spans="1:10" ht="24" customHeight="1">
      <c r="A3263" s="672" t="s">
        <v>13467</v>
      </c>
      <c r="B3263" s="673" t="s">
        <v>13562</v>
      </c>
      <c r="C3263" s="672" t="s">
        <v>7</v>
      </c>
      <c r="D3263" s="672" t="s">
        <v>13561</v>
      </c>
      <c r="E3263" s="919" t="s">
        <v>13556</v>
      </c>
      <c r="F3263" s="919"/>
      <c r="G3263" s="671" t="s">
        <v>19</v>
      </c>
      <c r="H3263" s="670">
        <v>1</v>
      </c>
      <c r="I3263" s="669">
        <v>0.96</v>
      </c>
      <c r="J3263" s="669">
        <v>0.96</v>
      </c>
    </row>
    <row r="3264" spans="1:10" ht="24" customHeight="1">
      <c r="A3264" s="672" t="s">
        <v>13467</v>
      </c>
      <c r="B3264" s="673" t="s">
        <v>14337</v>
      </c>
      <c r="C3264" s="672" t="s">
        <v>7</v>
      </c>
      <c r="D3264" s="672" t="s">
        <v>14336</v>
      </c>
      <c r="E3264" s="919" t="s">
        <v>13493</v>
      </c>
      <c r="F3264" s="919"/>
      <c r="G3264" s="671" t="s">
        <v>19</v>
      </c>
      <c r="H3264" s="670">
        <v>1</v>
      </c>
      <c r="I3264" s="669">
        <v>0.91</v>
      </c>
      <c r="J3264" s="669">
        <v>0.91</v>
      </c>
    </row>
    <row r="3265" spans="1:10" ht="24" customHeight="1">
      <c r="A3265" s="672" t="s">
        <v>13467</v>
      </c>
      <c r="B3265" s="673" t="s">
        <v>13558</v>
      </c>
      <c r="C3265" s="672" t="s">
        <v>7</v>
      </c>
      <c r="D3265" s="672" t="s">
        <v>13557</v>
      </c>
      <c r="E3265" s="919" t="s">
        <v>13556</v>
      </c>
      <c r="F3265" s="919"/>
      <c r="G3265" s="671" t="s">
        <v>19</v>
      </c>
      <c r="H3265" s="670">
        <v>1</v>
      </c>
      <c r="I3265" s="669">
        <v>0.55000000000000004</v>
      </c>
      <c r="J3265" s="669">
        <v>0.55000000000000004</v>
      </c>
    </row>
    <row r="3266" spans="1:10" ht="24" customHeight="1">
      <c r="A3266" s="672" t="s">
        <v>13467</v>
      </c>
      <c r="B3266" s="673" t="s">
        <v>14335</v>
      </c>
      <c r="C3266" s="672" t="s">
        <v>7</v>
      </c>
      <c r="D3266" s="672" t="s">
        <v>14334</v>
      </c>
      <c r="E3266" s="919" t="s">
        <v>13493</v>
      </c>
      <c r="F3266" s="919"/>
      <c r="G3266" s="671" t="s">
        <v>19</v>
      </c>
      <c r="H3266" s="670">
        <v>1</v>
      </c>
      <c r="I3266" s="669">
        <v>0.62</v>
      </c>
      <c r="J3266" s="669">
        <v>0.62</v>
      </c>
    </row>
    <row r="3267" spans="1:10" ht="24" customHeight="1">
      <c r="A3267" s="672" t="s">
        <v>13467</v>
      </c>
      <c r="B3267" s="673" t="s">
        <v>13553</v>
      </c>
      <c r="C3267" s="672" t="s">
        <v>7</v>
      </c>
      <c r="D3267" s="672" t="s">
        <v>13552</v>
      </c>
      <c r="E3267" s="919" t="s">
        <v>13551</v>
      </c>
      <c r="F3267" s="919"/>
      <c r="G3267" s="671" t="s">
        <v>19</v>
      </c>
      <c r="H3267" s="670">
        <v>1</v>
      </c>
      <c r="I3267" s="669">
        <v>0.06</v>
      </c>
      <c r="J3267" s="669">
        <v>0.06</v>
      </c>
    </row>
    <row r="3268" spans="1:10" ht="24" customHeight="1">
      <c r="A3268" s="672" t="s">
        <v>13467</v>
      </c>
      <c r="B3268" s="673" t="s">
        <v>13547</v>
      </c>
      <c r="C3268" s="672" t="s">
        <v>7</v>
      </c>
      <c r="D3268" s="672" t="s">
        <v>13546</v>
      </c>
      <c r="E3268" s="919" t="s">
        <v>13545</v>
      </c>
      <c r="F3268" s="919"/>
      <c r="G3268" s="671" t="s">
        <v>19</v>
      </c>
      <c r="H3268" s="670">
        <v>1</v>
      </c>
      <c r="I3268" s="669">
        <v>0.71</v>
      </c>
      <c r="J3268" s="669">
        <v>0.71</v>
      </c>
    </row>
    <row r="3269" spans="1:10" ht="25.5">
      <c r="A3269" s="668"/>
      <c r="B3269" s="668"/>
      <c r="C3269" s="668"/>
      <c r="D3269" s="668"/>
      <c r="E3269" s="668" t="s">
        <v>13463</v>
      </c>
      <c r="F3269" s="667">
        <v>5.5362381999999997</v>
      </c>
      <c r="G3269" s="668" t="s">
        <v>13462</v>
      </c>
      <c r="H3269" s="667">
        <v>4.6500000000000004</v>
      </c>
      <c r="I3269" s="668" t="s">
        <v>13461</v>
      </c>
      <c r="J3269" s="667">
        <v>10.19</v>
      </c>
    </row>
    <row r="3270" spans="1:10" ht="15" thickBot="1">
      <c r="A3270" s="668"/>
      <c r="B3270" s="668"/>
      <c r="C3270" s="668"/>
      <c r="D3270" s="668"/>
      <c r="E3270" s="668" t="s">
        <v>13460</v>
      </c>
      <c r="F3270" s="667">
        <v>3.95</v>
      </c>
      <c r="G3270" s="668"/>
      <c r="H3270" s="925" t="s">
        <v>13459</v>
      </c>
      <c r="I3270" s="925"/>
      <c r="J3270" s="667">
        <v>17.95</v>
      </c>
    </row>
    <row r="3271" spans="1:10" ht="0.95" customHeight="1" thickTop="1">
      <c r="A3271" s="666"/>
      <c r="B3271" s="666"/>
      <c r="C3271" s="666"/>
      <c r="D3271" s="666"/>
      <c r="E3271" s="666"/>
      <c r="F3271" s="666"/>
      <c r="G3271" s="666"/>
      <c r="H3271" s="666"/>
      <c r="I3271" s="666"/>
      <c r="J3271" s="666"/>
    </row>
    <row r="3272" spans="1:10" ht="18" customHeight="1">
      <c r="A3272" s="686" t="s">
        <v>14328</v>
      </c>
      <c r="B3272" s="684" t="s">
        <v>13484</v>
      </c>
      <c r="C3272" s="686" t="s">
        <v>13483</v>
      </c>
      <c r="D3272" s="686" t="s">
        <v>13482</v>
      </c>
      <c r="E3272" s="924" t="s">
        <v>13481</v>
      </c>
      <c r="F3272" s="924"/>
      <c r="G3272" s="685" t="s">
        <v>13480</v>
      </c>
      <c r="H3272" s="684" t="s">
        <v>13479</v>
      </c>
      <c r="I3272" s="684" t="s">
        <v>13478</v>
      </c>
      <c r="J3272" s="684" t="s">
        <v>13477</v>
      </c>
    </row>
    <row r="3273" spans="1:10" ht="24" customHeight="1">
      <c r="A3273" s="682" t="s">
        <v>13476</v>
      </c>
      <c r="B3273" s="683" t="s">
        <v>13473</v>
      </c>
      <c r="C3273" s="682" t="s">
        <v>7</v>
      </c>
      <c r="D3273" s="682" t="s">
        <v>44</v>
      </c>
      <c r="E3273" s="917" t="s">
        <v>13470</v>
      </c>
      <c r="F3273" s="917"/>
      <c r="G3273" s="681" t="s">
        <v>19</v>
      </c>
      <c r="H3273" s="680">
        <v>1</v>
      </c>
      <c r="I3273" s="679">
        <v>17.66</v>
      </c>
      <c r="J3273" s="679">
        <v>17.66</v>
      </c>
    </row>
    <row r="3274" spans="1:10" ht="24" customHeight="1">
      <c r="A3274" s="677" t="s">
        <v>13472</v>
      </c>
      <c r="B3274" s="678" t="s">
        <v>13921</v>
      </c>
      <c r="C3274" s="677" t="s">
        <v>7</v>
      </c>
      <c r="D3274" s="677" t="s">
        <v>2749</v>
      </c>
      <c r="E3274" s="918" t="s">
        <v>13470</v>
      </c>
      <c r="F3274" s="918"/>
      <c r="G3274" s="676" t="s">
        <v>19</v>
      </c>
      <c r="H3274" s="675">
        <v>1</v>
      </c>
      <c r="I3274" s="674">
        <v>0.18</v>
      </c>
      <c r="J3274" s="674">
        <v>0.18</v>
      </c>
    </row>
    <row r="3275" spans="1:10" ht="24" customHeight="1">
      <c r="A3275" s="672" t="s">
        <v>13467</v>
      </c>
      <c r="B3275" s="673" t="s">
        <v>13562</v>
      </c>
      <c r="C3275" s="672" t="s">
        <v>7</v>
      </c>
      <c r="D3275" s="672" t="s">
        <v>13561</v>
      </c>
      <c r="E3275" s="919" t="s">
        <v>13556</v>
      </c>
      <c r="F3275" s="919"/>
      <c r="G3275" s="671" t="s">
        <v>19</v>
      </c>
      <c r="H3275" s="670">
        <v>1</v>
      </c>
      <c r="I3275" s="669">
        <v>0.96</v>
      </c>
      <c r="J3275" s="669">
        <v>0.96</v>
      </c>
    </row>
    <row r="3276" spans="1:10" ht="24" customHeight="1">
      <c r="A3276" s="672" t="s">
        <v>13467</v>
      </c>
      <c r="B3276" s="673" t="s">
        <v>13920</v>
      </c>
      <c r="C3276" s="672" t="s">
        <v>7</v>
      </c>
      <c r="D3276" s="672" t="s">
        <v>13919</v>
      </c>
      <c r="E3276" s="919" t="s">
        <v>13548</v>
      </c>
      <c r="F3276" s="919"/>
      <c r="G3276" s="671" t="s">
        <v>19</v>
      </c>
      <c r="H3276" s="670">
        <v>1</v>
      </c>
      <c r="I3276" s="669">
        <v>14.12</v>
      </c>
      <c r="J3276" s="669">
        <v>14.12</v>
      </c>
    </row>
    <row r="3277" spans="1:10" ht="24" customHeight="1">
      <c r="A3277" s="672" t="s">
        <v>13467</v>
      </c>
      <c r="B3277" s="673" t="s">
        <v>14333</v>
      </c>
      <c r="C3277" s="672" t="s">
        <v>7</v>
      </c>
      <c r="D3277" s="672" t="s">
        <v>14332</v>
      </c>
      <c r="E3277" s="919" t="s">
        <v>13493</v>
      </c>
      <c r="F3277" s="919"/>
      <c r="G3277" s="671" t="s">
        <v>19</v>
      </c>
      <c r="H3277" s="670">
        <v>1</v>
      </c>
      <c r="I3277" s="669">
        <v>0.8</v>
      </c>
      <c r="J3277" s="669">
        <v>0.8</v>
      </c>
    </row>
    <row r="3278" spans="1:10" ht="24" customHeight="1">
      <c r="A3278" s="672" t="s">
        <v>13467</v>
      </c>
      <c r="B3278" s="673" t="s">
        <v>13558</v>
      </c>
      <c r="C3278" s="672" t="s">
        <v>7</v>
      </c>
      <c r="D3278" s="672" t="s">
        <v>13557</v>
      </c>
      <c r="E3278" s="919" t="s">
        <v>13556</v>
      </c>
      <c r="F3278" s="919"/>
      <c r="G3278" s="671" t="s">
        <v>19</v>
      </c>
      <c r="H3278" s="670">
        <v>1</v>
      </c>
      <c r="I3278" s="669">
        <v>0.55000000000000004</v>
      </c>
      <c r="J3278" s="669">
        <v>0.55000000000000004</v>
      </c>
    </row>
    <row r="3279" spans="1:10" ht="24" customHeight="1">
      <c r="A3279" s="672" t="s">
        <v>13467</v>
      </c>
      <c r="B3279" s="673" t="s">
        <v>14331</v>
      </c>
      <c r="C3279" s="672" t="s">
        <v>7</v>
      </c>
      <c r="D3279" s="672" t="s">
        <v>14330</v>
      </c>
      <c r="E3279" s="919" t="s">
        <v>13493</v>
      </c>
      <c r="F3279" s="919"/>
      <c r="G3279" s="671" t="s">
        <v>19</v>
      </c>
      <c r="H3279" s="670">
        <v>1</v>
      </c>
      <c r="I3279" s="669">
        <v>0.28000000000000003</v>
      </c>
      <c r="J3279" s="669">
        <v>0.28000000000000003</v>
      </c>
    </row>
    <row r="3280" spans="1:10" ht="24" customHeight="1">
      <c r="A3280" s="672" t="s">
        <v>13467</v>
      </c>
      <c r="B3280" s="673" t="s">
        <v>13553</v>
      </c>
      <c r="C3280" s="672" t="s">
        <v>7</v>
      </c>
      <c r="D3280" s="672" t="s">
        <v>13552</v>
      </c>
      <c r="E3280" s="919" t="s">
        <v>13551</v>
      </c>
      <c r="F3280" s="919"/>
      <c r="G3280" s="671" t="s">
        <v>19</v>
      </c>
      <c r="H3280" s="670">
        <v>1</v>
      </c>
      <c r="I3280" s="669">
        <v>0.06</v>
      </c>
      <c r="J3280" s="669">
        <v>0.06</v>
      </c>
    </row>
    <row r="3281" spans="1:10" ht="24" customHeight="1">
      <c r="A3281" s="672" t="s">
        <v>13467</v>
      </c>
      <c r="B3281" s="673" t="s">
        <v>13547</v>
      </c>
      <c r="C3281" s="672" t="s">
        <v>7</v>
      </c>
      <c r="D3281" s="672" t="s">
        <v>13546</v>
      </c>
      <c r="E3281" s="919" t="s">
        <v>13545</v>
      </c>
      <c r="F3281" s="919"/>
      <c r="G3281" s="671" t="s">
        <v>19</v>
      </c>
      <c r="H3281" s="670">
        <v>1</v>
      </c>
      <c r="I3281" s="669">
        <v>0.71</v>
      </c>
      <c r="J3281" s="669">
        <v>0.71</v>
      </c>
    </row>
    <row r="3282" spans="1:10" ht="25.5">
      <c r="A3282" s="668"/>
      <c r="B3282" s="668"/>
      <c r="C3282" s="668"/>
      <c r="D3282" s="668"/>
      <c r="E3282" s="668" t="s">
        <v>13463</v>
      </c>
      <c r="F3282" s="667">
        <v>7.7692056999999997</v>
      </c>
      <c r="G3282" s="668" t="s">
        <v>13462</v>
      </c>
      <c r="H3282" s="667">
        <v>6.53</v>
      </c>
      <c r="I3282" s="668" t="s">
        <v>13461</v>
      </c>
      <c r="J3282" s="667">
        <v>14.3</v>
      </c>
    </row>
    <row r="3283" spans="1:10" ht="15" thickBot="1">
      <c r="A3283" s="668"/>
      <c r="B3283" s="668"/>
      <c r="C3283" s="668"/>
      <c r="D3283" s="668"/>
      <c r="E3283" s="668" t="s">
        <v>13460</v>
      </c>
      <c r="F3283" s="667">
        <v>4.9800000000000004</v>
      </c>
      <c r="G3283" s="668"/>
      <c r="H3283" s="925" t="s">
        <v>13459</v>
      </c>
      <c r="I3283" s="925"/>
      <c r="J3283" s="667">
        <v>22.64</v>
      </c>
    </row>
    <row r="3284" spans="1:10" ht="0.95" customHeight="1" thickTop="1">
      <c r="A3284" s="666"/>
      <c r="B3284" s="666"/>
      <c r="C3284" s="666"/>
      <c r="D3284" s="666"/>
      <c r="E3284" s="666"/>
      <c r="F3284" s="666"/>
      <c r="G3284" s="666"/>
      <c r="H3284" s="666"/>
      <c r="I3284" s="666"/>
      <c r="J3284" s="666"/>
    </row>
    <row r="3285" spans="1:10" ht="18" customHeight="1">
      <c r="A3285" s="686" t="s">
        <v>14328</v>
      </c>
      <c r="B3285" s="684" t="s">
        <v>13484</v>
      </c>
      <c r="C3285" s="686" t="s">
        <v>13483</v>
      </c>
      <c r="D3285" s="686" t="s">
        <v>13482</v>
      </c>
      <c r="E3285" s="924" t="s">
        <v>13481</v>
      </c>
      <c r="F3285" s="924"/>
      <c r="G3285" s="685" t="s">
        <v>13480</v>
      </c>
      <c r="H3285" s="684" t="s">
        <v>13479</v>
      </c>
      <c r="I3285" s="684" t="s">
        <v>13478</v>
      </c>
      <c r="J3285" s="684" t="s">
        <v>13477</v>
      </c>
    </row>
    <row r="3286" spans="1:10" ht="24" customHeight="1">
      <c r="A3286" s="682" t="s">
        <v>13476</v>
      </c>
      <c r="B3286" s="683" t="s">
        <v>14140</v>
      </c>
      <c r="C3286" s="682" t="s">
        <v>7</v>
      </c>
      <c r="D3286" s="682" t="s">
        <v>169</v>
      </c>
      <c r="E3286" s="917" t="s">
        <v>13470</v>
      </c>
      <c r="F3286" s="917"/>
      <c r="G3286" s="681" t="s">
        <v>19</v>
      </c>
      <c r="H3286" s="680">
        <v>1</v>
      </c>
      <c r="I3286" s="679">
        <v>18.68</v>
      </c>
      <c r="J3286" s="679">
        <v>18.68</v>
      </c>
    </row>
    <row r="3287" spans="1:10" ht="24" customHeight="1">
      <c r="A3287" s="677" t="s">
        <v>13472</v>
      </c>
      <c r="B3287" s="678" t="s">
        <v>13903</v>
      </c>
      <c r="C3287" s="677" t="s">
        <v>7</v>
      </c>
      <c r="D3287" s="677" t="s">
        <v>558</v>
      </c>
      <c r="E3287" s="918" t="s">
        <v>13470</v>
      </c>
      <c r="F3287" s="918"/>
      <c r="G3287" s="676" t="s">
        <v>19</v>
      </c>
      <c r="H3287" s="675">
        <v>1</v>
      </c>
      <c r="I3287" s="674">
        <v>0.14000000000000001</v>
      </c>
      <c r="J3287" s="674">
        <v>0.14000000000000001</v>
      </c>
    </row>
    <row r="3288" spans="1:10" ht="24" customHeight="1">
      <c r="A3288" s="672" t="s">
        <v>13467</v>
      </c>
      <c r="B3288" s="673" t="s">
        <v>13562</v>
      </c>
      <c r="C3288" s="672" t="s">
        <v>7</v>
      </c>
      <c r="D3288" s="672" t="s">
        <v>13561</v>
      </c>
      <c r="E3288" s="919" t="s">
        <v>13556</v>
      </c>
      <c r="F3288" s="919"/>
      <c r="G3288" s="671" t="s">
        <v>19</v>
      </c>
      <c r="H3288" s="670">
        <v>1</v>
      </c>
      <c r="I3288" s="669">
        <v>0.96</v>
      </c>
      <c r="J3288" s="669">
        <v>0.96</v>
      </c>
    </row>
    <row r="3289" spans="1:10" ht="24" customHeight="1">
      <c r="A3289" s="672" t="s">
        <v>13467</v>
      </c>
      <c r="B3289" s="673" t="s">
        <v>13635</v>
      </c>
      <c r="C3289" s="672" t="s">
        <v>7</v>
      </c>
      <c r="D3289" s="672" t="s">
        <v>13634</v>
      </c>
      <c r="E3289" s="919" t="s">
        <v>13493</v>
      </c>
      <c r="F3289" s="919"/>
      <c r="G3289" s="671" t="s">
        <v>19</v>
      </c>
      <c r="H3289" s="670">
        <v>1</v>
      </c>
      <c r="I3289" s="669">
        <v>1.33</v>
      </c>
      <c r="J3289" s="669">
        <v>1.33</v>
      </c>
    </row>
    <row r="3290" spans="1:10" ht="24" customHeight="1">
      <c r="A3290" s="672" t="s">
        <v>13467</v>
      </c>
      <c r="B3290" s="673" t="s">
        <v>13558</v>
      </c>
      <c r="C3290" s="672" t="s">
        <v>7</v>
      </c>
      <c r="D3290" s="672" t="s">
        <v>13557</v>
      </c>
      <c r="E3290" s="919" t="s">
        <v>13556</v>
      </c>
      <c r="F3290" s="919"/>
      <c r="G3290" s="671" t="s">
        <v>19</v>
      </c>
      <c r="H3290" s="670">
        <v>1</v>
      </c>
      <c r="I3290" s="669">
        <v>0.55000000000000004</v>
      </c>
      <c r="J3290" s="669">
        <v>0.55000000000000004</v>
      </c>
    </row>
    <row r="3291" spans="1:10" ht="24" customHeight="1">
      <c r="A3291" s="672" t="s">
        <v>13467</v>
      </c>
      <c r="B3291" s="673" t="s">
        <v>13633</v>
      </c>
      <c r="C3291" s="672" t="s">
        <v>7</v>
      </c>
      <c r="D3291" s="672" t="s">
        <v>13632</v>
      </c>
      <c r="E3291" s="919" t="s">
        <v>13493</v>
      </c>
      <c r="F3291" s="919"/>
      <c r="G3291" s="671" t="s">
        <v>19</v>
      </c>
      <c r="H3291" s="670">
        <v>1</v>
      </c>
      <c r="I3291" s="669">
        <v>1.27</v>
      </c>
      <c r="J3291" s="669">
        <v>1.27</v>
      </c>
    </row>
    <row r="3292" spans="1:10" ht="24" customHeight="1">
      <c r="A3292" s="672" t="s">
        <v>13467</v>
      </c>
      <c r="B3292" s="673" t="s">
        <v>13902</v>
      </c>
      <c r="C3292" s="672" t="s">
        <v>7</v>
      </c>
      <c r="D3292" s="672" t="s">
        <v>13901</v>
      </c>
      <c r="E3292" s="919" t="s">
        <v>13548</v>
      </c>
      <c r="F3292" s="919"/>
      <c r="G3292" s="671" t="s">
        <v>19</v>
      </c>
      <c r="H3292" s="670">
        <v>1</v>
      </c>
      <c r="I3292" s="669">
        <v>13.66</v>
      </c>
      <c r="J3292" s="669">
        <v>13.66</v>
      </c>
    </row>
    <row r="3293" spans="1:10" ht="24" customHeight="1">
      <c r="A3293" s="672" t="s">
        <v>13467</v>
      </c>
      <c r="B3293" s="673" t="s">
        <v>13553</v>
      </c>
      <c r="C3293" s="672" t="s">
        <v>7</v>
      </c>
      <c r="D3293" s="672" t="s">
        <v>13552</v>
      </c>
      <c r="E3293" s="919" t="s">
        <v>13551</v>
      </c>
      <c r="F3293" s="919"/>
      <c r="G3293" s="671" t="s">
        <v>19</v>
      </c>
      <c r="H3293" s="670">
        <v>1</v>
      </c>
      <c r="I3293" s="669">
        <v>0.06</v>
      </c>
      <c r="J3293" s="669">
        <v>0.06</v>
      </c>
    </row>
    <row r="3294" spans="1:10" ht="24" customHeight="1">
      <c r="A3294" s="672" t="s">
        <v>13467</v>
      </c>
      <c r="B3294" s="673" t="s">
        <v>13547</v>
      </c>
      <c r="C3294" s="672" t="s">
        <v>7</v>
      </c>
      <c r="D3294" s="672" t="s">
        <v>13546</v>
      </c>
      <c r="E3294" s="919" t="s">
        <v>13545</v>
      </c>
      <c r="F3294" s="919"/>
      <c r="G3294" s="671" t="s">
        <v>19</v>
      </c>
      <c r="H3294" s="670">
        <v>1</v>
      </c>
      <c r="I3294" s="669">
        <v>0.71</v>
      </c>
      <c r="J3294" s="669">
        <v>0.71</v>
      </c>
    </row>
    <row r="3295" spans="1:10" ht="25.5">
      <c r="A3295" s="668"/>
      <c r="B3295" s="668"/>
      <c r="C3295" s="668"/>
      <c r="D3295" s="668"/>
      <c r="E3295" s="668" t="s">
        <v>13463</v>
      </c>
      <c r="F3295" s="667">
        <v>7.4975550999999996</v>
      </c>
      <c r="G3295" s="668" t="s">
        <v>13462</v>
      </c>
      <c r="H3295" s="667">
        <v>6.3</v>
      </c>
      <c r="I3295" s="668" t="s">
        <v>13461</v>
      </c>
      <c r="J3295" s="667">
        <v>13.8</v>
      </c>
    </row>
    <row r="3296" spans="1:10" ht="15" thickBot="1">
      <c r="A3296" s="668"/>
      <c r="B3296" s="668"/>
      <c r="C3296" s="668"/>
      <c r="D3296" s="668"/>
      <c r="E3296" s="668" t="s">
        <v>13460</v>
      </c>
      <c r="F3296" s="667">
        <v>5.27</v>
      </c>
      <c r="G3296" s="668"/>
      <c r="H3296" s="925" t="s">
        <v>13459</v>
      </c>
      <c r="I3296" s="925"/>
      <c r="J3296" s="667">
        <v>23.95</v>
      </c>
    </row>
    <row r="3297" spans="1:10" ht="0.95" customHeight="1" thickTop="1">
      <c r="A3297" s="666"/>
      <c r="B3297" s="666"/>
      <c r="C3297" s="666"/>
      <c r="D3297" s="666"/>
      <c r="E3297" s="666"/>
      <c r="F3297" s="666"/>
      <c r="G3297" s="666"/>
      <c r="H3297" s="666"/>
      <c r="I3297" s="666"/>
      <c r="J3297" s="666"/>
    </row>
    <row r="3298" spans="1:10" ht="18" customHeight="1">
      <c r="A3298" s="686" t="s">
        <v>14328</v>
      </c>
      <c r="B3298" s="684" t="s">
        <v>13484</v>
      </c>
      <c r="C3298" s="686" t="s">
        <v>13483</v>
      </c>
      <c r="D3298" s="686" t="s">
        <v>13482</v>
      </c>
      <c r="E3298" s="924" t="s">
        <v>13481</v>
      </c>
      <c r="F3298" s="924"/>
      <c r="G3298" s="685" t="s">
        <v>13480</v>
      </c>
      <c r="H3298" s="684" t="s">
        <v>13479</v>
      </c>
      <c r="I3298" s="684" t="s">
        <v>13478</v>
      </c>
      <c r="J3298" s="684" t="s">
        <v>13477</v>
      </c>
    </row>
    <row r="3299" spans="1:10" ht="24" customHeight="1">
      <c r="A3299" s="682" t="s">
        <v>13476</v>
      </c>
      <c r="B3299" s="683" t="s">
        <v>14329</v>
      </c>
      <c r="C3299" s="682" t="s">
        <v>7</v>
      </c>
      <c r="D3299" s="682" t="s">
        <v>43</v>
      </c>
      <c r="E3299" s="917" t="s">
        <v>13470</v>
      </c>
      <c r="F3299" s="917"/>
      <c r="G3299" s="681" t="s">
        <v>19</v>
      </c>
      <c r="H3299" s="680">
        <v>1</v>
      </c>
      <c r="I3299" s="679">
        <v>17.579999999999998</v>
      </c>
      <c r="J3299" s="679">
        <v>17.579999999999998</v>
      </c>
    </row>
    <row r="3300" spans="1:10" ht="24" customHeight="1">
      <c r="A3300" s="677" t="s">
        <v>13472</v>
      </c>
      <c r="B3300" s="678" t="s">
        <v>13900</v>
      </c>
      <c r="C3300" s="677" t="s">
        <v>7</v>
      </c>
      <c r="D3300" s="677" t="s">
        <v>2785</v>
      </c>
      <c r="E3300" s="918" t="s">
        <v>13470</v>
      </c>
      <c r="F3300" s="918"/>
      <c r="G3300" s="676" t="s">
        <v>19</v>
      </c>
      <c r="H3300" s="675">
        <v>1</v>
      </c>
      <c r="I3300" s="674">
        <v>0.11</v>
      </c>
      <c r="J3300" s="674">
        <v>0.11</v>
      </c>
    </row>
    <row r="3301" spans="1:10" ht="24" customHeight="1">
      <c r="A3301" s="672" t="s">
        <v>13467</v>
      </c>
      <c r="B3301" s="673" t="s">
        <v>13562</v>
      </c>
      <c r="C3301" s="672" t="s">
        <v>7</v>
      </c>
      <c r="D3301" s="672" t="s">
        <v>13561</v>
      </c>
      <c r="E3301" s="919" t="s">
        <v>13556</v>
      </c>
      <c r="F3301" s="919"/>
      <c r="G3301" s="671" t="s">
        <v>19</v>
      </c>
      <c r="H3301" s="670">
        <v>1</v>
      </c>
      <c r="I3301" s="669">
        <v>0.96</v>
      </c>
      <c r="J3301" s="669">
        <v>0.96</v>
      </c>
    </row>
    <row r="3302" spans="1:10" ht="24" customHeight="1">
      <c r="A3302" s="672" t="s">
        <v>13467</v>
      </c>
      <c r="B3302" s="673" t="s">
        <v>13752</v>
      </c>
      <c r="C3302" s="672" t="s">
        <v>7</v>
      </c>
      <c r="D3302" s="672" t="s">
        <v>13751</v>
      </c>
      <c r="E3302" s="919" t="s">
        <v>13493</v>
      </c>
      <c r="F3302" s="919"/>
      <c r="G3302" s="671" t="s">
        <v>19</v>
      </c>
      <c r="H3302" s="670">
        <v>1</v>
      </c>
      <c r="I3302" s="669">
        <v>0.95</v>
      </c>
      <c r="J3302" s="669">
        <v>0.95</v>
      </c>
    </row>
    <row r="3303" spans="1:10" ht="24" customHeight="1">
      <c r="A3303" s="672" t="s">
        <v>13467</v>
      </c>
      <c r="B3303" s="673" t="s">
        <v>13558</v>
      </c>
      <c r="C3303" s="672" t="s">
        <v>7</v>
      </c>
      <c r="D3303" s="672" t="s">
        <v>13557</v>
      </c>
      <c r="E3303" s="919" t="s">
        <v>13556</v>
      </c>
      <c r="F3303" s="919"/>
      <c r="G3303" s="671" t="s">
        <v>19</v>
      </c>
      <c r="H3303" s="670">
        <v>1</v>
      </c>
      <c r="I3303" s="669">
        <v>0.55000000000000004</v>
      </c>
      <c r="J3303" s="669">
        <v>0.55000000000000004</v>
      </c>
    </row>
    <row r="3304" spans="1:10" ht="24" customHeight="1">
      <c r="A3304" s="672" t="s">
        <v>13467</v>
      </c>
      <c r="B3304" s="673" t="s">
        <v>13750</v>
      </c>
      <c r="C3304" s="672" t="s">
        <v>7</v>
      </c>
      <c r="D3304" s="672" t="s">
        <v>13749</v>
      </c>
      <c r="E3304" s="919" t="s">
        <v>13493</v>
      </c>
      <c r="F3304" s="919"/>
      <c r="G3304" s="671" t="s">
        <v>19</v>
      </c>
      <c r="H3304" s="670">
        <v>1</v>
      </c>
      <c r="I3304" s="669">
        <v>0.57999999999999996</v>
      </c>
      <c r="J3304" s="669">
        <v>0.57999999999999996</v>
      </c>
    </row>
    <row r="3305" spans="1:10" ht="24" customHeight="1">
      <c r="A3305" s="672" t="s">
        <v>13467</v>
      </c>
      <c r="B3305" s="673" t="s">
        <v>13553</v>
      </c>
      <c r="C3305" s="672" t="s">
        <v>7</v>
      </c>
      <c r="D3305" s="672" t="s">
        <v>13552</v>
      </c>
      <c r="E3305" s="919" t="s">
        <v>13551</v>
      </c>
      <c r="F3305" s="919"/>
      <c r="G3305" s="671" t="s">
        <v>19</v>
      </c>
      <c r="H3305" s="670">
        <v>1</v>
      </c>
      <c r="I3305" s="669">
        <v>0.06</v>
      </c>
      <c r="J3305" s="669">
        <v>0.06</v>
      </c>
    </row>
    <row r="3306" spans="1:10" ht="24" customHeight="1">
      <c r="A3306" s="672" t="s">
        <v>13467</v>
      </c>
      <c r="B3306" s="673" t="s">
        <v>13899</v>
      </c>
      <c r="C3306" s="672" t="s">
        <v>7</v>
      </c>
      <c r="D3306" s="672" t="s">
        <v>13898</v>
      </c>
      <c r="E3306" s="919" t="s">
        <v>13548</v>
      </c>
      <c r="F3306" s="919"/>
      <c r="G3306" s="671" t="s">
        <v>19</v>
      </c>
      <c r="H3306" s="670">
        <v>1</v>
      </c>
      <c r="I3306" s="669">
        <v>13.66</v>
      </c>
      <c r="J3306" s="669">
        <v>13.66</v>
      </c>
    </row>
    <row r="3307" spans="1:10" ht="24" customHeight="1">
      <c r="A3307" s="672" t="s">
        <v>13467</v>
      </c>
      <c r="B3307" s="673" t="s">
        <v>13547</v>
      </c>
      <c r="C3307" s="672" t="s">
        <v>7</v>
      </c>
      <c r="D3307" s="672" t="s">
        <v>13546</v>
      </c>
      <c r="E3307" s="919" t="s">
        <v>13545</v>
      </c>
      <c r="F3307" s="919"/>
      <c r="G3307" s="671" t="s">
        <v>19</v>
      </c>
      <c r="H3307" s="670">
        <v>1</v>
      </c>
      <c r="I3307" s="669">
        <v>0.71</v>
      </c>
      <c r="J3307" s="669">
        <v>0.71</v>
      </c>
    </row>
    <row r="3308" spans="1:10" ht="25.5">
      <c r="A3308" s="668"/>
      <c r="B3308" s="668"/>
      <c r="C3308" s="668"/>
      <c r="D3308" s="668"/>
      <c r="E3308" s="668" t="s">
        <v>13463</v>
      </c>
      <c r="F3308" s="667">
        <v>7.4812561000000004</v>
      </c>
      <c r="G3308" s="668" t="s">
        <v>13462</v>
      </c>
      <c r="H3308" s="667">
        <v>6.29</v>
      </c>
      <c r="I3308" s="668" t="s">
        <v>13461</v>
      </c>
      <c r="J3308" s="667">
        <v>13.77</v>
      </c>
    </row>
    <row r="3309" spans="1:10" ht="15" thickBot="1">
      <c r="A3309" s="668"/>
      <c r="B3309" s="668"/>
      <c r="C3309" s="668"/>
      <c r="D3309" s="668"/>
      <c r="E3309" s="668" t="s">
        <v>13460</v>
      </c>
      <c r="F3309" s="667">
        <v>4.96</v>
      </c>
      <c r="G3309" s="668"/>
      <c r="H3309" s="925" t="s">
        <v>13459</v>
      </c>
      <c r="I3309" s="925"/>
      <c r="J3309" s="667">
        <v>22.54</v>
      </c>
    </row>
    <row r="3310" spans="1:10" ht="0.95" customHeight="1" thickTop="1">
      <c r="A3310" s="666"/>
      <c r="B3310" s="666"/>
      <c r="C3310" s="666"/>
      <c r="D3310" s="666"/>
      <c r="E3310" s="666"/>
      <c r="F3310" s="666"/>
      <c r="G3310" s="666"/>
      <c r="H3310" s="666"/>
      <c r="I3310" s="666"/>
      <c r="J3310" s="666"/>
    </row>
    <row r="3311" spans="1:10" ht="18" customHeight="1">
      <c r="A3311" s="686" t="s">
        <v>14328</v>
      </c>
      <c r="B3311" s="684" t="s">
        <v>13484</v>
      </c>
      <c r="C3311" s="686" t="s">
        <v>13483</v>
      </c>
      <c r="D3311" s="686" t="s">
        <v>13482</v>
      </c>
      <c r="E3311" s="924" t="s">
        <v>13481</v>
      </c>
      <c r="F3311" s="924"/>
      <c r="G3311" s="685" t="s">
        <v>13480</v>
      </c>
      <c r="H3311" s="684" t="s">
        <v>13479</v>
      </c>
      <c r="I3311" s="684" t="s">
        <v>13478</v>
      </c>
      <c r="J3311" s="684" t="s">
        <v>13477</v>
      </c>
    </row>
    <row r="3312" spans="1:10" ht="24" customHeight="1">
      <c r="A3312" s="682" t="s">
        <v>13476</v>
      </c>
      <c r="B3312" s="683" t="s">
        <v>13471</v>
      </c>
      <c r="C3312" s="682" t="s">
        <v>7</v>
      </c>
      <c r="D3312" s="682" t="s">
        <v>21</v>
      </c>
      <c r="E3312" s="917" t="s">
        <v>13470</v>
      </c>
      <c r="F3312" s="917"/>
      <c r="G3312" s="681" t="s">
        <v>19</v>
      </c>
      <c r="H3312" s="680">
        <v>1</v>
      </c>
      <c r="I3312" s="679">
        <v>14.02</v>
      </c>
      <c r="J3312" s="679">
        <v>14.02</v>
      </c>
    </row>
    <row r="3313" spans="1:10" ht="24" customHeight="1">
      <c r="A3313" s="677" t="s">
        <v>13472</v>
      </c>
      <c r="B3313" s="678" t="s">
        <v>13897</v>
      </c>
      <c r="C3313" s="677" t="s">
        <v>7</v>
      </c>
      <c r="D3313" s="677" t="s">
        <v>560</v>
      </c>
      <c r="E3313" s="918" t="s">
        <v>13470</v>
      </c>
      <c r="F3313" s="918"/>
      <c r="G3313" s="676" t="s">
        <v>19</v>
      </c>
      <c r="H3313" s="675">
        <v>1</v>
      </c>
      <c r="I3313" s="674">
        <v>0.15</v>
      </c>
      <c r="J3313" s="674">
        <v>0.15</v>
      </c>
    </row>
    <row r="3314" spans="1:10" ht="24" customHeight="1">
      <c r="A3314" s="672" t="s">
        <v>13467</v>
      </c>
      <c r="B3314" s="673" t="s">
        <v>13562</v>
      </c>
      <c r="C3314" s="672" t="s">
        <v>7</v>
      </c>
      <c r="D3314" s="672" t="s">
        <v>13561</v>
      </c>
      <c r="E3314" s="919" t="s">
        <v>13556</v>
      </c>
      <c r="F3314" s="919"/>
      <c r="G3314" s="671" t="s">
        <v>19</v>
      </c>
      <c r="H3314" s="670">
        <v>1</v>
      </c>
      <c r="I3314" s="669">
        <v>0.96</v>
      </c>
      <c r="J3314" s="669">
        <v>0.96</v>
      </c>
    </row>
    <row r="3315" spans="1:10" ht="24" customHeight="1">
      <c r="A3315" s="672" t="s">
        <v>13467</v>
      </c>
      <c r="B3315" s="673" t="s">
        <v>14100</v>
      </c>
      <c r="C3315" s="672" t="s">
        <v>7</v>
      </c>
      <c r="D3315" s="672" t="s">
        <v>14099</v>
      </c>
      <c r="E3315" s="919" t="s">
        <v>13493</v>
      </c>
      <c r="F3315" s="919"/>
      <c r="G3315" s="671" t="s">
        <v>19</v>
      </c>
      <c r="H3315" s="670">
        <v>1</v>
      </c>
      <c r="I3315" s="669">
        <v>1.01</v>
      </c>
      <c r="J3315" s="669">
        <v>1.01</v>
      </c>
    </row>
    <row r="3316" spans="1:10" ht="24" customHeight="1">
      <c r="A3316" s="672" t="s">
        <v>13467</v>
      </c>
      <c r="B3316" s="673" t="s">
        <v>13558</v>
      </c>
      <c r="C3316" s="672" t="s">
        <v>7</v>
      </c>
      <c r="D3316" s="672" t="s">
        <v>13557</v>
      </c>
      <c r="E3316" s="919" t="s">
        <v>13556</v>
      </c>
      <c r="F3316" s="919"/>
      <c r="G3316" s="671" t="s">
        <v>19</v>
      </c>
      <c r="H3316" s="670">
        <v>1</v>
      </c>
      <c r="I3316" s="669">
        <v>0.55000000000000004</v>
      </c>
      <c r="J3316" s="669">
        <v>0.55000000000000004</v>
      </c>
    </row>
    <row r="3317" spans="1:10" ht="24" customHeight="1">
      <c r="A3317" s="672" t="s">
        <v>13467</v>
      </c>
      <c r="B3317" s="673" t="s">
        <v>14098</v>
      </c>
      <c r="C3317" s="672" t="s">
        <v>7</v>
      </c>
      <c r="D3317" s="672" t="s">
        <v>14097</v>
      </c>
      <c r="E3317" s="919" t="s">
        <v>13493</v>
      </c>
      <c r="F3317" s="919"/>
      <c r="G3317" s="671" t="s">
        <v>19</v>
      </c>
      <c r="H3317" s="670">
        <v>1</v>
      </c>
      <c r="I3317" s="669">
        <v>0.41</v>
      </c>
      <c r="J3317" s="669">
        <v>0.41</v>
      </c>
    </row>
    <row r="3318" spans="1:10" ht="24" customHeight="1">
      <c r="A3318" s="672" t="s">
        <v>13467</v>
      </c>
      <c r="B3318" s="673" t="s">
        <v>13553</v>
      </c>
      <c r="C3318" s="672" t="s">
        <v>7</v>
      </c>
      <c r="D3318" s="672" t="s">
        <v>13552</v>
      </c>
      <c r="E3318" s="919" t="s">
        <v>13551</v>
      </c>
      <c r="F3318" s="919"/>
      <c r="G3318" s="671" t="s">
        <v>19</v>
      </c>
      <c r="H3318" s="670">
        <v>1</v>
      </c>
      <c r="I3318" s="669">
        <v>0.06</v>
      </c>
      <c r="J3318" s="669">
        <v>0.06</v>
      </c>
    </row>
    <row r="3319" spans="1:10" ht="24" customHeight="1">
      <c r="A3319" s="672" t="s">
        <v>13467</v>
      </c>
      <c r="B3319" s="673" t="s">
        <v>13896</v>
      </c>
      <c r="C3319" s="672" t="s">
        <v>7</v>
      </c>
      <c r="D3319" s="672" t="s">
        <v>13895</v>
      </c>
      <c r="E3319" s="919" t="s">
        <v>13548</v>
      </c>
      <c r="F3319" s="919"/>
      <c r="G3319" s="671" t="s">
        <v>19</v>
      </c>
      <c r="H3319" s="670">
        <v>1</v>
      </c>
      <c r="I3319" s="669">
        <v>10.17</v>
      </c>
      <c r="J3319" s="669">
        <v>10.17</v>
      </c>
    </row>
    <row r="3320" spans="1:10" ht="24" customHeight="1">
      <c r="A3320" s="672" t="s">
        <v>13467</v>
      </c>
      <c r="B3320" s="673" t="s">
        <v>13547</v>
      </c>
      <c r="C3320" s="672" t="s">
        <v>7</v>
      </c>
      <c r="D3320" s="672" t="s">
        <v>13546</v>
      </c>
      <c r="E3320" s="919" t="s">
        <v>13545</v>
      </c>
      <c r="F3320" s="919"/>
      <c r="G3320" s="671" t="s">
        <v>19</v>
      </c>
      <c r="H3320" s="670">
        <v>1</v>
      </c>
      <c r="I3320" s="669">
        <v>0.71</v>
      </c>
      <c r="J3320" s="669">
        <v>0.71</v>
      </c>
    </row>
    <row r="3321" spans="1:10" ht="25.5">
      <c r="A3321" s="668"/>
      <c r="B3321" s="668"/>
      <c r="C3321" s="668"/>
      <c r="D3321" s="668"/>
      <c r="E3321" s="668" t="s">
        <v>13463</v>
      </c>
      <c r="F3321" s="667">
        <v>5.6068673000000002</v>
      </c>
      <c r="G3321" s="668" t="s">
        <v>13462</v>
      </c>
      <c r="H3321" s="667">
        <v>4.71</v>
      </c>
      <c r="I3321" s="668" t="s">
        <v>13461</v>
      </c>
      <c r="J3321" s="667">
        <v>10.32</v>
      </c>
    </row>
    <row r="3322" spans="1:10" ht="15" thickBot="1">
      <c r="A3322" s="668"/>
      <c r="B3322" s="668"/>
      <c r="C3322" s="668"/>
      <c r="D3322" s="668"/>
      <c r="E3322" s="668" t="s">
        <v>13460</v>
      </c>
      <c r="F3322" s="667">
        <v>3.95</v>
      </c>
      <c r="G3322" s="668"/>
      <c r="H3322" s="925" t="s">
        <v>13459</v>
      </c>
      <c r="I3322" s="925"/>
      <c r="J3322" s="667">
        <v>17.97</v>
      </c>
    </row>
    <row r="3323" spans="1:10" ht="0.95" customHeight="1" thickTop="1">
      <c r="A3323" s="666"/>
      <c r="B3323" s="666"/>
      <c r="C3323" s="666"/>
      <c r="D3323" s="666"/>
      <c r="E3323" s="666"/>
      <c r="F3323" s="666"/>
      <c r="G3323" s="666"/>
      <c r="H3323" s="666"/>
      <c r="I3323" s="666"/>
      <c r="J3323" s="666"/>
    </row>
    <row r="3324" spans="1:10" ht="18" customHeight="1">
      <c r="A3324" s="686" t="s">
        <v>14111</v>
      </c>
      <c r="B3324" s="684" t="s">
        <v>13484</v>
      </c>
      <c r="C3324" s="686" t="s">
        <v>13483</v>
      </c>
      <c r="D3324" s="686" t="s">
        <v>13482</v>
      </c>
      <c r="E3324" s="924" t="s">
        <v>13481</v>
      </c>
      <c r="F3324" s="924"/>
      <c r="G3324" s="685" t="s">
        <v>13480</v>
      </c>
      <c r="H3324" s="684" t="s">
        <v>13479</v>
      </c>
      <c r="I3324" s="684" t="s">
        <v>13478</v>
      </c>
      <c r="J3324" s="684" t="s">
        <v>13477</v>
      </c>
    </row>
    <row r="3325" spans="1:10" ht="48" customHeight="1">
      <c r="A3325" s="682" t="s">
        <v>13476</v>
      </c>
      <c r="B3325" s="683" t="s">
        <v>14327</v>
      </c>
      <c r="C3325" s="682" t="s">
        <v>7</v>
      </c>
      <c r="D3325" s="682" t="s">
        <v>2226</v>
      </c>
      <c r="E3325" s="917" t="s">
        <v>14326</v>
      </c>
      <c r="F3325" s="917"/>
      <c r="G3325" s="681" t="s">
        <v>14</v>
      </c>
      <c r="H3325" s="680">
        <v>1</v>
      </c>
      <c r="I3325" s="679">
        <v>68.78</v>
      </c>
      <c r="J3325" s="679">
        <v>68.78</v>
      </c>
    </row>
    <row r="3326" spans="1:10" ht="36" customHeight="1">
      <c r="A3326" s="677" t="s">
        <v>13472</v>
      </c>
      <c r="B3326" s="678" t="s">
        <v>13863</v>
      </c>
      <c r="C3326" s="677" t="s">
        <v>7</v>
      </c>
      <c r="D3326" s="677" t="s">
        <v>695</v>
      </c>
      <c r="E3326" s="918" t="s">
        <v>13491</v>
      </c>
      <c r="F3326" s="918"/>
      <c r="G3326" s="676" t="s">
        <v>38</v>
      </c>
      <c r="H3326" s="675">
        <v>0.13600000000000001</v>
      </c>
      <c r="I3326" s="674">
        <v>146.6</v>
      </c>
      <c r="J3326" s="674">
        <v>19.93</v>
      </c>
    </row>
    <row r="3327" spans="1:10" ht="36" customHeight="1">
      <c r="A3327" s="677" t="s">
        <v>13472</v>
      </c>
      <c r="B3327" s="678" t="s">
        <v>13864</v>
      </c>
      <c r="C3327" s="677" t="s">
        <v>7</v>
      </c>
      <c r="D3327" s="677" t="s">
        <v>696</v>
      </c>
      <c r="E3327" s="918" t="s">
        <v>13491</v>
      </c>
      <c r="F3327" s="918"/>
      <c r="G3327" s="676" t="s">
        <v>53</v>
      </c>
      <c r="H3327" s="675">
        <v>0.28699999999999998</v>
      </c>
      <c r="I3327" s="674">
        <v>53.26</v>
      </c>
      <c r="J3327" s="674">
        <v>15.28</v>
      </c>
    </row>
    <row r="3328" spans="1:10" ht="24" customHeight="1">
      <c r="A3328" s="677" t="s">
        <v>13472</v>
      </c>
      <c r="B3328" s="678" t="s">
        <v>14118</v>
      </c>
      <c r="C3328" s="677" t="s">
        <v>7</v>
      </c>
      <c r="D3328" s="677" t="s">
        <v>4422</v>
      </c>
      <c r="E3328" s="918" t="s">
        <v>13470</v>
      </c>
      <c r="F3328" s="918"/>
      <c r="G3328" s="676" t="s">
        <v>13515</v>
      </c>
      <c r="H3328" s="675">
        <v>1.2E-2</v>
      </c>
      <c r="I3328" s="674">
        <v>509.05</v>
      </c>
      <c r="J3328" s="674">
        <v>6.1</v>
      </c>
    </row>
    <row r="3329" spans="1:10" ht="24" customHeight="1">
      <c r="A3329" s="677" t="s">
        <v>13472</v>
      </c>
      <c r="B3329" s="678" t="s">
        <v>14067</v>
      </c>
      <c r="C3329" s="677" t="s">
        <v>7</v>
      </c>
      <c r="D3329" s="677" t="s">
        <v>126</v>
      </c>
      <c r="E3329" s="918" t="s">
        <v>13470</v>
      </c>
      <c r="F3329" s="918"/>
      <c r="G3329" s="676" t="s">
        <v>19</v>
      </c>
      <c r="H3329" s="675">
        <v>0.64</v>
      </c>
      <c r="I3329" s="674">
        <v>14.9</v>
      </c>
      <c r="J3329" s="674">
        <v>9.5299999999999994</v>
      </c>
    </row>
    <row r="3330" spans="1:10" ht="24" customHeight="1">
      <c r="A3330" s="677" t="s">
        <v>13472</v>
      </c>
      <c r="B3330" s="678" t="s">
        <v>13471</v>
      </c>
      <c r="C3330" s="677" t="s">
        <v>7</v>
      </c>
      <c r="D3330" s="677" t="s">
        <v>21</v>
      </c>
      <c r="E3330" s="918" t="s">
        <v>13470</v>
      </c>
      <c r="F3330" s="918"/>
      <c r="G3330" s="676" t="s">
        <v>19</v>
      </c>
      <c r="H3330" s="675">
        <v>1.28</v>
      </c>
      <c r="I3330" s="674">
        <v>14.02</v>
      </c>
      <c r="J3330" s="674">
        <v>17.940000000000001</v>
      </c>
    </row>
    <row r="3331" spans="1:10" ht="25.5">
      <c r="A3331" s="668"/>
      <c r="B3331" s="668"/>
      <c r="C3331" s="668"/>
      <c r="D3331" s="668"/>
      <c r="E3331" s="668" t="s">
        <v>13463</v>
      </c>
      <c r="F3331" s="667">
        <v>15.071172443768337</v>
      </c>
      <c r="G3331" s="668" t="s">
        <v>13462</v>
      </c>
      <c r="H3331" s="667">
        <v>12.67</v>
      </c>
      <c r="I3331" s="668" t="s">
        <v>13461</v>
      </c>
      <c r="J3331" s="667">
        <v>27.74</v>
      </c>
    </row>
    <row r="3332" spans="1:10" ht="15" thickBot="1">
      <c r="A3332" s="668"/>
      <c r="B3332" s="668"/>
      <c r="C3332" s="668"/>
      <c r="D3332" s="668"/>
      <c r="E3332" s="668" t="s">
        <v>13460</v>
      </c>
      <c r="F3332" s="667">
        <v>19.420000000000002</v>
      </c>
      <c r="G3332" s="668"/>
      <c r="H3332" s="925" t="s">
        <v>13459</v>
      </c>
      <c r="I3332" s="925"/>
      <c r="J3332" s="667">
        <v>88.2</v>
      </c>
    </row>
    <row r="3333" spans="1:10" ht="0.95" customHeight="1" thickTop="1">
      <c r="A3333" s="666"/>
      <c r="B3333" s="666"/>
      <c r="C3333" s="666"/>
      <c r="D3333" s="666"/>
      <c r="E3333" s="666"/>
      <c r="F3333" s="666"/>
      <c r="G3333" s="666"/>
      <c r="H3333" s="666"/>
      <c r="I3333" s="666"/>
      <c r="J3333" s="666"/>
    </row>
    <row r="3334" spans="1:10" ht="18" customHeight="1">
      <c r="A3334" s="686" t="s">
        <v>14111</v>
      </c>
      <c r="B3334" s="684" t="s">
        <v>13484</v>
      </c>
      <c r="C3334" s="686" t="s">
        <v>13483</v>
      </c>
      <c r="D3334" s="686" t="s">
        <v>13482</v>
      </c>
      <c r="E3334" s="924" t="s">
        <v>13481</v>
      </c>
      <c r="F3334" s="924"/>
      <c r="G3334" s="685" t="s">
        <v>13480</v>
      </c>
      <c r="H3334" s="684" t="s">
        <v>13479</v>
      </c>
      <c r="I3334" s="684" t="s">
        <v>13478</v>
      </c>
      <c r="J3334" s="684" t="s">
        <v>13477</v>
      </c>
    </row>
    <row r="3335" spans="1:10" ht="60" customHeight="1">
      <c r="A3335" s="682" t="s">
        <v>13476</v>
      </c>
      <c r="B3335" s="683" t="s">
        <v>13604</v>
      </c>
      <c r="C3335" s="682" t="s">
        <v>7</v>
      </c>
      <c r="D3335" s="682" t="s">
        <v>702</v>
      </c>
      <c r="E3335" s="917" t="s">
        <v>13491</v>
      </c>
      <c r="F3335" s="917"/>
      <c r="G3335" s="681" t="s">
        <v>38</v>
      </c>
      <c r="H3335" s="680">
        <v>1</v>
      </c>
      <c r="I3335" s="679">
        <v>101.95</v>
      </c>
      <c r="J3335" s="679">
        <v>101.95</v>
      </c>
    </row>
    <row r="3336" spans="1:10" ht="60" customHeight="1">
      <c r="A3336" s="677" t="s">
        <v>13472</v>
      </c>
      <c r="B3336" s="678" t="s">
        <v>13585</v>
      </c>
      <c r="C3336" s="677" t="s">
        <v>7</v>
      </c>
      <c r="D3336" s="677" t="s">
        <v>1167</v>
      </c>
      <c r="E3336" s="918" t="s">
        <v>13491</v>
      </c>
      <c r="F3336" s="918"/>
      <c r="G3336" s="676" t="s">
        <v>19</v>
      </c>
      <c r="H3336" s="675">
        <v>1</v>
      </c>
      <c r="I3336" s="674">
        <v>2.34</v>
      </c>
      <c r="J3336" s="674">
        <v>2.34</v>
      </c>
    </row>
    <row r="3337" spans="1:10" ht="60" customHeight="1">
      <c r="A3337" s="677" t="s">
        <v>13472</v>
      </c>
      <c r="B3337" s="678" t="s">
        <v>13581</v>
      </c>
      <c r="C3337" s="677" t="s">
        <v>7</v>
      </c>
      <c r="D3337" s="677" t="s">
        <v>801</v>
      </c>
      <c r="E3337" s="918" t="s">
        <v>13491</v>
      </c>
      <c r="F3337" s="918"/>
      <c r="G3337" s="676" t="s">
        <v>19</v>
      </c>
      <c r="H3337" s="675">
        <v>1</v>
      </c>
      <c r="I3337" s="674">
        <v>43.97</v>
      </c>
      <c r="J3337" s="674">
        <v>43.97</v>
      </c>
    </row>
    <row r="3338" spans="1:10" ht="60" customHeight="1">
      <c r="A3338" s="677" t="s">
        <v>13472</v>
      </c>
      <c r="B3338" s="678" t="s">
        <v>13586</v>
      </c>
      <c r="C3338" s="677" t="s">
        <v>7</v>
      </c>
      <c r="D3338" s="677" t="s">
        <v>1166</v>
      </c>
      <c r="E3338" s="918" t="s">
        <v>13491</v>
      </c>
      <c r="F3338" s="918"/>
      <c r="G3338" s="676" t="s">
        <v>19</v>
      </c>
      <c r="H3338" s="675">
        <v>1</v>
      </c>
      <c r="I3338" s="674">
        <v>17.309999999999999</v>
      </c>
      <c r="J3338" s="674">
        <v>17.309999999999999</v>
      </c>
    </row>
    <row r="3339" spans="1:10" ht="60" customHeight="1">
      <c r="A3339" s="677" t="s">
        <v>13472</v>
      </c>
      <c r="B3339" s="678" t="s">
        <v>13584</v>
      </c>
      <c r="C3339" s="677" t="s">
        <v>7</v>
      </c>
      <c r="D3339" s="677" t="s">
        <v>698</v>
      </c>
      <c r="E3339" s="918" t="s">
        <v>13491</v>
      </c>
      <c r="F3339" s="918"/>
      <c r="G3339" s="676" t="s">
        <v>19</v>
      </c>
      <c r="H3339" s="675">
        <v>1</v>
      </c>
      <c r="I3339" s="674">
        <v>21.64</v>
      </c>
      <c r="J3339" s="674">
        <v>21.64</v>
      </c>
    </row>
    <row r="3340" spans="1:10" ht="24" customHeight="1">
      <c r="A3340" s="677" t="s">
        <v>13472</v>
      </c>
      <c r="B3340" s="678" t="s">
        <v>13686</v>
      </c>
      <c r="C3340" s="677" t="s">
        <v>7</v>
      </c>
      <c r="D3340" s="677" t="s">
        <v>156</v>
      </c>
      <c r="E3340" s="918" t="s">
        <v>13470</v>
      </c>
      <c r="F3340" s="918"/>
      <c r="G3340" s="676" t="s">
        <v>19</v>
      </c>
      <c r="H3340" s="675">
        <v>1</v>
      </c>
      <c r="I3340" s="674">
        <v>16.690000000000001</v>
      </c>
      <c r="J3340" s="674">
        <v>16.690000000000001</v>
      </c>
    </row>
    <row r="3341" spans="1:10" ht="25.5">
      <c r="A3341" s="668"/>
      <c r="B3341" s="668"/>
      <c r="C3341" s="668"/>
      <c r="D3341" s="668"/>
      <c r="E3341" s="668" t="s">
        <v>13463</v>
      </c>
      <c r="F3341" s="667">
        <v>7.4812561000000004</v>
      </c>
      <c r="G3341" s="668" t="s">
        <v>13462</v>
      </c>
      <c r="H3341" s="667">
        <v>6.29</v>
      </c>
      <c r="I3341" s="668" t="s">
        <v>13461</v>
      </c>
      <c r="J3341" s="667">
        <v>13.77</v>
      </c>
    </row>
    <row r="3342" spans="1:10" ht="15" thickBot="1">
      <c r="A3342" s="668"/>
      <c r="B3342" s="668"/>
      <c r="C3342" s="668"/>
      <c r="D3342" s="668"/>
      <c r="E3342" s="668" t="s">
        <v>13460</v>
      </c>
      <c r="F3342" s="667">
        <v>28.79</v>
      </c>
      <c r="G3342" s="668"/>
      <c r="H3342" s="925" t="s">
        <v>13459</v>
      </c>
      <c r="I3342" s="925"/>
      <c r="J3342" s="667">
        <v>130.74</v>
      </c>
    </row>
    <row r="3343" spans="1:10" ht="0.95" customHeight="1" thickTop="1">
      <c r="A3343" s="666"/>
      <c r="B3343" s="666"/>
      <c r="C3343" s="666"/>
      <c r="D3343" s="666"/>
      <c r="E3343" s="666"/>
      <c r="F3343" s="666"/>
      <c r="G3343" s="666"/>
      <c r="H3343" s="666"/>
      <c r="I3343" s="666"/>
      <c r="J3343" s="666"/>
    </row>
    <row r="3344" spans="1:10" ht="18" customHeight="1">
      <c r="A3344" s="686" t="s">
        <v>14111</v>
      </c>
      <c r="B3344" s="684" t="s">
        <v>13484</v>
      </c>
      <c r="C3344" s="686" t="s">
        <v>13483</v>
      </c>
      <c r="D3344" s="686" t="s">
        <v>13482</v>
      </c>
      <c r="E3344" s="924" t="s">
        <v>13481</v>
      </c>
      <c r="F3344" s="924"/>
      <c r="G3344" s="685" t="s">
        <v>13480</v>
      </c>
      <c r="H3344" s="684" t="s">
        <v>13479</v>
      </c>
      <c r="I3344" s="684" t="s">
        <v>13478</v>
      </c>
      <c r="J3344" s="684" t="s">
        <v>13477</v>
      </c>
    </row>
    <row r="3345" spans="1:10" ht="60" customHeight="1">
      <c r="A3345" s="682" t="s">
        <v>13476</v>
      </c>
      <c r="B3345" s="683" t="s">
        <v>13602</v>
      </c>
      <c r="C3345" s="682" t="s">
        <v>7</v>
      </c>
      <c r="D3345" s="682" t="s">
        <v>703</v>
      </c>
      <c r="E3345" s="917" t="s">
        <v>13491</v>
      </c>
      <c r="F3345" s="917"/>
      <c r="G3345" s="681" t="s">
        <v>53</v>
      </c>
      <c r="H3345" s="680">
        <v>1</v>
      </c>
      <c r="I3345" s="679">
        <v>36.340000000000003</v>
      </c>
      <c r="J3345" s="679">
        <v>36.340000000000003</v>
      </c>
    </row>
    <row r="3346" spans="1:10" ht="60" customHeight="1">
      <c r="A3346" s="677" t="s">
        <v>13472</v>
      </c>
      <c r="B3346" s="678" t="s">
        <v>13585</v>
      </c>
      <c r="C3346" s="677" t="s">
        <v>7</v>
      </c>
      <c r="D3346" s="677" t="s">
        <v>1167</v>
      </c>
      <c r="E3346" s="918" t="s">
        <v>13491</v>
      </c>
      <c r="F3346" s="918"/>
      <c r="G3346" s="676" t="s">
        <v>19</v>
      </c>
      <c r="H3346" s="675">
        <v>1</v>
      </c>
      <c r="I3346" s="674">
        <v>2.34</v>
      </c>
      <c r="J3346" s="674">
        <v>2.34</v>
      </c>
    </row>
    <row r="3347" spans="1:10" ht="60" customHeight="1">
      <c r="A3347" s="677" t="s">
        <v>13472</v>
      </c>
      <c r="B3347" s="678" t="s">
        <v>13586</v>
      </c>
      <c r="C3347" s="677" t="s">
        <v>7</v>
      </c>
      <c r="D3347" s="677" t="s">
        <v>1166</v>
      </c>
      <c r="E3347" s="918" t="s">
        <v>13491</v>
      </c>
      <c r="F3347" s="918"/>
      <c r="G3347" s="676" t="s">
        <v>19</v>
      </c>
      <c r="H3347" s="675">
        <v>1</v>
      </c>
      <c r="I3347" s="674">
        <v>17.309999999999999</v>
      </c>
      <c r="J3347" s="674">
        <v>17.309999999999999</v>
      </c>
    </row>
    <row r="3348" spans="1:10" ht="24" customHeight="1">
      <c r="A3348" s="677" t="s">
        <v>13472</v>
      </c>
      <c r="B3348" s="678" t="s">
        <v>13686</v>
      </c>
      <c r="C3348" s="677" t="s">
        <v>7</v>
      </c>
      <c r="D3348" s="677" t="s">
        <v>156</v>
      </c>
      <c r="E3348" s="918" t="s">
        <v>13470</v>
      </c>
      <c r="F3348" s="918"/>
      <c r="G3348" s="676" t="s">
        <v>19</v>
      </c>
      <c r="H3348" s="675">
        <v>1</v>
      </c>
      <c r="I3348" s="674">
        <v>16.690000000000001</v>
      </c>
      <c r="J3348" s="674">
        <v>16.690000000000001</v>
      </c>
    </row>
    <row r="3349" spans="1:10" ht="25.5">
      <c r="A3349" s="668"/>
      <c r="B3349" s="668"/>
      <c r="C3349" s="668"/>
      <c r="D3349" s="668"/>
      <c r="E3349" s="668" t="s">
        <v>13463</v>
      </c>
      <c r="F3349" s="667">
        <v>7.4812561000000004</v>
      </c>
      <c r="G3349" s="668" t="s">
        <v>13462</v>
      </c>
      <c r="H3349" s="667">
        <v>6.29</v>
      </c>
      <c r="I3349" s="668" t="s">
        <v>13461</v>
      </c>
      <c r="J3349" s="667">
        <v>13.77</v>
      </c>
    </row>
    <row r="3350" spans="1:10" ht="15" thickBot="1">
      <c r="A3350" s="668"/>
      <c r="B3350" s="668"/>
      <c r="C3350" s="668"/>
      <c r="D3350" s="668"/>
      <c r="E3350" s="668" t="s">
        <v>13460</v>
      </c>
      <c r="F3350" s="667">
        <v>10.26</v>
      </c>
      <c r="G3350" s="668"/>
      <c r="H3350" s="925" t="s">
        <v>13459</v>
      </c>
      <c r="I3350" s="925"/>
      <c r="J3350" s="667">
        <v>46.6</v>
      </c>
    </row>
    <row r="3351" spans="1:10" ht="0.95" customHeight="1" thickTop="1">
      <c r="A3351" s="666"/>
      <c r="B3351" s="666"/>
      <c r="C3351" s="666"/>
      <c r="D3351" s="666"/>
      <c r="E3351" s="666"/>
      <c r="F3351" s="666"/>
      <c r="G3351" s="666"/>
      <c r="H3351" s="666"/>
      <c r="I3351" s="666"/>
      <c r="J3351" s="666"/>
    </row>
    <row r="3352" spans="1:10" ht="18" customHeight="1">
      <c r="A3352" s="686" t="s">
        <v>14111</v>
      </c>
      <c r="B3352" s="684" t="s">
        <v>13484</v>
      </c>
      <c r="C3352" s="686" t="s">
        <v>13483</v>
      </c>
      <c r="D3352" s="686" t="s">
        <v>13482</v>
      </c>
      <c r="E3352" s="924" t="s">
        <v>13481</v>
      </c>
      <c r="F3352" s="924"/>
      <c r="G3352" s="685" t="s">
        <v>13480</v>
      </c>
      <c r="H3352" s="684" t="s">
        <v>13479</v>
      </c>
      <c r="I3352" s="684" t="s">
        <v>13478</v>
      </c>
      <c r="J3352" s="684" t="s">
        <v>13477</v>
      </c>
    </row>
    <row r="3353" spans="1:10" ht="72" customHeight="1">
      <c r="A3353" s="682" t="s">
        <v>13476</v>
      </c>
      <c r="B3353" s="683" t="s">
        <v>14325</v>
      </c>
      <c r="C3353" s="682" t="s">
        <v>7</v>
      </c>
      <c r="D3353" s="682" t="s">
        <v>3538</v>
      </c>
      <c r="E3353" s="917" t="s">
        <v>13491</v>
      </c>
      <c r="F3353" s="917"/>
      <c r="G3353" s="681" t="s">
        <v>19</v>
      </c>
      <c r="H3353" s="680">
        <v>1</v>
      </c>
      <c r="I3353" s="679">
        <v>158.54</v>
      </c>
      <c r="J3353" s="679">
        <v>158.54</v>
      </c>
    </row>
    <row r="3354" spans="1:10" ht="24" customHeight="1">
      <c r="A3354" s="672" t="s">
        <v>13467</v>
      </c>
      <c r="B3354" s="673" t="s">
        <v>13580</v>
      </c>
      <c r="C3354" s="672" t="s">
        <v>7</v>
      </c>
      <c r="D3354" s="672" t="s">
        <v>13579</v>
      </c>
      <c r="E3354" s="919" t="s">
        <v>13464</v>
      </c>
      <c r="F3354" s="919"/>
      <c r="G3354" s="671" t="s">
        <v>50</v>
      </c>
      <c r="H3354" s="670">
        <v>32.159999999999997</v>
      </c>
      <c r="I3354" s="669">
        <v>4.93</v>
      </c>
      <c r="J3354" s="669">
        <v>158.54</v>
      </c>
    </row>
    <row r="3355" spans="1:10" ht="25.5">
      <c r="A3355" s="668"/>
      <c r="B3355" s="668"/>
      <c r="C3355" s="668"/>
      <c r="D3355" s="668"/>
      <c r="E3355" s="668" t="s">
        <v>13463</v>
      </c>
      <c r="F3355" s="667">
        <v>0</v>
      </c>
      <c r="G3355" s="668" t="s">
        <v>13462</v>
      </c>
      <c r="H3355" s="667">
        <v>0</v>
      </c>
      <c r="I3355" s="668" t="s">
        <v>13461</v>
      </c>
      <c r="J3355" s="667">
        <v>0</v>
      </c>
    </row>
    <row r="3356" spans="1:10" ht="15" thickBot="1">
      <c r="A3356" s="668"/>
      <c r="B3356" s="668"/>
      <c r="C3356" s="668"/>
      <c r="D3356" s="668"/>
      <c r="E3356" s="668" t="s">
        <v>13460</v>
      </c>
      <c r="F3356" s="667">
        <v>44.77</v>
      </c>
      <c r="G3356" s="668"/>
      <c r="H3356" s="925" t="s">
        <v>13459</v>
      </c>
      <c r="I3356" s="925"/>
      <c r="J3356" s="667">
        <v>203.31</v>
      </c>
    </row>
    <row r="3357" spans="1:10" ht="0.95" customHeight="1" thickTop="1">
      <c r="A3357" s="666"/>
      <c r="B3357" s="666"/>
      <c r="C3357" s="666"/>
      <c r="D3357" s="666"/>
      <c r="E3357" s="666"/>
      <c r="F3357" s="666"/>
      <c r="G3357" s="666"/>
      <c r="H3357" s="666"/>
      <c r="I3357" s="666"/>
      <c r="J3357" s="666"/>
    </row>
    <row r="3358" spans="1:10" ht="18" customHeight="1">
      <c r="A3358" s="686" t="s">
        <v>14111</v>
      </c>
      <c r="B3358" s="684" t="s">
        <v>13484</v>
      </c>
      <c r="C3358" s="686" t="s">
        <v>13483</v>
      </c>
      <c r="D3358" s="686" t="s">
        <v>13482</v>
      </c>
      <c r="E3358" s="924" t="s">
        <v>13481</v>
      </c>
      <c r="F3358" s="924"/>
      <c r="G3358" s="685" t="s">
        <v>13480</v>
      </c>
      <c r="H3358" s="684" t="s">
        <v>13479</v>
      </c>
      <c r="I3358" s="684" t="s">
        <v>13478</v>
      </c>
      <c r="J3358" s="684" t="s">
        <v>13477</v>
      </c>
    </row>
    <row r="3359" spans="1:10" ht="36" customHeight="1">
      <c r="A3359" s="682" t="s">
        <v>13476</v>
      </c>
      <c r="B3359" s="683" t="s">
        <v>14324</v>
      </c>
      <c r="C3359" s="682" t="s">
        <v>7</v>
      </c>
      <c r="D3359" s="682" t="s">
        <v>6761</v>
      </c>
      <c r="E3359" s="917" t="s">
        <v>13646</v>
      </c>
      <c r="F3359" s="917"/>
      <c r="G3359" s="681" t="s">
        <v>13515</v>
      </c>
      <c r="H3359" s="680">
        <v>1</v>
      </c>
      <c r="I3359" s="679">
        <v>113.54</v>
      </c>
      <c r="J3359" s="679">
        <v>113.54</v>
      </c>
    </row>
    <row r="3360" spans="1:10" ht="36" customHeight="1">
      <c r="A3360" s="677" t="s">
        <v>13472</v>
      </c>
      <c r="B3360" s="678" t="s">
        <v>13628</v>
      </c>
      <c r="C3360" s="677" t="s">
        <v>7</v>
      </c>
      <c r="D3360" s="677" t="s">
        <v>1863</v>
      </c>
      <c r="E3360" s="918" t="s">
        <v>13491</v>
      </c>
      <c r="F3360" s="918"/>
      <c r="G3360" s="676" t="s">
        <v>38</v>
      </c>
      <c r="H3360" s="675">
        <v>3.2000000000000001E-2</v>
      </c>
      <c r="I3360" s="674">
        <v>9.49</v>
      </c>
      <c r="J3360" s="674">
        <v>0.3</v>
      </c>
    </row>
    <row r="3361" spans="1:10" ht="36" customHeight="1">
      <c r="A3361" s="677" t="s">
        <v>13472</v>
      </c>
      <c r="B3361" s="678" t="s">
        <v>13629</v>
      </c>
      <c r="C3361" s="677" t="s">
        <v>7</v>
      </c>
      <c r="D3361" s="677" t="s">
        <v>1864</v>
      </c>
      <c r="E3361" s="918" t="s">
        <v>13491</v>
      </c>
      <c r="F3361" s="918"/>
      <c r="G3361" s="676" t="s">
        <v>53</v>
      </c>
      <c r="H3361" s="675">
        <v>0.03</v>
      </c>
      <c r="I3361" s="674">
        <v>0.52</v>
      </c>
      <c r="J3361" s="674">
        <v>0.01</v>
      </c>
    </row>
    <row r="3362" spans="1:10" ht="24" customHeight="1">
      <c r="A3362" s="677" t="s">
        <v>13472</v>
      </c>
      <c r="B3362" s="678" t="s">
        <v>13600</v>
      </c>
      <c r="C3362" s="677" t="s">
        <v>7</v>
      </c>
      <c r="D3362" s="677" t="s">
        <v>41</v>
      </c>
      <c r="E3362" s="918" t="s">
        <v>13470</v>
      </c>
      <c r="F3362" s="918"/>
      <c r="G3362" s="676" t="s">
        <v>19</v>
      </c>
      <c r="H3362" s="675">
        <v>1.03</v>
      </c>
      <c r="I3362" s="674">
        <v>17.670000000000002</v>
      </c>
      <c r="J3362" s="674">
        <v>18.2</v>
      </c>
    </row>
    <row r="3363" spans="1:10" ht="24" customHeight="1">
      <c r="A3363" s="677" t="s">
        <v>13472</v>
      </c>
      <c r="B3363" s="678" t="s">
        <v>13471</v>
      </c>
      <c r="C3363" s="677" t="s">
        <v>7</v>
      </c>
      <c r="D3363" s="677" t="s">
        <v>21</v>
      </c>
      <c r="E3363" s="918" t="s">
        <v>13470</v>
      </c>
      <c r="F3363" s="918"/>
      <c r="G3363" s="676" t="s">
        <v>19</v>
      </c>
      <c r="H3363" s="675">
        <v>0.34300000000000003</v>
      </c>
      <c r="I3363" s="674">
        <v>14.02</v>
      </c>
      <c r="J3363" s="674">
        <v>4.8</v>
      </c>
    </row>
    <row r="3364" spans="1:10" ht="24" customHeight="1">
      <c r="A3364" s="672" t="s">
        <v>13467</v>
      </c>
      <c r="B3364" s="673" t="s">
        <v>14323</v>
      </c>
      <c r="C3364" s="672" t="s">
        <v>7</v>
      </c>
      <c r="D3364" s="672" t="s">
        <v>14322</v>
      </c>
      <c r="E3364" s="919" t="s">
        <v>13464</v>
      </c>
      <c r="F3364" s="919"/>
      <c r="G3364" s="671" t="s">
        <v>13515</v>
      </c>
      <c r="H3364" s="670">
        <v>1.1299999999999999</v>
      </c>
      <c r="I3364" s="669">
        <v>79.849999999999994</v>
      </c>
      <c r="J3364" s="669">
        <v>90.23</v>
      </c>
    </row>
    <row r="3365" spans="1:10" ht="25.5">
      <c r="A3365" s="668"/>
      <c r="B3365" s="668"/>
      <c r="C3365" s="668"/>
      <c r="D3365" s="668"/>
      <c r="E3365" s="668" t="s">
        <v>13463</v>
      </c>
      <c r="F3365" s="667">
        <v>9.6707595349342608</v>
      </c>
      <c r="G3365" s="668" t="s">
        <v>13462</v>
      </c>
      <c r="H3365" s="667">
        <v>8.1300000000000008</v>
      </c>
      <c r="I3365" s="668" t="s">
        <v>13461</v>
      </c>
      <c r="J3365" s="667">
        <v>17.8</v>
      </c>
    </row>
    <row r="3366" spans="1:10" ht="15" thickBot="1">
      <c r="A3366" s="668"/>
      <c r="B3366" s="668"/>
      <c r="C3366" s="668"/>
      <c r="D3366" s="668"/>
      <c r="E3366" s="668" t="s">
        <v>13460</v>
      </c>
      <c r="F3366" s="667">
        <v>32.06</v>
      </c>
      <c r="G3366" s="668"/>
      <c r="H3366" s="925" t="s">
        <v>13459</v>
      </c>
      <c r="I3366" s="925"/>
      <c r="J3366" s="667">
        <v>145.6</v>
      </c>
    </row>
    <row r="3367" spans="1:10" ht="0.95" customHeight="1" thickTop="1">
      <c r="A3367" s="666"/>
      <c r="B3367" s="666"/>
      <c r="C3367" s="666"/>
      <c r="D3367" s="666"/>
      <c r="E3367" s="666"/>
      <c r="F3367" s="666"/>
      <c r="G3367" s="666"/>
      <c r="H3367" s="666"/>
      <c r="I3367" s="666"/>
      <c r="J3367" s="666"/>
    </row>
    <row r="3368" spans="1:10" ht="18" customHeight="1">
      <c r="A3368" s="686" t="s">
        <v>14111</v>
      </c>
      <c r="B3368" s="684" t="s">
        <v>13484</v>
      </c>
      <c r="C3368" s="686" t="s">
        <v>13483</v>
      </c>
      <c r="D3368" s="686" t="s">
        <v>13482</v>
      </c>
      <c r="E3368" s="924" t="s">
        <v>13481</v>
      </c>
      <c r="F3368" s="924"/>
      <c r="G3368" s="685" t="s">
        <v>13480</v>
      </c>
      <c r="H3368" s="684" t="s">
        <v>13479</v>
      </c>
      <c r="I3368" s="684" t="s">
        <v>13478</v>
      </c>
      <c r="J3368" s="684" t="s">
        <v>13477</v>
      </c>
    </row>
    <row r="3369" spans="1:10" ht="36" customHeight="1">
      <c r="A3369" s="682" t="s">
        <v>13476</v>
      </c>
      <c r="B3369" s="683" t="s">
        <v>14321</v>
      </c>
      <c r="C3369" s="682" t="s">
        <v>7</v>
      </c>
      <c r="D3369" s="682" t="s">
        <v>3358</v>
      </c>
      <c r="E3369" s="917" t="s">
        <v>13646</v>
      </c>
      <c r="F3369" s="917"/>
      <c r="G3369" s="681" t="s">
        <v>13515</v>
      </c>
      <c r="H3369" s="680">
        <v>1</v>
      </c>
      <c r="I3369" s="679">
        <v>521.23</v>
      </c>
      <c r="J3369" s="679">
        <v>521.23</v>
      </c>
    </row>
    <row r="3370" spans="1:10" ht="36" customHeight="1">
      <c r="A3370" s="677" t="s">
        <v>13472</v>
      </c>
      <c r="B3370" s="678" t="s">
        <v>13499</v>
      </c>
      <c r="C3370" s="677" t="s">
        <v>7</v>
      </c>
      <c r="D3370" s="677" t="s">
        <v>1739</v>
      </c>
      <c r="E3370" s="918" t="s">
        <v>13491</v>
      </c>
      <c r="F3370" s="918"/>
      <c r="G3370" s="676" t="s">
        <v>38</v>
      </c>
      <c r="H3370" s="675">
        <v>5.2999999999999999E-2</v>
      </c>
      <c r="I3370" s="674">
        <v>1.77</v>
      </c>
      <c r="J3370" s="674">
        <v>0.09</v>
      </c>
    </row>
    <row r="3371" spans="1:10" ht="36" customHeight="1">
      <c r="A3371" s="677" t="s">
        <v>13472</v>
      </c>
      <c r="B3371" s="678" t="s">
        <v>13500</v>
      </c>
      <c r="C3371" s="677" t="s">
        <v>7</v>
      </c>
      <c r="D3371" s="677" t="s">
        <v>1740</v>
      </c>
      <c r="E3371" s="918" t="s">
        <v>13491</v>
      </c>
      <c r="F3371" s="918"/>
      <c r="G3371" s="676" t="s">
        <v>53</v>
      </c>
      <c r="H3371" s="675">
        <v>4.9000000000000002E-2</v>
      </c>
      <c r="I3371" s="674">
        <v>0.42</v>
      </c>
      <c r="J3371" s="674">
        <v>0.02</v>
      </c>
    </row>
    <row r="3372" spans="1:10" ht="24" customHeight="1">
      <c r="A3372" s="677" t="s">
        <v>13472</v>
      </c>
      <c r="B3372" s="678" t="s">
        <v>13471</v>
      </c>
      <c r="C3372" s="677" t="s">
        <v>7</v>
      </c>
      <c r="D3372" s="677" t="s">
        <v>21</v>
      </c>
      <c r="E3372" s="918" t="s">
        <v>13470</v>
      </c>
      <c r="F3372" s="918"/>
      <c r="G3372" s="676" t="s">
        <v>19</v>
      </c>
      <c r="H3372" s="675">
        <v>0.41099999999999998</v>
      </c>
      <c r="I3372" s="674">
        <v>14.02</v>
      </c>
      <c r="J3372" s="674">
        <v>5.76</v>
      </c>
    </row>
    <row r="3373" spans="1:10" ht="24" customHeight="1">
      <c r="A3373" s="677" t="s">
        <v>13472</v>
      </c>
      <c r="B3373" s="678" t="s">
        <v>13600</v>
      </c>
      <c r="C3373" s="677" t="s">
        <v>7</v>
      </c>
      <c r="D3373" s="677" t="s">
        <v>41</v>
      </c>
      <c r="E3373" s="918" t="s">
        <v>13470</v>
      </c>
      <c r="F3373" s="918"/>
      <c r="G3373" s="676" t="s">
        <v>19</v>
      </c>
      <c r="H3373" s="675">
        <v>0.41099999999999998</v>
      </c>
      <c r="I3373" s="674">
        <v>17.670000000000002</v>
      </c>
      <c r="J3373" s="674">
        <v>7.26</v>
      </c>
    </row>
    <row r="3374" spans="1:10" ht="36" customHeight="1">
      <c r="A3374" s="672" t="s">
        <v>13467</v>
      </c>
      <c r="B3374" s="673" t="s">
        <v>14308</v>
      </c>
      <c r="C3374" s="672" t="s">
        <v>7</v>
      </c>
      <c r="D3374" s="672" t="s">
        <v>14307</v>
      </c>
      <c r="E3374" s="919" t="s">
        <v>13464</v>
      </c>
      <c r="F3374" s="919"/>
      <c r="G3374" s="671" t="s">
        <v>13515</v>
      </c>
      <c r="H3374" s="670">
        <v>1.06</v>
      </c>
      <c r="I3374" s="669">
        <v>479.34</v>
      </c>
      <c r="J3374" s="669">
        <v>508.1</v>
      </c>
    </row>
    <row r="3375" spans="1:10" ht="25.5">
      <c r="A3375" s="668"/>
      <c r="B3375" s="668"/>
      <c r="C3375" s="668"/>
      <c r="D3375" s="668"/>
      <c r="E3375" s="668" t="s">
        <v>13463</v>
      </c>
      <c r="F3375" s="667">
        <v>5.3949798978593932</v>
      </c>
      <c r="G3375" s="668" t="s">
        <v>13462</v>
      </c>
      <c r="H3375" s="667">
        <v>4.54</v>
      </c>
      <c r="I3375" s="668" t="s">
        <v>13461</v>
      </c>
      <c r="J3375" s="667">
        <v>9.93</v>
      </c>
    </row>
    <row r="3376" spans="1:10" ht="15" thickBot="1">
      <c r="A3376" s="668"/>
      <c r="B3376" s="668"/>
      <c r="C3376" s="668"/>
      <c r="D3376" s="668"/>
      <c r="E3376" s="668" t="s">
        <v>13460</v>
      </c>
      <c r="F3376" s="667">
        <v>147.19</v>
      </c>
      <c r="G3376" s="668"/>
      <c r="H3376" s="925" t="s">
        <v>13459</v>
      </c>
      <c r="I3376" s="925"/>
      <c r="J3376" s="667">
        <v>668.42</v>
      </c>
    </row>
    <row r="3377" spans="1:10" ht="0.95" customHeight="1" thickTop="1">
      <c r="A3377" s="666"/>
      <c r="B3377" s="666"/>
      <c r="C3377" s="666"/>
      <c r="D3377" s="666"/>
      <c r="E3377" s="666"/>
      <c r="F3377" s="666"/>
      <c r="G3377" s="666"/>
      <c r="H3377" s="666"/>
      <c r="I3377" s="666"/>
      <c r="J3377" s="666"/>
    </row>
    <row r="3378" spans="1:10" ht="18" customHeight="1">
      <c r="A3378" s="686" t="s">
        <v>14111</v>
      </c>
      <c r="B3378" s="684" t="s">
        <v>13484</v>
      </c>
      <c r="C3378" s="686" t="s">
        <v>13483</v>
      </c>
      <c r="D3378" s="686" t="s">
        <v>13482</v>
      </c>
      <c r="E3378" s="924" t="s">
        <v>13481</v>
      </c>
      <c r="F3378" s="924"/>
      <c r="G3378" s="685" t="s">
        <v>13480</v>
      </c>
      <c r="H3378" s="684" t="s">
        <v>13479</v>
      </c>
      <c r="I3378" s="684" t="s">
        <v>13478</v>
      </c>
      <c r="J3378" s="684" t="s">
        <v>13477</v>
      </c>
    </row>
    <row r="3379" spans="1:10" ht="36" customHeight="1">
      <c r="A3379" s="682" t="s">
        <v>13476</v>
      </c>
      <c r="B3379" s="683" t="s">
        <v>14320</v>
      </c>
      <c r="C3379" s="682" t="s">
        <v>7</v>
      </c>
      <c r="D3379" s="682" t="s">
        <v>3355</v>
      </c>
      <c r="E3379" s="917" t="s">
        <v>13646</v>
      </c>
      <c r="F3379" s="917"/>
      <c r="G3379" s="681" t="s">
        <v>13610</v>
      </c>
      <c r="H3379" s="680">
        <v>1</v>
      </c>
      <c r="I3379" s="679">
        <v>82</v>
      </c>
      <c r="J3379" s="679">
        <v>82</v>
      </c>
    </row>
    <row r="3380" spans="1:10" ht="24" customHeight="1">
      <c r="A3380" s="677" t="s">
        <v>13472</v>
      </c>
      <c r="B3380" s="678" t="s">
        <v>13833</v>
      </c>
      <c r="C3380" s="677" t="s">
        <v>7</v>
      </c>
      <c r="D3380" s="677" t="s">
        <v>40</v>
      </c>
      <c r="E3380" s="918" t="s">
        <v>13470</v>
      </c>
      <c r="F3380" s="918"/>
      <c r="G3380" s="676" t="s">
        <v>19</v>
      </c>
      <c r="H3380" s="675">
        <v>2.3570000000000002</v>
      </c>
      <c r="I3380" s="674">
        <v>17.48</v>
      </c>
      <c r="J3380" s="674">
        <v>41.2</v>
      </c>
    </row>
    <row r="3381" spans="1:10" ht="24" customHeight="1">
      <c r="A3381" s="677" t="s">
        <v>13472</v>
      </c>
      <c r="B3381" s="678" t="s">
        <v>13644</v>
      </c>
      <c r="C3381" s="677" t="s">
        <v>7</v>
      </c>
      <c r="D3381" s="677" t="s">
        <v>39</v>
      </c>
      <c r="E3381" s="918" t="s">
        <v>13470</v>
      </c>
      <c r="F3381" s="918"/>
      <c r="G3381" s="676" t="s">
        <v>19</v>
      </c>
      <c r="H3381" s="675">
        <v>1.444</v>
      </c>
      <c r="I3381" s="674">
        <v>14.57</v>
      </c>
      <c r="J3381" s="674">
        <v>21.03</v>
      </c>
    </row>
    <row r="3382" spans="1:10" ht="24" customHeight="1">
      <c r="A3382" s="672" t="s">
        <v>13467</v>
      </c>
      <c r="B3382" s="673" t="s">
        <v>13641</v>
      </c>
      <c r="C3382" s="672" t="s">
        <v>7</v>
      </c>
      <c r="D3382" s="672" t="s">
        <v>13640</v>
      </c>
      <c r="E3382" s="919" t="s">
        <v>13464</v>
      </c>
      <c r="F3382" s="919"/>
      <c r="G3382" s="671" t="s">
        <v>50</v>
      </c>
      <c r="H3382" s="670">
        <v>1.7000000000000001E-2</v>
      </c>
      <c r="I3382" s="669">
        <v>5.22</v>
      </c>
      <c r="J3382" s="669">
        <v>0.08</v>
      </c>
    </row>
    <row r="3383" spans="1:10" ht="24" customHeight="1">
      <c r="A3383" s="672" t="s">
        <v>13467</v>
      </c>
      <c r="B3383" s="673" t="s">
        <v>13832</v>
      </c>
      <c r="C3383" s="672" t="s">
        <v>7</v>
      </c>
      <c r="D3383" s="672" t="s">
        <v>13831</v>
      </c>
      <c r="E3383" s="919" t="s">
        <v>13464</v>
      </c>
      <c r="F3383" s="919"/>
      <c r="G3383" s="671" t="s">
        <v>17</v>
      </c>
      <c r="H3383" s="670">
        <v>3.9E-2</v>
      </c>
      <c r="I3383" s="669">
        <v>18.309999999999999</v>
      </c>
      <c r="J3383" s="669">
        <v>0.71</v>
      </c>
    </row>
    <row r="3384" spans="1:10" ht="24" customHeight="1">
      <c r="A3384" s="672" t="s">
        <v>13467</v>
      </c>
      <c r="B3384" s="673" t="s">
        <v>13836</v>
      </c>
      <c r="C3384" s="672" t="s">
        <v>7</v>
      </c>
      <c r="D3384" s="672" t="s">
        <v>13835</v>
      </c>
      <c r="E3384" s="919" t="s">
        <v>13464</v>
      </c>
      <c r="F3384" s="919"/>
      <c r="G3384" s="671" t="s">
        <v>14</v>
      </c>
      <c r="H3384" s="670">
        <v>0.37</v>
      </c>
      <c r="I3384" s="669">
        <v>8.14</v>
      </c>
      <c r="J3384" s="669">
        <v>3.01</v>
      </c>
    </row>
    <row r="3385" spans="1:10" ht="24" customHeight="1">
      <c r="A3385" s="672" t="s">
        <v>13467</v>
      </c>
      <c r="B3385" s="673" t="s">
        <v>13651</v>
      </c>
      <c r="C3385" s="672" t="s">
        <v>7</v>
      </c>
      <c r="D3385" s="672" t="s">
        <v>13650</v>
      </c>
      <c r="E3385" s="919" t="s">
        <v>13464</v>
      </c>
      <c r="F3385" s="919"/>
      <c r="G3385" s="671" t="s">
        <v>14</v>
      </c>
      <c r="H3385" s="670">
        <v>0.44</v>
      </c>
      <c r="I3385" s="669">
        <v>2.85</v>
      </c>
      <c r="J3385" s="669">
        <v>1.25</v>
      </c>
    </row>
    <row r="3386" spans="1:10" ht="24" customHeight="1">
      <c r="A3386" s="672" t="s">
        <v>13467</v>
      </c>
      <c r="B3386" s="673" t="s">
        <v>14291</v>
      </c>
      <c r="C3386" s="672" t="s">
        <v>7</v>
      </c>
      <c r="D3386" s="672" t="s">
        <v>14290</v>
      </c>
      <c r="E3386" s="919" t="s">
        <v>13464</v>
      </c>
      <c r="F3386" s="919"/>
      <c r="G3386" s="671" t="s">
        <v>14</v>
      </c>
      <c r="H3386" s="670">
        <v>1.38</v>
      </c>
      <c r="I3386" s="669">
        <v>10.67</v>
      </c>
      <c r="J3386" s="669">
        <v>14.72</v>
      </c>
    </row>
    <row r="3387" spans="1:10" ht="25.5">
      <c r="A3387" s="668"/>
      <c r="B3387" s="668"/>
      <c r="C3387" s="668"/>
      <c r="D3387" s="668"/>
      <c r="E3387" s="668" t="s">
        <v>13463</v>
      </c>
      <c r="F3387" s="667">
        <v>26.14908182114528</v>
      </c>
      <c r="G3387" s="668" t="s">
        <v>13462</v>
      </c>
      <c r="H3387" s="667">
        <v>21.98</v>
      </c>
      <c r="I3387" s="668" t="s">
        <v>13461</v>
      </c>
      <c r="J3387" s="667">
        <v>48.13</v>
      </c>
    </row>
    <row r="3388" spans="1:10" ht="15" thickBot="1">
      <c r="A3388" s="668"/>
      <c r="B3388" s="668"/>
      <c r="C3388" s="668"/>
      <c r="D3388" s="668"/>
      <c r="E3388" s="668" t="s">
        <v>13460</v>
      </c>
      <c r="F3388" s="667">
        <v>23.15</v>
      </c>
      <c r="G3388" s="668"/>
      <c r="H3388" s="925" t="s">
        <v>13459</v>
      </c>
      <c r="I3388" s="925"/>
      <c r="J3388" s="667">
        <v>105.15</v>
      </c>
    </row>
    <row r="3389" spans="1:10" ht="0.95" customHeight="1" thickTop="1">
      <c r="A3389" s="666"/>
      <c r="B3389" s="666"/>
      <c r="C3389" s="666"/>
      <c r="D3389" s="666"/>
      <c r="E3389" s="666"/>
      <c r="F3389" s="666"/>
      <c r="G3389" s="666"/>
      <c r="H3389" s="666"/>
      <c r="I3389" s="666"/>
      <c r="J3389" s="666"/>
    </row>
    <row r="3390" spans="1:10" ht="18" customHeight="1">
      <c r="A3390" s="686" t="s">
        <v>14111</v>
      </c>
      <c r="B3390" s="684" t="s">
        <v>13484</v>
      </c>
      <c r="C3390" s="686" t="s">
        <v>13483</v>
      </c>
      <c r="D3390" s="686" t="s">
        <v>13482</v>
      </c>
      <c r="E3390" s="924" t="s">
        <v>13481</v>
      </c>
      <c r="F3390" s="924"/>
      <c r="G3390" s="685" t="s">
        <v>13480</v>
      </c>
      <c r="H3390" s="684" t="s">
        <v>13479</v>
      </c>
      <c r="I3390" s="684" t="s">
        <v>13478</v>
      </c>
      <c r="J3390" s="684" t="s">
        <v>13477</v>
      </c>
    </row>
    <row r="3391" spans="1:10" ht="36" customHeight="1">
      <c r="A3391" s="682" t="s">
        <v>13476</v>
      </c>
      <c r="B3391" s="683" t="s">
        <v>14319</v>
      </c>
      <c r="C3391" s="682" t="s">
        <v>7</v>
      </c>
      <c r="D3391" s="682" t="s">
        <v>3353</v>
      </c>
      <c r="E3391" s="917" t="s">
        <v>13646</v>
      </c>
      <c r="F3391" s="917"/>
      <c r="G3391" s="681" t="s">
        <v>13610</v>
      </c>
      <c r="H3391" s="680">
        <v>1</v>
      </c>
      <c r="I3391" s="679">
        <v>2.21</v>
      </c>
      <c r="J3391" s="679">
        <v>2.21</v>
      </c>
    </row>
    <row r="3392" spans="1:10" ht="36" customHeight="1">
      <c r="A3392" s="677" t="s">
        <v>13472</v>
      </c>
      <c r="B3392" s="678" t="s">
        <v>14011</v>
      </c>
      <c r="C3392" s="677" t="s">
        <v>7</v>
      </c>
      <c r="D3392" s="677" t="s">
        <v>2704</v>
      </c>
      <c r="E3392" s="918" t="s">
        <v>13491</v>
      </c>
      <c r="F3392" s="918"/>
      <c r="G3392" s="676" t="s">
        <v>38</v>
      </c>
      <c r="H3392" s="675">
        <v>2.5000000000000001E-2</v>
      </c>
      <c r="I3392" s="674">
        <v>6.71</v>
      </c>
      <c r="J3392" s="674">
        <v>0.16</v>
      </c>
    </row>
    <row r="3393" spans="1:10" ht="36" customHeight="1">
      <c r="A3393" s="677" t="s">
        <v>13472</v>
      </c>
      <c r="B3393" s="678" t="s">
        <v>14012</v>
      </c>
      <c r="C3393" s="677" t="s">
        <v>7</v>
      </c>
      <c r="D3393" s="677" t="s">
        <v>2705</v>
      </c>
      <c r="E3393" s="918" t="s">
        <v>13491</v>
      </c>
      <c r="F3393" s="918"/>
      <c r="G3393" s="676" t="s">
        <v>53</v>
      </c>
      <c r="H3393" s="675">
        <v>4.2000000000000003E-2</v>
      </c>
      <c r="I3393" s="674">
        <v>0.71</v>
      </c>
      <c r="J3393" s="674">
        <v>0.02</v>
      </c>
    </row>
    <row r="3394" spans="1:10" ht="24" customHeight="1">
      <c r="A3394" s="677" t="s">
        <v>13472</v>
      </c>
      <c r="B3394" s="678" t="s">
        <v>13471</v>
      </c>
      <c r="C3394" s="677" t="s">
        <v>7</v>
      </c>
      <c r="D3394" s="677" t="s">
        <v>21</v>
      </c>
      <c r="E3394" s="918" t="s">
        <v>13470</v>
      </c>
      <c r="F3394" s="918"/>
      <c r="G3394" s="676" t="s">
        <v>19</v>
      </c>
      <c r="H3394" s="675">
        <v>8.8999999999999996E-2</v>
      </c>
      <c r="I3394" s="674">
        <v>14.02</v>
      </c>
      <c r="J3394" s="674">
        <v>1.24</v>
      </c>
    </row>
    <row r="3395" spans="1:10" ht="24" customHeight="1">
      <c r="A3395" s="677" t="s">
        <v>13472</v>
      </c>
      <c r="B3395" s="678" t="s">
        <v>13600</v>
      </c>
      <c r="C3395" s="677" t="s">
        <v>7</v>
      </c>
      <c r="D3395" s="677" t="s">
        <v>41</v>
      </c>
      <c r="E3395" s="918" t="s">
        <v>13470</v>
      </c>
      <c r="F3395" s="918"/>
      <c r="G3395" s="676" t="s">
        <v>19</v>
      </c>
      <c r="H3395" s="675">
        <v>4.4999999999999998E-2</v>
      </c>
      <c r="I3395" s="674">
        <v>17.670000000000002</v>
      </c>
      <c r="J3395" s="674">
        <v>0.79</v>
      </c>
    </row>
    <row r="3396" spans="1:10" ht="25.5">
      <c r="A3396" s="668"/>
      <c r="B3396" s="668"/>
      <c r="C3396" s="668"/>
      <c r="D3396" s="668"/>
      <c r="E3396" s="668" t="s">
        <v>13463</v>
      </c>
      <c r="F3396" s="667">
        <v>0.83125067912637185</v>
      </c>
      <c r="G3396" s="668" t="s">
        <v>13462</v>
      </c>
      <c r="H3396" s="667">
        <v>0.7</v>
      </c>
      <c r="I3396" s="668" t="s">
        <v>13461</v>
      </c>
      <c r="J3396" s="667">
        <v>1.53</v>
      </c>
    </row>
    <row r="3397" spans="1:10" ht="15" thickBot="1">
      <c r="A3397" s="668"/>
      <c r="B3397" s="668"/>
      <c r="C3397" s="668"/>
      <c r="D3397" s="668"/>
      <c r="E3397" s="668" t="s">
        <v>13460</v>
      </c>
      <c r="F3397" s="667">
        <v>0.62</v>
      </c>
      <c r="G3397" s="668"/>
      <c r="H3397" s="925" t="s">
        <v>13459</v>
      </c>
      <c r="I3397" s="925"/>
      <c r="J3397" s="667">
        <v>2.83</v>
      </c>
    </row>
    <row r="3398" spans="1:10" ht="0.95" customHeight="1" thickTop="1">
      <c r="A3398" s="666"/>
      <c r="B3398" s="666"/>
      <c r="C3398" s="666"/>
      <c r="D3398" s="666"/>
      <c r="E3398" s="666"/>
      <c r="F3398" s="666"/>
      <c r="G3398" s="666"/>
      <c r="H3398" s="666"/>
      <c r="I3398" s="666"/>
      <c r="J3398" s="666"/>
    </row>
    <row r="3399" spans="1:10" ht="18" customHeight="1">
      <c r="A3399" s="686" t="s">
        <v>14111</v>
      </c>
      <c r="B3399" s="684" t="s">
        <v>13484</v>
      </c>
      <c r="C3399" s="686" t="s">
        <v>13483</v>
      </c>
      <c r="D3399" s="686" t="s">
        <v>13482</v>
      </c>
      <c r="E3399" s="924" t="s">
        <v>13481</v>
      </c>
      <c r="F3399" s="924"/>
      <c r="G3399" s="685" t="s">
        <v>13480</v>
      </c>
      <c r="H3399" s="684" t="s">
        <v>13479</v>
      </c>
      <c r="I3399" s="684" t="s">
        <v>13478</v>
      </c>
      <c r="J3399" s="684" t="s">
        <v>13477</v>
      </c>
    </row>
    <row r="3400" spans="1:10" ht="24" customHeight="1">
      <c r="A3400" s="682" t="s">
        <v>13476</v>
      </c>
      <c r="B3400" s="683" t="s">
        <v>14318</v>
      </c>
      <c r="C3400" s="682" t="s">
        <v>7</v>
      </c>
      <c r="D3400" s="682" t="s">
        <v>6152</v>
      </c>
      <c r="E3400" s="917" t="s">
        <v>13646</v>
      </c>
      <c r="F3400" s="917"/>
      <c r="G3400" s="681" t="s">
        <v>13610</v>
      </c>
      <c r="H3400" s="680">
        <v>1</v>
      </c>
      <c r="I3400" s="679">
        <v>2.4700000000000002</v>
      </c>
      <c r="J3400" s="679">
        <v>2.4700000000000002</v>
      </c>
    </row>
    <row r="3401" spans="1:10" ht="24" customHeight="1">
      <c r="A3401" s="677" t="s">
        <v>13472</v>
      </c>
      <c r="B3401" s="678" t="s">
        <v>13471</v>
      </c>
      <c r="C3401" s="677" t="s">
        <v>7</v>
      </c>
      <c r="D3401" s="677" t="s">
        <v>21</v>
      </c>
      <c r="E3401" s="918" t="s">
        <v>13470</v>
      </c>
      <c r="F3401" s="918"/>
      <c r="G3401" s="676" t="s">
        <v>19</v>
      </c>
      <c r="H3401" s="675">
        <v>5.0000000000000001E-3</v>
      </c>
      <c r="I3401" s="674">
        <v>14.02</v>
      </c>
      <c r="J3401" s="674">
        <v>7.0000000000000007E-2</v>
      </c>
    </row>
    <row r="3402" spans="1:10" ht="24" customHeight="1">
      <c r="A3402" s="677" t="s">
        <v>13472</v>
      </c>
      <c r="B3402" s="678" t="s">
        <v>13600</v>
      </c>
      <c r="C3402" s="677" t="s">
        <v>7</v>
      </c>
      <c r="D3402" s="677" t="s">
        <v>41</v>
      </c>
      <c r="E3402" s="918" t="s">
        <v>13470</v>
      </c>
      <c r="F3402" s="918"/>
      <c r="G3402" s="676" t="s">
        <v>19</v>
      </c>
      <c r="H3402" s="675">
        <v>1.4E-2</v>
      </c>
      <c r="I3402" s="674">
        <v>17.670000000000002</v>
      </c>
      <c r="J3402" s="674">
        <v>0.24</v>
      </c>
    </row>
    <row r="3403" spans="1:10" ht="24" customHeight="1">
      <c r="A3403" s="672" t="s">
        <v>13467</v>
      </c>
      <c r="B3403" s="673" t="s">
        <v>14317</v>
      </c>
      <c r="C3403" s="672" t="s">
        <v>7</v>
      </c>
      <c r="D3403" s="672" t="s">
        <v>14316</v>
      </c>
      <c r="E3403" s="919" t="s">
        <v>13464</v>
      </c>
      <c r="F3403" s="919"/>
      <c r="G3403" s="671" t="s">
        <v>13610</v>
      </c>
      <c r="H3403" s="670">
        <v>1.04</v>
      </c>
      <c r="I3403" s="669">
        <v>2.08</v>
      </c>
      <c r="J3403" s="669">
        <v>2.16</v>
      </c>
    </row>
    <row r="3404" spans="1:10" ht="25.5">
      <c r="A3404" s="668"/>
      <c r="B3404" s="668"/>
      <c r="C3404" s="668"/>
      <c r="D3404" s="668"/>
      <c r="E3404" s="668" t="s">
        <v>13463</v>
      </c>
      <c r="F3404" s="667">
        <v>0.13039226339237206</v>
      </c>
      <c r="G3404" s="668" t="s">
        <v>13462</v>
      </c>
      <c r="H3404" s="667">
        <v>0.11</v>
      </c>
      <c r="I3404" s="668" t="s">
        <v>13461</v>
      </c>
      <c r="J3404" s="667">
        <v>0.24</v>
      </c>
    </row>
    <row r="3405" spans="1:10" ht="15" thickBot="1">
      <c r="A3405" s="668"/>
      <c r="B3405" s="668"/>
      <c r="C3405" s="668"/>
      <c r="D3405" s="668"/>
      <c r="E3405" s="668" t="s">
        <v>13460</v>
      </c>
      <c r="F3405" s="667">
        <v>0.69</v>
      </c>
      <c r="G3405" s="668"/>
      <c r="H3405" s="925" t="s">
        <v>13459</v>
      </c>
      <c r="I3405" s="925"/>
      <c r="J3405" s="667">
        <v>3.16</v>
      </c>
    </row>
    <row r="3406" spans="1:10" ht="0.95" customHeight="1" thickTop="1">
      <c r="A3406" s="666"/>
      <c r="B3406" s="666"/>
      <c r="C3406" s="666"/>
      <c r="D3406" s="666"/>
      <c r="E3406" s="666"/>
      <c r="F3406" s="666"/>
      <c r="G3406" s="666"/>
      <c r="H3406" s="666"/>
      <c r="I3406" s="666"/>
      <c r="J3406" s="666"/>
    </row>
    <row r="3407" spans="1:10" ht="18" customHeight="1">
      <c r="A3407" s="686" t="s">
        <v>14111</v>
      </c>
      <c r="B3407" s="684" t="s">
        <v>13484</v>
      </c>
      <c r="C3407" s="686" t="s">
        <v>13483</v>
      </c>
      <c r="D3407" s="686" t="s">
        <v>13482</v>
      </c>
      <c r="E3407" s="924" t="s">
        <v>13481</v>
      </c>
      <c r="F3407" s="924"/>
      <c r="G3407" s="685" t="s">
        <v>13480</v>
      </c>
      <c r="H3407" s="684" t="s">
        <v>13479</v>
      </c>
      <c r="I3407" s="684" t="s">
        <v>13478</v>
      </c>
      <c r="J3407" s="684" t="s">
        <v>13477</v>
      </c>
    </row>
    <row r="3408" spans="1:10" ht="36" customHeight="1">
      <c r="A3408" s="682" t="s">
        <v>13476</v>
      </c>
      <c r="B3408" s="683" t="s">
        <v>14315</v>
      </c>
      <c r="C3408" s="682" t="s">
        <v>7</v>
      </c>
      <c r="D3408" s="682" t="s">
        <v>6757</v>
      </c>
      <c r="E3408" s="917" t="s">
        <v>13646</v>
      </c>
      <c r="F3408" s="917"/>
      <c r="G3408" s="681" t="s">
        <v>13610</v>
      </c>
      <c r="H3408" s="680">
        <v>1</v>
      </c>
      <c r="I3408" s="679">
        <v>13.51</v>
      </c>
      <c r="J3408" s="679">
        <v>13.51</v>
      </c>
    </row>
    <row r="3409" spans="1:10" ht="36" customHeight="1">
      <c r="A3409" s="677" t="s">
        <v>13472</v>
      </c>
      <c r="B3409" s="678" t="s">
        <v>14000</v>
      </c>
      <c r="C3409" s="677" t="s">
        <v>7</v>
      </c>
      <c r="D3409" s="677" t="s">
        <v>7008</v>
      </c>
      <c r="E3409" s="918" t="s">
        <v>13646</v>
      </c>
      <c r="F3409" s="918"/>
      <c r="G3409" s="676" t="s">
        <v>13515</v>
      </c>
      <c r="H3409" s="675">
        <v>3.39E-2</v>
      </c>
      <c r="I3409" s="674">
        <v>295.51</v>
      </c>
      <c r="J3409" s="674">
        <v>10.01</v>
      </c>
    </row>
    <row r="3410" spans="1:10" ht="24" customHeight="1">
      <c r="A3410" s="677" t="s">
        <v>13472</v>
      </c>
      <c r="B3410" s="678" t="s">
        <v>13471</v>
      </c>
      <c r="C3410" s="677" t="s">
        <v>7</v>
      </c>
      <c r="D3410" s="677" t="s">
        <v>21</v>
      </c>
      <c r="E3410" s="918" t="s">
        <v>13470</v>
      </c>
      <c r="F3410" s="918"/>
      <c r="G3410" s="676" t="s">
        <v>19</v>
      </c>
      <c r="H3410" s="675">
        <v>4.4400000000000002E-2</v>
      </c>
      <c r="I3410" s="674">
        <v>14.02</v>
      </c>
      <c r="J3410" s="674">
        <v>0.62</v>
      </c>
    </row>
    <row r="3411" spans="1:10" ht="24" customHeight="1">
      <c r="A3411" s="677" t="s">
        <v>13472</v>
      </c>
      <c r="B3411" s="678" t="s">
        <v>13600</v>
      </c>
      <c r="C3411" s="677" t="s">
        <v>7</v>
      </c>
      <c r="D3411" s="677" t="s">
        <v>41</v>
      </c>
      <c r="E3411" s="918" t="s">
        <v>13470</v>
      </c>
      <c r="F3411" s="918"/>
      <c r="G3411" s="676" t="s">
        <v>19</v>
      </c>
      <c r="H3411" s="675">
        <v>0.16309999999999999</v>
      </c>
      <c r="I3411" s="674">
        <v>17.670000000000002</v>
      </c>
      <c r="J3411" s="674">
        <v>2.88</v>
      </c>
    </row>
    <row r="3412" spans="1:10" ht="25.5">
      <c r="A3412" s="668"/>
      <c r="B3412" s="668"/>
      <c r="C3412" s="668"/>
      <c r="D3412" s="668"/>
      <c r="E3412" s="668" t="s">
        <v>13463</v>
      </c>
      <c r="F3412" s="667">
        <v>2.1080082581766817</v>
      </c>
      <c r="G3412" s="668" t="s">
        <v>13462</v>
      </c>
      <c r="H3412" s="667">
        <v>1.77</v>
      </c>
      <c r="I3412" s="668" t="s">
        <v>13461</v>
      </c>
      <c r="J3412" s="667">
        <v>3.88</v>
      </c>
    </row>
    <row r="3413" spans="1:10" ht="15" thickBot="1">
      <c r="A3413" s="668"/>
      <c r="B3413" s="668"/>
      <c r="C3413" s="668"/>
      <c r="D3413" s="668"/>
      <c r="E3413" s="668" t="s">
        <v>13460</v>
      </c>
      <c r="F3413" s="667">
        <v>3.81</v>
      </c>
      <c r="G3413" s="668"/>
      <c r="H3413" s="925" t="s">
        <v>13459</v>
      </c>
      <c r="I3413" s="925"/>
      <c r="J3413" s="667">
        <v>17.32</v>
      </c>
    </row>
    <row r="3414" spans="1:10" ht="0.95" customHeight="1" thickTop="1">
      <c r="A3414" s="666"/>
      <c r="B3414" s="666"/>
      <c r="C3414" s="666"/>
      <c r="D3414" s="666"/>
      <c r="E3414" s="666"/>
      <c r="F3414" s="666"/>
      <c r="G3414" s="666"/>
      <c r="H3414" s="666"/>
      <c r="I3414" s="666"/>
      <c r="J3414" s="666"/>
    </row>
    <row r="3415" spans="1:10" ht="18" customHeight="1">
      <c r="A3415" s="686" t="s">
        <v>14111</v>
      </c>
      <c r="B3415" s="684" t="s">
        <v>13484</v>
      </c>
      <c r="C3415" s="686" t="s">
        <v>13483</v>
      </c>
      <c r="D3415" s="686" t="s">
        <v>13482</v>
      </c>
      <c r="E3415" s="924" t="s">
        <v>13481</v>
      </c>
      <c r="F3415" s="924"/>
      <c r="G3415" s="685" t="s">
        <v>13480</v>
      </c>
      <c r="H3415" s="684" t="s">
        <v>13479</v>
      </c>
      <c r="I3415" s="684" t="s">
        <v>13478</v>
      </c>
      <c r="J3415" s="684" t="s">
        <v>13477</v>
      </c>
    </row>
    <row r="3416" spans="1:10" ht="24" customHeight="1">
      <c r="A3416" s="682" t="s">
        <v>13476</v>
      </c>
      <c r="B3416" s="683" t="s">
        <v>14314</v>
      </c>
      <c r="C3416" s="682" t="s">
        <v>7</v>
      </c>
      <c r="D3416" s="682" t="s">
        <v>3352</v>
      </c>
      <c r="E3416" s="917" t="s">
        <v>13646</v>
      </c>
      <c r="F3416" s="917"/>
      <c r="G3416" s="681" t="s">
        <v>13515</v>
      </c>
      <c r="H3416" s="680">
        <v>1</v>
      </c>
      <c r="I3416" s="679">
        <v>40.71</v>
      </c>
      <c r="J3416" s="679">
        <v>40.71</v>
      </c>
    </row>
    <row r="3417" spans="1:10" ht="24" customHeight="1">
      <c r="A3417" s="677" t="s">
        <v>13472</v>
      </c>
      <c r="B3417" s="678" t="s">
        <v>13471</v>
      </c>
      <c r="C3417" s="677" t="s">
        <v>7</v>
      </c>
      <c r="D3417" s="677" t="s">
        <v>21</v>
      </c>
      <c r="E3417" s="918" t="s">
        <v>13470</v>
      </c>
      <c r="F3417" s="918"/>
      <c r="G3417" s="676" t="s">
        <v>19</v>
      </c>
      <c r="H3417" s="675">
        <v>2.9039999999999999</v>
      </c>
      <c r="I3417" s="674">
        <v>14.02</v>
      </c>
      <c r="J3417" s="674">
        <v>40.71</v>
      </c>
    </row>
    <row r="3418" spans="1:10" ht="25.5">
      <c r="A3418" s="668"/>
      <c r="B3418" s="668"/>
      <c r="C3418" s="668"/>
      <c r="D3418" s="668"/>
      <c r="E3418" s="668" t="s">
        <v>13463</v>
      </c>
      <c r="F3418" s="667">
        <v>16.277300880147777</v>
      </c>
      <c r="G3418" s="668" t="s">
        <v>13462</v>
      </c>
      <c r="H3418" s="667">
        <v>13.68</v>
      </c>
      <c r="I3418" s="668" t="s">
        <v>13461</v>
      </c>
      <c r="J3418" s="667">
        <v>29.96</v>
      </c>
    </row>
    <row r="3419" spans="1:10" ht="15" thickBot="1">
      <c r="A3419" s="668"/>
      <c r="B3419" s="668"/>
      <c r="C3419" s="668"/>
      <c r="D3419" s="668"/>
      <c r="E3419" s="668" t="s">
        <v>13460</v>
      </c>
      <c r="F3419" s="667">
        <v>11.49</v>
      </c>
      <c r="G3419" s="668"/>
      <c r="H3419" s="925" t="s">
        <v>13459</v>
      </c>
      <c r="I3419" s="925"/>
      <c r="J3419" s="667">
        <v>52.2</v>
      </c>
    </row>
    <row r="3420" spans="1:10" ht="0.95" customHeight="1" thickTop="1">
      <c r="A3420" s="666"/>
      <c r="B3420" s="666"/>
      <c r="C3420" s="666"/>
      <c r="D3420" s="666"/>
      <c r="E3420" s="666"/>
      <c r="F3420" s="666"/>
      <c r="G3420" s="666"/>
      <c r="H3420" s="666"/>
      <c r="I3420" s="666"/>
      <c r="J3420" s="666"/>
    </row>
    <row r="3421" spans="1:10" ht="18" customHeight="1">
      <c r="A3421" s="686" t="s">
        <v>14111</v>
      </c>
      <c r="B3421" s="684" t="s">
        <v>13484</v>
      </c>
      <c r="C3421" s="686" t="s">
        <v>13483</v>
      </c>
      <c r="D3421" s="686" t="s">
        <v>13482</v>
      </c>
      <c r="E3421" s="924" t="s">
        <v>13481</v>
      </c>
      <c r="F3421" s="924"/>
      <c r="G3421" s="685" t="s">
        <v>13480</v>
      </c>
      <c r="H3421" s="684" t="s">
        <v>13479</v>
      </c>
      <c r="I3421" s="684" t="s">
        <v>13478</v>
      </c>
      <c r="J3421" s="684" t="s">
        <v>13477</v>
      </c>
    </row>
    <row r="3422" spans="1:10" ht="36" customHeight="1">
      <c r="A3422" s="682" t="s">
        <v>13476</v>
      </c>
      <c r="B3422" s="683" t="s">
        <v>14313</v>
      </c>
      <c r="C3422" s="682" t="s">
        <v>7</v>
      </c>
      <c r="D3422" s="682" t="s">
        <v>3356</v>
      </c>
      <c r="E3422" s="917" t="s">
        <v>13646</v>
      </c>
      <c r="F3422" s="917"/>
      <c r="G3422" s="681" t="s">
        <v>13515</v>
      </c>
      <c r="H3422" s="680">
        <v>1</v>
      </c>
      <c r="I3422" s="679">
        <v>573.55999999999995</v>
      </c>
      <c r="J3422" s="679">
        <v>573.55999999999995</v>
      </c>
    </row>
    <row r="3423" spans="1:10" ht="36" customHeight="1">
      <c r="A3423" s="677" t="s">
        <v>13472</v>
      </c>
      <c r="B3423" s="678" t="s">
        <v>13499</v>
      </c>
      <c r="C3423" s="677" t="s">
        <v>7</v>
      </c>
      <c r="D3423" s="677" t="s">
        <v>1739</v>
      </c>
      <c r="E3423" s="918" t="s">
        <v>13491</v>
      </c>
      <c r="F3423" s="918"/>
      <c r="G3423" s="676" t="s">
        <v>38</v>
      </c>
      <c r="H3423" s="675">
        <v>6.6000000000000003E-2</v>
      </c>
      <c r="I3423" s="674">
        <v>1.77</v>
      </c>
      <c r="J3423" s="674">
        <v>0.11</v>
      </c>
    </row>
    <row r="3424" spans="1:10" ht="36" customHeight="1">
      <c r="A3424" s="677" t="s">
        <v>13472</v>
      </c>
      <c r="B3424" s="678" t="s">
        <v>13500</v>
      </c>
      <c r="C3424" s="677" t="s">
        <v>7</v>
      </c>
      <c r="D3424" s="677" t="s">
        <v>1740</v>
      </c>
      <c r="E3424" s="918" t="s">
        <v>13491</v>
      </c>
      <c r="F3424" s="918"/>
      <c r="G3424" s="676" t="s">
        <v>53</v>
      </c>
      <c r="H3424" s="675">
        <v>6.6000000000000003E-2</v>
      </c>
      <c r="I3424" s="674">
        <v>0.42</v>
      </c>
      <c r="J3424" s="674">
        <v>0.02</v>
      </c>
    </row>
    <row r="3425" spans="1:10" ht="24" customHeight="1">
      <c r="A3425" s="677" t="s">
        <v>13472</v>
      </c>
      <c r="B3425" s="678" t="s">
        <v>13471</v>
      </c>
      <c r="C3425" s="677" t="s">
        <v>7</v>
      </c>
      <c r="D3425" s="677" t="s">
        <v>21</v>
      </c>
      <c r="E3425" s="918" t="s">
        <v>13470</v>
      </c>
      <c r="F3425" s="918"/>
      <c r="G3425" s="676" t="s">
        <v>19</v>
      </c>
      <c r="H3425" s="675">
        <v>0.504</v>
      </c>
      <c r="I3425" s="674">
        <v>14.02</v>
      </c>
      <c r="J3425" s="674">
        <v>7.06</v>
      </c>
    </row>
    <row r="3426" spans="1:10" ht="24" customHeight="1">
      <c r="A3426" s="677" t="s">
        <v>13472</v>
      </c>
      <c r="B3426" s="678" t="s">
        <v>13600</v>
      </c>
      <c r="C3426" s="677" t="s">
        <v>7</v>
      </c>
      <c r="D3426" s="677" t="s">
        <v>41</v>
      </c>
      <c r="E3426" s="918" t="s">
        <v>13470</v>
      </c>
      <c r="F3426" s="918"/>
      <c r="G3426" s="676" t="s">
        <v>19</v>
      </c>
      <c r="H3426" s="675">
        <v>0.504</v>
      </c>
      <c r="I3426" s="674">
        <v>17.670000000000002</v>
      </c>
      <c r="J3426" s="674">
        <v>8.9</v>
      </c>
    </row>
    <row r="3427" spans="1:10" ht="36" customHeight="1">
      <c r="A3427" s="672" t="s">
        <v>13467</v>
      </c>
      <c r="B3427" s="673" t="s">
        <v>14308</v>
      </c>
      <c r="C3427" s="672" t="s">
        <v>7</v>
      </c>
      <c r="D3427" s="672" t="s">
        <v>14307</v>
      </c>
      <c r="E3427" s="919" t="s">
        <v>13464</v>
      </c>
      <c r="F3427" s="919"/>
      <c r="G3427" s="671" t="s">
        <v>13515</v>
      </c>
      <c r="H3427" s="670">
        <v>1.163</v>
      </c>
      <c r="I3427" s="669">
        <v>479.34</v>
      </c>
      <c r="J3427" s="669">
        <v>557.47</v>
      </c>
    </row>
    <row r="3428" spans="1:10" ht="25.5">
      <c r="A3428" s="668"/>
      <c r="B3428" s="668"/>
      <c r="C3428" s="668"/>
      <c r="D3428" s="668"/>
      <c r="E3428" s="668" t="s">
        <v>13463</v>
      </c>
      <c r="F3428" s="667">
        <v>6.6174073671628815</v>
      </c>
      <c r="G3428" s="668" t="s">
        <v>13462</v>
      </c>
      <c r="H3428" s="667">
        <v>5.56</v>
      </c>
      <c r="I3428" s="668" t="s">
        <v>13461</v>
      </c>
      <c r="J3428" s="667">
        <v>12.18</v>
      </c>
    </row>
    <row r="3429" spans="1:10" ht="15" thickBot="1">
      <c r="A3429" s="668"/>
      <c r="B3429" s="668"/>
      <c r="C3429" s="668"/>
      <c r="D3429" s="668"/>
      <c r="E3429" s="668" t="s">
        <v>13460</v>
      </c>
      <c r="F3429" s="667">
        <v>161.97</v>
      </c>
      <c r="G3429" s="668"/>
      <c r="H3429" s="925" t="s">
        <v>13459</v>
      </c>
      <c r="I3429" s="925"/>
      <c r="J3429" s="667">
        <v>735.53</v>
      </c>
    </row>
    <row r="3430" spans="1:10" ht="0.95" customHeight="1" thickTop="1">
      <c r="A3430" s="666"/>
      <c r="B3430" s="666"/>
      <c r="C3430" s="666"/>
      <c r="D3430" s="666"/>
      <c r="E3430" s="666"/>
      <c r="F3430" s="666"/>
      <c r="G3430" s="666"/>
      <c r="H3430" s="666"/>
      <c r="I3430" s="666"/>
      <c r="J3430" s="666"/>
    </row>
    <row r="3431" spans="1:10" ht="18" customHeight="1">
      <c r="A3431" s="686" t="s">
        <v>14111</v>
      </c>
      <c r="B3431" s="684" t="s">
        <v>13484</v>
      </c>
      <c r="C3431" s="686" t="s">
        <v>13483</v>
      </c>
      <c r="D3431" s="686" t="s">
        <v>13482</v>
      </c>
      <c r="E3431" s="924" t="s">
        <v>13481</v>
      </c>
      <c r="F3431" s="924"/>
      <c r="G3431" s="685" t="s">
        <v>13480</v>
      </c>
      <c r="H3431" s="684" t="s">
        <v>13479</v>
      </c>
      <c r="I3431" s="684" t="s">
        <v>13478</v>
      </c>
      <c r="J3431" s="684" t="s">
        <v>13477</v>
      </c>
    </row>
    <row r="3432" spans="1:10" ht="24" customHeight="1">
      <c r="A3432" s="682" t="s">
        <v>13476</v>
      </c>
      <c r="B3432" s="683" t="s">
        <v>14312</v>
      </c>
      <c r="C3432" s="682" t="s">
        <v>7</v>
      </c>
      <c r="D3432" s="682" t="s">
        <v>6158</v>
      </c>
      <c r="E3432" s="917" t="s">
        <v>13646</v>
      </c>
      <c r="F3432" s="917"/>
      <c r="G3432" s="681" t="s">
        <v>17</v>
      </c>
      <c r="H3432" s="680">
        <v>1</v>
      </c>
      <c r="I3432" s="679">
        <v>22.64</v>
      </c>
      <c r="J3432" s="679">
        <v>22.64</v>
      </c>
    </row>
    <row r="3433" spans="1:10" ht="24" customHeight="1">
      <c r="A3433" s="677" t="s">
        <v>13472</v>
      </c>
      <c r="B3433" s="678" t="s">
        <v>13724</v>
      </c>
      <c r="C3433" s="677" t="s">
        <v>7</v>
      </c>
      <c r="D3433" s="677" t="s">
        <v>125</v>
      </c>
      <c r="E3433" s="918" t="s">
        <v>13470</v>
      </c>
      <c r="F3433" s="918"/>
      <c r="G3433" s="676" t="s">
        <v>19</v>
      </c>
      <c r="H3433" s="675">
        <v>1.7999999999999999E-2</v>
      </c>
      <c r="I3433" s="674">
        <v>17.579999999999998</v>
      </c>
      <c r="J3433" s="674">
        <v>0.31</v>
      </c>
    </row>
    <row r="3434" spans="1:10" ht="24" customHeight="1">
      <c r="A3434" s="677" t="s">
        <v>13472</v>
      </c>
      <c r="B3434" s="678" t="s">
        <v>13723</v>
      </c>
      <c r="C3434" s="677" t="s">
        <v>7</v>
      </c>
      <c r="D3434" s="677" t="s">
        <v>120</v>
      </c>
      <c r="E3434" s="918" t="s">
        <v>13470</v>
      </c>
      <c r="F3434" s="918"/>
      <c r="G3434" s="676" t="s">
        <v>19</v>
      </c>
      <c r="H3434" s="675">
        <v>7.0000000000000001E-3</v>
      </c>
      <c r="I3434" s="674">
        <v>13.4</v>
      </c>
      <c r="J3434" s="674">
        <v>0.09</v>
      </c>
    </row>
    <row r="3435" spans="1:10" ht="24" customHeight="1">
      <c r="A3435" s="672" t="s">
        <v>13467</v>
      </c>
      <c r="B3435" s="673" t="s">
        <v>13722</v>
      </c>
      <c r="C3435" s="672" t="s">
        <v>7</v>
      </c>
      <c r="D3435" s="672" t="s">
        <v>13721</v>
      </c>
      <c r="E3435" s="919" t="s">
        <v>13464</v>
      </c>
      <c r="F3435" s="919"/>
      <c r="G3435" s="671" t="s">
        <v>17</v>
      </c>
      <c r="H3435" s="670">
        <v>1.0999999999999999E-2</v>
      </c>
      <c r="I3435" s="669">
        <v>19.989999999999998</v>
      </c>
      <c r="J3435" s="669">
        <v>0.21</v>
      </c>
    </row>
    <row r="3436" spans="1:10" ht="48" customHeight="1">
      <c r="A3436" s="672" t="s">
        <v>13467</v>
      </c>
      <c r="B3436" s="673" t="s">
        <v>14311</v>
      </c>
      <c r="C3436" s="672" t="s">
        <v>7</v>
      </c>
      <c r="D3436" s="672" t="s">
        <v>14310</v>
      </c>
      <c r="E3436" s="919" t="s">
        <v>13464</v>
      </c>
      <c r="F3436" s="919"/>
      <c r="G3436" s="671" t="s">
        <v>13610</v>
      </c>
      <c r="H3436" s="670">
        <v>0.27200000000000002</v>
      </c>
      <c r="I3436" s="669">
        <v>71.66</v>
      </c>
      <c r="J3436" s="669">
        <v>19.489999999999998</v>
      </c>
    </row>
    <row r="3437" spans="1:10" ht="36" customHeight="1">
      <c r="A3437" s="672" t="s">
        <v>13467</v>
      </c>
      <c r="B3437" s="673" t="s">
        <v>14069</v>
      </c>
      <c r="C3437" s="672" t="s">
        <v>7</v>
      </c>
      <c r="D3437" s="672" t="s">
        <v>14068</v>
      </c>
      <c r="E3437" s="919" t="s">
        <v>13464</v>
      </c>
      <c r="F3437" s="919"/>
      <c r="G3437" s="671" t="s">
        <v>14</v>
      </c>
      <c r="H3437" s="670">
        <v>0.223</v>
      </c>
      <c r="I3437" s="669">
        <v>11.43</v>
      </c>
      <c r="J3437" s="669">
        <v>2.54</v>
      </c>
    </row>
    <row r="3438" spans="1:10" ht="25.5">
      <c r="A3438" s="668"/>
      <c r="B3438" s="668"/>
      <c r="C3438" s="668"/>
      <c r="D3438" s="668"/>
      <c r="E3438" s="668" t="s">
        <v>13463</v>
      </c>
      <c r="F3438" s="667">
        <v>0.16299032924046505</v>
      </c>
      <c r="G3438" s="668" t="s">
        <v>13462</v>
      </c>
      <c r="H3438" s="667">
        <v>0.14000000000000001</v>
      </c>
      <c r="I3438" s="668" t="s">
        <v>13461</v>
      </c>
      <c r="J3438" s="667">
        <v>0.3</v>
      </c>
    </row>
    <row r="3439" spans="1:10" ht="15" thickBot="1">
      <c r="A3439" s="668"/>
      <c r="B3439" s="668"/>
      <c r="C3439" s="668"/>
      <c r="D3439" s="668"/>
      <c r="E3439" s="668" t="s">
        <v>13460</v>
      </c>
      <c r="F3439" s="667">
        <v>6.39</v>
      </c>
      <c r="G3439" s="668"/>
      <c r="H3439" s="925" t="s">
        <v>13459</v>
      </c>
      <c r="I3439" s="925"/>
      <c r="J3439" s="667">
        <v>29.03</v>
      </c>
    </row>
    <row r="3440" spans="1:10" ht="0.95" customHeight="1" thickTop="1">
      <c r="A3440" s="666"/>
      <c r="B3440" s="666"/>
      <c r="C3440" s="666"/>
      <c r="D3440" s="666"/>
      <c r="E3440" s="666"/>
      <c r="F3440" s="666"/>
      <c r="G3440" s="666"/>
      <c r="H3440" s="666"/>
      <c r="I3440" s="666"/>
      <c r="J3440" s="666"/>
    </row>
    <row r="3441" spans="1:10" ht="18" customHeight="1">
      <c r="A3441" s="686" t="s">
        <v>14111</v>
      </c>
      <c r="B3441" s="684" t="s">
        <v>13484</v>
      </c>
      <c r="C3441" s="686" t="s">
        <v>13483</v>
      </c>
      <c r="D3441" s="686" t="s">
        <v>13482</v>
      </c>
      <c r="E3441" s="924" t="s">
        <v>13481</v>
      </c>
      <c r="F3441" s="924"/>
      <c r="G3441" s="685" t="s">
        <v>13480</v>
      </c>
      <c r="H3441" s="684" t="s">
        <v>13479</v>
      </c>
      <c r="I3441" s="684" t="s">
        <v>13478</v>
      </c>
      <c r="J3441" s="684" t="s">
        <v>13477</v>
      </c>
    </row>
    <row r="3442" spans="1:10" ht="36" customHeight="1">
      <c r="A3442" s="682" t="s">
        <v>13476</v>
      </c>
      <c r="B3442" s="683" t="s">
        <v>14309</v>
      </c>
      <c r="C3442" s="682" t="s">
        <v>7</v>
      </c>
      <c r="D3442" s="682" t="s">
        <v>3357</v>
      </c>
      <c r="E3442" s="917" t="s">
        <v>13646</v>
      </c>
      <c r="F3442" s="917"/>
      <c r="G3442" s="681" t="s">
        <v>13515</v>
      </c>
      <c r="H3442" s="680">
        <v>1</v>
      </c>
      <c r="I3442" s="679">
        <v>538.99</v>
      </c>
      <c r="J3442" s="679">
        <v>538.99</v>
      </c>
    </row>
    <row r="3443" spans="1:10" ht="36" customHeight="1">
      <c r="A3443" s="677" t="s">
        <v>13472</v>
      </c>
      <c r="B3443" s="678" t="s">
        <v>13499</v>
      </c>
      <c r="C3443" s="677" t="s">
        <v>7</v>
      </c>
      <c r="D3443" s="677" t="s">
        <v>1739</v>
      </c>
      <c r="E3443" s="918" t="s">
        <v>13491</v>
      </c>
      <c r="F3443" s="918"/>
      <c r="G3443" s="676" t="s">
        <v>38</v>
      </c>
      <c r="H3443" s="675">
        <v>5.8000000000000003E-2</v>
      </c>
      <c r="I3443" s="674">
        <v>1.77</v>
      </c>
      <c r="J3443" s="674">
        <v>0.1</v>
      </c>
    </row>
    <row r="3444" spans="1:10" ht="36" customHeight="1">
      <c r="A3444" s="677" t="s">
        <v>13472</v>
      </c>
      <c r="B3444" s="678" t="s">
        <v>13500</v>
      </c>
      <c r="C3444" s="677" t="s">
        <v>7</v>
      </c>
      <c r="D3444" s="677" t="s">
        <v>1740</v>
      </c>
      <c r="E3444" s="918" t="s">
        <v>13491</v>
      </c>
      <c r="F3444" s="918"/>
      <c r="G3444" s="676" t="s">
        <v>53</v>
      </c>
      <c r="H3444" s="675">
        <v>5.2999999999999999E-2</v>
      </c>
      <c r="I3444" s="674">
        <v>0.42</v>
      </c>
      <c r="J3444" s="674">
        <v>0.02</v>
      </c>
    </row>
    <row r="3445" spans="1:10" ht="24" customHeight="1">
      <c r="A3445" s="677" t="s">
        <v>13472</v>
      </c>
      <c r="B3445" s="678" t="s">
        <v>13600</v>
      </c>
      <c r="C3445" s="677" t="s">
        <v>7</v>
      </c>
      <c r="D3445" s="677" t="s">
        <v>41</v>
      </c>
      <c r="E3445" s="918" t="s">
        <v>13470</v>
      </c>
      <c r="F3445" s="918"/>
      <c r="G3445" s="676" t="s">
        <v>19</v>
      </c>
      <c r="H3445" s="675">
        <v>0.442</v>
      </c>
      <c r="I3445" s="674">
        <v>17.670000000000002</v>
      </c>
      <c r="J3445" s="674">
        <v>7.81</v>
      </c>
    </row>
    <row r="3446" spans="1:10" ht="24" customHeight="1">
      <c r="A3446" s="677" t="s">
        <v>13472</v>
      </c>
      <c r="B3446" s="678" t="s">
        <v>13471</v>
      </c>
      <c r="C3446" s="677" t="s">
        <v>7</v>
      </c>
      <c r="D3446" s="677" t="s">
        <v>21</v>
      </c>
      <c r="E3446" s="918" t="s">
        <v>13470</v>
      </c>
      <c r="F3446" s="918"/>
      <c r="G3446" s="676" t="s">
        <v>19</v>
      </c>
      <c r="H3446" s="675">
        <v>0.442</v>
      </c>
      <c r="I3446" s="674">
        <v>14.02</v>
      </c>
      <c r="J3446" s="674">
        <v>6.19</v>
      </c>
    </row>
    <row r="3447" spans="1:10" ht="36" customHeight="1">
      <c r="A3447" s="672" t="s">
        <v>13467</v>
      </c>
      <c r="B3447" s="673" t="s">
        <v>14308</v>
      </c>
      <c r="C3447" s="672" t="s">
        <v>7</v>
      </c>
      <c r="D3447" s="672" t="s">
        <v>14307</v>
      </c>
      <c r="E3447" s="919" t="s">
        <v>13464</v>
      </c>
      <c r="F3447" s="919"/>
      <c r="G3447" s="671" t="s">
        <v>13515</v>
      </c>
      <c r="H3447" s="670">
        <v>1.095</v>
      </c>
      <c r="I3447" s="669">
        <v>479.34</v>
      </c>
      <c r="J3447" s="669">
        <v>524.87</v>
      </c>
    </row>
    <row r="3448" spans="1:10" ht="25.5">
      <c r="A3448" s="668"/>
      <c r="B3448" s="668"/>
      <c r="C3448" s="668"/>
      <c r="D3448" s="668"/>
      <c r="E3448" s="668" t="s">
        <v>13463</v>
      </c>
      <c r="F3448" s="667">
        <v>5.8024557209605563</v>
      </c>
      <c r="G3448" s="668" t="s">
        <v>13462</v>
      </c>
      <c r="H3448" s="667">
        <v>4.88</v>
      </c>
      <c r="I3448" s="668" t="s">
        <v>13461</v>
      </c>
      <c r="J3448" s="667">
        <v>10.68</v>
      </c>
    </row>
    <row r="3449" spans="1:10" ht="15" thickBot="1">
      <c r="A3449" s="668"/>
      <c r="B3449" s="668"/>
      <c r="C3449" s="668"/>
      <c r="D3449" s="668"/>
      <c r="E3449" s="668" t="s">
        <v>13460</v>
      </c>
      <c r="F3449" s="667">
        <v>152.21</v>
      </c>
      <c r="G3449" s="668"/>
      <c r="H3449" s="925" t="s">
        <v>13459</v>
      </c>
      <c r="I3449" s="925"/>
      <c r="J3449" s="667">
        <v>691.2</v>
      </c>
    </row>
    <row r="3450" spans="1:10" ht="0.95" customHeight="1" thickTop="1">
      <c r="A3450" s="666"/>
      <c r="B3450" s="666"/>
      <c r="C3450" s="666"/>
      <c r="D3450" s="666"/>
      <c r="E3450" s="666"/>
      <c r="F3450" s="666"/>
      <c r="G3450" s="666"/>
      <c r="H3450" s="666"/>
      <c r="I3450" s="666"/>
      <c r="J3450" s="666"/>
    </row>
    <row r="3451" spans="1:10" ht="18" customHeight="1">
      <c r="A3451" s="686" t="s">
        <v>14111</v>
      </c>
      <c r="B3451" s="684" t="s">
        <v>13484</v>
      </c>
      <c r="C3451" s="686" t="s">
        <v>13483</v>
      </c>
      <c r="D3451" s="686" t="s">
        <v>13482</v>
      </c>
      <c r="E3451" s="924" t="s">
        <v>13481</v>
      </c>
      <c r="F3451" s="924"/>
      <c r="G3451" s="685" t="s">
        <v>13480</v>
      </c>
      <c r="H3451" s="684" t="s">
        <v>13479</v>
      </c>
      <c r="I3451" s="684" t="s">
        <v>13478</v>
      </c>
      <c r="J3451" s="684" t="s">
        <v>13477</v>
      </c>
    </row>
    <row r="3452" spans="1:10" ht="24" customHeight="1">
      <c r="A3452" s="682" t="s">
        <v>13476</v>
      </c>
      <c r="B3452" s="683" t="s">
        <v>14297</v>
      </c>
      <c r="C3452" s="682" t="s">
        <v>7</v>
      </c>
      <c r="D3452" s="682" t="s">
        <v>4725</v>
      </c>
      <c r="E3452" s="917" t="s">
        <v>13646</v>
      </c>
      <c r="F3452" s="917"/>
      <c r="G3452" s="681" t="s">
        <v>14</v>
      </c>
      <c r="H3452" s="680">
        <v>1</v>
      </c>
      <c r="I3452" s="679">
        <v>13.52</v>
      </c>
      <c r="J3452" s="679">
        <v>13.52</v>
      </c>
    </row>
    <row r="3453" spans="1:10" ht="36" customHeight="1">
      <c r="A3453" s="677" t="s">
        <v>13472</v>
      </c>
      <c r="B3453" s="678" t="s">
        <v>13577</v>
      </c>
      <c r="C3453" s="677" t="s">
        <v>7</v>
      </c>
      <c r="D3453" s="677" t="s">
        <v>1932</v>
      </c>
      <c r="E3453" s="918" t="s">
        <v>13491</v>
      </c>
      <c r="F3453" s="918"/>
      <c r="G3453" s="676" t="s">
        <v>38</v>
      </c>
      <c r="H3453" s="675">
        <v>7.0000000000000001E-3</v>
      </c>
      <c r="I3453" s="674">
        <v>16.260000000000002</v>
      </c>
      <c r="J3453" s="674">
        <v>0.11</v>
      </c>
    </row>
    <row r="3454" spans="1:10" ht="36" customHeight="1">
      <c r="A3454" s="677" t="s">
        <v>13472</v>
      </c>
      <c r="B3454" s="678" t="s">
        <v>13578</v>
      </c>
      <c r="C3454" s="677" t="s">
        <v>7</v>
      </c>
      <c r="D3454" s="677" t="s">
        <v>1933</v>
      </c>
      <c r="E3454" s="918" t="s">
        <v>13491</v>
      </c>
      <c r="F3454" s="918"/>
      <c r="G3454" s="676" t="s">
        <v>53</v>
      </c>
      <c r="H3454" s="675">
        <v>1.4E-2</v>
      </c>
      <c r="I3454" s="674">
        <v>13.53</v>
      </c>
      <c r="J3454" s="674">
        <v>0.18</v>
      </c>
    </row>
    <row r="3455" spans="1:10" ht="24" customHeight="1">
      <c r="A3455" s="677" t="s">
        <v>13472</v>
      </c>
      <c r="B3455" s="678" t="s">
        <v>13644</v>
      </c>
      <c r="C3455" s="677" t="s">
        <v>7</v>
      </c>
      <c r="D3455" s="677" t="s">
        <v>39</v>
      </c>
      <c r="E3455" s="918" t="s">
        <v>13470</v>
      </c>
      <c r="F3455" s="918"/>
      <c r="G3455" s="676" t="s">
        <v>19</v>
      </c>
      <c r="H3455" s="675">
        <v>2.1000000000000001E-2</v>
      </c>
      <c r="I3455" s="674">
        <v>14.57</v>
      </c>
      <c r="J3455" s="674">
        <v>0.3</v>
      </c>
    </row>
    <row r="3456" spans="1:10" ht="24" customHeight="1">
      <c r="A3456" s="677" t="s">
        <v>13472</v>
      </c>
      <c r="B3456" s="678" t="s">
        <v>13833</v>
      </c>
      <c r="C3456" s="677" t="s">
        <v>7</v>
      </c>
      <c r="D3456" s="677" t="s">
        <v>40</v>
      </c>
      <c r="E3456" s="918" t="s">
        <v>13470</v>
      </c>
      <c r="F3456" s="918"/>
      <c r="G3456" s="676" t="s">
        <v>19</v>
      </c>
      <c r="H3456" s="675">
        <v>0.106</v>
      </c>
      <c r="I3456" s="674">
        <v>17.48</v>
      </c>
      <c r="J3456" s="674">
        <v>1.85</v>
      </c>
    </row>
    <row r="3457" spans="1:10" ht="24" customHeight="1">
      <c r="A3457" s="672" t="s">
        <v>13467</v>
      </c>
      <c r="B3457" s="673" t="s">
        <v>13836</v>
      </c>
      <c r="C3457" s="672" t="s">
        <v>7</v>
      </c>
      <c r="D3457" s="672" t="s">
        <v>13835</v>
      </c>
      <c r="E3457" s="919" t="s">
        <v>13464</v>
      </c>
      <c r="F3457" s="919"/>
      <c r="G3457" s="671" t="s">
        <v>14</v>
      </c>
      <c r="H3457" s="670">
        <v>1.31</v>
      </c>
      <c r="I3457" s="669">
        <v>8.14</v>
      </c>
      <c r="J3457" s="669">
        <v>10.66</v>
      </c>
    </row>
    <row r="3458" spans="1:10" ht="24" customHeight="1">
      <c r="A3458" s="672" t="s">
        <v>13467</v>
      </c>
      <c r="B3458" s="673" t="s">
        <v>13832</v>
      </c>
      <c r="C3458" s="672" t="s">
        <v>7</v>
      </c>
      <c r="D3458" s="672" t="s">
        <v>13831</v>
      </c>
      <c r="E3458" s="919" t="s">
        <v>13464</v>
      </c>
      <c r="F3458" s="919"/>
      <c r="G3458" s="671" t="s">
        <v>17</v>
      </c>
      <c r="H3458" s="670">
        <v>2.3E-2</v>
      </c>
      <c r="I3458" s="669">
        <v>18.309999999999999</v>
      </c>
      <c r="J3458" s="669">
        <v>0.42</v>
      </c>
    </row>
    <row r="3459" spans="1:10" ht="25.5">
      <c r="A3459" s="668"/>
      <c r="B3459" s="668"/>
      <c r="C3459" s="668"/>
      <c r="D3459" s="668"/>
      <c r="E3459" s="668" t="s">
        <v>13463</v>
      </c>
      <c r="F3459" s="667">
        <v>1.0214060632402477</v>
      </c>
      <c r="G3459" s="668" t="s">
        <v>13462</v>
      </c>
      <c r="H3459" s="667">
        <v>0.86</v>
      </c>
      <c r="I3459" s="668" t="s">
        <v>13461</v>
      </c>
      <c r="J3459" s="667">
        <v>1.8800000000000001</v>
      </c>
    </row>
    <row r="3460" spans="1:10" ht="15" thickBot="1">
      <c r="A3460" s="668"/>
      <c r="B3460" s="668"/>
      <c r="C3460" s="668"/>
      <c r="D3460" s="668"/>
      <c r="E3460" s="668" t="s">
        <v>13460</v>
      </c>
      <c r="F3460" s="667">
        <v>3.81</v>
      </c>
      <c r="G3460" s="668"/>
      <c r="H3460" s="925" t="s">
        <v>13459</v>
      </c>
      <c r="I3460" s="925"/>
      <c r="J3460" s="667">
        <v>17.329999999999998</v>
      </c>
    </row>
    <row r="3461" spans="1:10" ht="0.95" customHeight="1" thickTop="1">
      <c r="A3461" s="666"/>
      <c r="B3461" s="666"/>
      <c r="C3461" s="666"/>
      <c r="D3461" s="666"/>
      <c r="E3461" s="666"/>
      <c r="F3461" s="666"/>
      <c r="G3461" s="666"/>
      <c r="H3461" s="666"/>
      <c r="I3461" s="666"/>
      <c r="J3461" s="666"/>
    </row>
    <row r="3462" spans="1:10" ht="18" customHeight="1">
      <c r="A3462" s="686" t="s">
        <v>14111</v>
      </c>
      <c r="B3462" s="684" t="s">
        <v>13484</v>
      </c>
      <c r="C3462" s="686" t="s">
        <v>13483</v>
      </c>
      <c r="D3462" s="686" t="s">
        <v>13482</v>
      </c>
      <c r="E3462" s="924" t="s">
        <v>13481</v>
      </c>
      <c r="F3462" s="924"/>
      <c r="G3462" s="685" t="s">
        <v>13480</v>
      </c>
      <c r="H3462" s="684" t="s">
        <v>13479</v>
      </c>
      <c r="I3462" s="684" t="s">
        <v>13478</v>
      </c>
      <c r="J3462" s="684" t="s">
        <v>13477</v>
      </c>
    </row>
    <row r="3463" spans="1:10" ht="36" customHeight="1">
      <c r="A3463" s="682" t="s">
        <v>13476</v>
      </c>
      <c r="B3463" s="683" t="s">
        <v>13727</v>
      </c>
      <c r="C3463" s="682" t="s">
        <v>7</v>
      </c>
      <c r="D3463" s="682" t="s">
        <v>2209</v>
      </c>
      <c r="E3463" s="917" t="s">
        <v>13646</v>
      </c>
      <c r="F3463" s="917"/>
      <c r="G3463" s="681" t="s">
        <v>17</v>
      </c>
      <c r="H3463" s="680">
        <v>1</v>
      </c>
      <c r="I3463" s="679">
        <v>13.3</v>
      </c>
      <c r="J3463" s="679">
        <v>13.3</v>
      </c>
    </row>
    <row r="3464" spans="1:10" ht="24" customHeight="1">
      <c r="A3464" s="677" t="s">
        <v>13472</v>
      </c>
      <c r="B3464" s="678" t="s">
        <v>13724</v>
      </c>
      <c r="C3464" s="677" t="s">
        <v>7</v>
      </c>
      <c r="D3464" s="677" t="s">
        <v>125</v>
      </c>
      <c r="E3464" s="918" t="s">
        <v>13470</v>
      </c>
      <c r="F3464" s="918"/>
      <c r="G3464" s="676" t="s">
        <v>19</v>
      </c>
      <c r="H3464" s="675">
        <v>7.0000000000000001E-3</v>
      </c>
      <c r="I3464" s="674">
        <v>17.579999999999998</v>
      </c>
      <c r="J3464" s="674">
        <v>0.12</v>
      </c>
    </row>
    <row r="3465" spans="1:10" ht="24" customHeight="1">
      <c r="A3465" s="677" t="s">
        <v>13472</v>
      </c>
      <c r="B3465" s="678" t="s">
        <v>13723</v>
      </c>
      <c r="C3465" s="677" t="s">
        <v>7</v>
      </c>
      <c r="D3465" s="677" t="s">
        <v>120</v>
      </c>
      <c r="E3465" s="918" t="s">
        <v>13470</v>
      </c>
      <c r="F3465" s="918"/>
      <c r="G3465" s="676" t="s">
        <v>19</v>
      </c>
      <c r="H3465" s="675">
        <v>1E-3</v>
      </c>
      <c r="I3465" s="674">
        <v>13.4</v>
      </c>
      <c r="J3465" s="674">
        <v>0.01</v>
      </c>
    </row>
    <row r="3466" spans="1:10" ht="24" customHeight="1">
      <c r="A3466" s="672" t="s">
        <v>13467</v>
      </c>
      <c r="B3466" s="673" t="s">
        <v>13979</v>
      </c>
      <c r="C3466" s="672" t="s">
        <v>7</v>
      </c>
      <c r="D3466" s="672" t="s">
        <v>13978</v>
      </c>
      <c r="E3466" s="919" t="s">
        <v>13464</v>
      </c>
      <c r="F3466" s="919"/>
      <c r="G3466" s="671" t="s">
        <v>17</v>
      </c>
      <c r="H3466" s="670">
        <v>1.1100000000000001</v>
      </c>
      <c r="I3466" s="669">
        <v>11.87</v>
      </c>
      <c r="J3466" s="669">
        <v>13.17</v>
      </c>
    </row>
    <row r="3467" spans="1:10" ht="25.5">
      <c r="A3467" s="668"/>
      <c r="B3467" s="668"/>
      <c r="C3467" s="668"/>
      <c r="D3467" s="668"/>
      <c r="E3467" s="668" t="s">
        <v>13463</v>
      </c>
      <c r="F3467" s="667">
        <v>4.8897098772139519E-2</v>
      </c>
      <c r="G3467" s="668" t="s">
        <v>13462</v>
      </c>
      <c r="H3467" s="667">
        <v>0.04</v>
      </c>
      <c r="I3467" s="668" t="s">
        <v>13461</v>
      </c>
      <c r="J3467" s="667">
        <v>0.09</v>
      </c>
    </row>
    <row r="3468" spans="1:10" ht="15" thickBot="1">
      <c r="A3468" s="668"/>
      <c r="B3468" s="668"/>
      <c r="C3468" s="668"/>
      <c r="D3468" s="668"/>
      <c r="E3468" s="668" t="s">
        <v>13460</v>
      </c>
      <c r="F3468" s="667">
        <v>3.75</v>
      </c>
      <c r="G3468" s="668"/>
      <c r="H3468" s="925" t="s">
        <v>13459</v>
      </c>
      <c r="I3468" s="925"/>
      <c r="J3468" s="667">
        <v>17.05</v>
      </c>
    </row>
    <row r="3469" spans="1:10" ht="0.95" customHeight="1" thickTop="1">
      <c r="A3469" s="666"/>
      <c r="B3469" s="666"/>
      <c r="C3469" s="666"/>
      <c r="D3469" s="666"/>
      <c r="E3469" s="666"/>
      <c r="F3469" s="666"/>
      <c r="G3469" s="666"/>
      <c r="H3469" s="666"/>
      <c r="I3469" s="666"/>
      <c r="J3469" s="666"/>
    </row>
    <row r="3470" spans="1:10" ht="18" customHeight="1">
      <c r="A3470" s="686" t="s">
        <v>14111</v>
      </c>
      <c r="B3470" s="684" t="s">
        <v>13484</v>
      </c>
      <c r="C3470" s="686" t="s">
        <v>13483</v>
      </c>
      <c r="D3470" s="686" t="s">
        <v>13482</v>
      </c>
      <c r="E3470" s="924" t="s">
        <v>13481</v>
      </c>
      <c r="F3470" s="924"/>
      <c r="G3470" s="685" t="s">
        <v>13480</v>
      </c>
      <c r="H3470" s="684" t="s">
        <v>13479</v>
      </c>
      <c r="I3470" s="684" t="s">
        <v>13478</v>
      </c>
      <c r="J3470" s="684" t="s">
        <v>13477</v>
      </c>
    </row>
    <row r="3471" spans="1:10" ht="36" customHeight="1">
      <c r="A3471" s="682" t="s">
        <v>13476</v>
      </c>
      <c r="B3471" s="683" t="s">
        <v>14306</v>
      </c>
      <c r="C3471" s="682" t="s">
        <v>7</v>
      </c>
      <c r="D3471" s="682" t="s">
        <v>2212</v>
      </c>
      <c r="E3471" s="917" t="s">
        <v>13646</v>
      </c>
      <c r="F3471" s="917"/>
      <c r="G3471" s="681" t="s">
        <v>17</v>
      </c>
      <c r="H3471" s="680">
        <v>1</v>
      </c>
      <c r="I3471" s="679">
        <v>15.61</v>
      </c>
      <c r="J3471" s="679">
        <v>15.61</v>
      </c>
    </row>
    <row r="3472" spans="1:10" ht="24" customHeight="1">
      <c r="A3472" s="677" t="s">
        <v>13472</v>
      </c>
      <c r="B3472" s="678" t="s">
        <v>13724</v>
      </c>
      <c r="C3472" s="677" t="s">
        <v>7</v>
      </c>
      <c r="D3472" s="677" t="s">
        <v>125</v>
      </c>
      <c r="E3472" s="918" t="s">
        <v>13470</v>
      </c>
      <c r="F3472" s="918"/>
      <c r="G3472" s="676" t="s">
        <v>19</v>
      </c>
      <c r="H3472" s="675">
        <v>1.1000000000000001E-3</v>
      </c>
      <c r="I3472" s="674">
        <v>17.579999999999998</v>
      </c>
      <c r="J3472" s="674">
        <v>0.01</v>
      </c>
    </row>
    <row r="3473" spans="1:10" ht="24" customHeight="1">
      <c r="A3473" s="672" t="s">
        <v>13467</v>
      </c>
      <c r="B3473" s="673" t="s">
        <v>14305</v>
      </c>
      <c r="C3473" s="672" t="s">
        <v>7</v>
      </c>
      <c r="D3473" s="672" t="s">
        <v>14304</v>
      </c>
      <c r="E3473" s="919" t="s">
        <v>13464</v>
      </c>
      <c r="F3473" s="919"/>
      <c r="G3473" s="671" t="s">
        <v>17</v>
      </c>
      <c r="H3473" s="670">
        <v>1.1399999999999999</v>
      </c>
      <c r="I3473" s="669">
        <v>13.69</v>
      </c>
      <c r="J3473" s="669">
        <v>15.6</v>
      </c>
    </row>
    <row r="3474" spans="1:10" ht="25.5">
      <c r="A3474" s="668"/>
      <c r="B3474" s="668"/>
      <c r="C3474" s="668"/>
      <c r="D3474" s="668"/>
      <c r="E3474" s="668" t="s">
        <v>13463</v>
      </c>
      <c r="F3474" s="667">
        <v>5.4330109746821686E-3</v>
      </c>
      <c r="G3474" s="668" t="s">
        <v>13462</v>
      </c>
      <c r="H3474" s="667">
        <v>0</v>
      </c>
      <c r="I3474" s="668" t="s">
        <v>13461</v>
      </c>
      <c r="J3474" s="667">
        <v>0.01</v>
      </c>
    </row>
    <row r="3475" spans="1:10" ht="15" thickBot="1">
      <c r="A3475" s="668"/>
      <c r="B3475" s="668"/>
      <c r="C3475" s="668"/>
      <c r="D3475" s="668"/>
      <c r="E3475" s="668" t="s">
        <v>13460</v>
      </c>
      <c r="F3475" s="667">
        <v>4.4000000000000004</v>
      </c>
      <c r="G3475" s="668"/>
      <c r="H3475" s="925" t="s">
        <v>13459</v>
      </c>
      <c r="I3475" s="925"/>
      <c r="J3475" s="667">
        <v>20.010000000000002</v>
      </c>
    </row>
    <row r="3476" spans="1:10" ht="0.95" customHeight="1" thickTop="1">
      <c r="A3476" s="666"/>
      <c r="B3476" s="666"/>
      <c r="C3476" s="666"/>
      <c r="D3476" s="666"/>
      <c r="E3476" s="666"/>
      <c r="F3476" s="666"/>
      <c r="G3476" s="666"/>
      <c r="H3476" s="666"/>
      <c r="I3476" s="666"/>
      <c r="J3476" s="666"/>
    </row>
    <row r="3477" spans="1:10" ht="18" customHeight="1">
      <c r="A3477" s="686" t="s">
        <v>14111</v>
      </c>
      <c r="B3477" s="684" t="s">
        <v>13484</v>
      </c>
      <c r="C3477" s="686" t="s">
        <v>13483</v>
      </c>
      <c r="D3477" s="686" t="s">
        <v>13482</v>
      </c>
      <c r="E3477" s="924" t="s">
        <v>13481</v>
      </c>
      <c r="F3477" s="924"/>
      <c r="G3477" s="685" t="s">
        <v>13480</v>
      </c>
      <c r="H3477" s="684" t="s">
        <v>13479</v>
      </c>
      <c r="I3477" s="684" t="s">
        <v>13478</v>
      </c>
      <c r="J3477" s="684" t="s">
        <v>13477</v>
      </c>
    </row>
    <row r="3478" spans="1:10" ht="36" customHeight="1">
      <c r="A3478" s="682" t="s">
        <v>13476</v>
      </c>
      <c r="B3478" s="683" t="s">
        <v>14303</v>
      </c>
      <c r="C3478" s="682" t="s">
        <v>7</v>
      </c>
      <c r="D3478" s="682" t="s">
        <v>2206</v>
      </c>
      <c r="E3478" s="917" t="s">
        <v>13646</v>
      </c>
      <c r="F3478" s="917"/>
      <c r="G3478" s="681" t="s">
        <v>17</v>
      </c>
      <c r="H3478" s="680">
        <v>1</v>
      </c>
      <c r="I3478" s="679">
        <v>16.27</v>
      </c>
      <c r="J3478" s="679">
        <v>16.27</v>
      </c>
    </row>
    <row r="3479" spans="1:10" ht="24" customHeight="1">
      <c r="A3479" s="677" t="s">
        <v>13472</v>
      </c>
      <c r="B3479" s="678" t="s">
        <v>13724</v>
      </c>
      <c r="C3479" s="677" t="s">
        <v>7</v>
      </c>
      <c r="D3479" s="677" t="s">
        <v>125</v>
      </c>
      <c r="E3479" s="918" t="s">
        <v>13470</v>
      </c>
      <c r="F3479" s="918"/>
      <c r="G3479" s="676" t="s">
        <v>19</v>
      </c>
      <c r="H3479" s="675">
        <v>4.2000000000000003E-2</v>
      </c>
      <c r="I3479" s="674">
        <v>17.579999999999998</v>
      </c>
      <c r="J3479" s="674">
        <v>0.73</v>
      </c>
    </row>
    <row r="3480" spans="1:10" ht="24" customHeight="1">
      <c r="A3480" s="677" t="s">
        <v>13472</v>
      </c>
      <c r="B3480" s="678" t="s">
        <v>13723</v>
      </c>
      <c r="C3480" s="677" t="s">
        <v>7</v>
      </c>
      <c r="D3480" s="677" t="s">
        <v>120</v>
      </c>
      <c r="E3480" s="918" t="s">
        <v>13470</v>
      </c>
      <c r="F3480" s="918"/>
      <c r="G3480" s="676" t="s">
        <v>19</v>
      </c>
      <c r="H3480" s="675">
        <v>5.8999999999999999E-3</v>
      </c>
      <c r="I3480" s="674">
        <v>13.4</v>
      </c>
      <c r="J3480" s="674">
        <v>7.0000000000000007E-2</v>
      </c>
    </row>
    <row r="3481" spans="1:10" ht="24" customHeight="1">
      <c r="A3481" s="672" t="s">
        <v>13467</v>
      </c>
      <c r="B3481" s="673" t="s">
        <v>14302</v>
      </c>
      <c r="C3481" s="672" t="s">
        <v>7</v>
      </c>
      <c r="D3481" s="672" t="s">
        <v>14301</v>
      </c>
      <c r="E3481" s="919" t="s">
        <v>13464</v>
      </c>
      <c r="F3481" s="919"/>
      <c r="G3481" s="671" t="s">
        <v>17</v>
      </c>
      <c r="H3481" s="670">
        <v>1.07</v>
      </c>
      <c r="I3481" s="669">
        <v>14.46</v>
      </c>
      <c r="J3481" s="669">
        <v>15.47</v>
      </c>
    </row>
    <row r="3482" spans="1:10" ht="25.5">
      <c r="A3482" s="668"/>
      <c r="B3482" s="668"/>
      <c r="C3482" s="668"/>
      <c r="D3482" s="668"/>
      <c r="E3482" s="668" t="s">
        <v>13463</v>
      </c>
      <c r="F3482" s="667">
        <v>0.33684668043029448</v>
      </c>
      <c r="G3482" s="668" t="s">
        <v>13462</v>
      </c>
      <c r="H3482" s="667">
        <v>0.28000000000000003</v>
      </c>
      <c r="I3482" s="668" t="s">
        <v>13461</v>
      </c>
      <c r="J3482" s="667">
        <v>0.62</v>
      </c>
    </row>
    <row r="3483" spans="1:10" ht="15" thickBot="1">
      <c r="A3483" s="668"/>
      <c r="B3483" s="668"/>
      <c r="C3483" s="668"/>
      <c r="D3483" s="668"/>
      <c r="E3483" s="668" t="s">
        <v>13460</v>
      </c>
      <c r="F3483" s="667">
        <v>4.59</v>
      </c>
      <c r="G3483" s="668"/>
      <c r="H3483" s="925" t="s">
        <v>13459</v>
      </c>
      <c r="I3483" s="925"/>
      <c r="J3483" s="667">
        <v>20.86</v>
      </c>
    </row>
    <row r="3484" spans="1:10" ht="0.95" customHeight="1" thickTop="1">
      <c r="A3484" s="666"/>
      <c r="B3484" s="666"/>
      <c r="C3484" s="666"/>
      <c r="D3484" s="666"/>
      <c r="E3484" s="666"/>
      <c r="F3484" s="666"/>
      <c r="G3484" s="666"/>
      <c r="H3484" s="666"/>
      <c r="I3484" s="666"/>
      <c r="J3484" s="666"/>
    </row>
    <row r="3485" spans="1:10" ht="18" customHeight="1">
      <c r="A3485" s="686" t="s">
        <v>14111</v>
      </c>
      <c r="B3485" s="684" t="s">
        <v>13484</v>
      </c>
      <c r="C3485" s="686" t="s">
        <v>13483</v>
      </c>
      <c r="D3485" s="686" t="s">
        <v>13482</v>
      </c>
      <c r="E3485" s="924" t="s">
        <v>13481</v>
      </c>
      <c r="F3485" s="924"/>
      <c r="G3485" s="685" t="s">
        <v>13480</v>
      </c>
      <c r="H3485" s="684" t="s">
        <v>13479</v>
      </c>
      <c r="I3485" s="684" t="s">
        <v>13478</v>
      </c>
      <c r="J3485" s="684" t="s">
        <v>13477</v>
      </c>
    </row>
    <row r="3486" spans="1:10" ht="48" customHeight="1">
      <c r="A3486" s="682" t="s">
        <v>13476</v>
      </c>
      <c r="B3486" s="683" t="s">
        <v>14296</v>
      </c>
      <c r="C3486" s="682" t="s">
        <v>7</v>
      </c>
      <c r="D3486" s="682" t="s">
        <v>2152</v>
      </c>
      <c r="E3486" s="917" t="s">
        <v>13646</v>
      </c>
      <c r="F3486" s="917"/>
      <c r="G3486" s="681" t="s">
        <v>13515</v>
      </c>
      <c r="H3486" s="680">
        <v>1</v>
      </c>
      <c r="I3486" s="679">
        <v>521.54999999999995</v>
      </c>
      <c r="J3486" s="679">
        <v>521.54999999999995</v>
      </c>
    </row>
    <row r="3487" spans="1:10" ht="36" customHeight="1">
      <c r="A3487" s="677" t="s">
        <v>13472</v>
      </c>
      <c r="B3487" s="678" t="s">
        <v>13499</v>
      </c>
      <c r="C3487" s="677" t="s">
        <v>7</v>
      </c>
      <c r="D3487" s="677" t="s">
        <v>1739</v>
      </c>
      <c r="E3487" s="918" t="s">
        <v>13491</v>
      </c>
      <c r="F3487" s="918"/>
      <c r="G3487" s="676" t="s">
        <v>38</v>
      </c>
      <c r="H3487" s="675">
        <v>7.9000000000000001E-2</v>
      </c>
      <c r="I3487" s="674">
        <v>1.77</v>
      </c>
      <c r="J3487" s="674">
        <v>0.13</v>
      </c>
    </row>
    <row r="3488" spans="1:10" ht="36" customHeight="1">
      <c r="A3488" s="677" t="s">
        <v>13472</v>
      </c>
      <c r="B3488" s="678" t="s">
        <v>13500</v>
      </c>
      <c r="C3488" s="677" t="s">
        <v>7</v>
      </c>
      <c r="D3488" s="677" t="s">
        <v>1740</v>
      </c>
      <c r="E3488" s="918" t="s">
        <v>13491</v>
      </c>
      <c r="F3488" s="918"/>
      <c r="G3488" s="676" t="s">
        <v>53</v>
      </c>
      <c r="H3488" s="675">
        <v>0.14399999999999999</v>
      </c>
      <c r="I3488" s="674">
        <v>0.42</v>
      </c>
      <c r="J3488" s="674">
        <v>0.06</v>
      </c>
    </row>
    <row r="3489" spans="1:10" ht="24" customHeight="1">
      <c r="A3489" s="677" t="s">
        <v>13472</v>
      </c>
      <c r="B3489" s="678" t="s">
        <v>13833</v>
      </c>
      <c r="C3489" s="677" t="s">
        <v>7</v>
      </c>
      <c r="D3489" s="677" t="s">
        <v>40</v>
      </c>
      <c r="E3489" s="918" t="s">
        <v>13470</v>
      </c>
      <c r="F3489" s="918"/>
      <c r="G3489" s="676" t="s">
        <v>19</v>
      </c>
      <c r="H3489" s="675">
        <v>0.112</v>
      </c>
      <c r="I3489" s="674">
        <v>17.48</v>
      </c>
      <c r="J3489" s="674">
        <v>1.95</v>
      </c>
    </row>
    <row r="3490" spans="1:10" ht="24" customHeight="1">
      <c r="A3490" s="677" t="s">
        <v>13472</v>
      </c>
      <c r="B3490" s="678" t="s">
        <v>13600</v>
      </c>
      <c r="C3490" s="677" t="s">
        <v>7</v>
      </c>
      <c r="D3490" s="677" t="s">
        <v>41</v>
      </c>
      <c r="E3490" s="918" t="s">
        <v>13470</v>
      </c>
      <c r="F3490" s="918"/>
      <c r="G3490" s="676" t="s">
        <v>19</v>
      </c>
      <c r="H3490" s="675">
        <v>0.67</v>
      </c>
      <c r="I3490" s="674">
        <v>17.670000000000002</v>
      </c>
      <c r="J3490" s="674">
        <v>11.83</v>
      </c>
    </row>
    <row r="3491" spans="1:10" ht="24" customHeight="1">
      <c r="A3491" s="677" t="s">
        <v>13472</v>
      </c>
      <c r="B3491" s="678" t="s">
        <v>13471</v>
      </c>
      <c r="C3491" s="677" t="s">
        <v>7</v>
      </c>
      <c r="D3491" s="677" t="s">
        <v>21</v>
      </c>
      <c r="E3491" s="918" t="s">
        <v>13470</v>
      </c>
      <c r="F3491" s="918"/>
      <c r="G3491" s="676" t="s">
        <v>19</v>
      </c>
      <c r="H3491" s="675">
        <v>0.74399999999999999</v>
      </c>
      <c r="I3491" s="674">
        <v>14.02</v>
      </c>
      <c r="J3491" s="674">
        <v>10.43</v>
      </c>
    </row>
    <row r="3492" spans="1:10" ht="36" customHeight="1">
      <c r="A3492" s="672" t="s">
        <v>13467</v>
      </c>
      <c r="B3492" s="673" t="s">
        <v>14300</v>
      </c>
      <c r="C3492" s="672" t="s">
        <v>7</v>
      </c>
      <c r="D3492" s="672" t="s">
        <v>14299</v>
      </c>
      <c r="E3492" s="919" t="s">
        <v>13464</v>
      </c>
      <c r="F3492" s="919"/>
      <c r="G3492" s="671" t="s">
        <v>13515</v>
      </c>
      <c r="H3492" s="670">
        <v>1.103</v>
      </c>
      <c r="I3492" s="669">
        <v>450.73</v>
      </c>
      <c r="J3492" s="669">
        <v>497.15</v>
      </c>
    </row>
    <row r="3493" spans="1:10" ht="25.5">
      <c r="A3493" s="668"/>
      <c r="B3493" s="668"/>
      <c r="C3493" s="668"/>
      <c r="D3493" s="668"/>
      <c r="E3493" s="668" t="s">
        <v>13463</v>
      </c>
      <c r="F3493" s="667">
        <v>10.04563729218733</v>
      </c>
      <c r="G3493" s="668" t="s">
        <v>13462</v>
      </c>
      <c r="H3493" s="667">
        <v>8.44</v>
      </c>
      <c r="I3493" s="668" t="s">
        <v>13461</v>
      </c>
      <c r="J3493" s="667">
        <v>18.489999999999998</v>
      </c>
    </row>
    <row r="3494" spans="1:10" ht="15" thickBot="1">
      <c r="A3494" s="668"/>
      <c r="B3494" s="668"/>
      <c r="C3494" s="668"/>
      <c r="D3494" s="668"/>
      <c r="E3494" s="668" t="s">
        <v>13460</v>
      </c>
      <c r="F3494" s="667">
        <v>147.28</v>
      </c>
      <c r="G3494" s="668"/>
      <c r="H3494" s="925" t="s">
        <v>13459</v>
      </c>
      <c r="I3494" s="925"/>
      <c r="J3494" s="667">
        <v>668.83</v>
      </c>
    </row>
    <row r="3495" spans="1:10" ht="0.95" customHeight="1" thickTop="1">
      <c r="A3495" s="666"/>
      <c r="B3495" s="666"/>
      <c r="C3495" s="666"/>
      <c r="D3495" s="666"/>
      <c r="E3495" s="666"/>
      <c r="F3495" s="666"/>
      <c r="G3495" s="666"/>
      <c r="H3495" s="666"/>
      <c r="I3495" s="666"/>
      <c r="J3495" s="666"/>
    </row>
    <row r="3496" spans="1:10" ht="18" customHeight="1">
      <c r="A3496" s="686" t="s">
        <v>14111</v>
      </c>
      <c r="B3496" s="684" t="s">
        <v>13484</v>
      </c>
      <c r="C3496" s="686" t="s">
        <v>13483</v>
      </c>
      <c r="D3496" s="686" t="s">
        <v>13482</v>
      </c>
      <c r="E3496" s="924" t="s">
        <v>13481</v>
      </c>
      <c r="F3496" s="924"/>
      <c r="G3496" s="685" t="s">
        <v>13480</v>
      </c>
      <c r="H3496" s="684" t="s">
        <v>13479</v>
      </c>
      <c r="I3496" s="684" t="s">
        <v>13478</v>
      </c>
      <c r="J3496" s="684" t="s">
        <v>13477</v>
      </c>
    </row>
    <row r="3497" spans="1:10" ht="36" customHeight="1">
      <c r="A3497" s="682" t="s">
        <v>13476</v>
      </c>
      <c r="B3497" s="683" t="s">
        <v>14230</v>
      </c>
      <c r="C3497" s="682" t="s">
        <v>7</v>
      </c>
      <c r="D3497" s="682" t="s">
        <v>7002</v>
      </c>
      <c r="E3497" s="917" t="s">
        <v>13646</v>
      </c>
      <c r="F3497" s="917"/>
      <c r="G3497" s="681" t="s">
        <v>13515</v>
      </c>
      <c r="H3497" s="680">
        <v>1</v>
      </c>
      <c r="I3497" s="679">
        <v>296.5</v>
      </c>
      <c r="J3497" s="679">
        <v>296.5</v>
      </c>
    </row>
    <row r="3498" spans="1:10" ht="48" customHeight="1">
      <c r="A3498" s="677" t="s">
        <v>13472</v>
      </c>
      <c r="B3498" s="678" t="s">
        <v>14061</v>
      </c>
      <c r="C3498" s="677" t="s">
        <v>7</v>
      </c>
      <c r="D3498" s="677" t="s">
        <v>1148</v>
      </c>
      <c r="E3498" s="918" t="s">
        <v>13491</v>
      </c>
      <c r="F3498" s="918"/>
      <c r="G3498" s="676" t="s">
        <v>38</v>
      </c>
      <c r="H3498" s="675">
        <v>0.76229999999999998</v>
      </c>
      <c r="I3498" s="674">
        <v>1.68</v>
      </c>
      <c r="J3498" s="674">
        <v>1.28</v>
      </c>
    </row>
    <row r="3499" spans="1:10" ht="48" customHeight="1">
      <c r="A3499" s="677" t="s">
        <v>13472</v>
      </c>
      <c r="B3499" s="678" t="s">
        <v>14062</v>
      </c>
      <c r="C3499" s="677" t="s">
        <v>7</v>
      </c>
      <c r="D3499" s="677" t="s">
        <v>1149</v>
      </c>
      <c r="E3499" s="918" t="s">
        <v>13491</v>
      </c>
      <c r="F3499" s="918"/>
      <c r="G3499" s="676" t="s">
        <v>53</v>
      </c>
      <c r="H3499" s="675">
        <v>0.71879999999999999</v>
      </c>
      <c r="I3499" s="674">
        <v>0.34</v>
      </c>
      <c r="J3499" s="674">
        <v>0.24</v>
      </c>
    </row>
    <row r="3500" spans="1:10" ht="24" customHeight="1">
      <c r="A3500" s="677" t="s">
        <v>13472</v>
      </c>
      <c r="B3500" s="678" t="s">
        <v>13690</v>
      </c>
      <c r="C3500" s="677" t="s">
        <v>7</v>
      </c>
      <c r="D3500" s="677" t="s">
        <v>1097</v>
      </c>
      <c r="E3500" s="918" t="s">
        <v>13470</v>
      </c>
      <c r="F3500" s="918"/>
      <c r="G3500" s="676" t="s">
        <v>19</v>
      </c>
      <c r="H3500" s="675">
        <v>1.4811000000000001</v>
      </c>
      <c r="I3500" s="674">
        <v>12.73</v>
      </c>
      <c r="J3500" s="674">
        <v>18.850000000000001</v>
      </c>
    </row>
    <row r="3501" spans="1:10" ht="24" customHeight="1">
      <c r="A3501" s="677" t="s">
        <v>13472</v>
      </c>
      <c r="B3501" s="678" t="s">
        <v>13471</v>
      </c>
      <c r="C3501" s="677" t="s">
        <v>7</v>
      </c>
      <c r="D3501" s="677" t="s">
        <v>21</v>
      </c>
      <c r="E3501" s="918" t="s">
        <v>13470</v>
      </c>
      <c r="F3501" s="918"/>
      <c r="G3501" s="676" t="s">
        <v>19</v>
      </c>
      <c r="H3501" s="675">
        <v>2.3433000000000002</v>
      </c>
      <c r="I3501" s="674">
        <v>14.02</v>
      </c>
      <c r="J3501" s="674">
        <v>32.85</v>
      </c>
    </row>
    <row r="3502" spans="1:10" ht="24" customHeight="1">
      <c r="A3502" s="672" t="s">
        <v>13467</v>
      </c>
      <c r="B3502" s="673" t="s">
        <v>13608</v>
      </c>
      <c r="C3502" s="672" t="s">
        <v>7</v>
      </c>
      <c r="D3502" s="672" t="s">
        <v>13607</v>
      </c>
      <c r="E3502" s="919" t="s">
        <v>13464</v>
      </c>
      <c r="F3502" s="919"/>
      <c r="G3502" s="671" t="s">
        <v>13515</v>
      </c>
      <c r="H3502" s="670">
        <v>0.82689999999999997</v>
      </c>
      <c r="I3502" s="669">
        <v>74.59</v>
      </c>
      <c r="J3502" s="669">
        <v>61.67</v>
      </c>
    </row>
    <row r="3503" spans="1:10" ht="24" customHeight="1">
      <c r="A3503" s="672" t="s">
        <v>13467</v>
      </c>
      <c r="B3503" s="673" t="s">
        <v>13997</v>
      </c>
      <c r="C3503" s="672" t="s">
        <v>7</v>
      </c>
      <c r="D3503" s="672" t="s">
        <v>13996</v>
      </c>
      <c r="E3503" s="919" t="s">
        <v>13464</v>
      </c>
      <c r="F3503" s="919"/>
      <c r="G3503" s="671" t="s">
        <v>17</v>
      </c>
      <c r="H3503" s="670">
        <v>212.01939999999999</v>
      </c>
      <c r="I3503" s="669">
        <v>0.64</v>
      </c>
      <c r="J3503" s="669">
        <v>135.69</v>
      </c>
    </row>
    <row r="3504" spans="1:10" ht="24" customHeight="1">
      <c r="A3504" s="672" t="s">
        <v>13467</v>
      </c>
      <c r="B3504" s="673" t="s">
        <v>13995</v>
      </c>
      <c r="C3504" s="672" t="s">
        <v>7</v>
      </c>
      <c r="D3504" s="672" t="s">
        <v>13994</v>
      </c>
      <c r="E3504" s="919" t="s">
        <v>13464</v>
      </c>
      <c r="F3504" s="919"/>
      <c r="G3504" s="671" t="s">
        <v>13515</v>
      </c>
      <c r="H3504" s="670">
        <v>0.57820000000000005</v>
      </c>
      <c r="I3504" s="669">
        <v>79.430000000000007</v>
      </c>
      <c r="J3504" s="669">
        <v>45.92</v>
      </c>
    </row>
    <row r="3505" spans="1:10" ht="25.5">
      <c r="A3505" s="668"/>
      <c r="B3505" s="668"/>
      <c r="C3505" s="668"/>
      <c r="D3505" s="668"/>
      <c r="E3505" s="668" t="s">
        <v>13463</v>
      </c>
      <c r="F3505" s="667">
        <v>21.025752472019992</v>
      </c>
      <c r="G3505" s="668" t="s">
        <v>13462</v>
      </c>
      <c r="H3505" s="667">
        <v>17.670000000000002</v>
      </c>
      <c r="I3505" s="668" t="s">
        <v>13461</v>
      </c>
      <c r="J3505" s="667">
        <v>38.700000000000003</v>
      </c>
    </row>
    <row r="3506" spans="1:10" ht="15" thickBot="1">
      <c r="A3506" s="668"/>
      <c r="B3506" s="668"/>
      <c r="C3506" s="668"/>
      <c r="D3506" s="668"/>
      <c r="E3506" s="668" t="s">
        <v>13460</v>
      </c>
      <c r="F3506" s="667">
        <v>83.73</v>
      </c>
      <c r="G3506" s="668"/>
      <c r="H3506" s="925" t="s">
        <v>13459</v>
      </c>
      <c r="I3506" s="925"/>
      <c r="J3506" s="667">
        <v>380.23</v>
      </c>
    </row>
    <row r="3507" spans="1:10" ht="0.95" customHeight="1" thickTop="1">
      <c r="A3507" s="666"/>
      <c r="B3507" s="666"/>
      <c r="C3507" s="666"/>
      <c r="D3507" s="666"/>
      <c r="E3507" s="666"/>
      <c r="F3507" s="666"/>
      <c r="G3507" s="666"/>
      <c r="H3507" s="666"/>
      <c r="I3507" s="666"/>
      <c r="J3507" s="666"/>
    </row>
    <row r="3508" spans="1:10" ht="18" customHeight="1">
      <c r="A3508" s="686" t="s">
        <v>14111</v>
      </c>
      <c r="B3508" s="684" t="s">
        <v>13484</v>
      </c>
      <c r="C3508" s="686" t="s">
        <v>13483</v>
      </c>
      <c r="D3508" s="686" t="s">
        <v>13482</v>
      </c>
      <c r="E3508" s="924" t="s">
        <v>13481</v>
      </c>
      <c r="F3508" s="924"/>
      <c r="G3508" s="685" t="s">
        <v>13480</v>
      </c>
      <c r="H3508" s="684" t="s">
        <v>13479</v>
      </c>
      <c r="I3508" s="684" t="s">
        <v>13478</v>
      </c>
      <c r="J3508" s="684" t="s">
        <v>13477</v>
      </c>
    </row>
    <row r="3509" spans="1:10" ht="48" customHeight="1">
      <c r="A3509" s="682" t="s">
        <v>13476</v>
      </c>
      <c r="B3509" s="683" t="s">
        <v>14298</v>
      </c>
      <c r="C3509" s="682" t="s">
        <v>7</v>
      </c>
      <c r="D3509" s="682" t="s">
        <v>6257</v>
      </c>
      <c r="E3509" s="917" t="s">
        <v>13646</v>
      </c>
      <c r="F3509" s="917"/>
      <c r="G3509" s="681" t="s">
        <v>13610</v>
      </c>
      <c r="H3509" s="680">
        <v>1</v>
      </c>
      <c r="I3509" s="679">
        <v>157.02000000000001</v>
      </c>
      <c r="J3509" s="679">
        <v>157.02000000000001</v>
      </c>
    </row>
    <row r="3510" spans="1:10" ht="24" customHeight="1">
      <c r="A3510" s="677" t="s">
        <v>13472</v>
      </c>
      <c r="B3510" s="678" t="s">
        <v>14297</v>
      </c>
      <c r="C3510" s="677" t="s">
        <v>7</v>
      </c>
      <c r="D3510" s="677" t="s">
        <v>4725</v>
      </c>
      <c r="E3510" s="918" t="s">
        <v>13646</v>
      </c>
      <c r="F3510" s="918"/>
      <c r="G3510" s="676" t="s">
        <v>14</v>
      </c>
      <c r="H3510" s="675">
        <v>0.97</v>
      </c>
      <c r="I3510" s="674">
        <v>13.52</v>
      </c>
      <c r="J3510" s="674">
        <v>13.11</v>
      </c>
    </row>
    <row r="3511" spans="1:10" ht="48" customHeight="1">
      <c r="A3511" s="677" t="s">
        <v>13472</v>
      </c>
      <c r="B3511" s="678" t="s">
        <v>13648</v>
      </c>
      <c r="C3511" s="677" t="s">
        <v>7</v>
      </c>
      <c r="D3511" s="677" t="s">
        <v>2197</v>
      </c>
      <c r="E3511" s="918" t="s">
        <v>13646</v>
      </c>
      <c r="F3511" s="918"/>
      <c r="G3511" s="676" t="s">
        <v>17</v>
      </c>
      <c r="H3511" s="675">
        <v>0.99099999999999999</v>
      </c>
      <c r="I3511" s="674">
        <v>20.5</v>
      </c>
      <c r="J3511" s="674">
        <v>20.309999999999999</v>
      </c>
    </row>
    <row r="3512" spans="1:10" ht="48" customHeight="1">
      <c r="A3512" s="677" t="s">
        <v>13472</v>
      </c>
      <c r="B3512" s="678" t="s">
        <v>14296</v>
      </c>
      <c r="C3512" s="677" t="s">
        <v>7</v>
      </c>
      <c r="D3512" s="677" t="s">
        <v>2152</v>
      </c>
      <c r="E3512" s="918" t="s">
        <v>13646</v>
      </c>
      <c r="F3512" s="918"/>
      <c r="G3512" s="676" t="s">
        <v>13515</v>
      </c>
      <c r="H3512" s="675">
        <v>4.3999999999999997E-2</v>
      </c>
      <c r="I3512" s="674">
        <v>521.54999999999995</v>
      </c>
      <c r="J3512" s="674">
        <v>22.94</v>
      </c>
    </row>
    <row r="3513" spans="1:10" ht="24" customHeight="1">
      <c r="A3513" s="677" t="s">
        <v>13472</v>
      </c>
      <c r="B3513" s="678" t="s">
        <v>13833</v>
      </c>
      <c r="C3513" s="677" t="s">
        <v>7</v>
      </c>
      <c r="D3513" s="677" t="s">
        <v>40</v>
      </c>
      <c r="E3513" s="918" t="s">
        <v>13470</v>
      </c>
      <c r="F3513" s="918"/>
      <c r="G3513" s="676" t="s">
        <v>19</v>
      </c>
      <c r="H3513" s="675">
        <v>0.501</v>
      </c>
      <c r="I3513" s="674">
        <v>17.48</v>
      </c>
      <c r="J3513" s="674">
        <v>8.75</v>
      </c>
    </row>
    <row r="3514" spans="1:10" ht="24" customHeight="1">
      <c r="A3514" s="677" t="s">
        <v>13472</v>
      </c>
      <c r="B3514" s="678" t="s">
        <v>13471</v>
      </c>
      <c r="C3514" s="677" t="s">
        <v>7</v>
      </c>
      <c r="D3514" s="677" t="s">
        <v>21</v>
      </c>
      <c r="E3514" s="918" t="s">
        <v>13470</v>
      </c>
      <c r="F3514" s="918"/>
      <c r="G3514" s="676" t="s">
        <v>19</v>
      </c>
      <c r="H3514" s="675">
        <v>0.35399999999999998</v>
      </c>
      <c r="I3514" s="674">
        <v>14.02</v>
      </c>
      <c r="J3514" s="674">
        <v>4.96</v>
      </c>
    </row>
    <row r="3515" spans="1:10" ht="36" customHeight="1">
      <c r="A3515" s="672" t="s">
        <v>13467</v>
      </c>
      <c r="B3515" s="673" t="s">
        <v>14295</v>
      </c>
      <c r="C3515" s="672" t="s">
        <v>7</v>
      </c>
      <c r="D3515" s="672" t="s">
        <v>14294</v>
      </c>
      <c r="E3515" s="919" t="s">
        <v>13464</v>
      </c>
      <c r="F3515" s="919"/>
      <c r="G3515" s="671" t="s">
        <v>13610</v>
      </c>
      <c r="H3515" s="670">
        <v>1</v>
      </c>
      <c r="I3515" s="669">
        <v>66.099999999999994</v>
      </c>
      <c r="J3515" s="669">
        <v>66.099999999999994</v>
      </c>
    </row>
    <row r="3516" spans="1:10" ht="24" customHeight="1">
      <c r="A3516" s="672" t="s">
        <v>13467</v>
      </c>
      <c r="B3516" s="673" t="s">
        <v>14293</v>
      </c>
      <c r="C3516" s="672" t="s">
        <v>7</v>
      </c>
      <c r="D3516" s="672" t="s">
        <v>14292</v>
      </c>
      <c r="E3516" s="919" t="s">
        <v>13464</v>
      </c>
      <c r="F3516" s="919"/>
      <c r="G3516" s="671" t="s">
        <v>17</v>
      </c>
      <c r="H3516" s="670">
        <v>0.04</v>
      </c>
      <c r="I3516" s="669">
        <v>22.6</v>
      </c>
      <c r="J3516" s="669">
        <v>0.9</v>
      </c>
    </row>
    <row r="3517" spans="1:10" ht="24" customHeight="1">
      <c r="A3517" s="672" t="s">
        <v>13467</v>
      </c>
      <c r="B3517" s="673" t="s">
        <v>14291</v>
      </c>
      <c r="C3517" s="672" t="s">
        <v>7</v>
      </c>
      <c r="D3517" s="672" t="s">
        <v>14290</v>
      </c>
      <c r="E3517" s="919" t="s">
        <v>13464</v>
      </c>
      <c r="F3517" s="919"/>
      <c r="G3517" s="671" t="s">
        <v>14</v>
      </c>
      <c r="H3517" s="670">
        <v>1.87</v>
      </c>
      <c r="I3517" s="669">
        <v>10.67</v>
      </c>
      <c r="J3517" s="669">
        <v>19.95</v>
      </c>
    </row>
    <row r="3518" spans="1:10" ht="25.5">
      <c r="A3518" s="668"/>
      <c r="B3518" s="668"/>
      <c r="C3518" s="668"/>
      <c r="D3518" s="668"/>
      <c r="E3518" s="668" t="s">
        <v>13463</v>
      </c>
      <c r="F3518" s="667">
        <v>9.4697381288710201</v>
      </c>
      <c r="G3518" s="668" t="s">
        <v>13462</v>
      </c>
      <c r="H3518" s="667">
        <v>7.96</v>
      </c>
      <c r="I3518" s="668" t="s">
        <v>13461</v>
      </c>
      <c r="J3518" s="667">
        <v>17.43</v>
      </c>
    </row>
    <row r="3519" spans="1:10" ht="15" thickBot="1">
      <c r="A3519" s="668"/>
      <c r="B3519" s="668"/>
      <c r="C3519" s="668"/>
      <c r="D3519" s="668"/>
      <c r="E3519" s="668" t="s">
        <v>13460</v>
      </c>
      <c r="F3519" s="667">
        <v>44.34</v>
      </c>
      <c r="G3519" s="668"/>
      <c r="H3519" s="925" t="s">
        <v>13459</v>
      </c>
      <c r="I3519" s="925"/>
      <c r="J3519" s="667">
        <v>201.36</v>
      </c>
    </row>
    <row r="3520" spans="1:10" ht="0.95" customHeight="1" thickTop="1">
      <c r="A3520" s="666"/>
      <c r="B3520" s="666"/>
      <c r="C3520" s="666"/>
      <c r="D3520" s="666"/>
      <c r="E3520" s="666"/>
      <c r="F3520" s="666"/>
      <c r="G3520" s="666"/>
      <c r="H3520" s="666"/>
      <c r="I3520" s="666"/>
      <c r="J3520" s="666"/>
    </row>
    <row r="3521" spans="1:10" ht="18" customHeight="1">
      <c r="A3521" s="686" t="s">
        <v>14111</v>
      </c>
      <c r="B3521" s="684" t="s">
        <v>13484</v>
      </c>
      <c r="C3521" s="686" t="s">
        <v>13483</v>
      </c>
      <c r="D3521" s="686" t="s">
        <v>13482</v>
      </c>
      <c r="E3521" s="924" t="s">
        <v>13481</v>
      </c>
      <c r="F3521" s="924"/>
      <c r="G3521" s="685" t="s">
        <v>13480</v>
      </c>
      <c r="H3521" s="684" t="s">
        <v>13479</v>
      </c>
      <c r="I3521" s="684" t="s">
        <v>13478</v>
      </c>
      <c r="J3521" s="684" t="s">
        <v>13477</v>
      </c>
    </row>
    <row r="3522" spans="1:10" ht="36" customHeight="1">
      <c r="A3522" s="682" t="s">
        <v>13476</v>
      </c>
      <c r="B3522" s="683" t="s">
        <v>14289</v>
      </c>
      <c r="C3522" s="682" t="s">
        <v>7</v>
      </c>
      <c r="D3522" s="682" t="s">
        <v>3774</v>
      </c>
      <c r="E3522" s="917" t="s">
        <v>13646</v>
      </c>
      <c r="F3522" s="917"/>
      <c r="G3522" s="681" t="s">
        <v>13515</v>
      </c>
      <c r="H3522" s="680">
        <v>1</v>
      </c>
      <c r="I3522" s="679">
        <v>3665.35</v>
      </c>
      <c r="J3522" s="679">
        <v>3665.35</v>
      </c>
    </row>
    <row r="3523" spans="1:10" ht="36" customHeight="1">
      <c r="A3523" s="677" t="s">
        <v>13472</v>
      </c>
      <c r="B3523" s="678" t="s">
        <v>13577</v>
      </c>
      <c r="C3523" s="677" t="s">
        <v>7</v>
      </c>
      <c r="D3523" s="677" t="s">
        <v>1932</v>
      </c>
      <c r="E3523" s="918" t="s">
        <v>13491</v>
      </c>
      <c r="F3523" s="918"/>
      <c r="G3523" s="676" t="s">
        <v>38</v>
      </c>
      <c r="H3523" s="675">
        <v>0.88009999999999999</v>
      </c>
      <c r="I3523" s="674">
        <v>16.260000000000002</v>
      </c>
      <c r="J3523" s="674">
        <v>14.31</v>
      </c>
    </row>
    <row r="3524" spans="1:10" ht="36" customHeight="1">
      <c r="A3524" s="677" t="s">
        <v>13472</v>
      </c>
      <c r="B3524" s="678" t="s">
        <v>13499</v>
      </c>
      <c r="C3524" s="677" t="s">
        <v>7</v>
      </c>
      <c r="D3524" s="677" t="s">
        <v>1739</v>
      </c>
      <c r="E3524" s="918" t="s">
        <v>13491</v>
      </c>
      <c r="F3524" s="918"/>
      <c r="G3524" s="676" t="s">
        <v>38</v>
      </c>
      <c r="H3524" s="675">
        <v>6.6349999999999998</v>
      </c>
      <c r="I3524" s="674">
        <v>1.77</v>
      </c>
      <c r="J3524" s="674">
        <v>11.74</v>
      </c>
    </row>
    <row r="3525" spans="1:10" ht="36" customHeight="1">
      <c r="A3525" s="677" t="s">
        <v>13472</v>
      </c>
      <c r="B3525" s="678" t="s">
        <v>13500</v>
      </c>
      <c r="C3525" s="677" t="s">
        <v>7</v>
      </c>
      <c r="D3525" s="677" t="s">
        <v>1740</v>
      </c>
      <c r="E3525" s="918" t="s">
        <v>13491</v>
      </c>
      <c r="F3525" s="918"/>
      <c r="G3525" s="676" t="s">
        <v>53</v>
      </c>
      <c r="H3525" s="675">
        <v>18.246200000000002</v>
      </c>
      <c r="I3525" s="674">
        <v>0.42</v>
      </c>
      <c r="J3525" s="674">
        <v>7.66</v>
      </c>
    </row>
    <row r="3526" spans="1:10" ht="36" customHeight="1">
      <c r="A3526" s="677" t="s">
        <v>13472</v>
      </c>
      <c r="B3526" s="678" t="s">
        <v>13578</v>
      </c>
      <c r="C3526" s="677" t="s">
        <v>7</v>
      </c>
      <c r="D3526" s="677" t="s">
        <v>1933</v>
      </c>
      <c r="E3526" s="918" t="s">
        <v>13491</v>
      </c>
      <c r="F3526" s="918"/>
      <c r="G3526" s="676" t="s">
        <v>53</v>
      </c>
      <c r="H3526" s="675">
        <v>3.4270999999999998</v>
      </c>
      <c r="I3526" s="674">
        <v>13.53</v>
      </c>
      <c r="J3526" s="674">
        <v>46.36</v>
      </c>
    </row>
    <row r="3527" spans="1:10" ht="36" customHeight="1">
      <c r="A3527" s="677" t="s">
        <v>13472</v>
      </c>
      <c r="B3527" s="678" t="s">
        <v>13647</v>
      </c>
      <c r="C3527" s="677" t="s">
        <v>7</v>
      </c>
      <c r="D3527" s="677" t="s">
        <v>7011</v>
      </c>
      <c r="E3527" s="918" t="s">
        <v>13646</v>
      </c>
      <c r="F3527" s="918"/>
      <c r="G3527" s="676" t="s">
        <v>13515</v>
      </c>
      <c r="H3527" s="675">
        <v>1.2</v>
      </c>
      <c r="I3527" s="674">
        <v>382.79</v>
      </c>
      <c r="J3527" s="674">
        <v>459.34</v>
      </c>
    </row>
    <row r="3528" spans="1:10" ht="24" customHeight="1">
      <c r="A3528" s="677" t="s">
        <v>13472</v>
      </c>
      <c r="B3528" s="678" t="s">
        <v>13645</v>
      </c>
      <c r="C3528" s="677" t="s">
        <v>7</v>
      </c>
      <c r="D3528" s="677" t="s">
        <v>46</v>
      </c>
      <c r="E3528" s="918" t="s">
        <v>13470</v>
      </c>
      <c r="F3528" s="918"/>
      <c r="G3528" s="676" t="s">
        <v>19</v>
      </c>
      <c r="H3528" s="675">
        <v>21.535799999999998</v>
      </c>
      <c r="I3528" s="674">
        <v>18.77</v>
      </c>
      <c r="J3528" s="674">
        <v>404.22</v>
      </c>
    </row>
    <row r="3529" spans="1:10" ht="24" customHeight="1">
      <c r="A3529" s="677" t="s">
        <v>13472</v>
      </c>
      <c r="B3529" s="678" t="s">
        <v>13644</v>
      </c>
      <c r="C3529" s="677" t="s">
        <v>7</v>
      </c>
      <c r="D3529" s="677" t="s">
        <v>39</v>
      </c>
      <c r="E3529" s="918" t="s">
        <v>13470</v>
      </c>
      <c r="F3529" s="918"/>
      <c r="G3529" s="676" t="s">
        <v>19</v>
      </c>
      <c r="H3529" s="675">
        <v>4.3071999999999999</v>
      </c>
      <c r="I3529" s="674">
        <v>14.57</v>
      </c>
      <c r="J3529" s="674">
        <v>62.75</v>
      </c>
    </row>
    <row r="3530" spans="1:10" ht="24" customHeight="1">
      <c r="A3530" s="677" t="s">
        <v>13472</v>
      </c>
      <c r="B3530" s="678" t="s">
        <v>13600</v>
      </c>
      <c r="C3530" s="677" t="s">
        <v>7</v>
      </c>
      <c r="D3530" s="677" t="s">
        <v>41</v>
      </c>
      <c r="E3530" s="918" t="s">
        <v>13470</v>
      </c>
      <c r="F3530" s="918"/>
      <c r="G3530" s="676" t="s">
        <v>19</v>
      </c>
      <c r="H3530" s="675">
        <v>31.952999999999999</v>
      </c>
      <c r="I3530" s="674">
        <v>17.670000000000002</v>
      </c>
      <c r="J3530" s="674">
        <v>564.6</v>
      </c>
    </row>
    <row r="3531" spans="1:10" ht="24" customHeight="1">
      <c r="A3531" s="677" t="s">
        <v>13472</v>
      </c>
      <c r="B3531" s="678" t="s">
        <v>13471</v>
      </c>
      <c r="C3531" s="677" t="s">
        <v>7</v>
      </c>
      <c r="D3531" s="677" t="s">
        <v>21</v>
      </c>
      <c r="E3531" s="918" t="s">
        <v>13470</v>
      </c>
      <c r="F3531" s="918"/>
      <c r="G3531" s="676" t="s">
        <v>19</v>
      </c>
      <c r="H3531" s="675">
        <v>31.952999999999999</v>
      </c>
      <c r="I3531" s="674">
        <v>14.02</v>
      </c>
      <c r="J3531" s="674">
        <v>447.98</v>
      </c>
    </row>
    <row r="3532" spans="1:10" ht="36" customHeight="1">
      <c r="A3532" s="672" t="s">
        <v>13467</v>
      </c>
      <c r="B3532" s="673" t="s">
        <v>14283</v>
      </c>
      <c r="C3532" s="672" t="s">
        <v>7</v>
      </c>
      <c r="D3532" s="672" t="s">
        <v>14282</v>
      </c>
      <c r="E3532" s="919" t="s">
        <v>13464</v>
      </c>
      <c r="F3532" s="919"/>
      <c r="G3532" s="671" t="s">
        <v>34</v>
      </c>
      <c r="H3532" s="670">
        <v>0.60740000000000005</v>
      </c>
      <c r="I3532" s="669">
        <v>37.729999999999997</v>
      </c>
      <c r="J3532" s="669">
        <v>22.91</v>
      </c>
    </row>
    <row r="3533" spans="1:10" ht="36" customHeight="1">
      <c r="A3533" s="672" t="s">
        <v>13467</v>
      </c>
      <c r="B3533" s="673" t="s">
        <v>14288</v>
      </c>
      <c r="C3533" s="672" t="s">
        <v>7</v>
      </c>
      <c r="D3533" s="672" t="s">
        <v>14287</v>
      </c>
      <c r="E3533" s="919" t="s">
        <v>13464</v>
      </c>
      <c r="F3533" s="919"/>
      <c r="G3533" s="671" t="s">
        <v>34</v>
      </c>
      <c r="H3533" s="670">
        <v>13.051399999999999</v>
      </c>
      <c r="I3533" s="669">
        <v>117.09</v>
      </c>
      <c r="J3533" s="669">
        <v>1528.18</v>
      </c>
    </row>
    <row r="3534" spans="1:10" ht="24" customHeight="1">
      <c r="A3534" s="672" t="s">
        <v>13467</v>
      </c>
      <c r="B3534" s="673" t="s">
        <v>13641</v>
      </c>
      <c r="C3534" s="672" t="s">
        <v>7</v>
      </c>
      <c r="D3534" s="672" t="s">
        <v>13640</v>
      </c>
      <c r="E3534" s="919" t="s">
        <v>13464</v>
      </c>
      <c r="F3534" s="919"/>
      <c r="G3534" s="671" t="s">
        <v>50</v>
      </c>
      <c r="H3534" s="670">
        <v>6.6699999999999995E-2</v>
      </c>
      <c r="I3534" s="669">
        <v>5.22</v>
      </c>
      <c r="J3534" s="669">
        <v>0.34</v>
      </c>
    </row>
    <row r="3535" spans="1:10" ht="48" customHeight="1">
      <c r="A3535" s="672" t="s">
        <v>13467</v>
      </c>
      <c r="B3535" s="673" t="s">
        <v>14286</v>
      </c>
      <c r="C3535" s="672" t="s">
        <v>7</v>
      </c>
      <c r="D3535" s="672" t="s">
        <v>14285</v>
      </c>
      <c r="E3535" s="919" t="s">
        <v>13464</v>
      </c>
      <c r="F3535" s="919"/>
      <c r="G3535" s="671" t="s">
        <v>17</v>
      </c>
      <c r="H3535" s="670">
        <v>6</v>
      </c>
      <c r="I3535" s="669">
        <v>8.64</v>
      </c>
      <c r="J3535" s="669">
        <v>51.84</v>
      </c>
    </row>
    <row r="3536" spans="1:10" ht="24" customHeight="1">
      <c r="A3536" s="672" t="s">
        <v>13467</v>
      </c>
      <c r="B3536" s="673" t="s">
        <v>13639</v>
      </c>
      <c r="C3536" s="672" t="s">
        <v>7</v>
      </c>
      <c r="D3536" s="672" t="s">
        <v>13638</v>
      </c>
      <c r="E3536" s="919" t="s">
        <v>13464</v>
      </c>
      <c r="F3536" s="919"/>
      <c r="G3536" s="671" t="s">
        <v>17</v>
      </c>
      <c r="H3536" s="670">
        <v>2.1276000000000002</v>
      </c>
      <c r="I3536" s="669">
        <v>20.27</v>
      </c>
      <c r="J3536" s="669">
        <v>43.12</v>
      </c>
    </row>
    <row r="3537" spans="1:10" ht="25.5">
      <c r="A3537" s="668"/>
      <c r="B3537" s="668"/>
      <c r="C3537" s="668"/>
      <c r="D3537" s="668"/>
      <c r="E3537" s="668" t="s">
        <v>13463</v>
      </c>
      <c r="F3537" s="667">
        <v>667.19547973486908</v>
      </c>
      <c r="G3537" s="668" t="s">
        <v>13462</v>
      </c>
      <c r="H3537" s="667">
        <v>560.84</v>
      </c>
      <c r="I3537" s="668" t="s">
        <v>13461</v>
      </c>
      <c r="J3537" s="667">
        <v>1228.04</v>
      </c>
    </row>
    <row r="3538" spans="1:10" ht="15" thickBot="1">
      <c r="A3538" s="668"/>
      <c r="B3538" s="668"/>
      <c r="C3538" s="668"/>
      <c r="D3538" s="668"/>
      <c r="E3538" s="668" t="s">
        <v>13460</v>
      </c>
      <c r="F3538" s="667">
        <v>1035.0899999999999</v>
      </c>
      <c r="G3538" s="668"/>
      <c r="H3538" s="925" t="s">
        <v>13459</v>
      </c>
      <c r="I3538" s="925"/>
      <c r="J3538" s="667">
        <v>4700.4399999999996</v>
      </c>
    </row>
    <row r="3539" spans="1:10" ht="0.95" customHeight="1" thickTop="1">
      <c r="A3539" s="666"/>
      <c r="B3539" s="666"/>
      <c r="C3539" s="666"/>
      <c r="D3539" s="666"/>
      <c r="E3539" s="666"/>
      <c r="F3539" s="666"/>
      <c r="G3539" s="666"/>
      <c r="H3539" s="666"/>
      <c r="I3539" s="666"/>
      <c r="J3539" s="666"/>
    </row>
    <row r="3540" spans="1:10" ht="18" customHeight="1">
      <c r="A3540" s="686" t="s">
        <v>14111</v>
      </c>
      <c r="B3540" s="684" t="s">
        <v>13484</v>
      </c>
      <c r="C3540" s="686" t="s">
        <v>13483</v>
      </c>
      <c r="D3540" s="686" t="s">
        <v>13482</v>
      </c>
      <c r="E3540" s="924" t="s">
        <v>13481</v>
      </c>
      <c r="F3540" s="924"/>
      <c r="G3540" s="685" t="s">
        <v>13480</v>
      </c>
      <c r="H3540" s="684" t="s">
        <v>13479</v>
      </c>
      <c r="I3540" s="684" t="s">
        <v>13478</v>
      </c>
      <c r="J3540" s="684" t="s">
        <v>13477</v>
      </c>
    </row>
    <row r="3541" spans="1:10" ht="36" customHeight="1">
      <c r="A3541" s="682" t="s">
        <v>13476</v>
      </c>
      <c r="B3541" s="683" t="s">
        <v>14284</v>
      </c>
      <c r="C3541" s="682" t="s">
        <v>7</v>
      </c>
      <c r="D3541" s="682" t="s">
        <v>3776</v>
      </c>
      <c r="E3541" s="917" t="s">
        <v>13646</v>
      </c>
      <c r="F3541" s="917"/>
      <c r="G3541" s="681" t="s">
        <v>13515</v>
      </c>
      <c r="H3541" s="680">
        <v>1</v>
      </c>
      <c r="I3541" s="679">
        <v>1853.25</v>
      </c>
      <c r="J3541" s="679">
        <v>1853.25</v>
      </c>
    </row>
    <row r="3542" spans="1:10" ht="36" customHeight="1">
      <c r="A3542" s="677" t="s">
        <v>13472</v>
      </c>
      <c r="B3542" s="678" t="s">
        <v>13499</v>
      </c>
      <c r="C3542" s="677" t="s">
        <v>7</v>
      </c>
      <c r="D3542" s="677" t="s">
        <v>1739</v>
      </c>
      <c r="E3542" s="918" t="s">
        <v>13491</v>
      </c>
      <c r="F3542" s="918"/>
      <c r="G3542" s="676" t="s">
        <v>38</v>
      </c>
      <c r="H3542" s="675">
        <v>1.1283000000000001</v>
      </c>
      <c r="I3542" s="674">
        <v>1.77</v>
      </c>
      <c r="J3542" s="674">
        <v>1.99</v>
      </c>
    </row>
    <row r="3543" spans="1:10" ht="36" customHeight="1">
      <c r="A3543" s="677" t="s">
        <v>13472</v>
      </c>
      <c r="B3543" s="678" t="s">
        <v>13577</v>
      </c>
      <c r="C3543" s="677" t="s">
        <v>7</v>
      </c>
      <c r="D3543" s="677" t="s">
        <v>1932</v>
      </c>
      <c r="E3543" s="918" t="s">
        <v>13491</v>
      </c>
      <c r="F3543" s="918"/>
      <c r="G3543" s="676" t="s">
        <v>38</v>
      </c>
      <c r="H3543" s="675">
        <v>0.26750000000000002</v>
      </c>
      <c r="I3543" s="674">
        <v>16.260000000000002</v>
      </c>
      <c r="J3543" s="674">
        <v>4.34</v>
      </c>
    </row>
    <row r="3544" spans="1:10" ht="36" customHeight="1">
      <c r="A3544" s="677" t="s">
        <v>13472</v>
      </c>
      <c r="B3544" s="678" t="s">
        <v>13578</v>
      </c>
      <c r="C3544" s="677" t="s">
        <v>7</v>
      </c>
      <c r="D3544" s="677" t="s">
        <v>1933</v>
      </c>
      <c r="E3544" s="918" t="s">
        <v>13491</v>
      </c>
      <c r="F3544" s="918"/>
      <c r="G3544" s="676" t="s">
        <v>53</v>
      </c>
      <c r="H3544" s="675">
        <v>0.59379999999999999</v>
      </c>
      <c r="I3544" s="674">
        <v>13.53</v>
      </c>
      <c r="J3544" s="674">
        <v>8.0299999999999994</v>
      </c>
    </row>
    <row r="3545" spans="1:10" ht="36" customHeight="1">
      <c r="A3545" s="677" t="s">
        <v>13472</v>
      </c>
      <c r="B3545" s="678" t="s">
        <v>13500</v>
      </c>
      <c r="C3545" s="677" t="s">
        <v>7</v>
      </c>
      <c r="D3545" s="677" t="s">
        <v>1740</v>
      </c>
      <c r="E3545" s="918" t="s">
        <v>13491</v>
      </c>
      <c r="F3545" s="918"/>
      <c r="G3545" s="676" t="s">
        <v>53</v>
      </c>
      <c r="H3545" s="675">
        <v>3.1027999999999998</v>
      </c>
      <c r="I3545" s="674">
        <v>0.42</v>
      </c>
      <c r="J3545" s="674">
        <v>1.3</v>
      </c>
    </row>
    <row r="3546" spans="1:10" ht="48" customHeight="1">
      <c r="A3546" s="677" t="s">
        <v>13472</v>
      </c>
      <c r="B3546" s="678" t="s">
        <v>14075</v>
      </c>
      <c r="C3546" s="677" t="s">
        <v>7</v>
      </c>
      <c r="D3546" s="677" t="s">
        <v>2198</v>
      </c>
      <c r="E3546" s="918" t="s">
        <v>13646</v>
      </c>
      <c r="F3546" s="918"/>
      <c r="G3546" s="676" t="s">
        <v>17</v>
      </c>
      <c r="H3546" s="675">
        <v>32.6798</v>
      </c>
      <c r="I3546" s="674">
        <v>18.96</v>
      </c>
      <c r="J3546" s="674">
        <v>619.6</v>
      </c>
    </row>
    <row r="3547" spans="1:10" ht="36" customHeight="1">
      <c r="A3547" s="677" t="s">
        <v>13472</v>
      </c>
      <c r="B3547" s="678" t="s">
        <v>13652</v>
      </c>
      <c r="C3547" s="677" t="s">
        <v>7</v>
      </c>
      <c r="D3547" s="677" t="s">
        <v>7012</v>
      </c>
      <c r="E3547" s="918" t="s">
        <v>13646</v>
      </c>
      <c r="F3547" s="918"/>
      <c r="G3547" s="676" t="s">
        <v>13515</v>
      </c>
      <c r="H3547" s="675">
        <v>1.103</v>
      </c>
      <c r="I3547" s="674">
        <v>397.66</v>
      </c>
      <c r="J3547" s="674">
        <v>438.61</v>
      </c>
    </row>
    <row r="3548" spans="1:10" ht="24" customHeight="1">
      <c r="A3548" s="677" t="s">
        <v>13472</v>
      </c>
      <c r="B3548" s="678" t="s">
        <v>13644</v>
      </c>
      <c r="C3548" s="677" t="s">
        <v>7</v>
      </c>
      <c r="D3548" s="677" t="s">
        <v>39</v>
      </c>
      <c r="E3548" s="918" t="s">
        <v>13470</v>
      </c>
      <c r="F3548" s="918"/>
      <c r="G3548" s="676" t="s">
        <v>19</v>
      </c>
      <c r="H3548" s="675">
        <v>0.86129999999999995</v>
      </c>
      <c r="I3548" s="674">
        <v>14.57</v>
      </c>
      <c r="J3548" s="674">
        <v>12.54</v>
      </c>
    </row>
    <row r="3549" spans="1:10" ht="24" customHeight="1">
      <c r="A3549" s="677" t="s">
        <v>13472</v>
      </c>
      <c r="B3549" s="678" t="s">
        <v>13645</v>
      </c>
      <c r="C3549" s="677" t="s">
        <v>7</v>
      </c>
      <c r="D3549" s="677" t="s">
        <v>46</v>
      </c>
      <c r="E3549" s="918" t="s">
        <v>13470</v>
      </c>
      <c r="F3549" s="918"/>
      <c r="G3549" s="676" t="s">
        <v>19</v>
      </c>
      <c r="H3549" s="675">
        <v>4.3066000000000004</v>
      </c>
      <c r="I3549" s="674">
        <v>18.77</v>
      </c>
      <c r="J3549" s="674">
        <v>80.83</v>
      </c>
    </row>
    <row r="3550" spans="1:10" ht="24" customHeight="1">
      <c r="A3550" s="677" t="s">
        <v>13472</v>
      </c>
      <c r="B3550" s="678" t="s">
        <v>13471</v>
      </c>
      <c r="C3550" s="677" t="s">
        <v>7</v>
      </c>
      <c r="D3550" s="677" t="s">
        <v>21</v>
      </c>
      <c r="E3550" s="918" t="s">
        <v>13470</v>
      </c>
      <c r="F3550" s="918"/>
      <c r="G3550" s="676" t="s">
        <v>19</v>
      </c>
      <c r="H3550" s="675">
        <v>7.8078000000000003</v>
      </c>
      <c r="I3550" s="674">
        <v>14.02</v>
      </c>
      <c r="J3550" s="674">
        <v>109.46</v>
      </c>
    </row>
    <row r="3551" spans="1:10" ht="24" customHeight="1">
      <c r="A3551" s="677" t="s">
        <v>13472</v>
      </c>
      <c r="B3551" s="678" t="s">
        <v>13600</v>
      </c>
      <c r="C3551" s="677" t="s">
        <v>7</v>
      </c>
      <c r="D3551" s="677" t="s">
        <v>41</v>
      </c>
      <c r="E3551" s="918" t="s">
        <v>13470</v>
      </c>
      <c r="F3551" s="918"/>
      <c r="G3551" s="676" t="s">
        <v>19</v>
      </c>
      <c r="H3551" s="675">
        <v>7.8078000000000003</v>
      </c>
      <c r="I3551" s="674">
        <v>17.670000000000002</v>
      </c>
      <c r="J3551" s="674">
        <v>137.96</v>
      </c>
    </row>
    <row r="3552" spans="1:10" ht="36" customHeight="1">
      <c r="A3552" s="672" t="s">
        <v>13467</v>
      </c>
      <c r="B3552" s="673" t="s">
        <v>14283</v>
      </c>
      <c r="C3552" s="672" t="s">
        <v>7</v>
      </c>
      <c r="D3552" s="672" t="s">
        <v>14282</v>
      </c>
      <c r="E3552" s="919" t="s">
        <v>13464</v>
      </c>
      <c r="F3552" s="919"/>
      <c r="G3552" s="671" t="s">
        <v>34</v>
      </c>
      <c r="H3552" s="670">
        <v>0.31890000000000002</v>
      </c>
      <c r="I3552" s="669">
        <v>37.729999999999997</v>
      </c>
      <c r="J3552" s="669">
        <v>12.03</v>
      </c>
    </row>
    <row r="3553" spans="1:10" ht="24" customHeight="1">
      <c r="A3553" s="672" t="s">
        <v>13467</v>
      </c>
      <c r="B3553" s="673" t="s">
        <v>13643</v>
      </c>
      <c r="C3553" s="672" t="s">
        <v>7</v>
      </c>
      <c r="D3553" s="672" t="s">
        <v>13642</v>
      </c>
      <c r="E3553" s="919" t="s">
        <v>13464</v>
      </c>
      <c r="F3553" s="919"/>
      <c r="G3553" s="671" t="s">
        <v>13610</v>
      </c>
      <c r="H3553" s="670">
        <v>6.7614000000000001</v>
      </c>
      <c r="I3553" s="669">
        <v>40.409999999999997</v>
      </c>
      <c r="J3553" s="669">
        <v>273.22000000000003</v>
      </c>
    </row>
    <row r="3554" spans="1:10" ht="24" customHeight="1">
      <c r="A3554" s="672" t="s">
        <v>13467</v>
      </c>
      <c r="B3554" s="673" t="s">
        <v>13641</v>
      </c>
      <c r="C3554" s="672" t="s">
        <v>7</v>
      </c>
      <c r="D3554" s="672" t="s">
        <v>13640</v>
      </c>
      <c r="E3554" s="919" t="s">
        <v>13464</v>
      </c>
      <c r="F3554" s="919"/>
      <c r="G3554" s="671" t="s">
        <v>50</v>
      </c>
      <c r="H3554" s="670">
        <v>3.5000000000000003E-2</v>
      </c>
      <c r="I3554" s="669">
        <v>5.22</v>
      </c>
      <c r="J3554" s="669">
        <v>0.18</v>
      </c>
    </row>
    <row r="3555" spans="1:10" ht="24" customHeight="1">
      <c r="A3555" s="672" t="s">
        <v>13467</v>
      </c>
      <c r="B3555" s="673" t="s">
        <v>14281</v>
      </c>
      <c r="C3555" s="672" t="s">
        <v>7</v>
      </c>
      <c r="D3555" s="672" t="s">
        <v>14280</v>
      </c>
      <c r="E3555" s="919" t="s">
        <v>13464</v>
      </c>
      <c r="F3555" s="919"/>
      <c r="G3555" s="671" t="s">
        <v>17</v>
      </c>
      <c r="H3555" s="670">
        <v>0.18429999999999999</v>
      </c>
      <c r="I3555" s="669">
        <v>18.66</v>
      </c>
      <c r="J3555" s="669">
        <v>3.43</v>
      </c>
    </row>
    <row r="3556" spans="1:10" ht="24" customHeight="1">
      <c r="A3556" s="672" t="s">
        <v>13467</v>
      </c>
      <c r="B3556" s="673" t="s">
        <v>14279</v>
      </c>
      <c r="C3556" s="672" t="s">
        <v>7</v>
      </c>
      <c r="D3556" s="672" t="s">
        <v>14278</v>
      </c>
      <c r="E3556" s="919" t="s">
        <v>13464</v>
      </c>
      <c r="F3556" s="919"/>
      <c r="G3556" s="671" t="s">
        <v>13515</v>
      </c>
      <c r="H3556" s="670">
        <v>0.2475</v>
      </c>
      <c r="I3556" s="669">
        <v>462.12</v>
      </c>
      <c r="J3556" s="669">
        <v>114.37</v>
      </c>
    </row>
    <row r="3557" spans="1:10" ht="24" customHeight="1">
      <c r="A3557" s="672" t="s">
        <v>13467</v>
      </c>
      <c r="B3557" s="673" t="s">
        <v>13639</v>
      </c>
      <c r="C3557" s="672" t="s">
        <v>7</v>
      </c>
      <c r="D3557" s="672" t="s">
        <v>13638</v>
      </c>
      <c r="E3557" s="919" t="s">
        <v>13464</v>
      </c>
      <c r="F3557" s="919"/>
      <c r="G3557" s="671" t="s">
        <v>17</v>
      </c>
      <c r="H3557" s="670">
        <v>0.2954</v>
      </c>
      <c r="I3557" s="669">
        <v>20.27</v>
      </c>
      <c r="J3557" s="669">
        <v>5.98</v>
      </c>
    </row>
    <row r="3558" spans="1:10" ht="24" customHeight="1">
      <c r="A3558" s="672" t="s">
        <v>13467</v>
      </c>
      <c r="B3558" s="673" t="s">
        <v>13836</v>
      </c>
      <c r="C3558" s="672" t="s">
        <v>7</v>
      </c>
      <c r="D3558" s="672" t="s">
        <v>13835</v>
      </c>
      <c r="E3558" s="919" t="s">
        <v>13464</v>
      </c>
      <c r="F3558" s="919"/>
      <c r="G3558" s="671" t="s">
        <v>14</v>
      </c>
      <c r="H3558" s="670">
        <v>1.4216</v>
      </c>
      <c r="I3558" s="669">
        <v>8.14</v>
      </c>
      <c r="J3558" s="669">
        <v>11.57</v>
      </c>
    </row>
    <row r="3559" spans="1:10" ht="24" customHeight="1">
      <c r="A3559" s="672" t="s">
        <v>13467</v>
      </c>
      <c r="B3559" s="673" t="s">
        <v>13651</v>
      </c>
      <c r="C3559" s="672" t="s">
        <v>7</v>
      </c>
      <c r="D3559" s="672" t="s">
        <v>13650</v>
      </c>
      <c r="E3559" s="919" t="s">
        <v>13464</v>
      </c>
      <c r="F3559" s="919"/>
      <c r="G3559" s="671" t="s">
        <v>14</v>
      </c>
      <c r="H3559" s="670">
        <v>6.25</v>
      </c>
      <c r="I3559" s="669">
        <v>2.85</v>
      </c>
      <c r="J3559" s="669">
        <v>17.809999999999999</v>
      </c>
    </row>
    <row r="3560" spans="1:10" ht="25.5">
      <c r="A3560" s="668"/>
      <c r="B3560" s="668"/>
      <c r="C3560" s="668"/>
      <c r="D3560" s="668"/>
      <c r="E3560" s="668" t="s">
        <v>13463</v>
      </c>
      <c r="F3560" s="667">
        <v>224.72563294577853</v>
      </c>
      <c r="G3560" s="668" t="s">
        <v>13462</v>
      </c>
      <c r="H3560" s="667">
        <v>188.9</v>
      </c>
      <c r="I3560" s="668" t="s">
        <v>13461</v>
      </c>
      <c r="J3560" s="667">
        <v>413.63</v>
      </c>
    </row>
    <row r="3561" spans="1:10" ht="15" thickBot="1">
      <c r="A3561" s="668"/>
      <c r="B3561" s="668"/>
      <c r="C3561" s="668"/>
      <c r="D3561" s="668"/>
      <c r="E3561" s="668" t="s">
        <v>13460</v>
      </c>
      <c r="F3561" s="667">
        <v>523.35</v>
      </c>
      <c r="G3561" s="668"/>
      <c r="H3561" s="925" t="s">
        <v>13459</v>
      </c>
      <c r="I3561" s="925"/>
      <c r="J3561" s="667">
        <v>2376.6</v>
      </c>
    </row>
    <row r="3562" spans="1:10" ht="0.95" customHeight="1" thickTop="1">
      <c r="A3562" s="666"/>
      <c r="B3562" s="666"/>
      <c r="C3562" s="666"/>
      <c r="D3562" s="666"/>
      <c r="E3562" s="666"/>
      <c r="F3562" s="666"/>
      <c r="G3562" s="666"/>
      <c r="H3562" s="666"/>
      <c r="I3562" s="666"/>
      <c r="J3562" s="666"/>
    </row>
    <row r="3563" spans="1:10" ht="18" customHeight="1">
      <c r="A3563" s="686" t="s">
        <v>14111</v>
      </c>
      <c r="B3563" s="684" t="s">
        <v>13484</v>
      </c>
      <c r="C3563" s="686" t="s">
        <v>13483</v>
      </c>
      <c r="D3563" s="686" t="s">
        <v>13482</v>
      </c>
      <c r="E3563" s="924" t="s">
        <v>13481</v>
      </c>
      <c r="F3563" s="924"/>
      <c r="G3563" s="685" t="s">
        <v>13480</v>
      </c>
      <c r="H3563" s="684" t="s">
        <v>13479</v>
      </c>
      <c r="I3563" s="684" t="s">
        <v>13478</v>
      </c>
      <c r="J3563" s="684" t="s">
        <v>13477</v>
      </c>
    </row>
    <row r="3564" spans="1:10" ht="24" customHeight="1">
      <c r="A3564" s="682" t="s">
        <v>13476</v>
      </c>
      <c r="B3564" s="683" t="s">
        <v>14277</v>
      </c>
      <c r="C3564" s="682" t="s">
        <v>7</v>
      </c>
      <c r="D3564" s="682" t="s">
        <v>4828</v>
      </c>
      <c r="E3564" s="917" t="s">
        <v>14276</v>
      </c>
      <c r="F3564" s="917"/>
      <c r="G3564" s="681" t="s">
        <v>13610</v>
      </c>
      <c r="H3564" s="680">
        <v>1</v>
      </c>
      <c r="I3564" s="679">
        <v>100.75</v>
      </c>
      <c r="J3564" s="679">
        <v>100.75</v>
      </c>
    </row>
    <row r="3565" spans="1:10" ht="24" customHeight="1">
      <c r="A3565" s="677" t="s">
        <v>13472</v>
      </c>
      <c r="B3565" s="678" t="s">
        <v>14101</v>
      </c>
      <c r="C3565" s="677" t="s">
        <v>7</v>
      </c>
      <c r="D3565" s="677" t="s">
        <v>124</v>
      </c>
      <c r="E3565" s="918" t="s">
        <v>13470</v>
      </c>
      <c r="F3565" s="918"/>
      <c r="G3565" s="676" t="s">
        <v>19</v>
      </c>
      <c r="H3565" s="675">
        <v>9.6000000000000002E-2</v>
      </c>
      <c r="I3565" s="674">
        <v>16.98</v>
      </c>
      <c r="J3565" s="674">
        <v>1.63</v>
      </c>
    </row>
    <row r="3566" spans="1:10" ht="24" customHeight="1">
      <c r="A3566" s="677" t="s">
        <v>13472</v>
      </c>
      <c r="B3566" s="678" t="s">
        <v>13778</v>
      </c>
      <c r="C3566" s="677" t="s">
        <v>7</v>
      </c>
      <c r="D3566" s="677" t="s">
        <v>138</v>
      </c>
      <c r="E3566" s="918" t="s">
        <v>13470</v>
      </c>
      <c r="F3566" s="918"/>
      <c r="G3566" s="676" t="s">
        <v>19</v>
      </c>
      <c r="H3566" s="675">
        <v>0.47599999999999998</v>
      </c>
      <c r="I3566" s="674">
        <v>18.489999999999998</v>
      </c>
      <c r="J3566" s="674">
        <v>8.8000000000000007</v>
      </c>
    </row>
    <row r="3567" spans="1:10" ht="24" customHeight="1">
      <c r="A3567" s="672" t="s">
        <v>13467</v>
      </c>
      <c r="B3567" s="673" t="s">
        <v>14275</v>
      </c>
      <c r="C3567" s="672" t="s">
        <v>7</v>
      </c>
      <c r="D3567" s="672" t="s">
        <v>14274</v>
      </c>
      <c r="E3567" s="919" t="s">
        <v>13464</v>
      </c>
      <c r="F3567" s="919"/>
      <c r="G3567" s="671" t="s">
        <v>17</v>
      </c>
      <c r="H3567" s="670">
        <v>2</v>
      </c>
      <c r="I3567" s="669">
        <v>45.16</v>
      </c>
      <c r="J3567" s="669">
        <v>90.32</v>
      </c>
    </row>
    <row r="3568" spans="1:10" ht="25.5">
      <c r="A3568" s="668"/>
      <c r="B3568" s="668"/>
      <c r="C3568" s="668"/>
      <c r="D3568" s="668"/>
      <c r="E3568" s="668" t="s">
        <v>13463</v>
      </c>
      <c r="F3568" s="667">
        <v>4.482234054112789</v>
      </c>
      <c r="G3568" s="668" t="s">
        <v>13462</v>
      </c>
      <c r="H3568" s="667">
        <v>3.77</v>
      </c>
      <c r="I3568" s="668" t="s">
        <v>13461</v>
      </c>
      <c r="J3568" s="667">
        <v>8.25</v>
      </c>
    </row>
    <row r="3569" spans="1:10" ht="15" thickBot="1">
      <c r="A3569" s="668"/>
      <c r="B3569" s="668"/>
      <c r="C3569" s="668"/>
      <c r="D3569" s="668"/>
      <c r="E3569" s="668" t="s">
        <v>13460</v>
      </c>
      <c r="F3569" s="667">
        <v>28.45</v>
      </c>
      <c r="G3569" s="668"/>
      <c r="H3569" s="925" t="s">
        <v>13459</v>
      </c>
      <c r="I3569" s="925"/>
      <c r="J3569" s="667">
        <v>129.19999999999999</v>
      </c>
    </row>
    <row r="3570" spans="1:10" ht="0.95" customHeight="1" thickTop="1">
      <c r="A3570" s="666"/>
      <c r="B3570" s="666"/>
      <c r="C3570" s="666"/>
      <c r="D3570" s="666"/>
      <c r="E3570" s="666"/>
      <c r="F3570" s="666"/>
      <c r="G3570" s="666"/>
      <c r="H3570" s="666"/>
      <c r="I3570" s="666"/>
      <c r="J3570" s="666"/>
    </row>
    <row r="3571" spans="1:10" ht="18" customHeight="1">
      <c r="A3571" s="686" t="s">
        <v>14111</v>
      </c>
      <c r="B3571" s="684" t="s">
        <v>13484</v>
      </c>
      <c r="C3571" s="686" t="s">
        <v>13483</v>
      </c>
      <c r="D3571" s="686" t="s">
        <v>13482</v>
      </c>
      <c r="E3571" s="924" t="s">
        <v>13481</v>
      </c>
      <c r="F3571" s="924"/>
      <c r="G3571" s="685" t="s">
        <v>13480</v>
      </c>
      <c r="H3571" s="684" t="s">
        <v>13479</v>
      </c>
      <c r="I3571" s="684" t="s">
        <v>13478</v>
      </c>
      <c r="J3571" s="684" t="s">
        <v>13477</v>
      </c>
    </row>
    <row r="3572" spans="1:10" ht="36" customHeight="1">
      <c r="A3572" s="682" t="s">
        <v>13476</v>
      </c>
      <c r="B3572" s="683" t="s">
        <v>14273</v>
      </c>
      <c r="C3572" s="682" t="s">
        <v>7</v>
      </c>
      <c r="D3572" s="682" t="s">
        <v>2004</v>
      </c>
      <c r="E3572" s="917" t="s">
        <v>13540</v>
      </c>
      <c r="F3572" s="917"/>
      <c r="G3572" s="681" t="s">
        <v>14</v>
      </c>
      <c r="H3572" s="680">
        <v>1</v>
      </c>
      <c r="I3572" s="679">
        <v>24.52</v>
      </c>
      <c r="J3572" s="679">
        <v>24.52</v>
      </c>
    </row>
    <row r="3573" spans="1:10" ht="24" customHeight="1">
      <c r="A3573" s="677" t="s">
        <v>13472</v>
      </c>
      <c r="B3573" s="678" t="s">
        <v>13539</v>
      </c>
      <c r="C3573" s="677" t="s">
        <v>7</v>
      </c>
      <c r="D3573" s="677" t="s">
        <v>45</v>
      </c>
      <c r="E3573" s="918" t="s">
        <v>13470</v>
      </c>
      <c r="F3573" s="918"/>
      <c r="G3573" s="676" t="s">
        <v>19</v>
      </c>
      <c r="H3573" s="675">
        <v>0.115</v>
      </c>
      <c r="I3573" s="674">
        <v>18.3</v>
      </c>
      <c r="J3573" s="674">
        <v>2.1</v>
      </c>
    </row>
    <row r="3574" spans="1:10" ht="24" customHeight="1">
      <c r="A3574" s="677" t="s">
        <v>13472</v>
      </c>
      <c r="B3574" s="678" t="s">
        <v>13538</v>
      </c>
      <c r="C3574" s="677" t="s">
        <v>7</v>
      </c>
      <c r="D3574" s="677" t="s">
        <v>47</v>
      </c>
      <c r="E3574" s="918" t="s">
        <v>13470</v>
      </c>
      <c r="F3574" s="918"/>
      <c r="G3574" s="676" t="s">
        <v>19</v>
      </c>
      <c r="H3574" s="675">
        <v>0.115</v>
      </c>
      <c r="I3574" s="674">
        <v>14</v>
      </c>
      <c r="J3574" s="674">
        <v>1.61</v>
      </c>
    </row>
    <row r="3575" spans="1:10" ht="48" customHeight="1">
      <c r="A3575" s="672" t="s">
        <v>13467</v>
      </c>
      <c r="B3575" s="673" t="s">
        <v>14272</v>
      </c>
      <c r="C3575" s="672" t="s">
        <v>7</v>
      </c>
      <c r="D3575" s="672" t="s">
        <v>14271</v>
      </c>
      <c r="E3575" s="919" t="s">
        <v>13464</v>
      </c>
      <c r="F3575" s="919"/>
      <c r="G3575" s="671" t="s">
        <v>14</v>
      </c>
      <c r="H3575" s="670">
        <v>1.19</v>
      </c>
      <c r="I3575" s="669">
        <v>17.47</v>
      </c>
      <c r="J3575" s="669">
        <v>20.78</v>
      </c>
    </row>
    <row r="3576" spans="1:10" ht="24" customHeight="1">
      <c r="A3576" s="672" t="s">
        <v>13467</v>
      </c>
      <c r="B3576" s="673" t="s">
        <v>14270</v>
      </c>
      <c r="C3576" s="672" t="s">
        <v>7</v>
      </c>
      <c r="D3576" s="672" t="s">
        <v>14269</v>
      </c>
      <c r="E3576" s="919" t="s">
        <v>13464</v>
      </c>
      <c r="F3576" s="919"/>
      <c r="G3576" s="671" t="s">
        <v>34</v>
      </c>
      <c r="H3576" s="670">
        <v>8.9999999999999993E-3</v>
      </c>
      <c r="I3576" s="669">
        <v>3.78</v>
      </c>
      <c r="J3576" s="669">
        <v>0.03</v>
      </c>
    </row>
    <row r="3577" spans="1:10" ht="25.5">
      <c r="A3577" s="668"/>
      <c r="B3577" s="668"/>
      <c r="C3577" s="668"/>
      <c r="D3577" s="668"/>
      <c r="E3577" s="668" t="s">
        <v>13463</v>
      </c>
      <c r="F3577" s="667">
        <v>1.5375421058350538</v>
      </c>
      <c r="G3577" s="668" t="s">
        <v>13462</v>
      </c>
      <c r="H3577" s="667">
        <v>1.29</v>
      </c>
      <c r="I3577" s="668" t="s">
        <v>13461</v>
      </c>
      <c r="J3577" s="667">
        <v>2.83</v>
      </c>
    </row>
    <row r="3578" spans="1:10" ht="15" thickBot="1">
      <c r="A3578" s="668"/>
      <c r="B3578" s="668"/>
      <c r="C3578" s="668"/>
      <c r="D3578" s="668"/>
      <c r="E3578" s="668" t="s">
        <v>13460</v>
      </c>
      <c r="F3578" s="667">
        <v>6.92</v>
      </c>
      <c r="G3578" s="668"/>
      <c r="H3578" s="925" t="s">
        <v>13459</v>
      </c>
      <c r="I3578" s="925"/>
      <c r="J3578" s="667">
        <v>31.44</v>
      </c>
    </row>
    <row r="3579" spans="1:10" ht="0.95" customHeight="1" thickTop="1">
      <c r="A3579" s="666"/>
      <c r="B3579" s="666"/>
      <c r="C3579" s="666"/>
      <c r="D3579" s="666"/>
      <c r="E3579" s="666"/>
      <c r="F3579" s="666"/>
      <c r="G3579" s="666"/>
      <c r="H3579" s="666"/>
      <c r="I3579" s="666"/>
      <c r="J3579" s="666"/>
    </row>
    <row r="3580" spans="1:10" ht="18" customHeight="1">
      <c r="A3580" s="686" t="s">
        <v>14111</v>
      </c>
      <c r="B3580" s="684" t="s">
        <v>13484</v>
      </c>
      <c r="C3580" s="686" t="s">
        <v>13483</v>
      </c>
      <c r="D3580" s="686" t="s">
        <v>13482</v>
      </c>
      <c r="E3580" s="924" t="s">
        <v>13481</v>
      </c>
      <c r="F3580" s="924"/>
      <c r="G3580" s="685" t="s">
        <v>13480</v>
      </c>
      <c r="H3580" s="684" t="s">
        <v>13479</v>
      </c>
      <c r="I3580" s="684" t="s">
        <v>13478</v>
      </c>
      <c r="J3580" s="684" t="s">
        <v>13477</v>
      </c>
    </row>
    <row r="3581" spans="1:10" ht="48" customHeight="1">
      <c r="A3581" s="682" t="s">
        <v>13476</v>
      </c>
      <c r="B3581" s="683" t="s">
        <v>14268</v>
      </c>
      <c r="C3581" s="682" t="s">
        <v>7</v>
      </c>
      <c r="D3581" s="682" t="s">
        <v>4885</v>
      </c>
      <c r="E3581" s="917" t="s">
        <v>13540</v>
      </c>
      <c r="F3581" s="917"/>
      <c r="G3581" s="681" t="s">
        <v>34</v>
      </c>
      <c r="H3581" s="680">
        <v>1</v>
      </c>
      <c r="I3581" s="679">
        <v>1926</v>
      </c>
      <c r="J3581" s="679">
        <v>1926</v>
      </c>
    </row>
    <row r="3582" spans="1:10" ht="36" customHeight="1">
      <c r="A3582" s="677" t="s">
        <v>13472</v>
      </c>
      <c r="B3582" s="678" t="s">
        <v>13731</v>
      </c>
      <c r="C3582" s="677" t="s">
        <v>7</v>
      </c>
      <c r="D3582" s="677" t="s">
        <v>1975</v>
      </c>
      <c r="E3582" s="918" t="s">
        <v>13540</v>
      </c>
      <c r="F3582" s="918"/>
      <c r="G3582" s="676" t="s">
        <v>34</v>
      </c>
      <c r="H3582" s="675">
        <v>1</v>
      </c>
      <c r="I3582" s="674">
        <v>8.6</v>
      </c>
      <c r="J3582" s="674">
        <v>8.6</v>
      </c>
    </row>
    <row r="3583" spans="1:10" ht="48" customHeight="1">
      <c r="A3583" s="677" t="s">
        <v>13472</v>
      </c>
      <c r="B3583" s="678" t="s">
        <v>13885</v>
      </c>
      <c r="C3583" s="677" t="s">
        <v>7</v>
      </c>
      <c r="D3583" s="677" t="s">
        <v>1992</v>
      </c>
      <c r="E3583" s="918" t="s">
        <v>13540</v>
      </c>
      <c r="F3583" s="918"/>
      <c r="G3583" s="676" t="s">
        <v>34</v>
      </c>
      <c r="H3583" s="675">
        <v>1</v>
      </c>
      <c r="I3583" s="674">
        <v>15.07</v>
      </c>
      <c r="J3583" s="674">
        <v>15.07</v>
      </c>
    </row>
    <row r="3584" spans="1:10" ht="48" customHeight="1">
      <c r="A3584" s="677" t="s">
        <v>13472</v>
      </c>
      <c r="B3584" s="678" t="s">
        <v>13882</v>
      </c>
      <c r="C3584" s="677" t="s">
        <v>7</v>
      </c>
      <c r="D3584" s="677" t="s">
        <v>432</v>
      </c>
      <c r="E3584" s="918" t="s">
        <v>13540</v>
      </c>
      <c r="F3584" s="918"/>
      <c r="G3584" s="676" t="s">
        <v>34</v>
      </c>
      <c r="H3584" s="675">
        <v>1</v>
      </c>
      <c r="I3584" s="674">
        <v>13.5</v>
      </c>
      <c r="J3584" s="674">
        <v>13.5</v>
      </c>
    </row>
    <row r="3585" spans="1:10" ht="36" customHeight="1">
      <c r="A3585" s="677" t="s">
        <v>13472</v>
      </c>
      <c r="B3585" s="678" t="s">
        <v>13867</v>
      </c>
      <c r="C3585" s="677" t="s">
        <v>7</v>
      </c>
      <c r="D3585" s="677" t="s">
        <v>1965</v>
      </c>
      <c r="E3585" s="918" t="s">
        <v>13540</v>
      </c>
      <c r="F3585" s="918"/>
      <c r="G3585" s="676" t="s">
        <v>14</v>
      </c>
      <c r="H3585" s="675">
        <v>6.05</v>
      </c>
      <c r="I3585" s="674">
        <v>14.4</v>
      </c>
      <c r="J3585" s="674">
        <v>87.12</v>
      </c>
    </row>
    <row r="3586" spans="1:10" ht="24" customHeight="1">
      <c r="A3586" s="677" t="s">
        <v>13472</v>
      </c>
      <c r="B3586" s="678" t="s">
        <v>13872</v>
      </c>
      <c r="C3586" s="677" t="s">
        <v>7</v>
      </c>
      <c r="D3586" s="677" t="s">
        <v>5794</v>
      </c>
      <c r="E3586" s="918" t="s">
        <v>13540</v>
      </c>
      <c r="F3586" s="918"/>
      <c r="G3586" s="676" t="s">
        <v>34</v>
      </c>
      <c r="H3586" s="675">
        <v>1</v>
      </c>
      <c r="I3586" s="674">
        <v>89.09</v>
      </c>
      <c r="J3586" s="674">
        <v>89.09</v>
      </c>
    </row>
    <row r="3587" spans="1:10" ht="36" customHeight="1">
      <c r="A3587" s="677" t="s">
        <v>13472</v>
      </c>
      <c r="B3587" s="678" t="s">
        <v>14267</v>
      </c>
      <c r="C3587" s="677" t="s">
        <v>7</v>
      </c>
      <c r="D3587" s="677" t="s">
        <v>2309</v>
      </c>
      <c r="E3587" s="918" t="s">
        <v>13540</v>
      </c>
      <c r="F3587" s="918"/>
      <c r="G3587" s="676" t="s">
        <v>14</v>
      </c>
      <c r="H3587" s="675">
        <v>22.2</v>
      </c>
      <c r="I3587" s="674">
        <v>39.6</v>
      </c>
      <c r="J3587" s="674">
        <v>879.12</v>
      </c>
    </row>
    <row r="3588" spans="1:10" ht="48" customHeight="1">
      <c r="A3588" s="677" t="s">
        <v>13472</v>
      </c>
      <c r="B3588" s="678" t="s">
        <v>14066</v>
      </c>
      <c r="C3588" s="677" t="s">
        <v>7</v>
      </c>
      <c r="D3588" s="677" t="s">
        <v>4976</v>
      </c>
      <c r="E3588" s="918" t="s">
        <v>13540</v>
      </c>
      <c r="F3588" s="918"/>
      <c r="G3588" s="676" t="s">
        <v>34</v>
      </c>
      <c r="H3588" s="675">
        <v>1</v>
      </c>
      <c r="I3588" s="674">
        <v>352.87</v>
      </c>
      <c r="J3588" s="674">
        <v>352.87</v>
      </c>
    </row>
    <row r="3589" spans="1:10" ht="24" customHeight="1">
      <c r="A3589" s="677" t="s">
        <v>13472</v>
      </c>
      <c r="B3589" s="678" t="s">
        <v>13781</v>
      </c>
      <c r="C3589" s="677" t="s">
        <v>7</v>
      </c>
      <c r="D3589" s="677" t="s">
        <v>3453</v>
      </c>
      <c r="E3589" s="918" t="s">
        <v>13540</v>
      </c>
      <c r="F3589" s="918"/>
      <c r="G3589" s="676" t="s">
        <v>34</v>
      </c>
      <c r="H3589" s="675">
        <v>1</v>
      </c>
      <c r="I3589" s="674">
        <v>76.680000000000007</v>
      </c>
      <c r="J3589" s="674">
        <v>76.680000000000007</v>
      </c>
    </row>
    <row r="3590" spans="1:10" ht="24" customHeight="1">
      <c r="A3590" s="677" t="s">
        <v>13472</v>
      </c>
      <c r="B3590" s="678" t="s">
        <v>14266</v>
      </c>
      <c r="C3590" s="677" t="s">
        <v>7</v>
      </c>
      <c r="D3590" s="677" t="s">
        <v>3447</v>
      </c>
      <c r="E3590" s="918" t="s">
        <v>13540</v>
      </c>
      <c r="F3590" s="918"/>
      <c r="G3590" s="676" t="s">
        <v>14</v>
      </c>
      <c r="H3590" s="675">
        <v>1.95</v>
      </c>
      <c r="I3590" s="674">
        <v>43.24</v>
      </c>
      <c r="J3590" s="674">
        <v>84.31</v>
      </c>
    </row>
    <row r="3591" spans="1:10" ht="24" customHeight="1">
      <c r="A3591" s="677" t="s">
        <v>13472</v>
      </c>
      <c r="B3591" s="678" t="s">
        <v>13539</v>
      </c>
      <c r="C3591" s="677" t="s">
        <v>7</v>
      </c>
      <c r="D3591" s="677" t="s">
        <v>45</v>
      </c>
      <c r="E3591" s="918" t="s">
        <v>13470</v>
      </c>
      <c r="F3591" s="918"/>
      <c r="G3591" s="676" t="s">
        <v>19</v>
      </c>
      <c r="H3591" s="675">
        <v>3.5078</v>
      </c>
      <c r="I3591" s="674">
        <v>18.3</v>
      </c>
      <c r="J3591" s="674">
        <v>64.19</v>
      </c>
    </row>
    <row r="3592" spans="1:10" ht="24" customHeight="1">
      <c r="A3592" s="677" t="s">
        <v>13472</v>
      </c>
      <c r="B3592" s="678" t="s">
        <v>13538</v>
      </c>
      <c r="C3592" s="677" t="s">
        <v>7</v>
      </c>
      <c r="D3592" s="677" t="s">
        <v>47</v>
      </c>
      <c r="E3592" s="918" t="s">
        <v>13470</v>
      </c>
      <c r="F3592" s="918"/>
      <c r="G3592" s="676" t="s">
        <v>19</v>
      </c>
      <c r="H3592" s="675">
        <v>0.38969999999999999</v>
      </c>
      <c r="I3592" s="674">
        <v>14</v>
      </c>
      <c r="J3592" s="674">
        <v>5.45</v>
      </c>
    </row>
    <row r="3593" spans="1:10" ht="36" customHeight="1">
      <c r="A3593" s="672" t="s">
        <v>13467</v>
      </c>
      <c r="B3593" s="673" t="s">
        <v>14265</v>
      </c>
      <c r="C3593" s="672" t="s">
        <v>7</v>
      </c>
      <c r="D3593" s="672" t="s">
        <v>14264</v>
      </c>
      <c r="E3593" s="919" t="s">
        <v>13464</v>
      </c>
      <c r="F3593" s="919"/>
      <c r="G3593" s="671" t="s">
        <v>34</v>
      </c>
      <c r="H3593" s="670">
        <v>1</v>
      </c>
      <c r="I3593" s="669">
        <v>21.07</v>
      </c>
      <c r="J3593" s="669">
        <v>21.07</v>
      </c>
    </row>
    <row r="3594" spans="1:10" ht="36" customHeight="1">
      <c r="A3594" s="672" t="s">
        <v>13467</v>
      </c>
      <c r="B3594" s="673" t="s">
        <v>14263</v>
      </c>
      <c r="C3594" s="672" t="s">
        <v>7</v>
      </c>
      <c r="D3594" s="672" t="s">
        <v>14262</v>
      </c>
      <c r="E3594" s="919" t="s">
        <v>13464</v>
      </c>
      <c r="F3594" s="919"/>
      <c r="G3594" s="671" t="s">
        <v>34</v>
      </c>
      <c r="H3594" s="670">
        <v>4</v>
      </c>
      <c r="I3594" s="669">
        <v>0.26</v>
      </c>
      <c r="J3594" s="669">
        <v>1.04</v>
      </c>
    </row>
    <row r="3595" spans="1:10" ht="24" customHeight="1">
      <c r="A3595" s="672" t="s">
        <v>13467</v>
      </c>
      <c r="B3595" s="673" t="s">
        <v>14222</v>
      </c>
      <c r="C3595" s="672" t="s">
        <v>7</v>
      </c>
      <c r="D3595" s="672" t="s">
        <v>14221</v>
      </c>
      <c r="E3595" s="919" t="s">
        <v>13464</v>
      </c>
      <c r="F3595" s="919"/>
      <c r="G3595" s="671" t="s">
        <v>34</v>
      </c>
      <c r="H3595" s="670">
        <v>1</v>
      </c>
      <c r="I3595" s="669">
        <v>15.99</v>
      </c>
      <c r="J3595" s="669">
        <v>15.99</v>
      </c>
    </row>
    <row r="3596" spans="1:10" ht="36" customHeight="1">
      <c r="A3596" s="672" t="s">
        <v>13467</v>
      </c>
      <c r="B3596" s="673" t="s">
        <v>14261</v>
      </c>
      <c r="C3596" s="672" t="s">
        <v>7</v>
      </c>
      <c r="D3596" s="672" t="s">
        <v>14260</v>
      </c>
      <c r="E3596" s="919" t="s">
        <v>13464</v>
      </c>
      <c r="F3596" s="919"/>
      <c r="G3596" s="671" t="s">
        <v>34</v>
      </c>
      <c r="H3596" s="670">
        <v>1</v>
      </c>
      <c r="I3596" s="669">
        <v>155.59</v>
      </c>
      <c r="J3596" s="669">
        <v>155.59</v>
      </c>
    </row>
    <row r="3597" spans="1:10" ht="36" customHeight="1">
      <c r="A3597" s="672" t="s">
        <v>13467</v>
      </c>
      <c r="B3597" s="673" t="s">
        <v>14179</v>
      </c>
      <c r="C3597" s="672" t="s">
        <v>7</v>
      </c>
      <c r="D3597" s="672" t="s">
        <v>14178</v>
      </c>
      <c r="E3597" s="919" t="s">
        <v>13464</v>
      </c>
      <c r="F3597" s="919"/>
      <c r="G3597" s="671" t="s">
        <v>34</v>
      </c>
      <c r="H3597" s="670">
        <v>2</v>
      </c>
      <c r="I3597" s="669">
        <v>0.9</v>
      </c>
      <c r="J3597" s="669">
        <v>1.8</v>
      </c>
    </row>
    <row r="3598" spans="1:10" ht="24" customHeight="1">
      <c r="A3598" s="672" t="s">
        <v>13467</v>
      </c>
      <c r="B3598" s="673" t="s">
        <v>14259</v>
      </c>
      <c r="C3598" s="672" t="s">
        <v>7</v>
      </c>
      <c r="D3598" s="672" t="s">
        <v>14258</v>
      </c>
      <c r="E3598" s="919" t="s">
        <v>13464</v>
      </c>
      <c r="F3598" s="919"/>
      <c r="G3598" s="671" t="s">
        <v>34</v>
      </c>
      <c r="H3598" s="670">
        <v>1</v>
      </c>
      <c r="I3598" s="669">
        <v>25.01</v>
      </c>
      <c r="J3598" s="669">
        <v>25.01</v>
      </c>
    </row>
    <row r="3599" spans="1:10" ht="24" customHeight="1">
      <c r="A3599" s="672" t="s">
        <v>13467</v>
      </c>
      <c r="B3599" s="673" t="s">
        <v>14257</v>
      </c>
      <c r="C3599" s="672" t="s">
        <v>7</v>
      </c>
      <c r="D3599" s="672" t="s">
        <v>14256</v>
      </c>
      <c r="E3599" s="919" t="s">
        <v>13464</v>
      </c>
      <c r="F3599" s="919"/>
      <c r="G3599" s="671" t="s">
        <v>34</v>
      </c>
      <c r="H3599" s="670">
        <v>0.06</v>
      </c>
      <c r="I3599" s="669">
        <v>53.05</v>
      </c>
      <c r="J3599" s="669">
        <v>3.18</v>
      </c>
    </row>
    <row r="3600" spans="1:10" ht="24" customHeight="1">
      <c r="A3600" s="672" t="s">
        <v>13467</v>
      </c>
      <c r="B3600" s="673" t="s">
        <v>14255</v>
      </c>
      <c r="C3600" s="672" t="s">
        <v>7</v>
      </c>
      <c r="D3600" s="672" t="s">
        <v>14254</v>
      </c>
      <c r="E3600" s="919" t="s">
        <v>13464</v>
      </c>
      <c r="F3600" s="919"/>
      <c r="G3600" s="671" t="s">
        <v>34</v>
      </c>
      <c r="H3600" s="670">
        <v>1</v>
      </c>
      <c r="I3600" s="669">
        <v>5.21</v>
      </c>
      <c r="J3600" s="669">
        <v>5.21</v>
      </c>
    </row>
    <row r="3601" spans="1:10" ht="36" customHeight="1">
      <c r="A3601" s="672" t="s">
        <v>13467</v>
      </c>
      <c r="B3601" s="673" t="s">
        <v>14253</v>
      </c>
      <c r="C3601" s="672" t="s">
        <v>7</v>
      </c>
      <c r="D3601" s="672" t="s">
        <v>14252</v>
      </c>
      <c r="E3601" s="919" t="s">
        <v>13464</v>
      </c>
      <c r="F3601" s="919"/>
      <c r="G3601" s="671" t="s">
        <v>34</v>
      </c>
      <c r="H3601" s="670">
        <v>3</v>
      </c>
      <c r="I3601" s="669">
        <v>6.7</v>
      </c>
      <c r="J3601" s="669">
        <v>20.100000000000001</v>
      </c>
    </row>
    <row r="3602" spans="1:10" ht="24" customHeight="1">
      <c r="A3602" s="672" t="s">
        <v>13467</v>
      </c>
      <c r="B3602" s="673" t="s">
        <v>14177</v>
      </c>
      <c r="C3602" s="672" t="s">
        <v>7</v>
      </c>
      <c r="D3602" s="672" t="s">
        <v>14176</v>
      </c>
      <c r="E3602" s="919" t="s">
        <v>13464</v>
      </c>
      <c r="F3602" s="919"/>
      <c r="G3602" s="671" t="s">
        <v>34</v>
      </c>
      <c r="H3602" s="670">
        <v>2</v>
      </c>
      <c r="I3602" s="669">
        <v>0.2</v>
      </c>
      <c r="J3602" s="669">
        <v>0.4</v>
      </c>
    </row>
    <row r="3603" spans="1:10" ht="24" customHeight="1">
      <c r="A3603" s="672" t="s">
        <v>13467</v>
      </c>
      <c r="B3603" s="673" t="s">
        <v>14175</v>
      </c>
      <c r="C3603" s="672" t="s">
        <v>7</v>
      </c>
      <c r="D3603" s="672" t="s">
        <v>14174</v>
      </c>
      <c r="E3603" s="919" t="s">
        <v>13464</v>
      </c>
      <c r="F3603" s="919"/>
      <c r="G3603" s="671" t="s">
        <v>14</v>
      </c>
      <c r="H3603" s="670">
        <v>0.16639999999999999</v>
      </c>
      <c r="I3603" s="669">
        <v>3.69</v>
      </c>
      <c r="J3603" s="669">
        <v>0.61</v>
      </c>
    </row>
    <row r="3604" spans="1:10" ht="25.5">
      <c r="A3604" s="668"/>
      <c r="B3604" s="668"/>
      <c r="C3604" s="668"/>
      <c r="D3604" s="668"/>
      <c r="E3604" s="668" t="s">
        <v>13463</v>
      </c>
      <c r="F3604" s="667">
        <v>133.10333586873847</v>
      </c>
      <c r="G3604" s="668" t="s">
        <v>13462</v>
      </c>
      <c r="H3604" s="667">
        <v>111.89</v>
      </c>
      <c r="I3604" s="668" t="s">
        <v>13461</v>
      </c>
      <c r="J3604" s="667">
        <v>244.99</v>
      </c>
    </row>
    <row r="3605" spans="1:10" ht="15" thickBot="1">
      <c r="A3605" s="668"/>
      <c r="B3605" s="668"/>
      <c r="C3605" s="668"/>
      <c r="D3605" s="668"/>
      <c r="E3605" s="668" t="s">
        <v>13460</v>
      </c>
      <c r="F3605" s="667">
        <v>543.9</v>
      </c>
      <c r="G3605" s="668"/>
      <c r="H3605" s="925" t="s">
        <v>13459</v>
      </c>
      <c r="I3605" s="925"/>
      <c r="J3605" s="667">
        <v>2469.9</v>
      </c>
    </row>
    <row r="3606" spans="1:10" ht="0.95" customHeight="1" thickTop="1">
      <c r="A3606" s="666"/>
      <c r="B3606" s="666"/>
      <c r="C3606" s="666"/>
      <c r="D3606" s="666"/>
      <c r="E3606" s="666"/>
      <c r="F3606" s="666"/>
      <c r="G3606" s="666"/>
      <c r="H3606" s="666"/>
      <c r="I3606" s="666"/>
      <c r="J3606" s="666"/>
    </row>
    <row r="3607" spans="1:10" ht="18" customHeight="1">
      <c r="A3607" s="686" t="s">
        <v>14111</v>
      </c>
      <c r="B3607" s="684" t="s">
        <v>13484</v>
      </c>
      <c r="C3607" s="686" t="s">
        <v>13483</v>
      </c>
      <c r="D3607" s="686" t="s">
        <v>13482</v>
      </c>
      <c r="E3607" s="924" t="s">
        <v>13481</v>
      </c>
      <c r="F3607" s="924"/>
      <c r="G3607" s="685" t="s">
        <v>13480</v>
      </c>
      <c r="H3607" s="684" t="s">
        <v>13479</v>
      </c>
      <c r="I3607" s="684" t="s">
        <v>13478</v>
      </c>
      <c r="J3607" s="684" t="s">
        <v>13477</v>
      </c>
    </row>
    <row r="3608" spans="1:10" ht="36" customHeight="1">
      <c r="A3608" s="682" t="s">
        <v>13476</v>
      </c>
      <c r="B3608" s="683" t="s">
        <v>14251</v>
      </c>
      <c r="C3608" s="682" t="s">
        <v>7</v>
      </c>
      <c r="D3608" s="682" t="s">
        <v>434</v>
      </c>
      <c r="E3608" s="917" t="s">
        <v>13540</v>
      </c>
      <c r="F3608" s="917"/>
      <c r="G3608" s="681" t="s">
        <v>34</v>
      </c>
      <c r="H3608" s="680">
        <v>1</v>
      </c>
      <c r="I3608" s="679">
        <v>5.84</v>
      </c>
      <c r="J3608" s="679">
        <v>5.84</v>
      </c>
    </row>
    <row r="3609" spans="1:10" ht="24" customHeight="1">
      <c r="A3609" s="677" t="s">
        <v>13472</v>
      </c>
      <c r="B3609" s="678" t="s">
        <v>13539</v>
      </c>
      <c r="C3609" s="677" t="s">
        <v>7</v>
      </c>
      <c r="D3609" s="677" t="s">
        <v>45</v>
      </c>
      <c r="E3609" s="918" t="s">
        <v>13470</v>
      </c>
      <c r="F3609" s="918"/>
      <c r="G3609" s="676" t="s">
        <v>19</v>
      </c>
      <c r="H3609" s="675">
        <v>0.124</v>
      </c>
      <c r="I3609" s="674">
        <v>18.3</v>
      </c>
      <c r="J3609" s="674">
        <v>2.2599999999999998</v>
      </c>
    </row>
    <row r="3610" spans="1:10" ht="24" customHeight="1">
      <c r="A3610" s="672" t="s">
        <v>13467</v>
      </c>
      <c r="B3610" s="673" t="s">
        <v>14250</v>
      </c>
      <c r="C3610" s="672" t="s">
        <v>7</v>
      </c>
      <c r="D3610" s="672" t="s">
        <v>14249</v>
      </c>
      <c r="E3610" s="919" t="s">
        <v>13464</v>
      </c>
      <c r="F3610" s="919"/>
      <c r="G3610" s="671" t="s">
        <v>34</v>
      </c>
      <c r="H3610" s="670">
        <v>1</v>
      </c>
      <c r="I3610" s="669">
        <v>2.36</v>
      </c>
      <c r="J3610" s="669">
        <v>2.36</v>
      </c>
    </row>
    <row r="3611" spans="1:10" ht="36" customHeight="1">
      <c r="A3611" s="672" t="s">
        <v>13467</v>
      </c>
      <c r="B3611" s="673" t="s">
        <v>14248</v>
      </c>
      <c r="C3611" s="672" t="s">
        <v>7</v>
      </c>
      <c r="D3611" s="672" t="s">
        <v>14247</v>
      </c>
      <c r="E3611" s="919" t="s">
        <v>13464</v>
      </c>
      <c r="F3611" s="919"/>
      <c r="G3611" s="671" t="s">
        <v>34</v>
      </c>
      <c r="H3611" s="670">
        <v>1</v>
      </c>
      <c r="I3611" s="669">
        <v>1.22</v>
      </c>
      <c r="J3611" s="669">
        <v>1.22</v>
      </c>
    </row>
    <row r="3612" spans="1:10" ht="25.5">
      <c r="A3612" s="668"/>
      <c r="B3612" s="668"/>
      <c r="C3612" s="668"/>
      <c r="D3612" s="668"/>
      <c r="E3612" s="668" t="s">
        <v>13463</v>
      </c>
      <c r="F3612" s="667">
        <v>0.97250896446810819</v>
      </c>
      <c r="G3612" s="668" t="s">
        <v>13462</v>
      </c>
      <c r="H3612" s="667">
        <v>0.82</v>
      </c>
      <c r="I3612" s="668" t="s">
        <v>13461</v>
      </c>
      <c r="J3612" s="667">
        <v>1.79</v>
      </c>
    </row>
    <row r="3613" spans="1:10" ht="15" thickBot="1">
      <c r="A3613" s="668"/>
      <c r="B3613" s="668"/>
      <c r="C3613" s="668"/>
      <c r="D3613" s="668"/>
      <c r="E3613" s="668" t="s">
        <v>13460</v>
      </c>
      <c r="F3613" s="667">
        <v>1.64</v>
      </c>
      <c r="G3613" s="668"/>
      <c r="H3613" s="925" t="s">
        <v>13459</v>
      </c>
      <c r="I3613" s="925"/>
      <c r="J3613" s="667">
        <v>7.48</v>
      </c>
    </row>
    <row r="3614" spans="1:10" ht="0.95" customHeight="1" thickTop="1">
      <c r="A3614" s="666"/>
      <c r="B3614" s="666"/>
      <c r="C3614" s="666"/>
      <c r="D3614" s="666"/>
      <c r="E3614" s="666"/>
      <c r="F3614" s="666"/>
      <c r="G3614" s="666"/>
      <c r="H3614" s="666"/>
      <c r="I3614" s="666"/>
      <c r="J3614" s="666"/>
    </row>
    <row r="3615" spans="1:10" ht="18" customHeight="1">
      <c r="A3615" s="686" t="s">
        <v>14111</v>
      </c>
      <c r="B3615" s="684" t="s">
        <v>13484</v>
      </c>
      <c r="C3615" s="686" t="s">
        <v>13483</v>
      </c>
      <c r="D3615" s="686" t="s">
        <v>13482</v>
      </c>
      <c r="E3615" s="924" t="s">
        <v>13481</v>
      </c>
      <c r="F3615" s="924"/>
      <c r="G3615" s="685" t="s">
        <v>13480</v>
      </c>
      <c r="H3615" s="684" t="s">
        <v>13479</v>
      </c>
      <c r="I3615" s="684" t="s">
        <v>13478</v>
      </c>
      <c r="J3615" s="684" t="s">
        <v>13477</v>
      </c>
    </row>
    <row r="3616" spans="1:10" ht="48" customHeight="1">
      <c r="A3616" s="682" t="s">
        <v>13476</v>
      </c>
      <c r="B3616" s="683" t="s">
        <v>14246</v>
      </c>
      <c r="C3616" s="682" t="s">
        <v>7</v>
      </c>
      <c r="D3616" s="682" t="s">
        <v>5010</v>
      </c>
      <c r="E3616" s="917" t="s">
        <v>13540</v>
      </c>
      <c r="F3616" s="917"/>
      <c r="G3616" s="681" t="s">
        <v>34</v>
      </c>
      <c r="H3616" s="680">
        <v>1</v>
      </c>
      <c r="I3616" s="679">
        <v>762.58</v>
      </c>
      <c r="J3616" s="679">
        <v>762.58</v>
      </c>
    </row>
    <row r="3617" spans="1:10" ht="60" customHeight="1">
      <c r="A3617" s="677" t="s">
        <v>13472</v>
      </c>
      <c r="B3617" s="678" t="s">
        <v>13802</v>
      </c>
      <c r="C3617" s="677" t="s">
        <v>7</v>
      </c>
      <c r="D3617" s="677" t="s">
        <v>761</v>
      </c>
      <c r="E3617" s="918" t="s">
        <v>13491</v>
      </c>
      <c r="F3617" s="918"/>
      <c r="G3617" s="676" t="s">
        <v>38</v>
      </c>
      <c r="H3617" s="675">
        <v>7.9000000000000001E-2</v>
      </c>
      <c r="I3617" s="674">
        <v>189.61</v>
      </c>
      <c r="J3617" s="674">
        <v>14.97</v>
      </c>
    </row>
    <row r="3618" spans="1:10" ht="36" customHeight="1">
      <c r="A3618" s="677" t="s">
        <v>13472</v>
      </c>
      <c r="B3618" s="678" t="s">
        <v>14230</v>
      </c>
      <c r="C3618" s="677" t="s">
        <v>7</v>
      </c>
      <c r="D3618" s="677" t="s">
        <v>7002</v>
      </c>
      <c r="E3618" s="918" t="s">
        <v>13646</v>
      </c>
      <c r="F3618" s="918"/>
      <c r="G3618" s="676" t="s">
        <v>13515</v>
      </c>
      <c r="H3618" s="675">
        <v>0.80300000000000005</v>
      </c>
      <c r="I3618" s="674">
        <v>296.5</v>
      </c>
      <c r="J3618" s="674">
        <v>238.08</v>
      </c>
    </row>
    <row r="3619" spans="1:10" ht="24" customHeight="1">
      <c r="A3619" s="677" t="s">
        <v>13472</v>
      </c>
      <c r="B3619" s="678" t="s">
        <v>13539</v>
      </c>
      <c r="C3619" s="677" t="s">
        <v>7</v>
      </c>
      <c r="D3619" s="677" t="s">
        <v>45</v>
      </c>
      <c r="E3619" s="918" t="s">
        <v>13470</v>
      </c>
      <c r="F3619" s="918"/>
      <c r="G3619" s="676" t="s">
        <v>19</v>
      </c>
      <c r="H3619" s="675">
        <v>9.1479999999999997</v>
      </c>
      <c r="I3619" s="674">
        <v>18.3</v>
      </c>
      <c r="J3619" s="674">
        <v>167.4</v>
      </c>
    </row>
    <row r="3620" spans="1:10" ht="24" customHeight="1">
      <c r="A3620" s="677" t="s">
        <v>13472</v>
      </c>
      <c r="B3620" s="678" t="s">
        <v>13538</v>
      </c>
      <c r="C3620" s="677" t="s">
        <v>7</v>
      </c>
      <c r="D3620" s="677" t="s">
        <v>47</v>
      </c>
      <c r="E3620" s="918" t="s">
        <v>13470</v>
      </c>
      <c r="F3620" s="918"/>
      <c r="G3620" s="676" t="s">
        <v>19</v>
      </c>
      <c r="H3620" s="675">
        <v>2.8149999999999999</v>
      </c>
      <c r="I3620" s="674">
        <v>14</v>
      </c>
      <c r="J3620" s="674">
        <v>39.409999999999997</v>
      </c>
    </row>
    <row r="3621" spans="1:10" ht="24" customHeight="1">
      <c r="A3621" s="672" t="s">
        <v>13467</v>
      </c>
      <c r="B3621" s="673" t="s">
        <v>14065</v>
      </c>
      <c r="C3621" s="672" t="s">
        <v>7</v>
      </c>
      <c r="D3621" s="672" t="s">
        <v>14064</v>
      </c>
      <c r="E3621" s="919" t="s">
        <v>13464</v>
      </c>
      <c r="F3621" s="919"/>
      <c r="G3621" s="671" t="s">
        <v>14</v>
      </c>
      <c r="H3621" s="670">
        <v>11</v>
      </c>
      <c r="I3621" s="669">
        <v>27.52</v>
      </c>
      <c r="J3621" s="669">
        <v>302.72000000000003</v>
      </c>
    </row>
    <row r="3622" spans="1:10" ht="25.5">
      <c r="A3622" s="668"/>
      <c r="B3622" s="668"/>
      <c r="C3622" s="668"/>
      <c r="D3622" s="668"/>
      <c r="E3622" s="668" t="s">
        <v>13463</v>
      </c>
      <c r="F3622" s="667">
        <v>105.04726719547973</v>
      </c>
      <c r="G3622" s="668" t="s">
        <v>13462</v>
      </c>
      <c r="H3622" s="667">
        <v>88.3</v>
      </c>
      <c r="I3622" s="668" t="s">
        <v>13461</v>
      </c>
      <c r="J3622" s="667">
        <v>193.35</v>
      </c>
    </row>
    <row r="3623" spans="1:10" ht="15" thickBot="1">
      <c r="A3623" s="668"/>
      <c r="B3623" s="668"/>
      <c r="C3623" s="668"/>
      <c r="D3623" s="668"/>
      <c r="E3623" s="668" t="s">
        <v>13460</v>
      </c>
      <c r="F3623" s="667">
        <v>215.35</v>
      </c>
      <c r="G3623" s="668"/>
      <c r="H3623" s="925" t="s">
        <v>13459</v>
      </c>
      <c r="I3623" s="925"/>
      <c r="J3623" s="667">
        <v>977.93</v>
      </c>
    </row>
    <row r="3624" spans="1:10" ht="0.95" customHeight="1" thickTop="1">
      <c r="A3624" s="666"/>
      <c r="B3624" s="666"/>
      <c r="C3624" s="666"/>
      <c r="D3624" s="666"/>
      <c r="E3624" s="666"/>
      <c r="F3624" s="666"/>
      <c r="G3624" s="666"/>
      <c r="H3624" s="666"/>
      <c r="I3624" s="666"/>
      <c r="J3624" s="666"/>
    </row>
    <row r="3625" spans="1:10" ht="18" customHeight="1">
      <c r="A3625" s="686" t="s">
        <v>14111</v>
      </c>
      <c r="B3625" s="684" t="s">
        <v>13484</v>
      </c>
      <c r="C3625" s="686" t="s">
        <v>13483</v>
      </c>
      <c r="D3625" s="686" t="s">
        <v>13482</v>
      </c>
      <c r="E3625" s="924" t="s">
        <v>13481</v>
      </c>
      <c r="F3625" s="924"/>
      <c r="G3625" s="685" t="s">
        <v>13480</v>
      </c>
      <c r="H3625" s="684" t="s">
        <v>13479</v>
      </c>
      <c r="I3625" s="684" t="s">
        <v>13478</v>
      </c>
      <c r="J3625" s="684" t="s">
        <v>13477</v>
      </c>
    </row>
    <row r="3626" spans="1:10" ht="24" customHeight="1">
      <c r="A3626" s="682" t="s">
        <v>13476</v>
      </c>
      <c r="B3626" s="683" t="s">
        <v>14245</v>
      </c>
      <c r="C3626" s="682" t="s">
        <v>7</v>
      </c>
      <c r="D3626" s="682" t="s">
        <v>3456</v>
      </c>
      <c r="E3626" s="917" t="s">
        <v>13540</v>
      </c>
      <c r="F3626" s="917"/>
      <c r="G3626" s="681" t="s">
        <v>34</v>
      </c>
      <c r="H3626" s="680">
        <v>1</v>
      </c>
      <c r="I3626" s="679">
        <v>124.06</v>
      </c>
      <c r="J3626" s="679">
        <v>124.06</v>
      </c>
    </row>
    <row r="3627" spans="1:10" ht="24" customHeight="1">
      <c r="A3627" s="677" t="s">
        <v>13472</v>
      </c>
      <c r="B3627" s="678" t="s">
        <v>13539</v>
      </c>
      <c r="C3627" s="677" t="s">
        <v>7</v>
      </c>
      <c r="D3627" s="677" t="s">
        <v>45</v>
      </c>
      <c r="E3627" s="918" t="s">
        <v>13470</v>
      </c>
      <c r="F3627" s="918"/>
      <c r="G3627" s="676" t="s">
        <v>19</v>
      </c>
      <c r="H3627" s="675">
        <v>0.12640000000000001</v>
      </c>
      <c r="I3627" s="674">
        <v>18.3</v>
      </c>
      <c r="J3627" s="674">
        <v>2.31</v>
      </c>
    </row>
    <row r="3628" spans="1:10" ht="24" customHeight="1">
      <c r="A3628" s="677" t="s">
        <v>13472</v>
      </c>
      <c r="B3628" s="678" t="s">
        <v>13538</v>
      </c>
      <c r="C3628" s="677" t="s">
        <v>7</v>
      </c>
      <c r="D3628" s="677" t="s">
        <v>47</v>
      </c>
      <c r="E3628" s="918" t="s">
        <v>13470</v>
      </c>
      <c r="F3628" s="918"/>
      <c r="G3628" s="676" t="s">
        <v>19</v>
      </c>
      <c r="H3628" s="675">
        <v>0.12640000000000001</v>
      </c>
      <c r="I3628" s="674">
        <v>14</v>
      </c>
      <c r="J3628" s="674">
        <v>1.76</v>
      </c>
    </row>
    <row r="3629" spans="1:10" ht="36" customHeight="1">
      <c r="A3629" s="672" t="s">
        <v>13467</v>
      </c>
      <c r="B3629" s="673" t="s">
        <v>14244</v>
      </c>
      <c r="C3629" s="672" t="s">
        <v>7</v>
      </c>
      <c r="D3629" s="672" t="s">
        <v>14243</v>
      </c>
      <c r="E3629" s="919" t="s">
        <v>13464</v>
      </c>
      <c r="F3629" s="919"/>
      <c r="G3629" s="671" t="s">
        <v>34</v>
      </c>
      <c r="H3629" s="670">
        <v>1</v>
      </c>
      <c r="I3629" s="669">
        <v>119.99</v>
      </c>
      <c r="J3629" s="669">
        <v>119.99</v>
      </c>
    </row>
    <row r="3630" spans="1:10" ht="25.5">
      <c r="A3630" s="668"/>
      <c r="B3630" s="668"/>
      <c r="C3630" s="668"/>
      <c r="D3630" s="668"/>
      <c r="E3630" s="668" t="s">
        <v>13463</v>
      </c>
      <c r="F3630" s="667">
        <v>1.6896664131261545</v>
      </c>
      <c r="G3630" s="668" t="s">
        <v>13462</v>
      </c>
      <c r="H3630" s="667">
        <v>1.42</v>
      </c>
      <c r="I3630" s="668" t="s">
        <v>13461</v>
      </c>
      <c r="J3630" s="667">
        <v>3.11</v>
      </c>
    </row>
    <row r="3631" spans="1:10" ht="15" thickBot="1">
      <c r="A3631" s="668"/>
      <c r="B3631" s="668"/>
      <c r="C3631" s="668"/>
      <c r="D3631" s="668"/>
      <c r="E3631" s="668" t="s">
        <v>13460</v>
      </c>
      <c r="F3631" s="667">
        <v>35.03</v>
      </c>
      <c r="G3631" s="668"/>
      <c r="H3631" s="925" t="s">
        <v>13459</v>
      </c>
      <c r="I3631" s="925"/>
      <c r="J3631" s="667">
        <v>159.09</v>
      </c>
    </row>
    <row r="3632" spans="1:10" ht="0.95" customHeight="1" thickTop="1">
      <c r="A3632" s="666"/>
      <c r="B3632" s="666"/>
      <c r="C3632" s="666"/>
      <c r="D3632" s="666"/>
      <c r="E3632" s="666"/>
      <c r="F3632" s="666"/>
      <c r="G3632" s="666"/>
      <c r="H3632" s="666"/>
      <c r="I3632" s="666"/>
      <c r="J3632" s="666"/>
    </row>
    <row r="3633" spans="1:10" ht="18" customHeight="1">
      <c r="A3633" s="686" t="s">
        <v>14111</v>
      </c>
      <c r="B3633" s="684" t="s">
        <v>13484</v>
      </c>
      <c r="C3633" s="686" t="s">
        <v>13483</v>
      </c>
      <c r="D3633" s="686" t="s">
        <v>13482</v>
      </c>
      <c r="E3633" s="924" t="s">
        <v>13481</v>
      </c>
      <c r="F3633" s="924"/>
      <c r="G3633" s="685" t="s">
        <v>13480</v>
      </c>
      <c r="H3633" s="684" t="s">
        <v>13479</v>
      </c>
      <c r="I3633" s="684" t="s">
        <v>13478</v>
      </c>
      <c r="J3633" s="684" t="s">
        <v>13477</v>
      </c>
    </row>
    <row r="3634" spans="1:10" ht="24" customHeight="1">
      <c r="A3634" s="682" t="s">
        <v>13476</v>
      </c>
      <c r="B3634" s="683" t="s">
        <v>14242</v>
      </c>
      <c r="C3634" s="682" t="s">
        <v>7</v>
      </c>
      <c r="D3634" s="682" t="s">
        <v>3454</v>
      </c>
      <c r="E3634" s="917" t="s">
        <v>13540</v>
      </c>
      <c r="F3634" s="917"/>
      <c r="G3634" s="681" t="s">
        <v>34</v>
      </c>
      <c r="H3634" s="680">
        <v>1</v>
      </c>
      <c r="I3634" s="679">
        <v>116.79</v>
      </c>
      <c r="J3634" s="679">
        <v>116.79</v>
      </c>
    </row>
    <row r="3635" spans="1:10" ht="24" customHeight="1">
      <c r="A3635" s="677" t="s">
        <v>13472</v>
      </c>
      <c r="B3635" s="678" t="s">
        <v>13539</v>
      </c>
      <c r="C3635" s="677" t="s">
        <v>7</v>
      </c>
      <c r="D3635" s="677" t="s">
        <v>45</v>
      </c>
      <c r="E3635" s="918" t="s">
        <v>13470</v>
      </c>
      <c r="F3635" s="918"/>
      <c r="G3635" s="676" t="s">
        <v>19</v>
      </c>
      <c r="H3635" s="675">
        <v>1.1328</v>
      </c>
      <c r="I3635" s="674">
        <v>18.3</v>
      </c>
      <c r="J3635" s="674">
        <v>20.73</v>
      </c>
    </row>
    <row r="3636" spans="1:10" ht="24" customHeight="1">
      <c r="A3636" s="677" t="s">
        <v>13472</v>
      </c>
      <c r="B3636" s="678" t="s">
        <v>13538</v>
      </c>
      <c r="C3636" s="677" t="s">
        <v>7</v>
      </c>
      <c r="D3636" s="677" t="s">
        <v>47</v>
      </c>
      <c r="E3636" s="918" t="s">
        <v>13470</v>
      </c>
      <c r="F3636" s="918"/>
      <c r="G3636" s="676" t="s">
        <v>19</v>
      </c>
      <c r="H3636" s="675">
        <v>1.1328</v>
      </c>
      <c r="I3636" s="674">
        <v>14</v>
      </c>
      <c r="J3636" s="674">
        <v>15.85</v>
      </c>
    </row>
    <row r="3637" spans="1:10" ht="24" customHeight="1">
      <c r="A3637" s="672" t="s">
        <v>13467</v>
      </c>
      <c r="B3637" s="673" t="s">
        <v>14241</v>
      </c>
      <c r="C3637" s="672" t="s">
        <v>7</v>
      </c>
      <c r="D3637" s="672" t="s">
        <v>14240</v>
      </c>
      <c r="E3637" s="919" t="s">
        <v>13464</v>
      </c>
      <c r="F3637" s="919"/>
      <c r="G3637" s="671" t="s">
        <v>34</v>
      </c>
      <c r="H3637" s="670">
        <v>1</v>
      </c>
      <c r="I3637" s="669">
        <v>80.209999999999994</v>
      </c>
      <c r="J3637" s="669">
        <v>80.209999999999994</v>
      </c>
    </row>
    <row r="3638" spans="1:10" ht="25.5">
      <c r="A3638" s="668"/>
      <c r="B3638" s="668"/>
      <c r="C3638" s="668"/>
      <c r="D3638" s="668"/>
      <c r="E3638" s="668" t="s">
        <v>13463</v>
      </c>
      <c r="F3638" s="667">
        <v>15.185265674236662</v>
      </c>
      <c r="G3638" s="668" t="s">
        <v>13462</v>
      </c>
      <c r="H3638" s="667">
        <v>12.76</v>
      </c>
      <c r="I3638" s="668" t="s">
        <v>13461</v>
      </c>
      <c r="J3638" s="667">
        <v>27.95</v>
      </c>
    </row>
    <row r="3639" spans="1:10" ht="15" thickBot="1">
      <c r="A3639" s="668"/>
      <c r="B3639" s="668"/>
      <c r="C3639" s="668"/>
      <c r="D3639" s="668"/>
      <c r="E3639" s="668" t="s">
        <v>13460</v>
      </c>
      <c r="F3639" s="667">
        <v>32.979999999999997</v>
      </c>
      <c r="G3639" s="668"/>
      <c r="H3639" s="925" t="s">
        <v>13459</v>
      </c>
      <c r="I3639" s="925"/>
      <c r="J3639" s="667">
        <v>149.77000000000001</v>
      </c>
    </row>
    <row r="3640" spans="1:10" ht="0.95" customHeight="1" thickTop="1">
      <c r="A3640" s="666"/>
      <c r="B3640" s="666"/>
      <c r="C3640" s="666"/>
      <c r="D3640" s="666"/>
      <c r="E3640" s="666"/>
      <c r="F3640" s="666"/>
      <c r="G3640" s="666"/>
      <c r="H3640" s="666"/>
      <c r="I3640" s="666"/>
      <c r="J3640" s="666"/>
    </row>
    <row r="3641" spans="1:10" ht="18" customHeight="1">
      <c r="A3641" s="686" t="s">
        <v>14111</v>
      </c>
      <c r="B3641" s="684" t="s">
        <v>13484</v>
      </c>
      <c r="C3641" s="686" t="s">
        <v>13483</v>
      </c>
      <c r="D3641" s="686" t="s">
        <v>13482</v>
      </c>
      <c r="E3641" s="924" t="s">
        <v>13481</v>
      </c>
      <c r="F3641" s="924"/>
      <c r="G3641" s="685" t="s">
        <v>13480</v>
      </c>
      <c r="H3641" s="684" t="s">
        <v>13479</v>
      </c>
      <c r="I3641" s="684" t="s">
        <v>13478</v>
      </c>
      <c r="J3641" s="684" t="s">
        <v>13477</v>
      </c>
    </row>
    <row r="3642" spans="1:10" ht="24" customHeight="1">
      <c r="A3642" s="682" t="s">
        <v>13476</v>
      </c>
      <c r="B3642" s="683" t="s">
        <v>14239</v>
      </c>
      <c r="C3642" s="682" t="s">
        <v>7</v>
      </c>
      <c r="D3642" s="682" t="s">
        <v>3455</v>
      </c>
      <c r="E3642" s="917" t="s">
        <v>13540</v>
      </c>
      <c r="F3642" s="917"/>
      <c r="G3642" s="681" t="s">
        <v>34</v>
      </c>
      <c r="H3642" s="680">
        <v>1</v>
      </c>
      <c r="I3642" s="679">
        <v>188.92</v>
      </c>
      <c r="J3642" s="679">
        <v>188.92</v>
      </c>
    </row>
    <row r="3643" spans="1:10" ht="24" customHeight="1">
      <c r="A3643" s="677" t="s">
        <v>13472</v>
      </c>
      <c r="B3643" s="678" t="s">
        <v>13539</v>
      </c>
      <c r="C3643" s="677" t="s">
        <v>7</v>
      </c>
      <c r="D3643" s="677" t="s">
        <v>45</v>
      </c>
      <c r="E3643" s="918" t="s">
        <v>13470</v>
      </c>
      <c r="F3643" s="918"/>
      <c r="G3643" s="676" t="s">
        <v>19</v>
      </c>
      <c r="H3643" s="675">
        <v>0.15820000000000001</v>
      </c>
      <c r="I3643" s="674">
        <v>18.3</v>
      </c>
      <c r="J3643" s="674">
        <v>2.89</v>
      </c>
    </row>
    <row r="3644" spans="1:10" ht="24" customHeight="1">
      <c r="A3644" s="677" t="s">
        <v>13472</v>
      </c>
      <c r="B3644" s="678" t="s">
        <v>13538</v>
      </c>
      <c r="C3644" s="677" t="s">
        <v>7</v>
      </c>
      <c r="D3644" s="677" t="s">
        <v>47</v>
      </c>
      <c r="E3644" s="918" t="s">
        <v>13470</v>
      </c>
      <c r="F3644" s="918"/>
      <c r="G3644" s="676" t="s">
        <v>19</v>
      </c>
      <c r="H3644" s="675">
        <v>0.15820000000000001</v>
      </c>
      <c r="I3644" s="674">
        <v>14</v>
      </c>
      <c r="J3644" s="674">
        <v>2.21</v>
      </c>
    </row>
    <row r="3645" spans="1:10" ht="24" customHeight="1">
      <c r="A3645" s="672" t="s">
        <v>13467</v>
      </c>
      <c r="B3645" s="673" t="s">
        <v>14238</v>
      </c>
      <c r="C3645" s="672" t="s">
        <v>7</v>
      </c>
      <c r="D3645" s="672" t="s">
        <v>14237</v>
      </c>
      <c r="E3645" s="919" t="s">
        <v>13464</v>
      </c>
      <c r="F3645" s="919"/>
      <c r="G3645" s="671" t="s">
        <v>34</v>
      </c>
      <c r="H3645" s="670">
        <v>1</v>
      </c>
      <c r="I3645" s="669">
        <v>183.82</v>
      </c>
      <c r="J3645" s="669">
        <v>183.82</v>
      </c>
    </row>
    <row r="3646" spans="1:10" ht="25.5">
      <c r="A3646" s="668"/>
      <c r="B3646" s="668"/>
      <c r="C3646" s="668"/>
      <c r="D3646" s="668"/>
      <c r="E3646" s="668" t="s">
        <v>13463</v>
      </c>
      <c r="F3646" s="667">
        <v>2.1188742801260458</v>
      </c>
      <c r="G3646" s="668" t="s">
        <v>13462</v>
      </c>
      <c r="H3646" s="667">
        <v>1.78</v>
      </c>
      <c r="I3646" s="668" t="s">
        <v>13461</v>
      </c>
      <c r="J3646" s="667">
        <v>3.9</v>
      </c>
    </row>
    <row r="3647" spans="1:10" ht="15" thickBot="1">
      <c r="A3647" s="668"/>
      <c r="B3647" s="668"/>
      <c r="C3647" s="668"/>
      <c r="D3647" s="668"/>
      <c r="E3647" s="668" t="s">
        <v>13460</v>
      </c>
      <c r="F3647" s="667">
        <v>53.35</v>
      </c>
      <c r="G3647" s="668"/>
      <c r="H3647" s="925" t="s">
        <v>13459</v>
      </c>
      <c r="I3647" s="925"/>
      <c r="J3647" s="667">
        <v>242.27</v>
      </c>
    </row>
    <row r="3648" spans="1:10" ht="0.95" customHeight="1" thickTop="1">
      <c r="A3648" s="666"/>
      <c r="B3648" s="666"/>
      <c r="C3648" s="666"/>
      <c r="D3648" s="666"/>
      <c r="E3648" s="666"/>
      <c r="F3648" s="666"/>
      <c r="G3648" s="666"/>
      <c r="H3648" s="666"/>
      <c r="I3648" s="666"/>
      <c r="J3648" s="666"/>
    </row>
    <row r="3649" spans="1:10" ht="18" customHeight="1">
      <c r="A3649" s="686" t="s">
        <v>14111</v>
      </c>
      <c r="B3649" s="684" t="s">
        <v>13484</v>
      </c>
      <c r="C3649" s="686" t="s">
        <v>13483</v>
      </c>
      <c r="D3649" s="686" t="s">
        <v>13482</v>
      </c>
      <c r="E3649" s="924" t="s">
        <v>13481</v>
      </c>
      <c r="F3649" s="924"/>
      <c r="G3649" s="685" t="s">
        <v>13480</v>
      </c>
      <c r="H3649" s="684" t="s">
        <v>13479</v>
      </c>
      <c r="I3649" s="684" t="s">
        <v>13478</v>
      </c>
      <c r="J3649" s="684" t="s">
        <v>13477</v>
      </c>
    </row>
    <row r="3650" spans="1:10" ht="24" customHeight="1">
      <c r="A3650" s="682" t="s">
        <v>13476</v>
      </c>
      <c r="B3650" s="683" t="s">
        <v>14236</v>
      </c>
      <c r="C3650" s="682" t="s">
        <v>7</v>
      </c>
      <c r="D3650" s="682" t="s">
        <v>3450</v>
      </c>
      <c r="E3650" s="917" t="s">
        <v>13540</v>
      </c>
      <c r="F3650" s="917"/>
      <c r="G3650" s="681" t="s">
        <v>34</v>
      </c>
      <c r="H3650" s="680">
        <v>1</v>
      </c>
      <c r="I3650" s="679">
        <v>20.91</v>
      </c>
      <c r="J3650" s="679">
        <v>20.91</v>
      </c>
    </row>
    <row r="3651" spans="1:10" ht="24" customHeight="1">
      <c r="A3651" s="677" t="s">
        <v>13472</v>
      </c>
      <c r="B3651" s="678" t="s">
        <v>13539</v>
      </c>
      <c r="C3651" s="677" t="s">
        <v>7</v>
      </c>
      <c r="D3651" s="677" t="s">
        <v>45</v>
      </c>
      <c r="E3651" s="918" t="s">
        <v>13470</v>
      </c>
      <c r="F3651" s="918"/>
      <c r="G3651" s="676" t="s">
        <v>19</v>
      </c>
      <c r="H3651" s="675">
        <v>0.31640000000000001</v>
      </c>
      <c r="I3651" s="674">
        <v>18.3</v>
      </c>
      <c r="J3651" s="674">
        <v>5.79</v>
      </c>
    </row>
    <row r="3652" spans="1:10" ht="24" customHeight="1">
      <c r="A3652" s="677" t="s">
        <v>13472</v>
      </c>
      <c r="B3652" s="678" t="s">
        <v>13538</v>
      </c>
      <c r="C3652" s="677" t="s">
        <v>7</v>
      </c>
      <c r="D3652" s="677" t="s">
        <v>47</v>
      </c>
      <c r="E3652" s="918" t="s">
        <v>13470</v>
      </c>
      <c r="F3652" s="918"/>
      <c r="G3652" s="676" t="s">
        <v>19</v>
      </c>
      <c r="H3652" s="675">
        <v>0.31640000000000001</v>
      </c>
      <c r="I3652" s="674">
        <v>14</v>
      </c>
      <c r="J3652" s="674">
        <v>4.42</v>
      </c>
    </row>
    <row r="3653" spans="1:10" ht="36" customHeight="1">
      <c r="A3653" s="672" t="s">
        <v>13467</v>
      </c>
      <c r="B3653" s="673" t="s">
        <v>14235</v>
      </c>
      <c r="C3653" s="672" t="s">
        <v>7</v>
      </c>
      <c r="D3653" s="672" t="s">
        <v>14234</v>
      </c>
      <c r="E3653" s="919" t="s">
        <v>13464</v>
      </c>
      <c r="F3653" s="919"/>
      <c r="G3653" s="671" t="s">
        <v>34</v>
      </c>
      <c r="H3653" s="670">
        <v>2</v>
      </c>
      <c r="I3653" s="669">
        <v>0.17</v>
      </c>
      <c r="J3653" s="669">
        <v>0.34</v>
      </c>
    </row>
    <row r="3654" spans="1:10" ht="24" customHeight="1">
      <c r="A3654" s="672" t="s">
        <v>13467</v>
      </c>
      <c r="B3654" s="673" t="s">
        <v>14233</v>
      </c>
      <c r="C3654" s="672" t="s">
        <v>7</v>
      </c>
      <c r="D3654" s="672" t="s">
        <v>14232</v>
      </c>
      <c r="E3654" s="919" t="s">
        <v>13464</v>
      </c>
      <c r="F3654" s="919"/>
      <c r="G3654" s="671" t="s">
        <v>34</v>
      </c>
      <c r="H3654" s="670">
        <v>1</v>
      </c>
      <c r="I3654" s="669">
        <v>10.36</v>
      </c>
      <c r="J3654" s="669">
        <v>10.36</v>
      </c>
    </row>
    <row r="3655" spans="1:10" ht="25.5">
      <c r="A3655" s="668"/>
      <c r="B3655" s="668"/>
      <c r="C3655" s="668"/>
      <c r="D3655" s="668"/>
      <c r="E3655" s="668" t="s">
        <v>13463</v>
      </c>
      <c r="F3655" s="667">
        <v>4.2377485602520917</v>
      </c>
      <c r="G3655" s="668" t="s">
        <v>13462</v>
      </c>
      <c r="H3655" s="667">
        <v>3.56</v>
      </c>
      <c r="I3655" s="668" t="s">
        <v>13461</v>
      </c>
      <c r="J3655" s="667">
        <v>7.8</v>
      </c>
    </row>
    <row r="3656" spans="1:10" ht="15" thickBot="1">
      <c r="A3656" s="668"/>
      <c r="B3656" s="668"/>
      <c r="C3656" s="668"/>
      <c r="D3656" s="668"/>
      <c r="E3656" s="668" t="s">
        <v>13460</v>
      </c>
      <c r="F3656" s="667">
        <v>5.9</v>
      </c>
      <c r="G3656" s="668"/>
      <c r="H3656" s="925" t="s">
        <v>13459</v>
      </c>
      <c r="I3656" s="925"/>
      <c r="J3656" s="667">
        <v>26.81</v>
      </c>
    </row>
    <row r="3657" spans="1:10" ht="0.95" customHeight="1" thickTop="1">
      <c r="A3657" s="666"/>
      <c r="B3657" s="666"/>
      <c r="C3657" s="666"/>
      <c r="D3657" s="666"/>
      <c r="E3657" s="666"/>
      <c r="F3657" s="666"/>
      <c r="G3657" s="666"/>
      <c r="H3657" s="666"/>
      <c r="I3657" s="666"/>
      <c r="J3657" s="666"/>
    </row>
    <row r="3658" spans="1:10" ht="18" customHeight="1">
      <c r="A3658" s="686" t="s">
        <v>14111</v>
      </c>
      <c r="B3658" s="684" t="s">
        <v>13484</v>
      </c>
      <c r="C3658" s="686" t="s">
        <v>13483</v>
      </c>
      <c r="D3658" s="686" t="s">
        <v>13482</v>
      </c>
      <c r="E3658" s="924" t="s">
        <v>13481</v>
      </c>
      <c r="F3658" s="924"/>
      <c r="G3658" s="685" t="s">
        <v>13480</v>
      </c>
      <c r="H3658" s="684" t="s">
        <v>13479</v>
      </c>
      <c r="I3658" s="684" t="s">
        <v>13478</v>
      </c>
      <c r="J3658" s="684" t="s">
        <v>13477</v>
      </c>
    </row>
    <row r="3659" spans="1:10" ht="48" customHeight="1">
      <c r="A3659" s="682" t="s">
        <v>13476</v>
      </c>
      <c r="B3659" s="683" t="s">
        <v>14231</v>
      </c>
      <c r="C3659" s="682" t="s">
        <v>7</v>
      </c>
      <c r="D3659" s="682" t="s">
        <v>5008</v>
      </c>
      <c r="E3659" s="917" t="s">
        <v>13540</v>
      </c>
      <c r="F3659" s="917"/>
      <c r="G3659" s="681" t="s">
        <v>34</v>
      </c>
      <c r="H3659" s="680">
        <v>1</v>
      </c>
      <c r="I3659" s="679">
        <v>493.05</v>
      </c>
      <c r="J3659" s="679">
        <v>493.05</v>
      </c>
    </row>
    <row r="3660" spans="1:10" ht="60" customHeight="1">
      <c r="A3660" s="677" t="s">
        <v>13472</v>
      </c>
      <c r="B3660" s="678" t="s">
        <v>13802</v>
      </c>
      <c r="C3660" s="677" t="s">
        <v>7</v>
      </c>
      <c r="D3660" s="677" t="s">
        <v>761</v>
      </c>
      <c r="E3660" s="918" t="s">
        <v>13491</v>
      </c>
      <c r="F3660" s="918"/>
      <c r="G3660" s="676" t="s">
        <v>38</v>
      </c>
      <c r="H3660" s="675">
        <v>7.9000000000000001E-2</v>
      </c>
      <c r="I3660" s="674">
        <v>189.61</v>
      </c>
      <c r="J3660" s="674">
        <v>14.97</v>
      </c>
    </row>
    <row r="3661" spans="1:10" ht="36" customHeight="1">
      <c r="A3661" s="677" t="s">
        <v>13472</v>
      </c>
      <c r="B3661" s="678" t="s">
        <v>14230</v>
      </c>
      <c r="C3661" s="677" t="s">
        <v>7</v>
      </c>
      <c r="D3661" s="677" t="s">
        <v>7002</v>
      </c>
      <c r="E3661" s="918" t="s">
        <v>13646</v>
      </c>
      <c r="F3661" s="918"/>
      <c r="G3661" s="676" t="s">
        <v>13515</v>
      </c>
      <c r="H3661" s="675">
        <v>0.23699999999999999</v>
      </c>
      <c r="I3661" s="674">
        <v>296.5</v>
      </c>
      <c r="J3661" s="674">
        <v>70.27</v>
      </c>
    </row>
    <row r="3662" spans="1:10" ht="24" customHeight="1">
      <c r="A3662" s="677" t="s">
        <v>13472</v>
      </c>
      <c r="B3662" s="678" t="s">
        <v>13539</v>
      </c>
      <c r="C3662" s="677" t="s">
        <v>7</v>
      </c>
      <c r="D3662" s="677" t="s">
        <v>45</v>
      </c>
      <c r="E3662" s="918" t="s">
        <v>13470</v>
      </c>
      <c r="F3662" s="918"/>
      <c r="G3662" s="676" t="s">
        <v>19</v>
      </c>
      <c r="H3662" s="675">
        <v>4.649</v>
      </c>
      <c r="I3662" s="674">
        <v>18.3</v>
      </c>
      <c r="J3662" s="674">
        <v>85.07</v>
      </c>
    </row>
    <row r="3663" spans="1:10" ht="24" customHeight="1">
      <c r="A3663" s="677" t="s">
        <v>13472</v>
      </c>
      <c r="B3663" s="678" t="s">
        <v>13538</v>
      </c>
      <c r="C3663" s="677" t="s">
        <v>7</v>
      </c>
      <c r="D3663" s="677" t="s">
        <v>47</v>
      </c>
      <c r="E3663" s="918" t="s">
        <v>13470</v>
      </c>
      <c r="F3663" s="918"/>
      <c r="G3663" s="676" t="s">
        <v>19</v>
      </c>
      <c r="H3663" s="675">
        <v>1.43</v>
      </c>
      <c r="I3663" s="674">
        <v>14</v>
      </c>
      <c r="J3663" s="674">
        <v>20.02</v>
      </c>
    </row>
    <row r="3664" spans="1:10" ht="24" customHeight="1">
      <c r="A3664" s="672" t="s">
        <v>13467</v>
      </c>
      <c r="B3664" s="673" t="s">
        <v>14065</v>
      </c>
      <c r="C3664" s="672" t="s">
        <v>7</v>
      </c>
      <c r="D3664" s="672" t="s">
        <v>14064</v>
      </c>
      <c r="E3664" s="919" t="s">
        <v>13464</v>
      </c>
      <c r="F3664" s="919"/>
      <c r="G3664" s="671" t="s">
        <v>14</v>
      </c>
      <c r="H3664" s="670">
        <v>11</v>
      </c>
      <c r="I3664" s="669">
        <v>27.52</v>
      </c>
      <c r="J3664" s="669">
        <v>302.72000000000003</v>
      </c>
    </row>
    <row r="3665" spans="1:10" ht="25.5">
      <c r="A3665" s="668"/>
      <c r="B3665" s="668"/>
      <c r="C3665" s="668"/>
      <c r="D3665" s="668"/>
      <c r="E3665" s="668" t="s">
        <v>13463</v>
      </c>
      <c r="F3665" s="667">
        <v>50.065196131696183</v>
      </c>
      <c r="G3665" s="668" t="s">
        <v>13462</v>
      </c>
      <c r="H3665" s="667">
        <v>42.08</v>
      </c>
      <c r="I3665" s="668" t="s">
        <v>13461</v>
      </c>
      <c r="J3665" s="667">
        <v>92.15</v>
      </c>
    </row>
    <row r="3666" spans="1:10" ht="15" thickBot="1">
      <c r="A3666" s="668"/>
      <c r="B3666" s="668"/>
      <c r="C3666" s="668"/>
      <c r="D3666" s="668"/>
      <c r="E3666" s="668" t="s">
        <v>13460</v>
      </c>
      <c r="F3666" s="667">
        <v>139.22999999999999</v>
      </c>
      <c r="G3666" s="668"/>
      <c r="H3666" s="925" t="s">
        <v>13459</v>
      </c>
      <c r="I3666" s="925"/>
      <c r="J3666" s="667">
        <v>632.28</v>
      </c>
    </row>
    <row r="3667" spans="1:10" ht="0.95" customHeight="1" thickTop="1">
      <c r="A3667" s="666"/>
      <c r="B3667" s="666"/>
      <c r="C3667" s="666"/>
      <c r="D3667" s="666"/>
      <c r="E3667" s="666"/>
      <c r="F3667" s="666"/>
      <c r="G3667" s="666"/>
      <c r="H3667" s="666"/>
      <c r="I3667" s="666"/>
      <c r="J3667" s="666"/>
    </row>
    <row r="3668" spans="1:10" ht="18" customHeight="1">
      <c r="A3668" s="686" t="s">
        <v>14111</v>
      </c>
      <c r="B3668" s="684" t="s">
        <v>13484</v>
      </c>
      <c r="C3668" s="686" t="s">
        <v>13483</v>
      </c>
      <c r="D3668" s="686" t="s">
        <v>13482</v>
      </c>
      <c r="E3668" s="924" t="s">
        <v>13481</v>
      </c>
      <c r="F3668" s="924"/>
      <c r="G3668" s="685" t="s">
        <v>13480</v>
      </c>
      <c r="H3668" s="684" t="s">
        <v>13479</v>
      </c>
      <c r="I3668" s="684" t="s">
        <v>13478</v>
      </c>
      <c r="J3668" s="684" t="s">
        <v>13477</v>
      </c>
    </row>
    <row r="3669" spans="1:10" ht="24" customHeight="1">
      <c r="A3669" s="682" t="s">
        <v>13476</v>
      </c>
      <c r="B3669" s="683" t="s">
        <v>14229</v>
      </c>
      <c r="C3669" s="682" t="s">
        <v>7</v>
      </c>
      <c r="D3669" s="682" t="s">
        <v>5103</v>
      </c>
      <c r="E3669" s="917" t="s">
        <v>13474</v>
      </c>
      <c r="F3669" s="917"/>
      <c r="G3669" s="681" t="s">
        <v>34</v>
      </c>
      <c r="H3669" s="680">
        <v>1</v>
      </c>
      <c r="I3669" s="679">
        <v>41.11</v>
      </c>
      <c r="J3669" s="679">
        <v>41.11</v>
      </c>
    </row>
    <row r="3670" spans="1:10" ht="24" customHeight="1">
      <c r="A3670" s="677" t="s">
        <v>13472</v>
      </c>
      <c r="B3670" s="678" t="s">
        <v>13473</v>
      </c>
      <c r="C3670" s="677" t="s">
        <v>7</v>
      </c>
      <c r="D3670" s="677" t="s">
        <v>44</v>
      </c>
      <c r="E3670" s="918" t="s">
        <v>13470</v>
      </c>
      <c r="F3670" s="918"/>
      <c r="G3670" s="676" t="s">
        <v>19</v>
      </c>
      <c r="H3670" s="675">
        <v>0.1525</v>
      </c>
      <c r="I3670" s="674">
        <v>17.66</v>
      </c>
      <c r="J3670" s="674">
        <v>2.69</v>
      </c>
    </row>
    <row r="3671" spans="1:10" ht="24" customHeight="1">
      <c r="A3671" s="677" t="s">
        <v>13472</v>
      </c>
      <c r="B3671" s="678" t="s">
        <v>13471</v>
      </c>
      <c r="C3671" s="677" t="s">
        <v>7</v>
      </c>
      <c r="D3671" s="677" t="s">
        <v>21</v>
      </c>
      <c r="E3671" s="918" t="s">
        <v>13470</v>
      </c>
      <c r="F3671" s="918"/>
      <c r="G3671" s="676" t="s">
        <v>19</v>
      </c>
      <c r="H3671" s="675">
        <v>4.8099999999999997E-2</v>
      </c>
      <c r="I3671" s="674">
        <v>14.02</v>
      </c>
      <c r="J3671" s="674">
        <v>0.67</v>
      </c>
    </row>
    <row r="3672" spans="1:10" ht="24" customHeight="1">
      <c r="A3672" s="672" t="s">
        <v>13467</v>
      </c>
      <c r="B3672" s="673" t="s">
        <v>14228</v>
      </c>
      <c r="C3672" s="672" t="s">
        <v>7</v>
      </c>
      <c r="D3672" s="672" t="s">
        <v>14227</v>
      </c>
      <c r="E3672" s="919" t="s">
        <v>13464</v>
      </c>
      <c r="F3672" s="919"/>
      <c r="G3672" s="671" t="s">
        <v>34</v>
      </c>
      <c r="H3672" s="670">
        <v>1</v>
      </c>
      <c r="I3672" s="669">
        <v>37.65</v>
      </c>
      <c r="J3672" s="669">
        <v>37.65</v>
      </c>
    </row>
    <row r="3673" spans="1:10" ht="24" customHeight="1">
      <c r="A3673" s="672" t="s">
        <v>13467</v>
      </c>
      <c r="B3673" s="673" t="s">
        <v>13469</v>
      </c>
      <c r="C3673" s="672" t="s">
        <v>7</v>
      </c>
      <c r="D3673" s="672" t="s">
        <v>13468</v>
      </c>
      <c r="E3673" s="919" t="s">
        <v>13464</v>
      </c>
      <c r="F3673" s="919"/>
      <c r="G3673" s="671" t="s">
        <v>34</v>
      </c>
      <c r="H3673" s="670">
        <v>2.1000000000000001E-2</v>
      </c>
      <c r="I3673" s="669">
        <v>5</v>
      </c>
      <c r="J3673" s="669">
        <v>0.1</v>
      </c>
    </row>
    <row r="3674" spans="1:10" ht="25.5">
      <c r="A3674" s="668"/>
      <c r="B3674" s="668"/>
      <c r="C3674" s="668"/>
      <c r="D3674" s="668"/>
      <c r="E3674" s="668" t="s">
        <v>13463</v>
      </c>
      <c r="F3674" s="667">
        <v>1.4506139302401391</v>
      </c>
      <c r="G3674" s="668" t="s">
        <v>13462</v>
      </c>
      <c r="H3674" s="667">
        <v>1.22</v>
      </c>
      <c r="I3674" s="668" t="s">
        <v>13461</v>
      </c>
      <c r="J3674" s="667">
        <v>2.67</v>
      </c>
    </row>
    <row r="3675" spans="1:10" ht="15" thickBot="1">
      <c r="A3675" s="668"/>
      <c r="B3675" s="668"/>
      <c r="C3675" s="668"/>
      <c r="D3675" s="668"/>
      <c r="E3675" s="668" t="s">
        <v>13460</v>
      </c>
      <c r="F3675" s="667">
        <v>11.6</v>
      </c>
      <c r="G3675" s="668"/>
      <c r="H3675" s="925" t="s">
        <v>13459</v>
      </c>
      <c r="I3675" s="925"/>
      <c r="J3675" s="667">
        <v>52.71</v>
      </c>
    </row>
    <row r="3676" spans="1:10" ht="0.95" customHeight="1" thickTop="1">
      <c r="A3676" s="666"/>
      <c r="B3676" s="666"/>
      <c r="C3676" s="666"/>
      <c r="D3676" s="666"/>
      <c r="E3676" s="666"/>
      <c r="F3676" s="666"/>
      <c r="G3676" s="666"/>
      <c r="H3676" s="666"/>
      <c r="I3676" s="666"/>
      <c r="J3676" s="666"/>
    </row>
    <row r="3677" spans="1:10" ht="18" customHeight="1">
      <c r="A3677" s="686" t="s">
        <v>14111</v>
      </c>
      <c r="B3677" s="684" t="s">
        <v>13484</v>
      </c>
      <c r="C3677" s="686" t="s">
        <v>13483</v>
      </c>
      <c r="D3677" s="686" t="s">
        <v>13482</v>
      </c>
      <c r="E3677" s="924" t="s">
        <v>13481</v>
      </c>
      <c r="F3677" s="924"/>
      <c r="G3677" s="685" t="s">
        <v>13480</v>
      </c>
      <c r="H3677" s="684" t="s">
        <v>13479</v>
      </c>
      <c r="I3677" s="684" t="s">
        <v>13478</v>
      </c>
      <c r="J3677" s="684" t="s">
        <v>13477</v>
      </c>
    </row>
    <row r="3678" spans="1:10" ht="24" customHeight="1">
      <c r="A3678" s="682" t="s">
        <v>13476</v>
      </c>
      <c r="B3678" s="683" t="s">
        <v>14226</v>
      </c>
      <c r="C3678" s="682" t="s">
        <v>7</v>
      </c>
      <c r="D3678" s="682" t="s">
        <v>5097</v>
      </c>
      <c r="E3678" s="917" t="s">
        <v>13474</v>
      </c>
      <c r="F3678" s="917"/>
      <c r="G3678" s="681" t="s">
        <v>34</v>
      </c>
      <c r="H3678" s="680">
        <v>1</v>
      </c>
      <c r="I3678" s="679">
        <v>156.16999999999999</v>
      </c>
      <c r="J3678" s="679">
        <v>156.16999999999999</v>
      </c>
    </row>
    <row r="3679" spans="1:10" ht="24" customHeight="1">
      <c r="A3679" s="677" t="s">
        <v>13472</v>
      </c>
      <c r="B3679" s="678" t="s">
        <v>13473</v>
      </c>
      <c r="C3679" s="677" t="s">
        <v>7</v>
      </c>
      <c r="D3679" s="677" t="s">
        <v>44</v>
      </c>
      <c r="E3679" s="918" t="s">
        <v>13470</v>
      </c>
      <c r="F3679" s="918"/>
      <c r="G3679" s="676" t="s">
        <v>19</v>
      </c>
      <c r="H3679" s="675">
        <v>0.27339999999999998</v>
      </c>
      <c r="I3679" s="674">
        <v>17.66</v>
      </c>
      <c r="J3679" s="674">
        <v>4.82</v>
      </c>
    </row>
    <row r="3680" spans="1:10" ht="24" customHeight="1">
      <c r="A3680" s="677" t="s">
        <v>13472</v>
      </c>
      <c r="B3680" s="678" t="s">
        <v>13471</v>
      </c>
      <c r="C3680" s="677" t="s">
        <v>7</v>
      </c>
      <c r="D3680" s="677" t="s">
        <v>21</v>
      </c>
      <c r="E3680" s="918" t="s">
        <v>13470</v>
      </c>
      <c r="F3680" s="918"/>
      <c r="G3680" s="676" t="s">
        <v>19</v>
      </c>
      <c r="H3680" s="675">
        <v>8.6199999999999999E-2</v>
      </c>
      <c r="I3680" s="674">
        <v>14.02</v>
      </c>
      <c r="J3680" s="674">
        <v>1.2</v>
      </c>
    </row>
    <row r="3681" spans="1:10" ht="24" customHeight="1">
      <c r="A3681" s="672" t="s">
        <v>13467</v>
      </c>
      <c r="B3681" s="673" t="s">
        <v>13469</v>
      </c>
      <c r="C3681" s="672" t="s">
        <v>7</v>
      </c>
      <c r="D3681" s="672" t="s">
        <v>13468</v>
      </c>
      <c r="E3681" s="919" t="s">
        <v>13464</v>
      </c>
      <c r="F3681" s="919"/>
      <c r="G3681" s="671" t="s">
        <v>34</v>
      </c>
      <c r="H3681" s="670">
        <v>3.32E-2</v>
      </c>
      <c r="I3681" s="669">
        <v>5</v>
      </c>
      <c r="J3681" s="669">
        <v>0.16</v>
      </c>
    </row>
    <row r="3682" spans="1:10" ht="24" customHeight="1">
      <c r="A3682" s="672" t="s">
        <v>13467</v>
      </c>
      <c r="B3682" s="673" t="s">
        <v>14225</v>
      </c>
      <c r="C3682" s="672" t="s">
        <v>7</v>
      </c>
      <c r="D3682" s="672" t="s">
        <v>14224</v>
      </c>
      <c r="E3682" s="919" t="s">
        <v>13464</v>
      </c>
      <c r="F3682" s="919"/>
      <c r="G3682" s="671" t="s">
        <v>34</v>
      </c>
      <c r="H3682" s="670">
        <v>1</v>
      </c>
      <c r="I3682" s="669">
        <v>149.99</v>
      </c>
      <c r="J3682" s="669">
        <v>149.99</v>
      </c>
    </row>
    <row r="3683" spans="1:10" ht="25.5">
      <c r="A3683" s="668"/>
      <c r="B3683" s="668"/>
      <c r="C3683" s="668"/>
      <c r="D3683" s="668"/>
      <c r="E3683" s="668" t="s">
        <v>13463</v>
      </c>
      <c r="F3683" s="667">
        <v>2.5969792458980767</v>
      </c>
      <c r="G3683" s="668" t="s">
        <v>13462</v>
      </c>
      <c r="H3683" s="667">
        <v>2.1800000000000002</v>
      </c>
      <c r="I3683" s="668" t="s">
        <v>13461</v>
      </c>
      <c r="J3683" s="667">
        <v>4.78</v>
      </c>
    </row>
    <row r="3684" spans="1:10" ht="15" thickBot="1">
      <c r="A3684" s="668"/>
      <c r="B3684" s="668"/>
      <c r="C3684" s="668"/>
      <c r="D3684" s="668"/>
      <c r="E3684" s="668" t="s">
        <v>13460</v>
      </c>
      <c r="F3684" s="667">
        <v>44.1</v>
      </c>
      <c r="G3684" s="668"/>
      <c r="H3684" s="925" t="s">
        <v>13459</v>
      </c>
      <c r="I3684" s="925"/>
      <c r="J3684" s="667">
        <v>200.27</v>
      </c>
    </row>
    <row r="3685" spans="1:10" ht="0.95" customHeight="1" thickTop="1">
      <c r="A3685" s="666"/>
      <c r="B3685" s="666"/>
      <c r="C3685" s="666"/>
      <c r="D3685" s="666"/>
      <c r="E3685" s="666"/>
      <c r="F3685" s="666"/>
      <c r="G3685" s="666"/>
      <c r="H3685" s="666"/>
      <c r="I3685" s="666"/>
      <c r="J3685" s="666"/>
    </row>
    <row r="3686" spans="1:10" ht="18" customHeight="1">
      <c r="A3686" s="686" t="s">
        <v>14111</v>
      </c>
      <c r="B3686" s="684" t="s">
        <v>13484</v>
      </c>
      <c r="C3686" s="686" t="s">
        <v>13483</v>
      </c>
      <c r="D3686" s="686" t="s">
        <v>13482</v>
      </c>
      <c r="E3686" s="924" t="s">
        <v>13481</v>
      </c>
      <c r="F3686" s="924"/>
      <c r="G3686" s="685" t="s">
        <v>13480</v>
      </c>
      <c r="H3686" s="684" t="s">
        <v>13479</v>
      </c>
      <c r="I3686" s="684" t="s">
        <v>13478</v>
      </c>
      <c r="J3686" s="684" t="s">
        <v>13477</v>
      </c>
    </row>
    <row r="3687" spans="1:10" ht="24" customHeight="1">
      <c r="A3687" s="682" t="s">
        <v>13476</v>
      </c>
      <c r="B3687" s="683" t="s">
        <v>14223</v>
      </c>
      <c r="C3687" s="682" t="s">
        <v>7</v>
      </c>
      <c r="D3687" s="682" t="s">
        <v>6675</v>
      </c>
      <c r="E3687" s="917" t="s">
        <v>13474</v>
      </c>
      <c r="F3687" s="917"/>
      <c r="G3687" s="681" t="s">
        <v>34</v>
      </c>
      <c r="H3687" s="680">
        <v>1</v>
      </c>
      <c r="I3687" s="679">
        <v>23.64</v>
      </c>
      <c r="J3687" s="679">
        <v>23.64</v>
      </c>
    </row>
    <row r="3688" spans="1:10" ht="36" customHeight="1">
      <c r="A3688" s="677" t="s">
        <v>13472</v>
      </c>
      <c r="B3688" s="678" t="s">
        <v>13609</v>
      </c>
      <c r="C3688" s="677" t="s">
        <v>7</v>
      </c>
      <c r="D3688" s="677" t="s">
        <v>5317</v>
      </c>
      <c r="E3688" s="918" t="s">
        <v>13516</v>
      </c>
      <c r="F3688" s="918"/>
      <c r="G3688" s="676" t="s">
        <v>13515</v>
      </c>
      <c r="H3688" s="675">
        <v>1.41E-2</v>
      </c>
      <c r="I3688" s="674">
        <v>162.72999999999999</v>
      </c>
      <c r="J3688" s="674">
        <v>2.29</v>
      </c>
    </row>
    <row r="3689" spans="1:10" ht="24" customHeight="1">
      <c r="A3689" s="677" t="s">
        <v>13472</v>
      </c>
      <c r="B3689" s="678" t="s">
        <v>13600</v>
      </c>
      <c r="C3689" s="677" t="s">
        <v>7</v>
      </c>
      <c r="D3689" s="677" t="s">
        <v>41</v>
      </c>
      <c r="E3689" s="918" t="s">
        <v>13470</v>
      </c>
      <c r="F3689" s="918"/>
      <c r="G3689" s="676" t="s">
        <v>19</v>
      </c>
      <c r="H3689" s="675">
        <v>0.16930000000000001</v>
      </c>
      <c r="I3689" s="674">
        <v>17.670000000000002</v>
      </c>
      <c r="J3689" s="674">
        <v>2.99</v>
      </c>
    </row>
    <row r="3690" spans="1:10" ht="24" customHeight="1">
      <c r="A3690" s="677" t="s">
        <v>13472</v>
      </c>
      <c r="B3690" s="678" t="s">
        <v>13471</v>
      </c>
      <c r="C3690" s="677" t="s">
        <v>7</v>
      </c>
      <c r="D3690" s="677" t="s">
        <v>21</v>
      </c>
      <c r="E3690" s="918" t="s">
        <v>13470</v>
      </c>
      <c r="F3690" s="918"/>
      <c r="G3690" s="676" t="s">
        <v>19</v>
      </c>
      <c r="H3690" s="675">
        <v>0.16930000000000001</v>
      </c>
      <c r="I3690" s="674">
        <v>14.02</v>
      </c>
      <c r="J3690" s="674">
        <v>2.37</v>
      </c>
    </row>
    <row r="3691" spans="1:10" ht="24" customHeight="1">
      <c r="A3691" s="672" t="s">
        <v>13467</v>
      </c>
      <c r="B3691" s="673" t="s">
        <v>14222</v>
      </c>
      <c r="C3691" s="672" t="s">
        <v>7</v>
      </c>
      <c r="D3691" s="672" t="s">
        <v>14221</v>
      </c>
      <c r="E3691" s="919" t="s">
        <v>13464</v>
      </c>
      <c r="F3691" s="919"/>
      <c r="G3691" s="671" t="s">
        <v>34</v>
      </c>
      <c r="H3691" s="670">
        <v>1</v>
      </c>
      <c r="I3691" s="669">
        <v>15.99</v>
      </c>
      <c r="J3691" s="669">
        <v>15.99</v>
      </c>
    </row>
    <row r="3692" spans="1:10" ht="25.5">
      <c r="A3692" s="668"/>
      <c r="B3692" s="668"/>
      <c r="C3692" s="668"/>
      <c r="D3692" s="668"/>
      <c r="E3692" s="668" t="s">
        <v>13463</v>
      </c>
      <c r="F3692" s="667">
        <v>2.6784744105183091</v>
      </c>
      <c r="G3692" s="668" t="s">
        <v>13462</v>
      </c>
      <c r="H3692" s="667">
        <v>2.25</v>
      </c>
      <c r="I3692" s="668" t="s">
        <v>13461</v>
      </c>
      <c r="J3692" s="667">
        <v>4.93</v>
      </c>
    </row>
    <row r="3693" spans="1:10" ht="15" thickBot="1">
      <c r="A3693" s="668"/>
      <c r="B3693" s="668"/>
      <c r="C3693" s="668"/>
      <c r="D3693" s="668"/>
      <c r="E3693" s="668" t="s">
        <v>13460</v>
      </c>
      <c r="F3693" s="667">
        <v>6.67</v>
      </c>
      <c r="G3693" s="668"/>
      <c r="H3693" s="925" t="s">
        <v>13459</v>
      </c>
      <c r="I3693" s="925"/>
      <c r="J3693" s="667">
        <v>30.31</v>
      </c>
    </row>
    <row r="3694" spans="1:10" ht="0.95" customHeight="1" thickTop="1">
      <c r="A3694" s="666"/>
      <c r="B3694" s="666"/>
      <c r="C3694" s="666"/>
      <c r="D3694" s="666"/>
      <c r="E3694" s="666"/>
      <c r="F3694" s="666"/>
      <c r="G3694" s="666"/>
      <c r="H3694" s="666"/>
      <c r="I3694" s="666"/>
      <c r="J3694" s="666"/>
    </row>
    <row r="3695" spans="1:10" ht="18" customHeight="1">
      <c r="A3695" s="686" t="s">
        <v>14111</v>
      </c>
      <c r="B3695" s="684" t="s">
        <v>13484</v>
      </c>
      <c r="C3695" s="686" t="s">
        <v>13483</v>
      </c>
      <c r="D3695" s="686" t="s">
        <v>13482</v>
      </c>
      <c r="E3695" s="924" t="s">
        <v>13481</v>
      </c>
      <c r="F3695" s="924"/>
      <c r="G3695" s="685" t="s">
        <v>13480</v>
      </c>
      <c r="H3695" s="684" t="s">
        <v>13479</v>
      </c>
      <c r="I3695" s="684" t="s">
        <v>13478</v>
      </c>
      <c r="J3695" s="684" t="s">
        <v>13477</v>
      </c>
    </row>
    <row r="3696" spans="1:10" ht="36" customHeight="1">
      <c r="A3696" s="682" t="s">
        <v>13476</v>
      </c>
      <c r="B3696" s="683" t="s">
        <v>14220</v>
      </c>
      <c r="C3696" s="682" t="s">
        <v>7</v>
      </c>
      <c r="D3696" s="682" t="s">
        <v>6693</v>
      </c>
      <c r="E3696" s="917" t="s">
        <v>13474</v>
      </c>
      <c r="F3696" s="917"/>
      <c r="G3696" s="681" t="s">
        <v>34</v>
      </c>
      <c r="H3696" s="680">
        <v>1</v>
      </c>
      <c r="I3696" s="679">
        <v>6851.5</v>
      </c>
      <c r="J3696" s="679">
        <v>6851.5</v>
      </c>
    </row>
    <row r="3697" spans="1:10" ht="24" customHeight="1">
      <c r="A3697" s="677" t="s">
        <v>13472</v>
      </c>
      <c r="B3697" s="678" t="s">
        <v>13526</v>
      </c>
      <c r="C3697" s="677" t="s">
        <v>7</v>
      </c>
      <c r="D3697" s="677" t="s">
        <v>1093</v>
      </c>
      <c r="E3697" s="918" t="s">
        <v>13470</v>
      </c>
      <c r="F3697" s="918"/>
      <c r="G3697" s="676" t="s">
        <v>19</v>
      </c>
      <c r="H3697" s="675">
        <v>3.2890000000000001</v>
      </c>
      <c r="I3697" s="674">
        <v>13.48</v>
      </c>
      <c r="J3697" s="674">
        <v>44.33</v>
      </c>
    </row>
    <row r="3698" spans="1:10" ht="24" customHeight="1">
      <c r="A3698" s="677" t="s">
        <v>13472</v>
      </c>
      <c r="B3698" s="678" t="s">
        <v>13539</v>
      </c>
      <c r="C3698" s="677" t="s">
        <v>7</v>
      </c>
      <c r="D3698" s="677" t="s">
        <v>45</v>
      </c>
      <c r="E3698" s="918" t="s">
        <v>13470</v>
      </c>
      <c r="F3698" s="918"/>
      <c r="G3698" s="676" t="s">
        <v>19</v>
      </c>
      <c r="H3698" s="675">
        <v>0.63300000000000001</v>
      </c>
      <c r="I3698" s="674">
        <v>18.3</v>
      </c>
      <c r="J3698" s="674">
        <v>11.58</v>
      </c>
    </row>
    <row r="3699" spans="1:10" ht="24" customHeight="1">
      <c r="A3699" s="677" t="s">
        <v>13472</v>
      </c>
      <c r="B3699" s="678" t="s">
        <v>13538</v>
      </c>
      <c r="C3699" s="677" t="s">
        <v>7</v>
      </c>
      <c r="D3699" s="677" t="s">
        <v>47</v>
      </c>
      <c r="E3699" s="918" t="s">
        <v>13470</v>
      </c>
      <c r="F3699" s="918"/>
      <c r="G3699" s="676" t="s">
        <v>19</v>
      </c>
      <c r="H3699" s="675">
        <v>0.63300000000000001</v>
      </c>
      <c r="I3699" s="674">
        <v>14</v>
      </c>
      <c r="J3699" s="674">
        <v>8.86</v>
      </c>
    </row>
    <row r="3700" spans="1:10" ht="24" customHeight="1">
      <c r="A3700" s="677" t="s">
        <v>13472</v>
      </c>
      <c r="B3700" s="678" t="s">
        <v>13473</v>
      </c>
      <c r="C3700" s="677" t="s">
        <v>7</v>
      </c>
      <c r="D3700" s="677" t="s">
        <v>44</v>
      </c>
      <c r="E3700" s="918" t="s">
        <v>13470</v>
      </c>
      <c r="F3700" s="918"/>
      <c r="G3700" s="676" t="s">
        <v>19</v>
      </c>
      <c r="H3700" s="675">
        <v>3.2890000000000001</v>
      </c>
      <c r="I3700" s="674">
        <v>17.66</v>
      </c>
      <c r="J3700" s="674">
        <v>58.08</v>
      </c>
    </row>
    <row r="3701" spans="1:10" ht="36" customHeight="1">
      <c r="A3701" s="672" t="s">
        <v>13467</v>
      </c>
      <c r="B3701" s="673" t="s">
        <v>14179</v>
      </c>
      <c r="C3701" s="672" t="s">
        <v>7</v>
      </c>
      <c r="D3701" s="672" t="s">
        <v>14178</v>
      </c>
      <c r="E3701" s="919" t="s">
        <v>13464</v>
      </c>
      <c r="F3701" s="919"/>
      <c r="G3701" s="671" t="s">
        <v>34</v>
      </c>
      <c r="H3701" s="670">
        <v>4</v>
      </c>
      <c r="I3701" s="669">
        <v>0.9</v>
      </c>
      <c r="J3701" s="669">
        <v>3.6</v>
      </c>
    </row>
    <row r="3702" spans="1:10" ht="48" customHeight="1">
      <c r="A3702" s="672" t="s">
        <v>13467</v>
      </c>
      <c r="B3702" s="673" t="s">
        <v>14219</v>
      </c>
      <c r="C3702" s="672" t="s">
        <v>7</v>
      </c>
      <c r="D3702" s="672" t="s">
        <v>14218</v>
      </c>
      <c r="E3702" s="919" t="s">
        <v>13493</v>
      </c>
      <c r="F3702" s="919"/>
      <c r="G3702" s="671" t="s">
        <v>34</v>
      </c>
      <c r="H3702" s="670">
        <v>1</v>
      </c>
      <c r="I3702" s="669">
        <v>6723.52</v>
      </c>
      <c r="J3702" s="669">
        <v>6723.52</v>
      </c>
    </row>
    <row r="3703" spans="1:10" ht="24" customHeight="1">
      <c r="A3703" s="672" t="s">
        <v>13467</v>
      </c>
      <c r="B3703" s="673" t="s">
        <v>14177</v>
      </c>
      <c r="C3703" s="672" t="s">
        <v>7</v>
      </c>
      <c r="D3703" s="672" t="s">
        <v>14176</v>
      </c>
      <c r="E3703" s="919" t="s">
        <v>13464</v>
      </c>
      <c r="F3703" s="919"/>
      <c r="G3703" s="671" t="s">
        <v>34</v>
      </c>
      <c r="H3703" s="670">
        <v>4</v>
      </c>
      <c r="I3703" s="669">
        <v>0.2</v>
      </c>
      <c r="J3703" s="669">
        <v>0.8</v>
      </c>
    </row>
    <row r="3704" spans="1:10" ht="24" customHeight="1">
      <c r="A3704" s="672" t="s">
        <v>13467</v>
      </c>
      <c r="B3704" s="673" t="s">
        <v>14175</v>
      </c>
      <c r="C3704" s="672" t="s">
        <v>7</v>
      </c>
      <c r="D3704" s="672" t="s">
        <v>14174</v>
      </c>
      <c r="E3704" s="919" t="s">
        <v>13464</v>
      </c>
      <c r="F3704" s="919"/>
      <c r="G3704" s="671" t="s">
        <v>14</v>
      </c>
      <c r="H3704" s="670">
        <v>0.2</v>
      </c>
      <c r="I3704" s="669">
        <v>3.69</v>
      </c>
      <c r="J3704" s="669">
        <v>0.73</v>
      </c>
    </row>
    <row r="3705" spans="1:10" ht="25.5">
      <c r="A3705" s="668"/>
      <c r="B3705" s="668"/>
      <c r="C3705" s="668"/>
      <c r="D3705" s="668"/>
      <c r="E3705" s="668" t="s">
        <v>13463</v>
      </c>
      <c r="F3705" s="667">
        <v>52.118874280126043</v>
      </c>
      <c r="G3705" s="668" t="s">
        <v>13462</v>
      </c>
      <c r="H3705" s="667">
        <v>43.81</v>
      </c>
      <c r="I3705" s="668" t="s">
        <v>13461</v>
      </c>
      <c r="J3705" s="667">
        <v>95.93</v>
      </c>
    </row>
    <row r="3706" spans="1:10" ht="15" thickBot="1">
      <c r="A3706" s="668"/>
      <c r="B3706" s="668"/>
      <c r="C3706" s="668"/>
      <c r="D3706" s="668"/>
      <c r="E3706" s="668" t="s">
        <v>13460</v>
      </c>
      <c r="F3706" s="667">
        <v>1934.86</v>
      </c>
      <c r="G3706" s="668"/>
      <c r="H3706" s="925" t="s">
        <v>13459</v>
      </c>
      <c r="I3706" s="925"/>
      <c r="J3706" s="667">
        <v>8786.36</v>
      </c>
    </row>
    <row r="3707" spans="1:10" ht="0.95" customHeight="1" thickTop="1">
      <c r="A3707" s="666"/>
      <c r="B3707" s="666"/>
      <c r="C3707" s="666"/>
      <c r="D3707" s="666"/>
      <c r="E3707" s="666"/>
      <c r="F3707" s="666"/>
      <c r="G3707" s="666"/>
      <c r="H3707" s="666"/>
      <c r="I3707" s="666"/>
      <c r="J3707" s="666"/>
    </row>
    <row r="3708" spans="1:10" ht="18" customHeight="1">
      <c r="A3708" s="686" t="s">
        <v>14111</v>
      </c>
      <c r="B3708" s="684" t="s">
        <v>13484</v>
      </c>
      <c r="C3708" s="686" t="s">
        <v>13483</v>
      </c>
      <c r="D3708" s="686" t="s">
        <v>13482</v>
      </c>
      <c r="E3708" s="924" t="s">
        <v>13481</v>
      </c>
      <c r="F3708" s="924"/>
      <c r="G3708" s="685" t="s">
        <v>13480</v>
      </c>
      <c r="H3708" s="684" t="s">
        <v>13479</v>
      </c>
      <c r="I3708" s="684" t="s">
        <v>13478</v>
      </c>
      <c r="J3708" s="684" t="s">
        <v>13477</v>
      </c>
    </row>
    <row r="3709" spans="1:10" ht="36" customHeight="1">
      <c r="A3709" s="682" t="s">
        <v>13476</v>
      </c>
      <c r="B3709" s="683" t="s">
        <v>14217</v>
      </c>
      <c r="C3709" s="682" t="s">
        <v>7</v>
      </c>
      <c r="D3709" s="682" t="s">
        <v>6688</v>
      </c>
      <c r="E3709" s="917" t="s">
        <v>13474</v>
      </c>
      <c r="F3709" s="917"/>
      <c r="G3709" s="681" t="s">
        <v>34</v>
      </c>
      <c r="H3709" s="680">
        <v>1</v>
      </c>
      <c r="I3709" s="679">
        <v>1460.4</v>
      </c>
      <c r="J3709" s="679">
        <v>1460.4</v>
      </c>
    </row>
    <row r="3710" spans="1:10" ht="24" customHeight="1">
      <c r="A3710" s="677" t="s">
        <v>13472</v>
      </c>
      <c r="B3710" s="678" t="s">
        <v>13539</v>
      </c>
      <c r="C3710" s="677" t="s">
        <v>7</v>
      </c>
      <c r="D3710" s="677" t="s">
        <v>45</v>
      </c>
      <c r="E3710" s="918" t="s">
        <v>13470</v>
      </c>
      <c r="F3710" s="918"/>
      <c r="G3710" s="676" t="s">
        <v>19</v>
      </c>
      <c r="H3710" s="675">
        <v>0.63300000000000001</v>
      </c>
      <c r="I3710" s="674">
        <v>18.3</v>
      </c>
      <c r="J3710" s="674">
        <v>11.58</v>
      </c>
    </row>
    <row r="3711" spans="1:10" ht="24" customHeight="1">
      <c r="A3711" s="677" t="s">
        <v>13472</v>
      </c>
      <c r="B3711" s="678" t="s">
        <v>13538</v>
      </c>
      <c r="C3711" s="677" t="s">
        <v>7</v>
      </c>
      <c r="D3711" s="677" t="s">
        <v>47</v>
      </c>
      <c r="E3711" s="918" t="s">
        <v>13470</v>
      </c>
      <c r="F3711" s="918"/>
      <c r="G3711" s="676" t="s">
        <v>19</v>
      </c>
      <c r="H3711" s="675">
        <v>0.63300000000000001</v>
      </c>
      <c r="I3711" s="674">
        <v>14</v>
      </c>
      <c r="J3711" s="674">
        <v>8.86</v>
      </c>
    </row>
    <row r="3712" spans="1:10" ht="24" customHeight="1">
      <c r="A3712" s="677" t="s">
        <v>13472</v>
      </c>
      <c r="B3712" s="678" t="s">
        <v>13526</v>
      </c>
      <c r="C3712" s="677" t="s">
        <v>7</v>
      </c>
      <c r="D3712" s="677" t="s">
        <v>1093</v>
      </c>
      <c r="E3712" s="918" t="s">
        <v>13470</v>
      </c>
      <c r="F3712" s="918"/>
      <c r="G3712" s="676" t="s">
        <v>19</v>
      </c>
      <c r="H3712" s="675">
        <v>2.202</v>
      </c>
      <c r="I3712" s="674">
        <v>13.48</v>
      </c>
      <c r="J3712" s="674">
        <v>29.68</v>
      </c>
    </row>
    <row r="3713" spans="1:10" ht="24" customHeight="1">
      <c r="A3713" s="677" t="s">
        <v>13472</v>
      </c>
      <c r="B3713" s="678" t="s">
        <v>13473</v>
      </c>
      <c r="C3713" s="677" t="s">
        <v>7</v>
      </c>
      <c r="D3713" s="677" t="s">
        <v>44</v>
      </c>
      <c r="E3713" s="918" t="s">
        <v>13470</v>
      </c>
      <c r="F3713" s="918"/>
      <c r="G3713" s="676" t="s">
        <v>19</v>
      </c>
      <c r="H3713" s="675">
        <v>2.202</v>
      </c>
      <c r="I3713" s="674">
        <v>17.66</v>
      </c>
      <c r="J3713" s="674">
        <v>38.880000000000003</v>
      </c>
    </row>
    <row r="3714" spans="1:10" ht="36" customHeight="1">
      <c r="A3714" s="672" t="s">
        <v>13467</v>
      </c>
      <c r="B3714" s="673" t="s">
        <v>14179</v>
      </c>
      <c r="C3714" s="672" t="s">
        <v>7</v>
      </c>
      <c r="D3714" s="672" t="s">
        <v>14178</v>
      </c>
      <c r="E3714" s="919" t="s">
        <v>13464</v>
      </c>
      <c r="F3714" s="919"/>
      <c r="G3714" s="671" t="s">
        <v>34</v>
      </c>
      <c r="H3714" s="670">
        <v>4</v>
      </c>
      <c r="I3714" s="669">
        <v>0.9</v>
      </c>
      <c r="J3714" s="669">
        <v>3.6</v>
      </c>
    </row>
    <row r="3715" spans="1:10" ht="48" customHeight="1">
      <c r="A3715" s="672" t="s">
        <v>13467</v>
      </c>
      <c r="B3715" s="673" t="s">
        <v>14216</v>
      </c>
      <c r="C3715" s="672" t="s">
        <v>7</v>
      </c>
      <c r="D3715" s="672" t="s">
        <v>14215</v>
      </c>
      <c r="E3715" s="919" t="s">
        <v>13493</v>
      </c>
      <c r="F3715" s="919"/>
      <c r="G3715" s="671" t="s">
        <v>34</v>
      </c>
      <c r="H3715" s="670">
        <v>1</v>
      </c>
      <c r="I3715" s="669">
        <v>1366.27</v>
      </c>
      <c r="J3715" s="669">
        <v>1366.27</v>
      </c>
    </row>
    <row r="3716" spans="1:10" ht="24" customHeight="1">
      <c r="A3716" s="672" t="s">
        <v>13467</v>
      </c>
      <c r="B3716" s="673" t="s">
        <v>14177</v>
      </c>
      <c r="C3716" s="672" t="s">
        <v>7</v>
      </c>
      <c r="D3716" s="672" t="s">
        <v>14176</v>
      </c>
      <c r="E3716" s="919" t="s">
        <v>13464</v>
      </c>
      <c r="F3716" s="919"/>
      <c r="G3716" s="671" t="s">
        <v>34</v>
      </c>
      <c r="H3716" s="670">
        <v>4</v>
      </c>
      <c r="I3716" s="669">
        <v>0.2</v>
      </c>
      <c r="J3716" s="669">
        <v>0.8</v>
      </c>
    </row>
    <row r="3717" spans="1:10" ht="24" customHeight="1">
      <c r="A3717" s="672" t="s">
        <v>13467</v>
      </c>
      <c r="B3717" s="673" t="s">
        <v>14175</v>
      </c>
      <c r="C3717" s="672" t="s">
        <v>7</v>
      </c>
      <c r="D3717" s="672" t="s">
        <v>14174</v>
      </c>
      <c r="E3717" s="919" t="s">
        <v>13464</v>
      </c>
      <c r="F3717" s="919"/>
      <c r="G3717" s="671" t="s">
        <v>14</v>
      </c>
      <c r="H3717" s="670">
        <v>0.2</v>
      </c>
      <c r="I3717" s="669">
        <v>3.69</v>
      </c>
      <c r="J3717" s="669">
        <v>0.73</v>
      </c>
    </row>
    <row r="3718" spans="1:10" ht="25.5">
      <c r="A3718" s="668"/>
      <c r="B3718" s="668"/>
      <c r="C3718" s="668"/>
      <c r="D3718" s="668"/>
      <c r="E3718" s="668" t="s">
        <v>13463</v>
      </c>
      <c r="F3718" s="667">
        <v>37.694230142344885</v>
      </c>
      <c r="G3718" s="668" t="s">
        <v>13462</v>
      </c>
      <c r="H3718" s="667">
        <v>31.69</v>
      </c>
      <c r="I3718" s="668" t="s">
        <v>13461</v>
      </c>
      <c r="J3718" s="667">
        <v>69.38</v>
      </c>
    </row>
    <row r="3719" spans="1:10" ht="15" thickBot="1">
      <c r="A3719" s="668"/>
      <c r="B3719" s="668"/>
      <c r="C3719" s="668"/>
      <c r="D3719" s="668"/>
      <c r="E3719" s="668" t="s">
        <v>13460</v>
      </c>
      <c r="F3719" s="667">
        <v>412.41</v>
      </c>
      <c r="G3719" s="668"/>
      <c r="H3719" s="925" t="s">
        <v>13459</v>
      </c>
      <c r="I3719" s="925"/>
      <c r="J3719" s="667">
        <v>1872.81</v>
      </c>
    </row>
    <row r="3720" spans="1:10" ht="0.95" customHeight="1" thickTop="1">
      <c r="A3720" s="666"/>
      <c r="B3720" s="666"/>
      <c r="C3720" s="666"/>
      <c r="D3720" s="666"/>
      <c r="E3720" s="666"/>
      <c r="F3720" s="666"/>
      <c r="G3720" s="666"/>
      <c r="H3720" s="666"/>
      <c r="I3720" s="666"/>
      <c r="J3720" s="666"/>
    </row>
    <row r="3721" spans="1:10" ht="18" customHeight="1">
      <c r="A3721" s="686" t="s">
        <v>14111</v>
      </c>
      <c r="B3721" s="684" t="s">
        <v>13484</v>
      </c>
      <c r="C3721" s="686" t="s">
        <v>13483</v>
      </c>
      <c r="D3721" s="686" t="s">
        <v>13482</v>
      </c>
      <c r="E3721" s="924" t="s">
        <v>13481</v>
      </c>
      <c r="F3721" s="924"/>
      <c r="G3721" s="685" t="s">
        <v>13480</v>
      </c>
      <c r="H3721" s="684" t="s">
        <v>13479</v>
      </c>
      <c r="I3721" s="684" t="s">
        <v>13478</v>
      </c>
      <c r="J3721" s="684" t="s">
        <v>13477</v>
      </c>
    </row>
    <row r="3722" spans="1:10" ht="48" customHeight="1">
      <c r="A3722" s="682" t="s">
        <v>13476</v>
      </c>
      <c r="B3722" s="683" t="s">
        <v>14214</v>
      </c>
      <c r="C3722" s="682" t="s">
        <v>7</v>
      </c>
      <c r="D3722" s="682" t="s">
        <v>2533</v>
      </c>
      <c r="E3722" s="917" t="s">
        <v>13474</v>
      </c>
      <c r="F3722" s="917"/>
      <c r="G3722" s="681" t="s">
        <v>34</v>
      </c>
      <c r="H3722" s="680">
        <v>1</v>
      </c>
      <c r="I3722" s="679">
        <v>900.63</v>
      </c>
      <c r="J3722" s="679">
        <v>900.63</v>
      </c>
    </row>
    <row r="3723" spans="1:10" ht="24" customHeight="1">
      <c r="A3723" s="677" t="s">
        <v>13472</v>
      </c>
      <c r="B3723" s="678" t="s">
        <v>13526</v>
      </c>
      <c r="C3723" s="677" t="s">
        <v>7</v>
      </c>
      <c r="D3723" s="677" t="s">
        <v>1093</v>
      </c>
      <c r="E3723" s="918" t="s">
        <v>13470</v>
      </c>
      <c r="F3723" s="918"/>
      <c r="G3723" s="676" t="s">
        <v>19</v>
      </c>
      <c r="H3723" s="675">
        <v>13.176</v>
      </c>
      <c r="I3723" s="674">
        <v>13.48</v>
      </c>
      <c r="J3723" s="674">
        <v>177.61</v>
      </c>
    </row>
    <row r="3724" spans="1:10" ht="24" customHeight="1">
      <c r="A3724" s="677" t="s">
        <v>13472</v>
      </c>
      <c r="B3724" s="678" t="s">
        <v>13473</v>
      </c>
      <c r="C3724" s="677" t="s">
        <v>7</v>
      </c>
      <c r="D3724" s="677" t="s">
        <v>44</v>
      </c>
      <c r="E3724" s="918" t="s">
        <v>13470</v>
      </c>
      <c r="F3724" s="918"/>
      <c r="G3724" s="676" t="s">
        <v>19</v>
      </c>
      <c r="H3724" s="675">
        <v>13.176</v>
      </c>
      <c r="I3724" s="674">
        <v>17.66</v>
      </c>
      <c r="J3724" s="674">
        <v>232.68</v>
      </c>
    </row>
    <row r="3725" spans="1:10" ht="24" customHeight="1">
      <c r="A3725" s="672" t="s">
        <v>13467</v>
      </c>
      <c r="B3725" s="673" t="s">
        <v>14213</v>
      </c>
      <c r="C3725" s="672" t="s">
        <v>7</v>
      </c>
      <c r="D3725" s="672" t="s">
        <v>14212</v>
      </c>
      <c r="E3725" s="919" t="s">
        <v>13464</v>
      </c>
      <c r="F3725" s="919"/>
      <c r="G3725" s="671" t="s">
        <v>34</v>
      </c>
      <c r="H3725" s="670">
        <v>1</v>
      </c>
      <c r="I3725" s="669">
        <v>11.66</v>
      </c>
      <c r="J3725" s="669">
        <v>11.66</v>
      </c>
    </row>
    <row r="3726" spans="1:10" ht="24" customHeight="1">
      <c r="A3726" s="672" t="s">
        <v>13467</v>
      </c>
      <c r="B3726" s="673" t="s">
        <v>14211</v>
      </c>
      <c r="C3726" s="672" t="s">
        <v>7</v>
      </c>
      <c r="D3726" s="672" t="s">
        <v>14210</v>
      </c>
      <c r="E3726" s="919" t="s">
        <v>13464</v>
      </c>
      <c r="F3726" s="919"/>
      <c r="G3726" s="671" t="s">
        <v>34</v>
      </c>
      <c r="H3726" s="670">
        <v>1</v>
      </c>
      <c r="I3726" s="669">
        <v>18.27</v>
      </c>
      <c r="J3726" s="669">
        <v>18.27</v>
      </c>
    </row>
    <row r="3727" spans="1:10" ht="24" customHeight="1">
      <c r="A3727" s="672" t="s">
        <v>13467</v>
      </c>
      <c r="B3727" s="673" t="s">
        <v>13534</v>
      </c>
      <c r="C3727" s="672" t="s">
        <v>7</v>
      </c>
      <c r="D3727" s="672" t="s">
        <v>13533</v>
      </c>
      <c r="E3727" s="919" t="s">
        <v>13464</v>
      </c>
      <c r="F3727" s="919"/>
      <c r="G3727" s="671" t="s">
        <v>34</v>
      </c>
      <c r="H3727" s="670">
        <v>0.27600000000000002</v>
      </c>
      <c r="I3727" s="669">
        <v>18.440000000000001</v>
      </c>
      <c r="J3727" s="669">
        <v>5.08</v>
      </c>
    </row>
    <row r="3728" spans="1:10" ht="24" customHeight="1">
      <c r="A3728" s="672" t="s">
        <v>13467</v>
      </c>
      <c r="B3728" s="673" t="s">
        <v>14209</v>
      </c>
      <c r="C3728" s="672" t="s">
        <v>7</v>
      </c>
      <c r="D3728" s="672" t="s">
        <v>14208</v>
      </c>
      <c r="E3728" s="919" t="s">
        <v>13464</v>
      </c>
      <c r="F3728" s="919"/>
      <c r="G3728" s="671" t="s">
        <v>50</v>
      </c>
      <c r="H3728" s="670">
        <v>3.1E-2</v>
      </c>
      <c r="I3728" s="669">
        <v>26.96</v>
      </c>
      <c r="J3728" s="669">
        <v>0.83</v>
      </c>
    </row>
    <row r="3729" spans="1:10" ht="24" customHeight="1">
      <c r="A3729" s="672" t="s">
        <v>13467</v>
      </c>
      <c r="B3729" s="673" t="s">
        <v>14207</v>
      </c>
      <c r="C3729" s="672" t="s">
        <v>7</v>
      </c>
      <c r="D3729" s="672" t="s">
        <v>14206</v>
      </c>
      <c r="E3729" s="919" t="s">
        <v>13464</v>
      </c>
      <c r="F3729" s="919"/>
      <c r="G3729" s="671" t="s">
        <v>34</v>
      </c>
      <c r="H3729" s="670">
        <v>2</v>
      </c>
      <c r="I3729" s="669">
        <v>12.73</v>
      </c>
      <c r="J3729" s="669">
        <v>25.46</v>
      </c>
    </row>
    <row r="3730" spans="1:10" ht="24" customHeight="1">
      <c r="A3730" s="672" t="s">
        <v>13467</v>
      </c>
      <c r="B3730" s="673" t="s">
        <v>14205</v>
      </c>
      <c r="C3730" s="672" t="s">
        <v>7</v>
      </c>
      <c r="D3730" s="672" t="s">
        <v>14204</v>
      </c>
      <c r="E3730" s="919" t="s">
        <v>13464</v>
      </c>
      <c r="F3730" s="919"/>
      <c r="G3730" s="671" t="s">
        <v>34</v>
      </c>
      <c r="H3730" s="670">
        <v>2</v>
      </c>
      <c r="I3730" s="669">
        <v>5.86</v>
      </c>
      <c r="J3730" s="669">
        <v>11.72</v>
      </c>
    </row>
    <row r="3731" spans="1:10" ht="24" customHeight="1">
      <c r="A3731" s="672" t="s">
        <v>13467</v>
      </c>
      <c r="B3731" s="673" t="s">
        <v>14203</v>
      </c>
      <c r="C3731" s="672" t="s">
        <v>7</v>
      </c>
      <c r="D3731" s="672" t="s">
        <v>14202</v>
      </c>
      <c r="E3731" s="919" t="s">
        <v>13464</v>
      </c>
      <c r="F3731" s="919"/>
      <c r="G3731" s="671" t="s">
        <v>34</v>
      </c>
      <c r="H3731" s="670">
        <v>3</v>
      </c>
      <c r="I3731" s="669">
        <v>8.65</v>
      </c>
      <c r="J3731" s="669">
        <v>25.95</v>
      </c>
    </row>
    <row r="3732" spans="1:10" ht="24" customHeight="1">
      <c r="A3732" s="672" t="s">
        <v>13467</v>
      </c>
      <c r="B3732" s="673" t="s">
        <v>14201</v>
      </c>
      <c r="C3732" s="672" t="s">
        <v>7</v>
      </c>
      <c r="D3732" s="672" t="s">
        <v>14200</v>
      </c>
      <c r="E3732" s="919" t="s">
        <v>13464</v>
      </c>
      <c r="F3732" s="919"/>
      <c r="G3732" s="671" t="s">
        <v>34</v>
      </c>
      <c r="H3732" s="670">
        <v>1</v>
      </c>
      <c r="I3732" s="669">
        <v>17.46</v>
      </c>
      <c r="J3732" s="669">
        <v>17.46</v>
      </c>
    </row>
    <row r="3733" spans="1:10" ht="24" customHeight="1">
      <c r="A3733" s="672" t="s">
        <v>13467</v>
      </c>
      <c r="B3733" s="673" t="s">
        <v>14199</v>
      </c>
      <c r="C3733" s="672" t="s">
        <v>7</v>
      </c>
      <c r="D3733" s="672" t="s">
        <v>14198</v>
      </c>
      <c r="E3733" s="919" t="s">
        <v>13464</v>
      </c>
      <c r="F3733" s="919"/>
      <c r="G3733" s="671" t="s">
        <v>34</v>
      </c>
      <c r="H3733" s="670">
        <v>1</v>
      </c>
      <c r="I3733" s="669">
        <v>10.53</v>
      </c>
      <c r="J3733" s="669">
        <v>10.53</v>
      </c>
    </row>
    <row r="3734" spans="1:10" ht="24" customHeight="1">
      <c r="A3734" s="672" t="s">
        <v>13467</v>
      </c>
      <c r="B3734" s="673" t="s">
        <v>14197</v>
      </c>
      <c r="C3734" s="672" t="s">
        <v>7</v>
      </c>
      <c r="D3734" s="672" t="s">
        <v>14196</v>
      </c>
      <c r="E3734" s="919" t="s">
        <v>13464</v>
      </c>
      <c r="F3734" s="919"/>
      <c r="G3734" s="671" t="s">
        <v>34</v>
      </c>
      <c r="H3734" s="670">
        <v>1</v>
      </c>
      <c r="I3734" s="669">
        <v>24.22</v>
      </c>
      <c r="J3734" s="669">
        <v>24.22</v>
      </c>
    </row>
    <row r="3735" spans="1:10" ht="24" customHeight="1">
      <c r="A3735" s="672" t="s">
        <v>13467</v>
      </c>
      <c r="B3735" s="673" t="s">
        <v>14195</v>
      </c>
      <c r="C3735" s="672" t="s">
        <v>7</v>
      </c>
      <c r="D3735" s="672" t="s">
        <v>14194</v>
      </c>
      <c r="E3735" s="919" t="s">
        <v>13464</v>
      </c>
      <c r="F3735" s="919"/>
      <c r="G3735" s="671" t="s">
        <v>34</v>
      </c>
      <c r="H3735" s="670">
        <v>1</v>
      </c>
      <c r="I3735" s="669">
        <v>33.01</v>
      </c>
      <c r="J3735" s="669">
        <v>33.01</v>
      </c>
    </row>
    <row r="3736" spans="1:10" ht="36" customHeight="1">
      <c r="A3736" s="672" t="s">
        <v>13467</v>
      </c>
      <c r="B3736" s="673" t="s">
        <v>14193</v>
      </c>
      <c r="C3736" s="672" t="s">
        <v>7</v>
      </c>
      <c r="D3736" s="672" t="s">
        <v>14192</v>
      </c>
      <c r="E3736" s="919" t="s">
        <v>13464</v>
      </c>
      <c r="F3736" s="919"/>
      <c r="G3736" s="671" t="s">
        <v>14</v>
      </c>
      <c r="H3736" s="670">
        <v>0.312</v>
      </c>
      <c r="I3736" s="669">
        <v>46.85</v>
      </c>
      <c r="J3736" s="669">
        <v>14.61</v>
      </c>
    </row>
    <row r="3737" spans="1:10" ht="36" customHeight="1">
      <c r="A3737" s="672" t="s">
        <v>13467</v>
      </c>
      <c r="B3737" s="673" t="s">
        <v>14191</v>
      </c>
      <c r="C3737" s="672" t="s">
        <v>7</v>
      </c>
      <c r="D3737" s="672" t="s">
        <v>14190</v>
      </c>
      <c r="E3737" s="919" t="s">
        <v>13464</v>
      </c>
      <c r="F3737" s="919"/>
      <c r="G3737" s="671" t="s">
        <v>14</v>
      </c>
      <c r="H3737" s="670">
        <v>0.41599999999999998</v>
      </c>
      <c r="I3737" s="669">
        <v>65.02</v>
      </c>
      <c r="J3737" s="669">
        <v>27.04</v>
      </c>
    </row>
    <row r="3738" spans="1:10" ht="24" customHeight="1">
      <c r="A3738" s="672" t="s">
        <v>13467</v>
      </c>
      <c r="B3738" s="673" t="s">
        <v>14189</v>
      </c>
      <c r="C3738" s="672" t="s">
        <v>7</v>
      </c>
      <c r="D3738" s="672" t="s">
        <v>14188</v>
      </c>
      <c r="E3738" s="919" t="s">
        <v>13464</v>
      </c>
      <c r="F3738" s="919"/>
      <c r="G3738" s="671" t="s">
        <v>34</v>
      </c>
      <c r="H3738" s="670">
        <v>2</v>
      </c>
      <c r="I3738" s="669">
        <v>41.66</v>
      </c>
      <c r="J3738" s="669">
        <v>83.32</v>
      </c>
    </row>
    <row r="3739" spans="1:10" ht="24" customHeight="1">
      <c r="A3739" s="672" t="s">
        <v>13467</v>
      </c>
      <c r="B3739" s="673" t="s">
        <v>14187</v>
      </c>
      <c r="C3739" s="672" t="s">
        <v>7</v>
      </c>
      <c r="D3739" s="672" t="s">
        <v>14186</v>
      </c>
      <c r="E3739" s="919" t="s">
        <v>13464</v>
      </c>
      <c r="F3739" s="919"/>
      <c r="G3739" s="671" t="s">
        <v>34</v>
      </c>
      <c r="H3739" s="670">
        <v>1</v>
      </c>
      <c r="I3739" s="669">
        <v>24.07</v>
      </c>
      <c r="J3739" s="669">
        <v>24.07</v>
      </c>
    </row>
    <row r="3740" spans="1:10" ht="24" customHeight="1">
      <c r="A3740" s="672" t="s">
        <v>13467</v>
      </c>
      <c r="B3740" s="673" t="s">
        <v>14185</v>
      </c>
      <c r="C3740" s="672" t="s">
        <v>7</v>
      </c>
      <c r="D3740" s="672" t="s">
        <v>14184</v>
      </c>
      <c r="E3740" s="919" t="s">
        <v>13464</v>
      </c>
      <c r="F3740" s="919"/>
      <c r="G3740" s="671" t="s">
        <v>34</v>
      </c>
      <c r="H3740" s="670">
        <v>1</v>
      </c>
      <c r="I3740" s="669">
        <v>95.93</v>
      </c>
      <c r="J3740" s="669">
        <v>95.93</v>
      </c>
    </row>
    <row r="3741" spans="1:10" ht="24" customHeight="1">
      <c r="A3741" s="672" t="s">
        <v>13467</v>
      </c>
      <c r="B3741" s="673" t="s">
        <v>14183</v>
      </c>
      <c r="C3741" s="672" t="s">
        <v>7</v>
      </c>
      <c r="D3741" s="672" t="s">
        <v>14182</v>
      </c>
      <c r="E3741" s="919" t="s">
        <v>13464</v>
      </c>
      <c r="F3741" s="919"/>
      <c r="G3741" s="671" t="s">
        <v>34</v>
      </c>
      <c r="H3741" s="670">
        <v>1</v>
      </c>
      <c r="I3741" s="669">
        <v>61.18</v>
      </c>
      <c r="J3741" s="669">
        <v>61.18</v>
      </c>
    </row>
    <row r="3742" spans="1:10" ht="25.5">
      <c r="A3742" s="668"/>
      <c r="B3742" s="668"/>
      <c r="C3742" s="668"/>
      <c r="D3742" s="668"/>
      <c r="E3742" s="668" t="s">
        <v>13463</v>
      </c>
      <c r="F3742" s="667">
        <v>174.80712811039879</v>
      </c>
      <c r="G3742" s="668" t="s">
        <v>13462</v>
      </c>
      <c r="H3742" s="667">
        <v>146.94</v>
      </c>
      <c r="I3742" s="668" t="s">
        <v>13461</v>
      </c>
      <c r="J3742" s="667">
        <v>321.75</v>
      </c>
    </row>
    <row r="3743" spans="1:10" ht="15" thickBot="1">
      <c r="A3743" s="668"/>
      <c r="B3743" s="668"/>
      <c r="C3743" s="668"/>
      <c r="D3743" s="668"/>
      <c r="E3743" s="668" t="s">
        <v>13460</v>
      </c>
      <c r="F3743" s="667">
        <v>254.33</v>
      </c>
      <c r="G3743" s="668"/>
      <c r="H3743" s="925" t="s">
        <v>13459</v>
      </c>
      <c r="I3743" s="925"/>
      <c r="J3743" s="667">
        <v>1154.96</v>
      </c>
    </row>
    <row r="3744" spans="1:10" ht="0.95" customHeight="1" thickTop="1">
      <c r="A3744" s="666"/>
      <c r="B3744" s="666"/>
      <c r="C3744" s="666"/>
      <c r="D3744" s="666"/>
      <c r="E3744" s="666"/>
      <c r="F3744" s="666"/>
      <c r="G3744" s="666"/>
      <c r="H3744" s="666"/>
      <c r="I3744" s="666"/>
      <c r="J3744" s="666"/>
    </row>
    <row r="3745" spans="1:10" ht="18" customHeight="1">
      <c r="A3745" s="686" t="s">
        <v>14111</v>
      </c>
      <c r="B3745" s="684" t="s">
        <v>13484</v>
      </c>
      <c r="C3745" s="686" t="s">
        <v>13483</v>
      </c>
      <c r="D3745" s="686" t="s">
        <v>13482</v>
      </c>
      <c r="E3745" s="924" t="s">
        <v>13481</v>
      </c>
      <c r="F3745" s="924"/>
      <c r="G3745" s="685" t="s">
        <v>13480</v>
      </c>
      <c r="H3745" s="684" t="s">
        <v>13479</v>
      </c>
      <c r="I3745" s="684" t="s">
        <v>13478</v>
      </c>
      <c r="J3745" s="684" t="s">
        <v>13477</v>
      </c>
    </row>
    <row r="3746" spans="1:10" ht="36" customHeight="1">
      <c r="A3746" s="682" t="s">
        <v>13476</v>
      </c>
      <c r="B3746" s="683" t="s">
        <v>14181</v>
      </c>
      <c r="C3746" s="682" t="s">
        <v>7</v>
      </c>
      <c r="D3746" s="682" t="s">
        <v>6694</v>
      </c>
      <c r="E3746" s="917" t="s">
        <v>13474</v>
      </c>
      <c r="F3746" s="917"/>
      <c r="G3746" s="681" t="s">
        <v>34</v>
      </c>
      <c r="H3746" s="680">
        <v>1</v>
      </c>
      <c r="I3746" s="679">
        <v>127.98</v>
      </c>
      <c r="J3746" s="679">
        <v>127.98</v>
      </c>
    </row>
    <row r="3747" spans="1:10" ht="24" customHeight="1">
      <c r="A3747" s="677" t="s">
        <v>13472</v>
      </c>
      <c r="B3747" s="678" t="s">
        <v>13526</v>
      </c>
      <c r="C3747" s="677" t="s">
        <v>7</v>
      </c>
      <c r="D3747" s="677" t="s">
        <v>1093</v>
      </c>
      <c r="E3747" s="918" t="s">
        <v>13470</v>
      </c>
      <c r="F3747" s="918"/>
      <c r="G3747" s="676" t="s">
        <v>19</v>
      </c>
      <c r="H3747" s="675">
        <v>3.2890000000000001</v>
      </c>
      <c r="I3747" s="674">
        <v>13.48</v>
      </c>
      <c r="J3747" s="674">
        <v>44.33</v>
      </c>
    </row>
    <row r="3748" spans="1:10" ht="24" customHeight="1">
      <c r="A3748" s="677" t="s">
        <v>13472</v>
      </c>
      <c r="B3748" s="678" t="s">
        <v>13539</v>
      </c>
      <c r="C3748" s="677" t="s">
        <v>7</v>
      </c>
      <c r="D3748" s="677" t="s">
        <v>45</v>
      </c>
      <c r="E3748" s="918" t="s">
        <v>13470</v>
      </c>
      <c r="F3748" s="918"/>
      <c r="G3748" s="676" t="s">
        <v>19</v>
      </c>
      <c r="H3748" s="675">
        <v>0.63300000000000001</v>
      </c>
      <c r="I3748" s="674">
        <v>18.3</v>
      </c>
      <c r="J3748" s="674">
        <v>11.58</v>
      </c>
    </row>
    <row r="3749" spans="1:10" ht="24" customHeight="1">
      <c r="A3749" s="677" t="s">
        <v>13472</v>
      </c>
      <c r="B3749" s="678" t="s">
        <v>13538</v>
      </c>
      <c r="C3749" s="677" t="s">
        <v>7</v>
      </c>
      <c r="D3749" s="677" t="s">
        <v>47</v>
      </c>
      <c r="E3749" s="918" t="s">
        <v>13470</v>
      </c>
      <c r="F3749" s="918"/>
      <c r="G3749" s="676" t="s">
        <v>19</v>
      </c>
      <c r="H3749" s="675">
        <v>0.63300000000000001</v>
      </c>
      <c r="I3749" s="674">
        <v>14</v>
      </c>
      <c r="J3749" s="674">
        <v>8.86</v>
      </c>
    </row>
    <row r="3750" spans="1:10" ht="24" customHeight="1">
      <c r="A3750" s="677" t="s">
        <v>13472</v>
      </c>
      <c r="B3750" s="678" t="s">
        <v>13473</v>
      </c>
      <c r="C3750" s="677" t="s">
        <v>7</v>
      </c>
      <c r="D3750" s="677" t="s">
        <v>44</v>
      </c>
      <c r="E3750" s="918" t="s">
        <v>13470</v>
      </c>
      <c r="F3750" s="918"/>
      <c r="G3750" s="676" t="s">
        <v>19</v>
      </c>
      <c r="H3750" s="675">
        <v>3.2890000000000001</v>
      </c>
      <c r="I3750" s="674">
        <v>17.66</v>
      </c>
      <c r="J3750" s="674">
        <v>58.08</v>
      </c>
    </row>
    <row r="3751" spans="1:10" ht="36" customHeight="1">
      <c r="A3751" s="672" t="s">
        <v>13467</v>
      </c>
      <c r="B3751" s="673" t="s">
        <v>14179</v>
      </c>
      <c r="C3751" s="672" t="s">
        <v>7</v>
      </c>
      <c r="D3751" s="672" t="s">
        <v>14178</v>
      </c>
      <c r="E3751" s="919" t="s">
        <v>13464</v>
      </c>
      <c r="F3751" s="919"/>
      <c r="G3751" s="671" t="s">
        <v>34</v>
      </c>
      <c r="H3751" s="670">
        <v>4</v>
      </c>
      <c r="I3751" s="669">
        <v>0.9</v>
      </c>
      <c r="J3751" s="669">
        <v>3.6</v>
      </c>
    </row>
    <row r="3752" spans="1:10" ht="24" customHeight="1">
      <c r="A3752" s="672" t="s">
        <v>13467</v>
      </c>
      <c r="B3752" s="673" t="s">
        <v>14177</v>
      </c>
      <c r="C3752" s="672" t="s">
        <v>7</v>
      </c>
      <c r="D3752" s="672" t="s">
        <v>14176</v>
      </c>
      <c r="E3752" s="919" t="s">
        <v>13464</v>
      </c>
      <c r="F3752" s="919"/>
      <c r="G3752" s="671" t="s">
        <v>34</v>
      </c>
      <c r="H3752" s="670">
        <v>4</v>
      </c>
      <c r="I3752" s="669">
        <v>0.2</v>
      </c>
      <c r="J3752" s="669">
        <v>0.8</v>
      </c>
    </row>
    <row r="3753" spans="1:10" ht="24" customHeight="1">
      <c r="A3753" s="672" t="s">
        <v>13467</v>
      </c>
      <c r="B3753" s="673" t="s">
        <v>14175</v>
      </c>
      <c r="C3753" s="672" t="s">
        <v>7</v>
      </c>
      <c r="D3753" s="672" t="s">
        <v>14174</v>
      </c>
      <c r="E3753" s="919" t="s">
        <v>13464</v>
      </c>
      <c r="F3753" s="919"/>
      <c r="G3753" s="671" t="s">
        <v>14</v>
      </c>
      <c r="H3753" s="670">
        <v>0.2</v>
      </c>
      <c r="I3753" s="669">
        <v>3.69</v>
      </c>
      <c r="J3753" s="669">
        <v>0.73</v>
      </c>
    </row>
    <row r="3754" spans="1:10" ht="25.5">
      <c r="A3754" s="668"/>
      <c r="B3754" s="668"/>
      <c r="C3754" s="668"/>
      <c r="D3754" s="668"/>
      <c r="E3754" s="668" t="s">
        <v>13463</v>
      </c>
      <c r="F3754" s="667">
        <v>52.118874280126043</v>
      </c>
      <c r="G3754" s="668" t="s">
        <v>13462</v>
      </c>
      <c r="H3754" s="667">
        <v>43.81</v>
      </c>
      <c r="I3754" s="668" t="s">
        <v>13461</v>
      </c>
      <c r="J3754" s="667">
        <v>95.93</v>
      </c>
    </row>
    <row r="3755" spans="1:10" ht="15" thickBot="1">
      <c r="A3755" s="668"/>
      <c r="B3755" s="668"/>
      <c r="C3755" s="668"/>
      <c r="D3755" s="668"/>
      <c r="E3755" s="668" t="s">
        <v>13460</v>
      </c>
      <c r="F3755" s="667">
        <v>36.14</v>
      </c>
      <c r="G3755" s="668"/>
      <c r="H3755" s="925" t="s">
        <v>13459</v>
      </c>
      <c r="I3755" s="925"/>
      <c r="J3755" s="667">
        <v>164.12</v>
      </c>
    </row>
    <row r="3756" spans="1:10" ht="0.95" customHeight="1" thickTop="1">
      <c r="A3756" s="666"/>
      <c r="B3756" s="666"/>
      <c r="C3756" s="666"/>
      <c r="D3756" s="666"/>
      <c r="E3756" s="666"/>
      <c r="F3756" s="666"/>
      <c r="G3756" s="666"/>
      <c r="H3756" s="666"/>
      <c r="I3756" s="666"/>
      <c r="J3756" s="666"/>
    </row>
    <row r="3757" spans="1:10" ht="18" customHeight="1">
      <c r="A3757" s="686" t="s">
        <v>14111</v>
      </c>
      <c r="B3757" s="684" t="s">
        <v>13484</v>
      </c>
      <c r="C3757" s="686" t="s">
        <v>13483</v>
      </c>
      <c r="D3757" s="686" t="s">
        <v>13482</v>
      </c>
      <c r="E3757" s="924" t="s">
        <v>13481</v>
      </c>
      <c r="F3757" s="924"/>
      <c r="G3757" s="685" t="s">
        <v>13480</v>
      </c>
      <c r="H3757" s="684" t="s">
        <v>13479</v>
      </c>
      <c r="I3757" s="684" t="s">
        <v>13478</v>
      </c>
      <c r="J3757" s="684" t="s">
        <v>13477</v>
      </c>
    </row>
    <row r="3758" spans="1:10" ht="24" customHeight="1">
      <c r="A3758" s="682" t="s">
        <v>13476</v>
      </c>
      <c r="B3758" s="683" t="s">
        <v>14180</v>
      </c>
      <c r="C3758" s="682" t="s">
        <v>7</v>
      </c>
      <c r="D3758" s="682" t="s">
        <v>6689</v>
      </c>
      <c r="E3758" s="917" t="s">
        <v>13474</v>
      </c>
      <c r="F3758" s="917"/>
      <c r="G3758" s="681" t="s">
        <v>34</v>
      </c>
      <c r="H3758" s="680">
        <v>1</v>
      </c>
      <c r="I3758" s="679">
        <v>94.13</v>
      </c>
      <c r="J3758" s="679">
        <v>94.13</v>
      </c>
    </row>
    <row r="3759" spans="1:10" ht="24" customHeight="1">
      <c r="A3759" s="677" t="s">
        <v>13472</v>
      </c>
      <c r="B3759" s="678" t="s">
        <v>13526</v>
      </c>
      <c r="C3759" s="677" t="s">
        <v>7</v>
      </c>
      <c r="D3759" s="677" t="s">
        <v>1093</v>
      </c>
      <c r="E3759" s="918" t="s">
        <v>13470</v>
      </c>
      <c r="F3759" s="918"/>
      <c r="G3759" s="676" t="s">
        <v>19</v>
      </c>
      <c r="H3759" s="675">
        <v>2.202</v>
      </c>
      <c r="I3759" s="674">
        <v>13.48</v>
      </c>
      <c r="J3759" s="674">
        <v>29.68</v>
      </c>
    </row>
    <row r="3760" spans="1:10" ht="24" customHeight="1">
      <c r="A3760" s="677" t="s">
        <v>13472</v>
      </c>
      <c r="B3760" s="678" t="s">
        <v>13539</v>
      </c>
      <c r="C3760" s="677" t="s">
        <v>7</v>
      </c>
      <c r="D3760" s="677" t="s">
        <v>45</v>
      </c>
      <c r="E3760" s="918" t="s">
        <v>13470</v>
      </c>
      <c r="F3760" s="918"/>
      <c r="G3760" s="676" t="s">
        <v>19</v>
      </c>
      <c r="H3760" s="675">
        <v>0.63300000000000001</v>
      </c>
      <c r="I3760" s="674">
        <v>18.3</v>
      </c>
      <c r="J3760" s="674">
        <v>11.58</v>
      </c>
    </row>
    <row r="3761" spans="1:10" ht="24" customHeight="1">
      <c r="A3761" s="677" t="s">
        <v>13472</v>
      </c>
      <c r="B3761" s="678" t="s">
        <v>13538</v>
      </c>
      <c r="C3761" s="677" t="s">
        <v>7</v>
      </c>
      <c r="D3761" s="677" t="s">
        <v>47</v>
      </c>
      <c r="E3761" s="918" t="s">
        <v>13470</v>
      </c>
      <c r="F3761" s="918"/>
      <c r="G3761" s="676" t="s">
        <v>19</v>
      </c>
      <c r="H3761" s="675">
        <v>0.63300000000000001</v>
      </c>
      <c r="I3761" s="674">
        <v>14</v>
      </c>
      <c r="J3761" s="674">
        <v>8.86</v>
      </c>
    </row>
    <row r="3762" spans="1:10" ht="24" customHeight="1">
      <c r="A3762" s="677" t="s">
        <v>13472</v>
      </c>
      <c r="B3762" s="678" t="s">
        <v>13473</v>
      </c>
      <c r="C3762" s="677" t="s">
        <v>7</v>
      </c>
      <c r="D3762" s="677" t="s">
        <v>44</v>
      </c>
      <c r="E3762" s="918" t="s">
        <v>13470</v>
      </c>
      <c r="F3762" s="918"/>
      <c r="G3762" s="676" t="s">
        <v>19</v>
      </c>
      <c r="H3762" s="675">
        <v>2.202</v>
      </c>
      <c r="I3762" s="674">
        <v>17.66</v>
      </c>
      <c r="J3762" s="674">
        <v>38.880000000000003</v>
      </c>
    </row>
    <row r="3763" spans="1:10" ht="36" customHeight="1">
      <c r="A3763" s="672" t="s">
        <v>13467</v>
      </c>
      <c r="B3763" s="673" t="s">
        <v>14179</v>
      </c>
      <c r="C3763" s="672" t="s">
        <v>7</v>
      </c>
      <c r="D3763" s="672" t="s">
        <v>14178</v>
      </c>
      <c r="E3763" s="919" t="s">
        <v>13464</v>
      </c>
      <c r="F3763" s="919"/>
      <c r="G3763" s="671" t="s">
        <v>34</v>
      </c>
      <c r="H3763" s="670">
        <v>4</v>
      </c>
      <c r="I3763" s="669">
        <v>0.9</v>
      </c>
      <c r="J3763" s="669">
        <v>3.6</v>
      </c>
    </row>
    <row r="3764" spans="1:10" ht="24" customHeight="1">
      <c r="A3764" s="672" t="s">
        <v>13467</v>
      </c>
      <c r="B3764" s="673" t="s">
        <v>14177</v>
      </c>
      <c r="C3764" s="672" t="s">
        <v>7</v>
      </c>
      <c r="D3764" s="672" t="s">
        <v>14176</v>
      </c>
      <c r="E3764" s="919" t="s">
        <v>13464</v>
      </c>
      <c r="F3764" s="919"/>
      <c r="G3764" s="671" t="s">
        <v>34</v>
      </c>
      <c r="H3764" s="670">
        <v>4</v>
      </c>
      <c r="I3764" s="669">
        <v>0.2</v>
      </c>
      <c r="J3764" s="669">
        <v>0.8</v>
      </c>
    </row>
    <row r="3765" spans="1:10" ht="24" customHeight="1">
      <c r="A3765" s="672" t="s">
        <v>13467</v>
      </c>
      <c r="B3765" s="673" t="s">
        <v>14175</v>
      </c>
      <c r="C3765" s="672" t="s">
        <v>7</v>
      </c>
      <c r="D3765" s="672" t="s">
        <v>14174</v>
      </c>
      <c r="E3765" s="919" t="s">
        <v>13464</v>
      </c>
      <c r="F3765" s="919"/>
      <c r="G3765" s="671" t="s">
        <v>14</v>
      </c>
      <c r="H3765" s="670">
        <v>0.2</v>
      </c>
      <c r="I3765" s="669">
        <v>3.69</v>
      </c>
      <c r="J3765" s="669">
        <v>0.73</v>
      </c>
    </row>
    <row r="3766" spans="1:10" ht="25.5">
      <c r="A3766" s="668"/>
      <c r="B3766" s="668"/>
      <c r="C3766" s="668"/>
      <c r="D3766" s="668"/>
      <c r="E3766" s="668" t="s">
        <v>13463</v>
      </c>
      <c r="F3766" s="667">
        <v>37.694230142344885</v>
      </c>
      <c r="G3766" s="668" t="s">
        <v>13462</v>
      </c>
      <c r="H3766" s="667">
        <v>31.69</v>
      </c>
      <c r="I3766" s="668" t="s">
        <v>13461</v>
      </c>
      <c r="J3766" s="667">
        <v>69.38</v>
      </c>
    </row>
    <row r="3767" spans="1:10" ht="15" thickBot="1">
      <c r="A3767" s="668"/>
      <c r="B3767" s="668"/>
      <c r="C3767" s="668"/>
      <c r="D3767" s="668"/>
      <c r="E3767" s="668" t="s">
        <v>13460</v>
      </c>
      <c r="F3767" s="667">
        <v>26.58</v>
      </c>
      <c r="G3767" s="668"/>
      <c r="H3767" s="925" t="s">
        <v>13459</v>
      </c>
      <c r="I3767" s="925"/>
      <c r="J3767" s="667">
        <v>120.71</v>
      </c>
    </row>
    <row r="3768" spans="1:10" ht="0.95" customHeight="1" thickTop="1">
      <c r="A3768" s="666"/>
      <c r="B3768" s="666"/>
      <c r="C3768" s="666"/>
      <c r="D3768" s="666"/>
      <c r="E3768" s="666"/>
      <c r="F3768" s="666"/>
      <c r="G3768" s="666"/>
      <c r="H3768" s="666"/>
      <c r="I3768" s="666"/>
      <c r="J3768" s="666"/>
    </row>
    <row r="3769" spans="1:10" ht="18" customHeight="1">
      <c r="A3769" s="686" t="s">
        <v>14111</v>
      </c>
      <c r="B3769" s="684" t="s">
        <v>13484</v>
      </c>
      <c r="C3769" s="686" t="s">
        <v>13483</v>
      </c>
      <c r="D3769" s="686" t="s">
        <v>13482</v>
      </c>
      <c r="E3769" s="924" t="s">
        <v>13481</v>
      </c>
      <c r="F3769" s="924"/>
      <c r="G3769" s="685" t="s">
        <v>13480</v>
      </c>
      <c r="H3769" s="684" t="s">
        <v>13479</v>
      </c>
      <c r="I3769" s="684" t="s">
        <v>13478</v>
      </c>
      <c r="J3769" s="684" t="s">
        <v>13477</v>
      </c>
    </row>
    <row r="3770" spans="1:10" ht="72" customHeight="1">
      <c r="A3770" s="682" t="s">
        <v>13476</v>
      </c>
      <c r="B3770" s="683" t="s">
        <v>14173</v>
      </c>
      <c r="C3770" s="682" t="s">
        <v>7</v>
      </c>
      <c r="D3770" s="682" t="s">
        <v>6783</v>
      </c>
      <c r="E3770" s="917" t="s">
        <v>13516</v>
      </c>
      <c r="F3770" s="917"/>
      <c r="G3770" s="681" t="s">
        <v>13515</v>
      </c>
      <c r="H3770" s="680">
        <v>1</v>
      </c>
      <c r="I3770" s="679">
        <v>7.28</v>
      </c>
      <c r="J3770" s="679">
        <v>7.28</v>
      </c>
    </row>
    <row r="3771" spans="1:10" ht="36" customHeight="1">
      <c r="A3771" s="677" t="s">
        <v>13472</v>
      </c>
      <c r="B3771" s="678" t="s">
        <v>13863</v>
      </c>
      <c r="C3771" s="677" t="s">
        <v>7</v>
      </c>
      <c r="D3771" s="677" t="s">
        <v>695</v>
      </c>
      <c r="E3771" s="918" t="s">
        <v>13491</v>
      </c>
      <c r="F3771" s="918"/>
      <c r="G3771" s="676" t="s">
        <v>38</v>
      </c>
      <c r="H3771" s="675">
        <v>3.1199999999999999E-2</v>
      </c>
      <c r="I3771" s="674">
        <v>146.6</v>
      </c>
      <c r="J3771" s="674">
        <v>4.57</v>
      </c>
    </row>
    <row r="3772" spans="1:10" ht="36" customHeight="1">
      <c r="A3772" s="677" t="s">
        <v>13472</v>
      </c>
      <c r="B3772" s="678" t="s">
        <v>13864</v>
      </c>
      <c r="C3772" s="677" t="s">
        <v>7</v>
      </c>
      <c r="D3772" s="677" t="s">
        <v>696</v>
      </c>
      <c r="E3772" s="918" t="s">
        <v>13491</v>
      </c>
      <c r="F3772" s="918"/>
      <c r="G3772" s="676" t="s">
        <v>53</v>
      </c>
      <c r="H3772" s="675">
        <v>3.39E-2</v>
      </c>
      <c r="I3772" s="674">
        <v>53.26</v>
      </c>
      <c r="J3772" s="674">
        <v>1.8</v>
      </c>
    </row>
    <row r="3773" spans="1:10" ht="24" customHeight="1">
      <c r="A3773" s="677" t="s">
        <v>13472</v>
      </c>
      <c r="B3773" s="678" t="s">
        <v>13471</v>
      </c>
      <c r="C3773" s="677" t="s">
        <v>7</v>
      </c>
      <c r="D3773" s="677" t="s">
        <v>21</v>
      </c>
      <c r="E3773" s="918" t="s">
        <v>13470</v>
      </c>
      <c r="F3773" s="918"/>
      <c r="G3773" s="676" t="s">
        <v>19</v>
      </c>
      <c r="H3773" s="675">
        <v>6.5000000000000002E-2</v>
      </c>
      <c r="I3773" s="674">
        <v>14.02</v>
      </c>
      <c r="J3773" s="674">
        <v>0.91</v>
      </c>
    </row>
    <row r="3774" spans="1:10" ht="25.5">
      <c r="A3774" s="668"/>
      <c r="B3774" s="668"/>
      <c r="C3774" s="668"/>
      <c r="D3774" s="668"/>
      <c r="E3774" s="668" t="s">
        <v>13463</v>
      </c>
      <c r="F3774" s="667">
        <v>0.84211670107573622</v>
      </c>
      <c r="G3774" s="668" t="s">
        <v>13462</v>
      </c>
      <c r="H3774" s="667">
        <v>0.71</v>
      </c>
      <c r="I3774" s="668" t="s">
        <v>13461</v>
      </c>
      <c r="J3774" s="667">
        <v>1.55</v>
      </c>
    </row>
    <row r="3775" spans="1:10" ht="15" thickBot="1">
      <c r="A3775" s="668"/>
      <c r="B3775" s="668"/>
      <c r="C3775" s="668"/>
      <c r="D3775" s="668"/>
      <c r="E3775" s="668" t="s">
        <v>13460</v>
      </c>
      <c r="F3775" s="667">
        <v>2.0499999999999998</v>
      </c>
      <c r="G3775" s="668"/>
      <c r="H3775" s="925" t="s">
        <v>13459</v>
      </c>
      <c r="I3775" s="925"/>
      <c r="J3775" s="667">
        <v>9.33</v>
      </c>
    </row>
    <row r="3776" spans="1:10" ht="0.95" customHeight="1" thickTop="1">
      <c r="A3776" s="666"/>
      <c r="B3776" s="666"/>
      <c r="C3776" s="666"/>
      <c r="D3776" s="666"/>
      <c r="E3776" s="666"/>
      <c r="F3776" s="666"/>
      <c r="G3776" s="666"/>
      <c r="H3776" s="666"/>
      <c r="I3776" s="666"/>
      <c r="J3776" s="666"/>
    </row>
    <row r="3777" spans="1:10" ht="18" customHeight="1">
      <c r="A3777" s="686" t="s">
        <v>14111</v>
      </c>
      <c r="B3777" s="684" t="s">
        <v>13484</v>
      </c>
      <c r="C3777" s="686" t="s">
        <v>13483</v>
      </c>
      <c r="D3777" s="686" t="s">
        <v>13482</v>
      </c>
      <c r="E3777" s="924" t="s">
        <v>13481</v>
      </c>
      <c r="F3777" s="924"/>
      <c r="G3777" s="685" t="s">
        <v>13480</v>
      </c>
      <c r="H3777" s="684" t="s">
        <v>13479</v>
      </c>
      <c r="I3777" s="684" t="s">
        <v>13478</v>
      </c>
      <c r="J3777" s="684" t="s">
        <v>13477</v>
      </c>
    </row>
    <row r="3778" spans="1:10" ht="36" customHeight="1">
      <c r="A3778" s="682" t="s">
        <v>13476</v>
      </c>
      <c r="B3778" s="683" t="s">
        <v>14172</v>
      </c>
      <c r="C3778" s="682" t="s">
        <v>7</v>
      </c>
      <c r="D3778" s="682" t="s">
        <v>5324</v>
      </c>
      <c r="E3778" s="917" t="s">
        <v>13516</v>
      </c>
      <c r="F3778" s="917"/>
      <c r="G3778" s="681" t="s">
        <v>13515</v>
      </c>
      <c r="H3778" s="680">
        <v>1</v>
      </c>
      <c r="I3778" s="679">
        <v>117.8</v>
      </c>
      <c r="J3778" s="679">
        <v>117.8</v>
      </c>
    </row>
    <row r="3779" spans="1:10" ht="60" customHeight="1">
      <c r="A3779" s="677" t="s">
        <v>13472</v>
      </c>
      <c r="B3779" s="678" t="s">
        <v>13604</v>
      </c>
      <c r="C3779" s="677" t="s">
        <v>7</v>
      </c>
      <c r="D3779" s="677" t="s">
        <v>702</v>
      </c>
      <c r="E3779" s="918" t="s">
        <v>13491</v>
      </c>
      <c r="F3779" s="918"/>
      <c r="G3779" s="676" t="s">
        <v>38</v>
      </c>
      <c r="H3779" s="675">
        <v>6.1699999999999998E-2</v>
      </c>
      <c r="I3779" s="674">
        <v>101.95</v>
      </c>
      <c r="J3779" s="674">
        <v>6.29</v>
      </c>
    </row>
    <row r="3780" spans="1:10" ht="36" customHeight="1">
      <c r="A3780" s="677" t="s">
        <v>13472</v>
      </c>
      <c r="B3780" s="678" t="s">
        <v>13603</v>
      </c>
      <c r="C3780" s="677" t="s">
        <v>7</v>
      </c>
      <c r="D3780" s="677" t="s">
        <v>1912</v>
      </c>
      <c r="E3780" s="918" t="s">
        <v>13491</v>
      </c>
      <c r="F3780" s="918"/>
      <c r="G3780" s="676" t="s">
        <v>38</v>
      </c>
      <c r="H3780" s="675">
        <v>3.2500000000000001E-2</v>
      </c>
      <c r="I3780" s="674">
        <v>21.1</v>
      </c>
      <c r="J3780" s="674">
        <v>0.68</v>
      </c>
    </row>
    <row r="3781" spans="1:10" ht="60" customHeight="1">
      <c r="A3781" s="677" t="s">
        <v>13472</v>
      </c>
      <c r="B3781" s="678" t="s">
        <v>13602</v>
      </c>
      <c r="C3781" s="677" t="s">
        <v>7</v>
      </c>
      <c r="D3781" s="677" t="s">
        <v>703</v>
      </c>
      <c r="E3781" s="918" t="s">
        <v>13491</v>
      </c>
      <c r="F3781" s="918"/>
      <c r="G3781" s="676" t="s">
        <v>53</v>
      </c>
      <c r="H3781" s="675">
        <v>0.30830000000000002</v>
      </c>
      <c r="I3781" s="674">
        <v>36.340000000000003</v>
      </c>
      <c r="J3781" s="674">
        <v>11.2</v>
      </c>
    </row>
    <row r="3782" spans="1:10" ht="36" customHeight="1">
      <c r="A3782" s="677" t="s">
        <v>13472</v>
      </c>
      <c r="B3782" s="678" t="s">
        <v>13601</v>
      </c>
      <c r="C3782" s="677" t="s">
        <v>7</v>
      </c>
      <c r="D3782" s="677" t="s">
        <v>1913</v>
      </c>
      <c r="E3782" s="918" t="s">
        <v>13491</v>
      </c>
      <c r="F3782" s="918"/>
      <c r="G3782" s="676" t="s">
        <v>53</v>
      </c>
      <c r="H3782" s="675">
        <v>3.0200000000000001E-2</v>
      </c>
      <c r="I3782" s="674">
        <v>14.17</v>
      </c>
      <c r="J3782" s="674">
        <v>0.42</v>
      </c>
    </row>
    <row r="3783" spans="1:10" ht="24" customHeight="1">
      <c r="A3783" s="677" t="s">
        <v>13472</v>
      </c>
      <c r="B3783" s="678" t="s">
        <v>13471</v>
      </c>
      <c r="C3783" s="677" t="s">
        <v>7</v>
      </c>
      <c r="D3783" s="677" t="s">
        <v>21</v>
      </c>
      <c r="E3783" s="918" t="s">
        <v>13470</v>
      </c>
      <c r="F3783" s="918"/>
      <c r="G3783" s="676" t="s">
        <v>19</v>
      </c>
      <c r="H3783" s="675">
        <v>0.66600000000000004</v>
      </c>
      <c r="I3783" s="674">
        <v>14.02</v>
      </c>
      <c r="J3783" s="674">
        <v>9.33</v>
      </c>
    </row>
    <row r="3784" spans="1:10" ht="24" customHeight="1">
      <c r="A3784" s="677" t="s">
        <v>13472</v>
      </c>
      <c r="B3784" s="678" t="s">
        <v>13600</v>
      </c>
      <c r="C3784" s="677" t="s">
        <v>7</v>
      </c>
      <c r="D3784" s="677" t="s">
        <v>41</v>
      </c>
      <c r="E3784" s="918" t="s">
        <v>13470</v>
      </c>
      <c r="F3784" s="918"/>
      <c r="G3784" s="676" t="s">
        <v>19</v>
      </c>
      <c r="H3784" s="675">
        <v>0.44400000000000001</v>
      </c>
      <c r="I3784" s="674">
        <v>17.670000000000002</v>
      </c>
      <c r="J3784" s="674">
        <v>7.84</v>
      </c>
    </row>
    <row r="3785" spans="1:10" ht="24" customHeight="1">
      <c r="A3785" s="672" t="s">
        <v>13467</v>
      </c>
      <c r="B3785" s="673" t="s">
        <v>13608</v>
      </c>
      <c r="C3785" s="672" t="s">
        <v>7</v>
      </c>
      <c r="D3785" s="672" t="s">
        <v>13607</v>
      </c>
      <c r="E3785" s="919" t="s">
        <v>13464</v>
      </c>
      <c r="F3785" s="919"/>
      <c r="G3785" s="671" t="s">
        <v>13515</v>
      </c>
      <c r="H3785" s="670">
        <v>1.1000000000000001</v>
      </c>
      <c r="I3785" s="669">
        <v>74.59</v>
      </c>
      <c r="J3785" s="669">
        <v>82.04</v>
      </c>
    </row>
    <row r="3786" spans="1:10" ht="25.5">
      <c r="A3786" s="668"/>
      <c r="B3786" s="668"/>
      <c r="C3786" s="668"/>
      <c r="D3786" s="668"/>
      <c r="E3786" s="668" t="s">
        <v>13463</v>
      </c>
      <c r="F3786" s="667">
        <v>10.186895577529066</v>
      </c>
      <c r="G3786" s="668" t="s">
        <v>13462</v>
      </c>
      <c r="H3786" s="667">
        <v>8.56</v>
      </c>
      <c r="I3786" s="668" t="s">
        <v>13461</v>
      </c>
      <c r="J3786" s="667">
        <v>18.75</v>
      </c>
    </row>
    <row r="3787" spans="1:10" ht="15" thickBot="1">
      <c r="A3787" s="668"/>
      <c r="B3787" s="668"/>
      <c r="C3787" s="668"/>
      <c r="D3787" s="668"/>
      <c r="E3787" s="668" t="s">
        <v>13460</v>
      </c>
      <c r="F3787" s="667">
        <v>33.26</v>
      </c>
      <c r="G3787" s="668"/>
      <c r="H3787" s="925" t="s">
        <v>13459</v>
      </c>
      <c r="I3787" s="925"/>
      <c r="J3787" s="667">
        <v>151.06</v>
      </c>
    </row>
    <row r="3788" spans="1:10" ht="0.95" customHeight="1" thickTop="1">
      <c r="A3788" s="666"/>
      <c r="B3788" s="666"/>
      <c r="C3788" s="666"/>
      <c r="D3788" s="666"/>
      <c r="E3788" s="666"/>
      <c r="F3788" s="666"/>
      <c r="G3788" s="666"/>
      <c r="H3788" s="666"/>
      <c r="I3788" s="666"/>
      <c r="J3788" s="666"/>
    </row>
    <row r="3789" spans="1:10" ht="18" customHeight="1">
      <c r="A3789" s="686" t="s">
        <v>14111</v>
      </c>
      <c r="B3789" s="684" t="s">
        <v>13484</v>
      </c>
      <c r="C3789" s="686" t="s">
        <v>13483</v>
      </c>
      <c r="D3789" s="686" t="s">
        <v>13482</v>
      </c>
      <c r="E3789" s="924" t="s">
        <v>13481</v>
      </c>
      <c r="F3789" s="924"/>
      <c r="G3789" s="685" t="s">
        <v>13480</v>
      </c>
      <c r="H3789" s="684" t="s">
        <v>13479</v>
      </c>
      <c r="I3789" s="684" t="s">
        <v>13478</v>
      </c>
      <c r="J3789" s="684" t="s">
        <v>13477</v>
      </c>
    </row>
    <row r="3790" spans="1:10" ht="60" customHeight="1">
      <c r="A3790" s="682" t="s">
        <v>13476</v>
      </c>
      <c r="B3790" s="683" t="s">
        <v>14171</v>
      </c>
      <c r="C3790" s="682" t="s">
        <v>7</v>
      </c>
      <c r="D3790" s="682" t="s">
        <v>1284</v>
      </c>
      <c r="E3790" s="917" t="s">
        <v>14156</v>
      </c>
      <c r="F3790" s="917"/>
      <c r="G3790" s="681" t="s">
        <v>13610</v>
      </c>
      <c r="H3790" s="680">
        <v>1</v>
      </c>
      <c r="I3790" s="679">
        <v>88.4</v>
      </c>
      <c r="J3790" s="679">
        <v>88.4</v>
      </c>
    </row>
    <row r="3791" spans="1:10" ht="48" customHeight="1">
      <c r="A3791" s="677" t="s">
        <v>13472</v>
      </c>
      <c r="B3791" s="678" t="s">
        <v>14091</v>
      </c>
      <c r="C3791" s="677" t="s">
        <v>7</v>
      </c>
      <c r="D3791" s="677" t="s">
        <v>4314</v>
      </c>
      <c r="E3791" s="918" t="s">
        <v>13470</v>
      </c>
      <c r="F3791" s="918"/>
      <c r="G3791" s="676" t="s">
        <v>13515</v>
      </c>
      <c r="H3791" s="675">
        <v>0.02</v>
      </c>
      <c r="I3791" s="674">
        <v>418.86</v>
      </c>
      <c r="J3791" s="674">
        <v>8.3699999999999992</v>
      </c>
    </row>
    <row r="3792" spans="1:10" ht="24" customHeight="1">
      <c r="A3792" s="677" t="s">
        <v>13472</v>
      </c>
      <c r="B3792" s="678" t="s">
        <v>13471</v>
      </c>
      <c r="C3792" s="677" t="s">
        <v>7</v>
      </c>
      <c r="D3792" s="677" t="s">
        <v>21</v>
      </c>
      <c r="E3792" s="918" t="s">
        <v>13470</v>
      </c>
      <c r="F3792" s="918"/>
      <c r="G3792" s="676" t="s">
        <v>19</v>
      </c>
      <c r="H3792" s="675">
        <v>0.63</v>
      </c>
      <c r="I3792" s="674">
        <v>14.02</v>
      </c>
      <c r="J3792" s="674">
        <v>8.83</v>
      </c>
    </row>
    <row r="3793" spans="1:10" ht="24" customHeight="1">
      <c r="A3793" s="677" t="s">
        <v>13472</v>
      </c>
      <c r="B3793" s="678" t="s">
        <v>13600</v>
      </c>
      <c r="C3793" s="677" t="s">
        <v>7</v>
      </c>
      <c r="D3793" s="677" t="s">
        <v>41</v>
      </c>
      <c r="E3793" s="918" t="s">
        <v>13470</v>
      </c>
      <c r="F3793" s="918"/>
      <c r="G3793" s="676" t="s">
        <v>19</v>
      </c>
      <c r="H3793" s="675">
        <v>1.25</v>
      </c>
      <c r="I3793" s="674">
        <v>17.670000000000002</v>
      </c>
      <c r="J3793" s="674">
        <v>22.08</v>
      </c>
    </row>
    <row r="3794" spans="1:10" ht="24" customHeight="1">
      <c r="A3794" s="672" t="s">
        <v>13467</v>
      </c>
      <c r="B3794" s="673" t="s">
        <v>14170</v>
      </c>
      <c r="C3794" s="672" t="s">
        <v>7</v>
      </c>
      <c r="D3794" s="672" t="s">
        <v>14169</v>
      </c>
      <c r="E3794" s="919" t="s">
        <v>13464</v>
      </c>
      <c r="F3794" s="919"/>
      <c r="G3794" s="671" t="s">
        <v>34</v>
      </c>
      <c r="H3794" s="670">
        <v>13.76</v>
      </c>
      <c r="I3794" s="669">
        <v>2.58</v>
      </c>
      <c r="J3794" s="669">
        <v>35.5</v>
      </c>
    </row>
    <row r="3795" spans="1:10" ht="24" customHeight="1">
      <c r="A3795" s="672" t="s">
        <v>13467</v>
      </c>
      <c r="B3795" s="673" t="s">
        <v>14168</v>
      </c>
      <c r="C3795" s="672" t="s">
        <v>7</v>
      </c>
      <c r="D3795" s="672" t="s">
        <v>14167</v>
      </c>
      <c r="E3795" s="919" t="s">
        <v>13464</v>
      </c>
      <c r="F3795" s="919"/>
      <c r="G3795" s="671" t="s">
        <v>34</v>
      </c>
      <c r="H3795" s="670">
        <v>2.8</v>
      </c>
      <c r="I3795" s="669">
        <v>3.03</v>
      </c>
      <c r="J3795" s="669">
        <v>8.48</v>
      </c>
    </row>
    <row r="3796" spans="1:10" ht="24" customHeight="1">
      <c r="A3796" s="672" t="s">
        <v>13467</v>
      </c>
      <c r="B3796" s="673" t="s">
        <v>14166</v>
      </c>
      <c r="C3796" s="672" t="s">
        <v>7</v>
      </c>
      <c r="D3796" s="672" t="s">
        <v>14165</v>
      </c>
      <c r="E3796" s="919" t="s">
        <v>13464</v>
      </c>
      <c r="F3796" s="919"/>
      <c r="G3796" s="671" t="s">
        <v>34</v>
      </c>
      <c r="H3796" s="670">
        <v>1.4</v>
      </c>
      <c r="I3796" s="669">
        <v>1.7</v>
      </c>
      <c r="J3796" s="669">
        <v>2.38</v>
      </c>
    </row>
    <row r="3797" spans="1:10" ht="36" customHeight="1">
      <c r="A3797" s="672" t="s">
        <v>13467</v>
      </c>
      <c r="B3797" s="673" t="s">
        <v>14164</v>
      </c>
      <c r="C3797" s="672" t="s">
        <v>7</v>
      </c>
      <c r="D3797" s="672" t="s">
        <v>14163</v>
      </c>
      <c r="E3797" s="919" t="s">
        <v>13464</v>
      </c>
      <c r="F3797" s="919"/>
      <c r="G3797" s="671" t="s">
        <v>14</v>
      </c>
      <c r="H3797" s="670">
        <v>0.39500000000000002</v>
      </c>
      <c r="I3797" s="669">
        <v>7.01</v>
      </c>
      <c r="J3797" s="669">
        <v>2.76</v>
      </c>
    </row>
    <row r="3798" spans="1:10" ht="25.5">
      <c r="A3798" s="668"/>
      <c r="B3798" s="668"/>
      <c r="C3798" s="668"/>
      <c r="D3798" s="668"/>
      <c r="E3798" s="668" t="s">
        <v>13463</v>
      </c>
      <c r="F3798" s="667">
        <v>13.490166250135825</v>
      </c>
      <c r="G3798" s="668" t="s">
        <v>13462</v>
      </c>
      <c r="H3798" s="667">
        <v>11.34</v>
      </c>
      <c r="I3798" s="668" t="s">
        <v>13461</v>
      </c>
      <c r="J3798" s="667">
        <v>24.83</v>
      </c>
    </row>
    <row r="3799" spans="1:10" ht="15" thickBot="1">
      <c r="A3799" s="668"/>
      <c r="B3799" s="668"/>
      <c r="C3799" s="668"/>
      <c r="D3799" s="668"/>
      <c r="E3799" s="668" t="s">
        <v>13460</v>
      </c>
      <c r="F3799" s="667">
        <v>24.96</v>
      </c>
      <c r="G3799" s="668"/>
      <c r="H3799" s="925" t="s">
        <v>13459</v>
      </c>
      <c r="I3799" s="925"/>
      <c r="J3799" s="667">
        <v>113.36</v>
      </c>
    </row>
    <row r="3800" spans="1:10" ht="0.95" customHeight="1" thickTop="1">
      <c r="A3800" s="666"/>
      <c r="B3800" s="666"/>
      <c r="C3800" s="666"/>
      <c r="D3800" s="666"/>
      <c r="E3800" s="666"/>
      <c r="F3800" s="666"/>
      <c r="G3800" s="666"/>
      <c r="H3800" s="666"/>
      <c r="I3800" s="666"/>
      <c r="J3800" s="666"/>
    </row>
    <row r="3801" spans="1:10" ht="18" customHeight="1">
      <c r="A3801" s="686" t="s">
        <v>14111</v>
      </c>
      <c r="B3801" s="684" t="s">
        <v>13484</v>
      </c>
      <c r="C3801" s="686" t="s">
        <v>13483</v>
      </c>
      <c r="D3801" s="686" t="s">
        <v>13482</v>
      </c>
      <c r="E3801" s="924" t="s">
        <v>13481</v>
      </c>
      <c r="F3801" s="924"/>
      <c r="G3801" s="685" t="s">
        <v>13480</v>
      </c>
      <c r="H3801" s="684" t="s">
        <v>13479</v>
      </c>
      <c r="I3801" s="684" t="s">
        <v>13478</v>
      </c>
      <c r="J3801" s="684" t="s">
        <v>13477</v>
      </c>
    </row>
    <row r="3802" spans="1:10" ht="60" customHeight="1">
      <c r="A3802" s="682" t="s">
        <v>13476</v>
      </c>
      <c r="B3802" s="683" t="s">
        <v>14162</v>
      </c>
      <c r="C3802" s="682" t="s">
        <v>7</v>
      </c>
      <c r="D3802" s="682" t="s">
        <v>908</v>
      </c>
      <c r="E3802" s="917" t="s">
        <v>14156</v>
      </c>
      <c r="F3802" s="917"/>
      <c r="G3802" s="681" t="s">
        <v>13610</v>
      </c>
      <c r="H3802" s="680">
        <v>1</v>
      </c>
      <c r="I3802" s="679">
        <v>50.65</v>
      </c>
      <c r="J3802" s="679">
        <v>50.65</v>
      </c>
    </row>
    <row r="3803" spans="1:10" ht="48" customHeight="1">
      <c r="A3803" s="677" t="s">
        <v>13472</v>
      </c>
      <c r="B3803" s="678" t="s">
        <v>14089</v>
      </c>
      <c r="C3803" s="677" t="s">
        <v>7</v>
      </c>
      <c r="D3803" s="677" t="s">
        <v>4318</v>
      </c>
      <c r="E3803" s="918" t="s">
        <v>13470</v>
      </c>
      <c r="F3803" s="918"/>
      <c r="G3803" s="676" t="s">
        <v>13515</v>
      </c>
      <c r="H3803" s="675">
        <v>8.8000000000000005E-3</v>
      </c>
      <c r="I3803" s="674">
        <v>411.36</v>
      </c>
      <c r="J3803" s="674">
        <v>3.61</v>
      </c>
    </row>
    <row r="3804" spans="1:10" ht="24" customHeight="1">
      <c r="A3804" s="677" t="s">
        <v>13472</v>
      </c>
      <c r="B3804" s="678" t="s">
        <v>13600</v>
      </c>
      <c r="C3804" s="677" t="s">
        <v>7</v>
      </c>
      <c r="D3804" s="677" t="s">
        <v>41</v>
      </c>
      <c r="E3804" s="918" t="s">
        <v>13470</v>
      </c>
      <c r="F3804" s="918"/>
      <c r="G3804" s="676" t="s">
        <v>19</v>
      </c>
      <c r="H3804" s="675">
        <v>0.62</v>
      </c>
      <c r="I3804" s="674">
        <v>17.670000000000002</v>
      </c>
      <c r="J3804" s="674">
        <v>10.95</v>
      </c>
    </row>
    <row r="3805" spans="1:10" ht="24" customHeight="1">
      <c r="A3805" s="677" t="s">
        <v>13472</v>
      </c>
      <c r="B3805" s="678" t="s">
        <v>13471</v>
      </c>
      <c r="C3805" s="677" t="s">
        <v>7</v>
      </c>
      <c r="D3805" s="677" t="s">
        <v>21</v>
      </c>
      <c r="E3805" s="918" t="s">
        <v>13470</v>
      </c>
      <c r="F3805" s="918"/>
      <c r="G3805" s="676" t="s">
        <v>19</v>
      </c>
      <c r="H3805" s="675">
        <v>0.31</v>
      </c>
      <c r="I3805" s="674">
        <v>14.02</v>
      </c>
      <c r="J3805" s="674">
        <v>4.34</v>
      </c>
    </row>
    <row r="3806" spans="1:10" ht="24" customHeight="1">
      <c r="A3806" s="672" t="s">
        <v>13467</v>
      </c>
      <c r="B3806" s="673" t="s">
        <v>14161</v>
      </c>
      <c r="C3806" s="672" t="s">
        <v>7</v>
      </c>
      <c r="D3806" s="672" t="s">
        <v>14160</v>
      </c>
      <c r="E3806" s="919" t="s">
        <v>13464</v>
      </c>
      <c r="F3806" s="919"/>
      <c r="G3806" s="671" t="s">
        <v>34</v>
      </c>
      <c r="H3806" s="670">
        <v>13.5</v>
      </c>
      <c r="I3806" s="669">
        <v>2.2000000000000002</v>
      </c>
      <c r="J3806" s="669">
        <v>29.7</v>
      </c>
    </row>
    <row r="3807" spans="1:10" ht="24" customHeight="1">
      <c r="A3807" s="672" t="s">
        <v>13467</v>
      </c>
      <c r="B3807" s="673" t="s">
        <v>14153</v>
      </c>
      <c r="C3807" s="672" t="s">
        <v>7</v>
      </c>
      <c r="D3807" s="672" t="s">
        <v>14152</v>
      </c>
      <c r="E3807" s="919" t="s">
        <v>13464</v>
      </c>
      <c r="F3807" s="919"/>
      <c r="G3807" s="671" t="s">
        <v>14151</v>
      </c>
      <c r="H3807" s="670">
        <v>5.0000000000000001E-3</v>
      </c>
      <c r="I3807" s="669">
        <v>38.56</v>
      </c>
      <c r="J3807" s="669">
        <v>0.19</v>
      </c>
    </row>
    <row r="3808" spans="1:10" ht="36" customHeight="1">
      <c r="A3808" s="672" t="s">
        <v>13467</v>
      </c>
      <c r="B3808" s="673" t="s">
        <v>14159</v>
      </c>
      <c r="C3808" s="672" t="s">
        <v>7</v>
      </c>
      <c r="D3808" s="672" t="s">
        <v>14158</v>
      </c>
      <c r="E3808" s="919" t="s">
        <v>13464</v>
      </c>
      <c r="F3808" s="919"/>
      <c r="G3808" s="671" t="s">
        <v>14</v>
      </c>
      <c r="H3808" s="670">
        <v>0.42</v>
      </c>
      <c r="I3808" s="669">
        <v>4.4400000000000004</v>
      </c>
      <c r="J3808" s="669">
        <v>1.86</v>
      </c>
    </row>
    <row r="3809" spans="1:10" ht="25.5">
      <c r="A3809" s="668"/>
      <c r="B3809" s="668"/>
      <c r="C3809" s="668"/>
      <c r="D3809" s="668"/>
      <c r="E3809" s="668" t="s">
        <v>13463</v>
      </c>
      <c r="F3809" s="667">
        <v>6.6065413452135173</v>
      </c>
      <c r="G3809" s="668" t="s">
        <v>13462</v>
      </c>
      <c r="H3809" s="667">
        <v>5.55</v>
      </c>
      <c r="I3809" s="668" t="s">
        <v>13461</v>
      </c>
      <c r="J3809" s="667">
        <v>12.16</v>
      </c>
    </row>
    <row r="3810" spans="1:10" ht="15" thickBot="1">
      <c r="A3810" s="668"/>
      <c r="B3810" s="668"/>
      <c r="C3810" s="668"/>
      <c r="D3810" s="668"/>
      <c r="E3810" s="668" t="s">
        <v>13460</v>
      </c>
      <c r="F3810" s="667">
        <v>14.3</v>
      </c>
      <c r="G3810" s="668"/>
      <c r="H3810" s="925" t="s">
        <v>13459</v>
      </c>
      <c r="I3810" s="925"/>
      <c r="J3810" s="667">
        <v>64.95</v>
      </c>
    </row>
    <row r="3811" spans="1:10" ht="0.95" customHeight="1" thickTop="1">
      <c r="A3811" s="666"/>
      <c r="B3811" s="666"/>
      <c r="C3811" s="666"/>
      <c r="D3811" s="666"/>
      <c r="E3811" s="666"/>
      <c r="F3811" s="666"/>
      <c r="G3811" s="666"/>
      <c r="H3811" s="666"/>
      <c r="I3811" s="666"/>
      <c r="J3811" s="666"/>
    </row>
    <row r="3812" spans="1:10" ht="18" customHeight="1">
      <c r="A3812" s="686" t="s">
        <v>14111</v>
      </c>
      <c r="B3812" s="684" t="s">
        <v>13484</v>
      </c>
      <c r="C3812" s="686" t="s">
        <v>13483</v>
      </c>
      <c r="D3812" s="686" t="s">
        <v>13482</v>
      </c>
      <c r="E3812" s="924" t="s">
        <v>13481</v>
      </c>
      <c r="F3812" s="924"/>
      <c r="G3812" s="685" t="s">
        <v>13480</v>
      </c>
      <c r="H3812" s="684" t="s">
        <v>13479</v>
      </c>
      <c r="I3812" s="684" t="s">
        <v>13478</v>
      </c>
      <c r="J3812" s="684" t="s">
        <v>13477</v>
      </c>
    </row>
    <row r="3813" spans="1:10" ht="60" customHeight="1">
      <c r="A3813" s="682" t="s">
        <v>13476</v>
      </c>
      <c r="B3813" s="683" t="s">
        <v>14157</v>
      </c>
      <c r="C3813" s="682" t="s">
        <v>7</v>
      </c>
      <c r="D3813" s="682" t="s">
        <v>951</v>
      </c>
      <c r="E3813" s="917" t="s">
        <v>14156</v>
      </c>
      <c r="F3813" s="917"/>
      <c r="G3813" s="681" t="s">
        <v>13610</v>
      </c>
      <c r="H3813" s="680">
        <v>1</v>
      </c>
      <c r="I3813" s="679">
        <v>79.72</v>
      </c>
      <c r="J3813" s="679">
        <v>79.72</v>
      </c>
    </row>
    <row r="3814" spans="1:10" ht="48" customHeight="1">
      <c r="A3814" s="677" t="s">
        <v>13472</v>
      </c>
      <c r="B3814" s="678" t="s">
        <v>14089</v>
      </c>
      <c r="C3814" s="677" t="s">
        <v>7</v>
      </c>
      <c r="D3814" s="677" t="s">
        <v>4318</v>
      </c>
      <c r="E3814" s="918" t="s">
        <v>13470</v>
      </c>
      <c r="F3814" s="918"/>
      <c r="G3814" s="676" t="s">
        <v>13515</v>
      </c>
      <c r="H3814" s="675">
        <v>1.2500000000000001E-2</v>
      </c>
      <c r="I3814" s="674">
        <v>411.36</v>
      </c>
      <c r="J3814" s="674">
        <v>5.14</v>
      </c>
    </row>
    <row r="3815" spans="1:10" ht="24" customHeight="1">
      <c r="A3815" s="677" t="s">
        <v>13472</v>
      </c>
      <c r="B3815" s="678" t="s">
        <v>13600</v>
      </c>
      <c r="C3815" s="677" t="s">
        <v>7</v>
      </c>
      <c r="D3815" s="677" t="s">
        <v>41</v>
      </c>
      <c r="E3815" s="918" t="s">
        <v>13470</v>
      </c>
      <c r="F3815" s="918"/>
      <c r="G3815" s="676" t="s">
        <v>19</v>
      </c>
      <c r="H3815" s="675">
        <v>1.42</v>
      </c>
      <c r="I3815" s="674">
        <v>17.670000000000002</v>
      </c>
      <c r="J3815" s="674">
        <v>25.09</v>
      </c>
    </row>
    <row r="3816" spans="1:10" ht="24" customHeight="1">
      <c r="A3816" s="677" t="s">
        <v>13472</v>
      </c>
      <c r="B3816" s="678" t="s">
        <v>13471</v>
      </c>
      <c r="C3816" s="677" t="s">
        <v>7</v>
      </c>
      <c r="D3816" s="677" t="s">
        <v>21</v>
      </c>
      <c r="E3816" s="918" t="s">
        <v>13470</v>
      </c>
      <c r="F3816" s="918"/>
      <c r="G3816" s="676" t="s">
        <v>19</v>
      </c>
      <c r="H3816" s="675">
        <v>0.71</v>
      </c>
      <c r="I3816" s="674">
        <v>14.02</v>
      </c>
      <c r="J3816" s="674">
        <v>9.9499999999999993</v>
      </c>
    </row>
    <row r="3817" spans="1:10" ht="24" customHeight="1">
      <c r="A3817" s="672" t="s">
        <v>13467</v>
      </c>
      <c r="B3817" s="673" t="s">
        <v>14155</v>
      </c>
      <c r="C3817" s="672" t="s">
        <v>7</v>
      </c>
      <c r="D3817" s="672" t="s">
        <v>14154</v>
      </c>
      <c r="E3817" s="919" t="s">
        <v>13464</v>
      </c>
      <c r="F3817" s="919"/>
      <c r="G3817" s="671" t="s">
        <v>34</v>
      </c>
      <c r="H3817" s="670">
        <v>27.93</v>
      </c>
      <c r="I3817" s="669">
        <v>1.23</v>
      </c>
      <c r="J3817" s="669">
        <v>34.35</v>
      </c>
    </row>
    <row r="3818" spans="1:10" ht="24" customHeight="1">
      <c r="A3818" s="672" t="s">
        <v>13467</v>
      </c>
      <c r="B3818" s="673" t="s">
        <v>14153</v>
      </c>
      <c r="C3818" s="672" t="s">
        <v>7</v>
      </c>
      <c r="D3818" s="672" t="s">
        <v>14152</v>
      </c>
      <c r="E3818" s="919" t="s">
        <v>13464</v>
      </c>
      <c r="F3818" s="919"/>
      <c r="G3818" s="671" t="s">
        <v>14151</v>
      </c>
      <c r="H3818" s="670">
        <v>1.89E-2</v>
      </c>
      <c r="I3818" s="669">
        <v>38.56</v>
      </c>
      <c r="J3818" s="669">
        <v>0.72</v>
      </c>
    </row>
    <row r="3819" spans="1:10" ht="36" customHeight="1">
      <c r="A3819" s="672" t="s">
        <v>13467</v>
      </c>
      <c r="B3819" s="673" t="s">
        <v>14150</v>
      </c>
      <c r="C3819" s="672" t="s">
        <v>7</v>
      </c>
      <c r="D3819" s="672" t="s">
        <v>14149</v>
      </c>
      <c r="E3819" s="919" t="s">
        <v>13464</v>
      </c>
      <c r="F3819" s="919"/>
      <c r="G3819" s="671" t="s">
        <v>14</v>
      </c>
      <c r="H3819" s="670">
        <v>0.78500000000000003</v>
      </c>
      <c r="I3819" s="669">
        <v>5.7</v>
      </c>
      <c r="J3819" s="669">
        <v>4.47</v>
      </c>
    </row>
    <row r="3820" spans="1:10" ht="25.5">
      <c r="A3820" s="668"/>
      <c r="B3820" s="668"/>
      <c r="C3820" s="668"/>
      <c r="D3820" s="668"/>
      <c r="E3820" s="668" t="s">
        <v>13463</v>
      </c>
      <c r="F3820" s="667">
        <v>14.967945235249376</v>
      </c>
      <c r="G3820" s="668" t="s">
        <v>13462</v>
      </c>
      <c r="H3820" s="667">
        <v>12.58</v>
      </c>
      <c r="I3820" s="668" t="s">
        <v>13461</v>
      </c>
      <c r="J3820" s="667">
        <v>27.55</v>
      </c>
    </row>
    <row r="3821" spans="1:10" ht="15" thickBot="1">
      <c r="A3821" s="668"/>
      <c r="B3821" s="668"/>
      <c r="C3821" s="668"/>
      <c r="D3821" s="668"/>
      <c r="E3821" s="668" t="s">
        <v>13460</v>
      </c>
      <c r="F3821" s="667">
        <v>22.51</v>
      </c>
      <c r="G3821" s="668"/>
      <c r="H3821" s="925" t="s">
        <v>13459</v>
      </c>
      <c r="I3821" s="925"/>
      <c r="J3821" s="667">
        <v>102.23</v>
      </c>
    </row>
    <row r="3822" spans="1:10" ht="0.95" customHeight="1" thickTop="1">
      <c r="A3822" s="666"/>
      <c r="B3822" s="666"/>
      <c r="C3822" s="666"/>
      <c r="D3822" s="666"/>
      <c r="E3822" s="666"/>
      <c r="F3822" s="666"/>
      <c r="G3822" s="666"/>
      <c r="H3822" s="666"/>
      <c r="I3822" s="666"/>
      <c r="J3822" s="666"/>
    </row>
    <row r="3823" spans="1:10" ht="18" customHeight="1">
      <c r="A3823" s="686" t="s">
        <v>14111</v>
      </c>
      <c r="B3823" s="684" t="s">
        <v>13484</v>
      </c>
      <c r="C3823" s="686" t="s">
        <v>13483</v>
      </c>
      <c r="D3823" s="686" t="s">
        <v>13482</v>
      </c>
      <c r="E3823" s="924" t="s">
        <v>13481</v>
      </c>
      <c r="F3823" s="924"/>
      <c r="G3823" s="685" t="s">
        <v>13480</v>
      </c>
      <c r="H3823" s="684" t="s">
        <v>13479</v>
      </c>
      <c r="I3823" s="684" t="s">
        <v>13478</v>
      </c>
      <c r="J3823" s="684" t="s">
        <v>13477</v>
      </c>
    </row>
    <row r="3824" spans="1:10" ht="24" customHeight="1">
      <c r="A3824" s="682" t="s">
        <v>13476</v>
      </c>
      <c r="B3824" s="683" t="s">
        <v>14148</v>
      </c>
      <c r="C3824" s="682" t="s">
        <v>7</v>
      </c>
      <c r="D3824" s="682" t="s">
        <v>32</v>
      </c>
      <c r="E3824" s="917" t="s">
        <v>14130</v>
      </c>
      <c r="F3824" s="917"/>
      <c r="G3824" s="681" t="s">
        <v>13610</v>
      </c>
      <c r="H3824" s="680">
        <v>1</v>
      </c>
      <c r="I3824" s="679">
        <v>11.44</v>
      </c>
      <c r="J3824" s="679">
        <v>11.44</v>
      </c>
    </row>
    <row r="3825" spans="1:10" ht="24" customHeight="1">
      <c r="A3825" s="677" t="s">
        <v>13472</v>
      </c>
      <c r="B3825" s="678" t="s">
        <v>14140</v>
      </c>
      <c r="C3825" s="677" t="s">
        <v>7</v>
      </c>
      <c r="D3825" s="677" t="s">
        <v>169</v>
      </c>
      <c r="E3825" s="918" t="s">
        <v>13470</v>
      </c>
      <c r="F3825" s="918"/>
      <c r="G3825" s="676" t="s">
        <v>19</v>
      </c>
      <c r="H3825" s="675">
        <v>0.187</v>
      </c>
      <c r="I3825" s="674">
        <v>18.68</v>
      </c>
      <c r="J3825" s="674">
        <v>3.49</v>
      </c>
    </row>
    <row r="3826" spans="1:10" ht="24" customHeight="1">
      <c r="A3826" s="677" t="s">
        <v>13472</v>
      </c>
      <c r="B3826" s="678" t="s">
        <v>13471</v>
      </c>
      <c r="C3826" s="677" t="s">
        <v>7</v>
      </c>
      <c r="D3826" s="677" t="s">
        <v>21</v>
      </c>
      <c r="E3826" s="918" t="s">
        <v>13470</v>
      </c>
      <c r="F3826" s="918"/>
      <c r="G3826" s="676" t="s">
        <v>19</v>
      </c>
      <c r="H3826" s="675">
        <v>6.9000000000000006E-2</v>
      </c>
      <c r="I3826" s="674">
        <v>14.02</v>
      </c>
      <c r="J3826" s="674">
        <v>0.96</v>
      </c>
    </row>
    <row r="3827" spans="1:10" ht="24" customHeight="1">
      <c r="A3827" s="672" t="s">
        <v>13467</v>
      </c>
      <c r="B3827" s="673" t="s">
        <v>14147</v>
      </c>
      <c r="C3827" s="672" t="s">
        <v>7</v>
      </c>
      <c r="D3827" s="672" t="s">
        <v>14146</v>
      </c>
      <c r="E3827" s="919" t="s">
        <v>13464</v>
      </c>
      <c r="F3827" s="919"/>
      <c r="G3827" s="671" t="s">
        <v>50</v>
      </c>
      <c r="H3827" s="670">
        <v>0.33</v>
      </c>
      <c r="I3827" s="669">
        <v>21.21</v>
      </c>
      <c r="J3827" s="669">
        <v>6.99</v>
      </c>
    </row>
    <row r="3828" spans="1:10" ht="25.5">
      <c r="A3828" s="668"/>
      <c r="B3828" s="668"/>
      <c r="C3828" s="668"/>
      <c r="D3828" s="668"/>
      <c r="E3828" s="668" t="s">
        <v>13463</v>
      </c>
      <c r="F3828" s="667">
        <v>1.7874606106704336</v>
      </c>
      <c r="G3828" s="668" t="s">
        <v>13462</v>
      </c>
      <c r="H3828" s="667">
        <v>1.5</v>
      </c>
      <c r="I3828" s="668" t="s">
        <v>13461</v>
      </c>
      <c r="J3828" s="667">
        <v>3.29</v>
      </c>
    </row>
    <row r="3829" spans="1:10" ht="15" thickBot="1">
      <c r="A3829" s="668"/>
      <c r="B3829" s="668"/>
      <c r="C3829" s="668"/>
      <c r="D3829" s="668"/>
      <c r="E3829" s="668" t="s">
        <v>13460</v>
      </c>
      <c r="F3829" s="667">
        <v>3.23</v>
      </c>
      <c r="G3829" s="668"/>
      <c r="H3829" s="925" t="s">
        <v>13459</v>
      </c>
      <c r="I3829" s="925"/>
      <c r="J3829" s="667">
        <v>14.67</v>
      </c>
    </row>
    <row r="3830" spans="1:10" ht="0.95" customHeight="1" thickTop="1">
      <c r="A3830" s="666"/>
      <c r="B3830" s="666"/>
      <c r="C3830" s="666"/>
      <c r="D3830" s="666"/>
      <c r="E3830" s="666"/>
      <c r="F3830" s="666"/>
      <c r="G3830" s="666"/>
      <c r="H3830" s="666"/>
      <c r="I3830" s="666"/>
      <c r="J3830" s="666"/>
    </row>
    <row r="3831" spans="1:10" ht="18" customHeight="1">
      <c r="A3831" s="686" t="s">
        <v>14111</v>
      </c>
      <c r="B3831" s="684" t="s">
        <v>13484</v>
      </c>
      <c r="C3831" s="686" t="s">
        <v>13483</v>
      </c>
      <c r="D3831" s="686" t="s">
        <v>13482</v>
      </c>
      <c r="E3831" s="924" t="s">
        <v>13481</v>
      </c>
      <c r="F3831" s="924"/>
      <c r="G3831" s="685" t="s">
        <v>13480</v>
      </c>
      <c r="H3831" s="684" t="s">
        <v>13479</v>
      </c>
      <c r="I3831" s="684" t="s">
        <v>13478</v>
      </c>
      <c r="J3831" s="684" t="s">
        <v>13477</v>
      </c>
    </row>
    <row r="3832" spans="1:10" ht="36" customHeight="1">
      <c r="A3832" s="682" t="s">
        <v>13476</v>
      </c>
      <c r="B3832" s="683" t="s">
        <v>14145</v>
      </c>
      <c r="C3832" s="682" t="s">
        <v>7</v>
      </c>
      <c r="D3832" s="682" t="s">
        <v>7098</v>
      </c>
      <c r="E3832" s="917" t="s">
        <v>14130</v>
      </c>
      <c r="F3832" s="917"/>
      <c r="G3832" s="681" t="s">
        <v>13610</v>
      </c>
      <c r="H3832" s="680">
        <v>1</v>
      </c>
      <c r="I3832" s="679">
        <v>12.32</v>
      </c>
      <c r="J3832" s="679">
        <v>12.32</v>
      </c>
    </row>
    <row r="3833" spans="1:10" ht="24" customHeight="1">
      <c r="A3833" s="677" t="s">
        <v>13472</v>
      </c>
      <c r="B3833" s="678" t="s">
        <v>13637</v>
      </c>
      <c r="C3833" s="677" t="s">
        <v>7</v>
      </c>
      <c r="D3833" s="677" t="s">
        <v>171</v>
      </c>
      <c r="E3833" s="918" t="s">
        <v>13470</v>
      </c>
      <c r="F3833" s="918"/>
      <c r="G3833" s="676" t="s">
        <v>19</v>
      </c>
      <c r="H3833" s="675">
        <v>6.3500000000000001E-2</v>
      </c>
      <c r="I3833" s="674">
        <v>19.72</v>
      </c>
      <c r="J3833" s="674">
        <v>1.25</v>
      </c>
    </row>
    <row r="3834" spans="1:10" ht="24" customHeight="1">
      <c r="A3834" s="672" t="s">
        <v>13467</v>
      </c>
      <c r="B3834" s="673" t="s">
        <v>14129</v>
      </c>
      <c r="C3834" s="672" t="s">
        <v>7</v>
      </c>
      <c r="D3834" s="672" t="s">
        <v>14128</v>
      </c>
      <c r="E3834" s="919" t="s">
        <v>13464</v>
      </c>
      <c r="F3834" s="919"/>
      <c r="G3834" s="671" t="s">
        <v>50</v>
      </c>
      <c r="H3834" s="670">
        <v>2.9600000000000001E-2</v>
      </c>
      <c r="I3834" s="669">
        <v>37.97</v>
      </c>
      <c r="J3834" s="669">
        <v>1.1200000000000001</v>
      </c>
    </row>
    <row r="3835" spans="1:10" ht="24" customHeight="1">
      <c r="A3835" s="672" t="s">
        <v>13467</v>
      </c>
      <c r="B3835" s="673" t="s">
        <v>14144</v>
      </c>
      <c r="C3835" s="672" t="s">
        <v>7</v>
      </c>
      <c r="D3835" s="672" t="s">
        <v>14143</v>
      </c>
      <c r="E3835" s="919" t="s">
        <v>13464</v>
      </c>
      <c r="F3835" s="919"/>
      <c r="G3835" s="671" t="s">
        <v>14142</v>
      </c>
      <c r="H3835" s="670">
        <v>5.4800000000000001E-2</v>
      </c>
      <c r="I3835" s="669">
        <v>181.64</v>
      </c>
      <c r="J3835" s="669">
        <v>9.9499999999999993</v>
      </c>
    </row>
    <row r="3836" spans="1:10" ht="25.5">
      <c r="A3836" s="668"/>
      <c r="B3836" s="668"/>
      <c r="C3836" s="668"/>
      <c r="D3836" s="668"/>
      <c r="E3836" s="668" t="s">
        <v>13463</v>
      </c>
      <c r="F3836" s="667">
        <v>0.51070303162012387</v>
      </c>
      <c r="G3836" s="668" t="s">
        <v>13462</v>
      </c>
      <c r="H3836" s="667">
        <v>0.43</v>
      </c>
      <c r="I3836" s="668" t="s">
        <v>13461</v>
      </c>
      <c r="J3836" s="667">
        <v>0.94</v>
      </c>
    </row>
    <row r="3837" spans="1:10" ht="15" thickBot="1">
      <c r="A3837" s="668"/>
      <c r="B3837" s="668"/>
      <c r="C3837" s="668"/>
      <c r="D3837" s="668"/>
      <c r="E3837" s="668" t="s">
        <v>13460</v>
      </c>
      <c r="F3837" s="667">
        <v>3.47</v>
      </c>
      <c r="G3837" s="668"/>
      <c r="H3837" s="925" t="s">
        <v>13459</v>
      </c>
      <c r="I3837" s="925"/>
      <c r="J3837" s="667">
        <v>15.79</v>
      </c>
    </row>
    <row r="3838" spans="1:10" ht="0.95" customHeight="1" thickTop="1">
      <c r="A3838" s="666"/>
      <c r="B3838" s="666"/>
      <c r="C3838" s="666"/>
      <c r="D3838" s="666"/>
      <c r="E3838" s="666"/>
      <c r="F3838" s="666"/>
      <c r="G3838" s="666"/>
      <c r="H3838" s="666"/>
      <c r="I3838" s="666"/>
      <c r="J3838" s="666"/>
    </row>
    <row r="3839" spans="1:10" ht="18" customHeight="1">
      <c r="A3839" s="686" t="s">
        <v>14111</v>
      </c>
      <c r="B3839" s="684" t="s">
        <v>13484</v>
      </c>
      <c r="C3839" s="686" t="s">
        <v>13483</v>
      </c>
      <c r="D3839" s="686" t="s">
        <v>13482</v>
      </c>
      <c r="E3839" s="924" t="s">
        <v>13481</v>
      </c>
      <c r="F3839" s="924"/>
      <c r="G3839" s="685" t="s">
        <v>13480</v>
      </c>
      <c r="H3839" s="684" t="s">
        <v>13479</v>
      </c>
      <c r="I3839" s="684" t="s">
        <v>13478</v>
      </c>
      <c r="J3839" s="684" t="s">
        <v>13477</v>
      </c>
    </row>
    <row r="3840" spans="1:10" ht="48" customHeight="1">
      <c r="A3840" s="682" t="s">
        <v>13476</v>
      </c>
      <c r="B3840" s="683" t="s">
        <v>14141</v>
      </c>
      <c r="C3840" s="682" t="s">
        <v>7</v>
      </c>
      <c r="D3840" s="682" t="s">
        <v>7104</v>
      </c>
      <c r="E3840" s="917" t="s">
        <v>14130</v>
      </c>
      <c r="F3840" s="917"/>
      <c r="G3840" s="681" t="s">
        <v>13610</v>
      </c>
      <c r="H3840" s="680">
        <v>1</v>
      </c>
      <c r="I3840" s="679">
        <v>6.78</v>
      </c>
      <c r="J3840" s="679">
        <v>6.78</v>
      </c>
    </row>
    <row r="3841" spans="1:10" ht="24" customHeight="1">
      <c r="A3841" s="677" t="s">
        <v>13472</v>
      </c>
      <c r="B3841" s="678" t="s">
        <v>14140</v>
      </c>
      <c r="C3841" s="677" t="s">
        <v>7</v>
      </c>
      <c r="D3841" s="677" t="s">
        <v>169</v>
      </c>
      <c r="E3841" s="918" t="s">
        <v>13470</v>
      </c>
      <c r="F3841" s="918"/>
      <c r="G3841" s="676" t="s">
        <v>19</v>
      </c>
      <c r="H3841" s="675">
        <v>6.3500000000000001E-2</v>
      </c>
      <c r="I3841" s="674">
        <v>18.68</v>
      </c>
      <c r="J3841" s="674">
        <v>1.18</v>
      </c>
    </row>
    <row r="3842" spans="1:10" ht="24" customHeight="1">
      <c r="A3842" s="672" t="s">
        <v>13467</v>
      </c>
      <c r="B3842" s="673" t="s">
        <v>14139</v>
      </c>
      <c r="C3842" s="672" t="s">
        <v>7</v>
      </c>
      <c r="D3842" s="672" t="s">
        <v>14138</v>
      </c>
      <c r="E3842" s="919" t="s">
        <v>13464</v>
      </c>
      <c r="F3842" s="919"/>
      <c r="G3842" s="671" t="s">
        <v>50</v>
      </c>
      <c r="H3842" s="670">
        <v>5.8400000000000001E-2</v>
      </c>
      <c r="I3842" s="669">
        <v>12.84</v>
      </c>
      <c r="J3842" s="669">
        <v>0.74</v>
      </c>
    </row>
    <row r="3843" spans="1:10" ht="24" customHeight="1">
      <c r="A3843" s="672" t="s">
        <v>13467</v>
      </c>
      <c r="B3843" s="673" t="s">
        <v>14137</v>
      </c>
      <c r="C3843" s="672" t="s">
        <v>7</v>
      </c>
      <c r="D3843" s="672" t="s">
        <v>14136</v>
      </c>
      <c r="E3843" s="919" t="s">
        <v>13464</v>
      </c>
      <c r="F3843" s="919"/>
      <c r="G3843" s="671" t="s">
        <v>50</v>
      </c>
      <c r="H3843" s="670">
        <v>0.19450000000000001</v>
      </c>
      <c r="I3843" s="669">
        <v>25</v>
      </c>
      <c r="J3843" s="669">
        <v>4.8600000000000003</v>
      </c>
    </row>
    <row r="3844" spans="1:10" ht="25.5">
      <c r="A3844" s="668"/>
      <c r="B3844" s="668"/>
      <c r="C3844" s="668"/>
      <c r="D3844" s="668"/>
      <c r="E3844" s="668" t="s">
        <v>13463</v>
      </c>
      <c r="F3844" s="667">
        <v>0.47267195479734869</v>
      </c>
      <c r="G3844" s="668" t="s">
        <v>13462</v>
      </c>
      <c r="H3844" s="667">
        <v>0.4</v>
      </c>
      <c r="I3844" s="668" t="s">
        <v>13461</v>
      </c>
      <c r="J3844" s="667">
        <v>0.87</v>
      </c>
    </row>
    <row r="3845" spans="1:10" ht="15" thickBot="1">
      <c r="A3845" s="668"/>
      <c r="B3845" s="668"/>
      <c r="C3845" s="668"/>
      <c r="D3845" s="668"/>
      <c r="E3845" s="668" t="s">
        <v>13460</v>
      </c>
      <c r="F3845" s="667">
        <v>1.91</v>
      </c>
      <c r="G3845" s="668"/>
      <c r="H3845" s="925" t="s">
        <v>13459</v>
      </c>
      <c r="I3845" s="925"/>
      <c r="J3845" s="667">
        <v>8.69</v>
      </c>
    </row>
    <row r="3846" spans="1:10" ht="0.95" customHeight="1" thickTop="1">
      <c r="A3846" s="666"/>
      <c r="B3846" s="666"/>
      <c r="C3846" s="666"/>
      <c r="D3846" s="666"/>
      <c r="E3846" s="666"/>
      <c r="F3846" s="666"/>
      <c r="G3846" s="666"/>
      <c r="H3846" s="666"/>
      <c r="I3846" s="666"/>
      <c r="J3846" s="666"/>
    </row>
    <row r="3847" spans="1:10" ht="18" customHeight="1">
      <c r="A3847" s="686" t="s">
        <v>14111</v>
      </c>
      <c r="B3847" s="684" t="s">
        <v>13484</v>
      </c>
      <c r="C3847" s="686" t="s">
        <v>13483</v>
      </c>
      <c r="D3847" s="686" t="s">
        <v>13482</v>
      </c>
      <c r="E3847" s="924" t="s">
        <v>13481</v>
      </c>
      <c r="F3847" s="924"/>
      <c r="G3847" s="685" t="s">
        <v>13480</v>
      </c>
      <c r="H3847" s="684" t="s">
        <v>13479</v>
      </c>
      <c r="I3847" s="684" t="s">
        <v>13478</v>
      </c>
      <c r="J3847" s="684" t="s">
        <v>13477</v>
      </c>
    </row>
    <row r="3848" spans="1:10" ht="24" customHeight="1">
      <c r="A3848" s="682" t="s">
        <v>13476</v>
      </c>
      <c r="B3848" s="683" t="s">
        <v>14135</v>
      </c>
      <c r="C3848" s="682" t="s">
        <v>7</v>
      </c>
      <c r="D3848" s="682" t="s">
        <v>5450</v>
      </c>
      <c r="E3848" s="917" t="s">
        <v>14134</v>
      </c>
      <c r="F3848" s="917"/>
      <c r="G3848" s="681" t="s">
        <v>13610</v>
      </c>
      <c r="H3848" s="680">
        <v>1</v>
      </c>
      <c r="I3848" s="679">
        <v>63.38</v>
      </c>
      <c r="J3848" s="679">
        <v>63.38</v>
      </c>
    </row>
    <row r="3849" spans="1:10" ht="36" customHeight="1">
      <c r="A3849" s="677" t="s">
        <v>13472</v>
      </c>
      <c r="B3849" s="678" t="s">
        <v>13879</v>
      </c>
      <c r="C3849" s="677" t="s">
        <v>7</v>
      </c>
      <c r="D3849" s="677" t="s">
        <v>2722</v>
      </c>
      <c r="E3849" s="918" t="s">
        <v>13491</v>
      </c>
      <c r="F3849" s="918"/>
      <c r="G3849" s="676" t="s">
        <v>38</v>
      </c>
      <c r="H3849" s="675">
        <v>7.0000000000000001E-3</v>
      </c>
      <c r="I3849" s="674">
        <v>9.35</v>
      </c>
      <c r="J3849" s="674">
        <v>0.06</v>
      </c>
    </row>
    <row r="3850" spans="1:10" ht="24" customHeight="1">
      <c r="A3850" s="677" t="s">
        <v>13472</v>
      </c>
      <c r="B3850" s="678" t="s">
        <v>13600</v>
      </c>
      <c r="C3850" s="677" t="s">
        <v>7</v>
      </c>
      <c r="D3850" s="677" t="s">
        <v>41</v>
      </c>
      <c r="E3850" s="918" t="s">
        <v>13470</v>
      </c>
      <c r="F3850" s="918"/>
      <c r="G3850" s="676" t="s">
        <v>19</v>
      </c>
      <c r="H3850" s="675">
        <v>0.1119</v>
      </c>
      <c r="I3850" s="674">
        <v>17.670000000000002</v>
      </c>
      <c r="J3850" s="674">
        <v>1.97</v>
      </c>
    </row>
    <row r="3851" spans="1:10" ht="24" customHeight="1">
      <c r="A3851" s="677" t="s">
        <v>13472</v>
      </c>
      <c r="B3851" s="678" t="s">
        <v>13471</v>
      </c>
      <c r="C3851" s="677" t="s">
        <v>7</v>
      </c>
      <c r="D3851" s="677" t="s">
        <v>21</v>
      </c>
      <c r="E3851" s="918" t="s">
        <v>13470</v>
      </c>
      <c r="F3851" s="918"/>
      <c r="G3851" s="676" t="s">
        <v>19</v>
      </c>
      <c r="H3851" s="675">
        <v>4.6600000000000003E-2</v>
      </c>
      <c r="I3851" s="674">
        <v>14.02</v>
      </c>
      <c r="J3851" s="674">
        <v>0.65</v>
      </c>
    </row>
    <row r="3852" spans="1:10" ht="36" customHeight="1">
      <c r="A3852" s="672" t="s">
        <v>13467</v>
      </c>
      <c r="B3852" s="673" t="s">
        <v>13850</v>
      </c>
      <c r="C3852" s="672" t="s">
        <v>7</v>
      </c>
      <c r="D3852" s="672" t="s">
        <v>13849</v>
      </c>
      <c r="E3852" s="919" t="s">
        <v>13464</v>
      </c>
      <c r="F3852" s="919"/>
      <c r="G3852" s="671" t="s">
        <v>13515</v>
      </c>
      <c r="H3852" s="670">
        <v>8.14E-2</v>
      </c>
      <c r="I3852" s="669">
        <v>417.5</v>
      </c>
      <c r="J3852" s="669">
        <v>33.979999999999997</v>
      </c>
    </row>
    <row r="3853" spans="1:10" ht="24" customHeight="1">
      <c r="A3853" s="672" t="s">
        <v>13467</v>
      </c>
      <c r="B3853" s="673" t="s">
        <v>14133</v>
      </c>
      <c r="C3853" s="672" t="s">
        <v>7</v>
      </c>
      <c r="D3853" s="672" t="s">
        <v>14132</v>
      </c>
      <c r="E3853" s="919" t="s">
        <v>13464</v>
      </c>
      <c r="F3853" s="919"/>
      <c r="G3853" s="671" t="s">
        <v>17</v>
      </c>
      <c r="H3853" s="670">
        <v>4</v>
      </c>
      <c r="I3853" s="669">
        <v>6.68</v>
      </c>
      <c r="J3853" s="669">
        <v>26.72</v>
      </c>
    </row>
    <row r="3854" spans="1:10" ht="25.5">
      <c r="A3854" s="668"/>
      <c r="B3854" s="668"/>
      <c r="C3854" s="668"/>
      <c r="D3854" s="668"/>
      <c r="E3854" s="668" t="s">
        <v>13463</v>
      </c>
      <c r="F3854" s="667">
        <v>1.1029012278604802</v>
      </c>
      <c r="G3854" s="668" t="s">
        <v>13462</v>
      </c>
      <c r="H3854" s="667">
        <v>0.93</v>
      </c>
      <c r="I3854" s="668" t="s">
        <v>13461</v>
      </c>
      <c r="J3854" s="667">
        <v>2.0299999999999998</v>
      </c>
    </row>
    <row r="3855" spans="1:10" ht="15" thickBot="1">
      <c r="A3855" s="668"/>
      <c r="B3855" s="668"/>
      <c r="C3855" s="668"/>
      <c r="D3855" s="668"/>
      <c r="E3855" s="668" t="s">
        <v>13460</v>
      </c>
      <c r="F3855" s="667">
        <v>17.89</v>
      </c>
      <c r="G3855" s="668"/>
      <c r="H3855" s="925" t="s">
        <v>13459</v>
      </c>
      <c r="I3855" s="925"/>
      <c r="J3855" s="667">
        <v>81.27</v>
      </c>
    </row>
    <row r="3856" spans="1:10" ht="0.95" customHeight="1" thickTop="1">
      <c r="A3856" s="666"/>
      <c r="B3856" s="666"/>
      <c r="C3856" s="666"/>
      <c r="D3856" s="666"/>
      <c r="E3856" s="666"/>
      <c r="F3856" s="666"/>
      <c r="G3856" s="666"/>
      <c r="H3856" s="666"/>
      <c r="I3856" s="666"/>
      <c r="J3856" s="666"/>
    </row>
    <row r="3857" spans="1:10" ht="18" customHeight="1">
      <c r="A3857" s="686" t="s">
        <v>14111</v>
      </c>
      <c r="B3857" s="684" t="s">
        <v>13484</v>
      </c>
      <c r="C3857" s="686" t="s">
        <v>13483</v>
      </c>
      <c r="D3857" s="686" t="s">
        <v>13482</v>
      </c>
      <c r="E3857" s="924" t="s">
        <v>13481</v>
      </c>
      <c r="F3857" s="924"/>
      <c r="G3857" s="685" t="s">
        <v>13480</v>
      </c>
      <c r="H3857" s="684" t="s">
        <v>13479</v>
      </c>
      <c r="I3857" s="684" t="s">
        <v>13478</v>
      </c>
      <c r="J3857" s="684" t="s">
        <v>13477</v>
      </c>
    </row>
    <row r="3858" spans="1:10" ht="36" customHeight="1">
      <c r="A3858" s="682" t="s">
        <v>13476</v>
      </c>
      <c r="B3858" s="683" t="s">
        <v>14131</v>
      </c>
      <c r="C3858" s="682" t="s">
        <v>7</v>
      </c>
      <c r="D3858" s="682" t="s">
        <v>7108</v>
      </c>
      <c r="E3858" s="917" t="s">
        <v>14130</v>
      </c>
      <c r="F3858" s="917"/>
      <c r="G3858" s="681" t="s">
        <v>13610</v>
      </c>
      <c r="H3858" s="680">
        <v>1</v>
      </c>
      <c r="I3858" s="679">
        <v>27.04</v>
      </c>
      <c r="J3858" s="679">
        <v>27.04</v>
      </c>
    </row>
    <row r="3859" spans="1:10" ht="24" customHeight="1">
      <c r="A3859" s="677" t="s">
        <v>13472</v>
      </c>
      <c r="B3859" s="678" t="s">
        <v>13637</v>
      </c>
      <c r="C3859" s="677" t="s">
        <v>7</v>
      </c>
      <c r="D3859" s="677" t="s">
        <v>171</v>
      </c>
      <c r="E3859" s="918" t="s">
        <v>13470</v>
      </c>
      <c r="F3859" s="918"/>
      <c r="G3859" s="676" t="s">
        <v>19</v>
      </c>
      <c r="H3859" s="675">
        <v>0.127</v>
      </c>
      <c r="I3859" s="674">
        <v>19.72</v>
      </c>
      <c r="J3859" s="674">
        <v>2.5</v>
      </c>
    </row>
    <row r="3860" spans="1:10" ht="24" customHeight="1">
      <c r="A3860" s="672" t="s">
        <v>13467</v>
      </c>
      <c r="B3860" s="673" t="s">
        <v>14129</v>
      </c>
      <c r="C3860" s="672" t="s">
        <v>7</v>
      </c>
      <c r="D3860" s="672" t="s">
        <v>14128</v>
      </c>
      <c r="E3860" s="919" t="s">
        <v>13464</v>
      </c>
      <c r="F3860" s="919"/>
      <c r="G3860" s="671" t="s">
        <v>50</v>
      </c>
      <c r="H3860" s="670">
        <v>8.3000000000000004E-2</v>
      </c>
      <c r="I3860" s="669">
        <v>37.97</v>
      </c>
      <c r="J3860" s="669">
        <v>3.15</v>
      </c>
    </row>
    <row r="3861" spans="1:10" ht="24" customHeight="1">
      <c r="A3861" s="672" t="s">
        <v>13467</v>
      </c>
      <c r="B3861" s="673" t="s">
        <v>14127</v>
      </c>
      <c r="C3861" s="672" t="s">
        <v>7</v>
      </c>
      <c r="D3861" s="672" t="s">
        <v>14126</v>
      </c>
      <c r="E3861" s="919" t="s">
        <v>13464</v>
      </c>
      <c r="F3861" s="919"/>
      <c r="G3861" s="671" t="s">
        <v>50</v>
      </c>
      <c r="H3861" s="670">
        <v>0.41489999999999999</v>
      </c>
      <c r="I3861" s="669">
        <v>51.57</v>
      </c>
      <c r="J3861" s="669">
        <v>21.39</v>
      </c>
    </row>
    <row r="3862" spans="1:10" ht="25.5">
      <c r="A3862" s="668"/>
      <c r="B3862" s="668"/>
      <c r="C3862" s="668"/>
      <c r="D3862" s="668"/>
      <c r="E3862" s="668" t="s">
        <v>13463</v>
      </c>
      <c r="F3862" s="667">
        <v>1.0214060632402477</v>
      </c>
      <c r="G3862" s="668" t="s">
        <v>13462</v>
      </c>
      <c r="H3862" s="667">
        <v>0.86</v>
      </c>
      <c r="I3862" s="668" t="s">
        <v>13461</v>
      </c>
      <c r="J3862" s="667">
        <v>1.88</v>
      </c>
    </row>
    <row r="3863" spans="1:10" ht="15" thickBot="1">
      <c r="A3863" s="668"/>
      <c r="B3863" s="668"/>
      <c r="C3863" s="668"/>
      <c r="D3863" s="668"/>
      <c r="E3863" s="668" t="s">
        <v>13460</v>
      </c>
      <c r="F3863" s="667">
        <v>7.63</v>
      </c>
      <c r="G3863" s="668"/>
      <c r="H3863" s="925" t="s">
        <v>13459</v>
      </c>
      <c r="I3863" s="925"/>
      <c r="J3863" s="667">
        <v>34.67</v>
      </c>
    </row>
    <row r="3864" spans="1:10" ht="0.95" customHeight="1" thickTop="1">
      <c r="A3864" s="666"/>
      <c r="B3864" s="666"/>
      <c r="C3864" s="666"/>
      <c r="D3864" s="666"/>
      <c r="E3864" s="666"/>
      <c r="F3864" s="666"/>
      <c r="G3864" s="666"/>
      <c r="H3864" s="666"/>
      <c r="I3864" s="666"/>
      <c r="J3864" s="666"/>
    </row>
    <row r="3865" spans="1:10" ht="18" customHeight="1">
      <c r="A3865" s="686" t="s">
        <v>14111</v>
      </c>
      <c r="B3865" s="684" t="s">
        <v>13484</v>
      </c>
      <c r="C3865" s="686" t="s">
        <v>13483</v>
      </c>
      <c r="D3865" s="686" t="s">
        <v>13482</v>
      </c>
      <c r="E3865" s="924" t="s">
        <v>13481</v>
      </c>
      <c r="F3865" s="924"/>
      <c r="G3865" s="685" t="s">
        <v>13480</v>
      </c>
      <c r="H3865" s="684" t="s">
        <v>13479</v>
      </c>
      <c r="I3865" s="684" t="s">
        <v>13478</v>
      </c>
      <c r="J3865" s="684" t="s">
        <v>13477</v>
      </c>
    </row>
    <row r="3866" spans="1:10" ht="36" customHeight="1">
      <c r="A3866" s="682" t="s">
        <v>13476</v>
      </c>
      <c r="B3866" s="683" t="s">
        <v>14125</v>
      </c>
      <c r="C3866" s="682" t="s">
        <v>7</v>
      </c>
      <c r="D3866" s="682" t="s">
        <v>1077</v>
      </c>
      <c r="E3866" s="917" t="s">
        <v>14122</v>
      </c>
      <c r="F3866" s="917"/>
      <c r="G3866" s="681" t="s">
        <v>13610</v>
      </c>
      <c r="H3866" s="680">
        <v>1</v>
      </c>
      <c r="I3866" s="679">
        <v>3.4</v>
      </c>
      <c r="J3866" s="679">
        <v>3.4</v>
      </c>
    </row>
    <row r="3867" spans="1:10" ht="36" customHeight="1">
      <c r="A3867" s="677" t="s">
        <v>13472</v>
      </c>
      <c r="B3867" s="678" t="s">
        <v>14085</v>
      </c>
      <c r="C3867" s="677" t="s">
        <v>7</v>
      </c>
      <c r="D3867" s="677" t="s">
        <v>4392</v>
      </c>
      <c r="E3867" s="918" t="s">
        <v>13470</v>
      </c>
      <c r="F3867" s="918"/>
      <c r="G3867" s="676" t="s">
        <v>13515</v>
      </c>
      <c r="H3867" s="675">
        <v>4.1999999999999997E-3</v>
      </c>
      <c r="I3867" s="674">
        <v>496.89</v>
      </c>
      <c r="J3867" s="674">
        <v>2.08</v>
      </c>
    </row>
    <row r="3868" spans="1:10" ht="24" customHeight="1">
      <c r="A3868" s="677" t="s">
        <v>13472</v>
      </c>
      <c r="B3868" s="678" t="s">
        <v>13600</v>
      </c>
      <c r="C3868" s="677" t="s">
        <v>7</v>
      </c>
      <c r="D3868" s="677" t="s">
        <v>41</v>
      </c>
      <c r="E3868" s="918" t="s">
        <v>13470</v>
      </c>
      <c r="F3868" s="918"/>
      <c r="G3868" s="676" t="s">
        <v>19</v>
      </c>
      <c r="H3868" s="675">
        <v>7.0000000000000007E-2</v>
      </c>
      <c r="I3868" s="674">
        <v>17.670000000000002</v>
      </c>
      <c r="J3868" s="674">
        <v>1.23</v>
      </c>
    </row>
    <row r="3869" spans="1:10" ht="24" customHeight="1">
      <c r="A3869" s="677" t="s">
        <v>13472</v>
      </c>
      <c r="B3869" s="678" t="s">
        <v>13471</v>
      </c>
      <c r="C3869" s="677" t="s">
        <v>7</v>
      </c>
      <c r="D3869" s="677" t="s">
        <v>21</v>
      </c>
      <c r="E3869" s="918" t="s">
        <v>13470</v>
      </c>
      <c r="F3869" s="918"/>
      <c r="G3869" s="676" t="s">
        <v>19</v>
      </c>
      <c r="H3869" s="675">
        <v>7.0000000000000001E-3</v>
      </c>
      <c r="I3869" s="674">
        <v>14.02</v>
      </c>
      <c r="J3869" s="674">
        <v>0.09</v>
      </c>
    </row>
    <row r="3870" spans="1:10" ht="25.5">
      <c r="A3870" s="668"/>
      <c r="B3870" s="668"/>
      <c r="C3870" s="668"/>
      <c r="D3870" s="668"/>
      <c r="E3870" s="668" t="s">
        <v>13463</v>
      </c>
      <c r="F3870" s="667">
        <v>0.82038465717700748</v>
      </c>
      <c r="G3870" s="668" t="s">
        <v>13462</v>
      </c>
      <c r="H3870" s="667">
        <v>0.69</v>
      </c>
      <c r="I3870" s="668" t="s">
        <v>13461</v>
      </c>
      <c r="J3870" s="667">
        <v>1.51</v>
      </c>
    </row>
    <row r="3871" spans="1:10" ht="15" thickBot="1">
      <c r="A3871" s="668"/>
      <c r="B3871" s="668"/>
      <c r="C3871" s="668"/>
      <c r="D3871" s="668"/>
      <c r="E3871" s="668" t="s">
        <v>13460</v>
      </c>
      <c r="F3871" s="667">
        <v>0.96</v>
      </c>
      <c r="G3871" s="668"/>
      <c r="H3871" s="925" t="s">
        <v>13459</v>
      </c>
      <c r="I3871" s="925"/>
      <c r="J3871" s="667">
        <v>4.3600000000000003</v>
      </c>
    </row>
    <row r="3872" spans="1:10" ht="0.95" customHeight="1" thickTop="1">
      <c r="A3872" s="666"/>
      <c r="B3872" s="666"/>
      <c r="C3872" s="666"/>
      <c r="D3872" s="666"/>
      <c r="E3872" s="666"/>
      <c r="F3872" s="666"/>
      <c r="G3872" s="666"/>
      <c r="H3872" s="666"/>
      <c r="I3872" s="666"/>
      <c r="J3872" s="666"/>
    </row>
    <row r="3873" spans="1:10" ht="18" customHeight="1">
      <c r="A3873" s="686" t="s">
        <v>14111</v>
      </c>
      <c r="B3873" s="684" t="s">
        <v>13484</v>
      </c>
      <c r="C3873" s="686" t="s">
        <v>13483</v>
      </c>
      <c r="D3873" s="686" t="s">
        <v>13482</v>
      </c>
      <c r="E3873" s="924" t="s">
        <v>13481</v>
      </c>
      <c r="F3873" s="924"/>
      <c r="G3873" s="685" t="s">
        <v>13480</v>
      </c>
      <c r="H3873" s="684" t="s">
        <v>13479</v>
      </c>
      <c r="I3873" s="684" t="s">
        <v>13478</v>
      </c>
      <c r="J3873" s="684" t="s">
        <v>13477</v>
      </c>
    </row>
    <row r="3874" spans="1:10" ht="48" customHeight="1">
      <c r="A3874" s="682" t="s">
        <v>13476</v>
      </c>
      <c r="B3874" s="683" t="s">
        <v>14124</v>
      </c>
      <c r="C3874" s="682" t="s">
        <v>7</v>
      </c>
      <c r="D3874" s="682" t="s">
        <v>117</v>
      </c>
      <c r="E3874" s="917" t="s">
        <v>14122</v>
      </c>
      <c r="F3874" s="917"/>
      <c r="G3874" s="681" t="s">
        <v>13610</v>
      </c>
      <c r="H3874" s="680">
        <v>1</v>
      </c>
      <c r="I3874" s="679">
        <v>6.19</v>
      </c>
      <c r="J3874" s="679">
        <v>6.19</v>
      </c>
    </row>
    <row r="3875" spans="1:10" ht="36" customHeight="1">
      <c r="A3875" s="677" t="s">
        <v>13472</v>
      </c>
      <c r="B3875" s="678" t="s">
        <v>14084</v>
      </c>
      <c r="C3875" s="677" t="s">
        <v>7</v>
      </c>
      <c r="D3875" s="677" t="s">
        <v>4332</v>
      </c>
      <c r="E3875" s="918" t="s">
        <v>13470</v>
      </c>
      <c r="F3875" s="918"/>
      <c r="G3875" s="676" t="s">
        <v>13515</v>
      </c>
      <c r="H3875" s="675">
        <v>4.1999999999999997E-3</v>
      </c>
      <c r="I3875" s="674">
        <v>403.42</v>
      </c>
      <c r="J3875" s="674">
        <v>1.69</v>
      </c>
    </row>
    <row r="3876" spans="1:10" ht="24" customHeight="1">
      <c r="A3876" s="677" t="s">
        <v>13472</v>
      </c>
      <c r="B3876" s="678" t="s">
        <v>13471</v>
      </c>
      <c r="C3876" s="677" t="s">
        <v>7</v>
      </c>
      <c r="D3876" s="677" t="s">
        <v>21</v>
      </c>
      <c r="E3876" s="918" t="s">
        <v>13470</v>
      </c>
      <c r="F3876" s="918"/>
      <c r="G3876" s="676" t="s">
        <v>19</v>
      </c>
      <c r="H3876" s="675">
        <v>9.0999999999999998E-2</v>
      </c>
      <c r="I3876" s="674">
        <v>14.02</v>
      </c>
      <c r="J3876" s="674">
        <v>1.27</v>
      </c>
    </row>
    <row r="3877" spans="1:10" ht="24" customHeight="1">
      <c r="A3877" s="677" t="s">
        <v>13472</v>
      </c>
      <c r="B3877" s="678" t="s">
        <v>13600</v>
      </c>
      <c r="C3877" s="677" t="s">
        <v>7</v>
      </c>
      <c r="D3877" s="677" t="s">
        <v>41</v>
      </c>
      <c r="E3877" s="918" t="s">
        <v>13470</v>
      </c>
      <c r="F3877" s="918"/>
      <c r="G3877" s="676" t="s">
        <v>19</v>
      </c>
      <c r="H3877" s="675">
        <v>0.183</v>
      </c>
      <c r="I3877" s="674">
        <v>17.670000000000002</v>
      </c>
      <c r="J3877" s="674">
        <v>3.23</v>
      </c>
    </row>
    <row r="3878" spans="1:10" ht="25.5">
      <c r="A3878" s="668"/>
      <c r="B3878" s="668"/>
      <c r="C3878" s="668"/>
      <c r="D3878" s="668"/>
      <c r="E3878" s="668" t="s">
        <v>13463</v>
      </c>
      <c r="F3878" s="667">
        <v>1.9721829838096272</v>
      </c>
      <c r="G3878" s="668" t="s">
        <v>13462</v>
      </c>
      <c r="H3878" s="667">
        <v>1.66</v>
      </c>
      <c r="I3878" s="668" t="s">
        <v>13461</v>
      </c>
      <c r="J3878" s="667">
        <v>3.63</v>
      </c>
    </row>
    <row r="3879" spans="1:10" ht="15" thickBot="1">
      <c r="A3879" s="668"/>
      <c r="B3879" s="668"/>
      <c r="C3879" s="668"/>
      <c r="D3879" s="668"/>
      <c r="E3879" s="668" t="s">
        <v>13460</v>
      </c>
      <c r="F3879" s="667">
        <v>1.74</v>
      </c>
      <c r="G3879" s="668"/>
      <c r="H3879" s="925" t="s">
        <v>13459</v>
      </c>
      <c r="I3879" s="925"/>
      <c r="J3879" s="667">
        <v>7.93</v>
      </c>
    </row>
    <row r="3880" spans="1:10" ht="0.95" customHeight="1" thickTop="1">
      <c r="A3880" s="666"/>
      <c r="B3880" s="666"/>
      <c r="C3880" s="666"/>
      <c r="D3880" s="666"/>
      <c r="E3880" s="666"/>
      <c r="F3880" s="666"/>
      <c r="G3880" s="666"/>
      <c r="H3880" s="666"/>
      <c r="I3880" s="666"/>
      <c r="J3880" s="666"/>
    </row>
    <row r="3881" spans="1:10" ht="18" customHeight="1">
      <c r="A3881" s="686" t="s">
        <v>14111</v>
      </c>
      <c r="B3881" s="684" t="s">
        <v>13484</v>
      </c>
      <c r="C3881" s="686" t="s">
        <v>13483</v>
      </c>
      <c r="D3881" s="686" t="s">
        <v>13482</v>
      </c>
      <c r="E3881" s="924" t="s">
        <v>13481</v>
      </c>
      <c r="F3881" s="924"/>
      <c r="G3881" s="685" t="s">
        <v>13480</v>
      </c>
      <c r="H3881" s="684" t="s">
        <v>13479</v>
      </c>
      <c r="I3881" s="684" t="s">
        <v>13478</v>
      </c>
      <c r="J3881" s="684" t="s">
        <v>13477</v>
      </c>
    </row>
    <row r="3882" spans="1:10" ht="60" customHeight="1">
      <c r="A3882" s="682" t="s">
        <v>13476</v>
      </c>
      <c r="B3882" s="683" t="s">
        <v>14123</v>
      </c>
      <c r="C3882" s="682" t="s">
        <v>7</v>
      </c>
      <c r="D3882" s="682" t="s">
        <v>1002</v>
      </c>
      <c r="E3882" s="917" t="s">
        <v>14122</v>
      </c>
      <c r="F3882" s="917"/>
      <c r="G3882" s="681" t="s">
        <v>13610</v>
      </c>
      <c r="H3882" s="680">
        <v>1</v>
      </c>
      <c r="I3882" s="679">
        <v>41.43</v>
      </c>
      <c r="J3882" s="679">
        <v>41.43</v>
      </c>
    </row>
    <row r="3883" spans="1:10" ht="36" customHeight="1">
      <c r="A3883" s="677" t="s">
        <v>13472</v>
      </c>
      <c r="B3883" s="678" t="s">
        <v>14096</v>
      </c>
      <c r="C3883" s="677" t="s">
        <v>7</v>
      </c>
      <c r="D3883" s="677" t="s">
        <v>4417</v>
      </c>
      <c r="E3883" s="918" t="s">
        <v>13470</v>
      </c>
      <c r="F3883" s="918"/>
      <c r="G3883" s="676" t="s">
        <v>13515</v>
      </c>
      <c r="H3883" s="675">
        <v>2.1299999999999999E-2</v>
      </c>
      <c r="I3883" s="674">
        <v>1663.09</v>
      </c>
      <c r="J3883" s="674">
        <v>35.42</v>
      </c>
    </row>
    <row r="3884" spans="1:10" ht="24" customHeight="1">
      <c r="A3884" s="677" t="s">
        <v>13472</v>
      </c>
      <c r="B3884" s="678" t="s">
        <v>13600</v>
      </c>
      <c r="C3884" s="677" t="s">
        <v>7</v>
      </c>
      <c r="D3884" s="677" t="s">
        <v>41</v>
      </c>
      <c r="E3884" s="918" t="s">
        <v>13470</v>
      </c>
      <c r="F3884" s="918"/>
      <c r="G3884" s="676" t="s">
        <v>19</v>
      </c>
      <c r="H3884" s="675">
        <v>0.31</v>
      </c>
      <c r="I3884" s="674">
        <v>17.670000000000002</v>
      </c>
      <c r="J3884" s="674">
        <v>5.47</v>
      </c>
    </row>
    <row r="3885" spans="1:10" ht="24" customHeight="1">
      <c r="A3885" s="677" t="s">
        <v>13472</v>
      </c>
      <c r="B3885" s="678" t="s">
        <v>13471</v>
      </c>
      <c r="C3885" s="677" t="s">
        <v>7</v>
      </c>
      <c r="D3885" s="677" t="s">
        <v>21</v>
      </c>
      <c r="E3885" s="918" t="s">
        <v>13470</v>
      </c>
      <c r="F3885" s="918"/>
      <c r="G3885" s="676" t="s">
        <v>19</v>
      </c>
      <c r="H3885" s="675">
        <v>3.9E-2</v>
      </c>
      <c r="I3885" s="674">
        <v>14.02</v>
      </c>
      <c r="J3885" s="674">
        <v>0.54</v>
      </c>
    </row>
    <row r="3886" spans="1:10" ht="25.5">
      <c r="A3886" s="668"/>
      <c r="B3886" s="668"/>
      <c r="C3886" s="668"/>
      <c r="D3886" s="668"/>
      <c r="E3886" s="668" t="s">
        <v>13463</v>
      </c>
      <c r="F3886" s="667">
        <v>3.026187112897968</v>
      </c>
      <c r="G3886" s="668" t="s">
        <v>13462</v>
      </c>
      <c r="H3886" s="667">
        <v>2.54</v>
      </c>
      <c r="I3886" s="668" t="s">
        <v>13461</v>
      </c>
      <c r="J3886" s="667">
        <v>5.57</v>
      </c>
    </row>
    <row r="3887" spans="1:10" ht="15" thickBot="1">
      <c r="A3887" s="668"/>
      <c r="B3887" s="668"/>
      <c r="C3887" s="668"/>
      <c r="D3887" s="668"/>
      <c r="E3887" s="668" t="s">
        <v>13460</v>
      </c>
      <c r="F3887" s="667">
        <v>11.69</v>
      </c>
      <c r="G3887" s="668"/>
      <c r="H3887" s="925" t="s">
        <v>13459</v>
      </c>
      <c r="I3887" s="925"/>
      <c r="J3887" s="667">
        <v>53.12</v>
      </c>
    </row>
    <row r="3888" spans="1:10" ht="0.95" customHeight="1" thickTop="1">
      <c r="A3888" s="666"/>
      <c r="B3888" s="666"/>
      <c r="C3888" s="666"/>
      <c r="D3888" s="666"/>
      <c r="E3888" s="666"/>
      <c r="F3888" s="666"/>
      <c r="G3888" s="666"/>
      <c r="H3888" s="666"/>
      <c r="I3888" s="666"/>
      <c r="J3888" s="666"/>
    </row>
    <row r="3889" spans="1:10" ht="18" customHeight="1">
      <c r="A3889" s="686" t="s">
        <v>14111</v>
      </c>
      <c r="B3889" s="684" t="s">
        <v>13484</v>
      </c>
      <c r="C3889" s="686" t="s">
        <v>13483</v>
      </c>
      <c r="D3889" s="686" t="s">
        <v>13482</v>
      </c>
      <c r="E3889" s="924" t="s">
        <v>13481</v>
      </c>
      <c r="F3889" s="924"/>
      <c r="G3889" s="685" t="s">
        <v>13480</v>
      </c>
      <c r="H3889" s="684" t="s">
        <v>13479</v>
      </c>
      <c r="I3889" s="684" t="s">
        <v>13478</v>
      </c>
      <c r="J3889" s="684" t="s">
        <v>13477</v>
      </c>
    </row>
    <row r="3890" spans="1:10" ht="36" customHeight="1">
      <c r="A3890" s="682" t="s">
        <v>13476</v>
      </c>
      <c r="B3890" s="683" t="s">
        <v>14121</v>
      </c>
      <c r="C3890" s="682" t="s">
        <v>7</v>
      </c>
      <c r="D3890" s="682" t="s">
        <v>4434</v>
      </c>
      <c r="E3890" s="917" t="s">
        <v>13470</v>
      </c>
      <c r="F3890" s="917"/>
      <c r="G3890" s="681" t="s">
        <v>13515</v>
      </c>
      <c r="H3890" s="680">
        <v>1</v>
      </c>
      <c r="I3890" s="679">
        <v>547.29999999999995</v>
      </c>
      <c r="J3890" s="679">
        <v>547.29999999999995</v>
      </c>
    </row>
    <row r="3891" spans="1:10" ht="48" customHeight="1">
      <c r="A3891" s="677" t="s">
        <v>13472</v>
      </c>
      <c r="B3891" s="678" t="s">
        <v>14061</v>
      </c>
      <c r="C3891" s="677" t="s">
        <v>7</v>
      </c>
      <c r="D3891" s="677" t="s">
        <v>1148</v>
      </c>
      <c r="E3891" s="918" t="s">
        <v>13491</v>
      </c>
      <c r="F3891" s="918"/>
      <c r="G3891" s="676" t="s">
        <v>38</v>
      </c>
      <c r="H3891" s="675">
        <v>0.87</v>
      </c>
      <c r="I3891" s="674">
        <v>1.68</v>
      </c>
      <c r="J3891" s="674">
        <v>1.46</v>
      </c>
    </row>
    <row r="3892" spans="1:10" ht="48" customHeight="1">
      <c r="A3892" s="677" t="s">
        <v>13472</v>
      </c>
      <c r="B3892" s="678" t="s">
        <v>14062</v>
      </c>
      <c r="C3892" s="677" t="s">
        <v>7</v>
      </c>
      <c r="D3892" s="677" t="s">
        <v>1149</v>
      </c>
      <c r="E3892" s="918" t="s">
        <v>13491</v>
      </c>
      <c r="F3892" s="918"/>
      <c r="G3892" s="676" t="s">
        <v>53</v>
      </c>
      <c r="H3892" s="675">
        <v>2.88</v>
      </c>
      <c r="I3892" s="674">
        <v>0.34</v>
      </c>
      <c r="J3892" s="674">
        <v>0.97</v>
      </c>
    </row>
    <row r="3893" spans="1:10" ht="24" customHeight="1">
      <c r="A3893" s="677" t="s">
        <v>13472</v>
      </c>
      <c r="B3893" s="678" t="s">
        <v>13690</v>
      </c>
      <c r="C3893" s="677" t="s">
        <v>7</v>
      </c>
      <c r="D3893" s="677" t="s">
        <v>1097</v>
      </c>
      <c r="E3893" s="918" t="s">
        <v>13470</v>
      </c>
      <c r="F3893" s="918"/>
      <c r="G3893" s="676" t="s">
        <v>19</v>
      </c>
      <c r="H3893" s="675">
        <v>3.75</v>
      </c>
      <c r="I3893" s="674">
        <v>12.73</v>
      </c>
      <c r="J3893" s="674">
        <v>47.73</v>
      </c>
    </row>
    <row r="3894" spans="1:10" ht="36" customHeight="1">
      <c r="A3894" s="672" t="s">
        <v>13467</v>
      </c>
      <c r="B3894" s="673" t="s">
        <v>14120</v>
      </c>
      <c r="C3894" s="672" t="s">
        <v>7</v>
      </c>
      <c r="D3894" s="672" t="s">
        <v>14119</v>
      </c>
      <c r="E3894" s="919" t="s">
        <v>13464</v>
      </c>
      <c r="F3894" s="919"/>
      <c r="G3894" s="671" t="s">
        <v>50</v>
      </c>
      <c r="H3894" s="670">
        <v>19.440000000000001</v>
      </c>
      <c r="I3894" s="669">
        <v>5.43</v>
      </c>
      <c r="J3894" s="669">
        <v>105.55</v>
      </c>
    </row>
    <row r="3895" spans="1:10" ht="24" customHeight="1">
      <c r="A3895" s="672" t="s">
        <v>13467</v>
      </c>
      <c r="B3895" s="673" t="s">
        <v>13608</v>
      </c>
      <c r="C3895" s="672" t="s">
        <v>7</v>
      </c>
      <c r="D3895" s="672" t="s">
        <v>13607</v>
      </c>
      <c r="E3895" s="919" t="s">
        <v>13464</v>
      </c>
      <c r="F3895" s="919"/>
      <c r="G3895" s="671" t="s">
        <v>13515</v>
      </c>
      <c r="H3895" s="670">
        <v>1.08</v>
      </c>
      <c r="I3895" s="669">
        <v>74.59</v>
      </c>
      <c r="J3895" s="669">
        <v>80.55</v>
      </c>
    </row>
    <row r="3896" spans="1:10" ht="24" customHeight="1">
      <c r="A3896" s="672" t="s">
        <v>13467</v>
      </c>
      <c r="B3896" s="673" t="s">
        <v>13997</v>
      </c>
      <c r="C3896" s="672" t="s">
        <v>7</v>
      </c>
      <c r="D3896" s="672" t="s">
        <v>13996</v>
      </c>
      <c r="E3896" s="919" t="s">
        <v>13464</v>
      </c>
      <c r="F3896" s="919"/>
      <c r="G3896" s="671" t="s">
        <v>17</v>
      </c>
      <c r="H3896" s="670">
        <v>486</v>
      </c>
      <c r="I3896" s="669">
        <v>0.64</v>
      </c>
      <c r="J3896" s="669">
        <v>311.04000000000002</v>
      </c>
    </row>
    <row r="3897" spans="1:10" ht="25.5">
      <c r="A3897" s="668"/>
      <c r="B3897" s="668"/>
      <c r="C3897" s="668"/>
      <c r="D3897" s="668"/>
      <c r="E3897" s="668" t="s">
        <v>13463</v>
      </c>
      <c r="F3897" s="667">
        <v>19.982614364881016</v>
      </c>
      <c r="G3897" s="668" t="s">
        <v>13462</v>
      </c>
      <c r="H3897" s="667">
        <v>16.8</v>
      </c>
      <c r="I3897" s="668" t="s">
        <v>13461</v>
      </c>
      <c r="J3897" s="667">
        <v>36.78</v>
      </c>
    </row>
    <row r="3898" spans="1:10" ht="15" thickBot="1">
      <c r="A3898" s="668"/>
      <c r="B3898" s="668"/>
      <c r="C3898" s="668"/>
      <c r="D3898" s="668"/>
      <c r="E3898" s="668" t="s">
        <v>13460</v>
      </c>
      <c r="F3898" s="667">
        <v>154.55000000000001</v>
      </c>
      <c r="G3898" s="668"/>
      <c r="H3898" s="925" t="s">
        <v>13459</v>
      </c>
      <c r="I3898" s="925"/>
      <c r="J3898" s="667">
        <v>701.85</v>
      </c>
    </row>
    <row r="3899" spans="1:10" ht="0.95" customHeight="1" thickTop="1">
      <c r="A3899" s="666"/>
      <c r="B3899" s="666"/>
      <c r="C3899" s="666"/>
      <c r="D3899" s="666"/>
      <c r="E3899" s="666"/>
      <c r="F3899" s="666"/>
      <c r="G3899" s="666"/>
      <c r="H3899" s="666"/>
      <c r="I3899" s="666"/>
      <c r="J3899" s="666"/>
    </row>
    <row r="3900" spans="1:10" ht="18" customHeight="1">
      <c r="A3900" s="686" t="s">
        <v>14111</v>
      </c>
      <c r="B3900" s="684" t="s">
        <v>13484</v>
      </c>
      <c r="C3900" s="686" t="s">
        <v>13483</v>
      </c>
      <c r="D3900" s="686" t="s">
        <v>13482</v>
      </c>
      <c r="E3900" s="924" t="s">
        <v>13481</v>
      </c>
      <c r="F3900" s="924"/>
      <c r="G3900" s="685" t="s">
        <v>13480</v>
      </c>
      <c r="H3900" s="684" t="s">
        <v>13479</v>
      </c>
      <c r="I3900" s="684" t="s">
        <v>13478</v>
      </c>
      <c r="J3900" s="684" t="s">
        <v>13477</v>
      </c>
    </row>
    <row r="3901" spans="1:10" ht="24" customHeight="1">
      <c r="A3901" s="682" t="s">
        <v>13476</v>
      </c>
      <c r="B3901" s="683" t="s">
        <v>14118</v>
      </c>
      <c r="C3901" s="682" t="s">
        <v>7</v>
      </c>
      <c r="D3901" s="682" t="s">
        <v>4422</v>
      </c>
      <c r="E3901" s="917" t="s">
        <v>13470</v>
      </c>
      <c r="F3901" s="917"/>
      <c r="G3901" s="681" t="s">
        <v>13515</v>
      </c>
      <c r="H3901" s="680">
        <v>1</v>
      </c>
      <c r="I3901" s="679">
        <v>509.05</v>
      </c>
      <c r="J3901" s="679">
        <v>509.05</v>
      </c>
    </row>
    <row r="3902" spans="1:10" ht="24" customHeight="1">
      <c r="A3902" s="677" t="s">
        <v>13472</v>
      </c>
      <c r="B3902" s="678" t="s">
        <v>13471</v>
      </c>
      <c r="C3902" s="677" t="s">
        <v>7</v>
      </c>
      <c r="D3902" s="677" t="s">
        <v>21</v>
      </c>
      <c r="E3902" s="918" t="s">
        <v>13470</v>
      </c>
      <c r="F3902" s="918"/>
      <c r="G3902" s="676" t="s">
        <v>19</v>
      </c>
      <c r="H3902" s="675">
        <v>8.57</v>
      </c>
      <c r="I3902" s="674">
        <v>14.02</v>
      </c>
      <c r="J3902" s="674">
        <v>120.15</v>
      </c>
    </row>
    <row r="3903" spans="1:10" ht="24" customHeight="1">
      <c r="A3903" s="672" t="s">
        <v>13467</v>
      </c>
      <c r="B3903" s="673" t="s">
        <v>13608</v>
      </c>
      <c r="C3903" s="672" t="s">
        <v>7</v>
      </c>
      <c r="D3903" s="672" t="s">
        <v>13607</v>
      </c>
      <c r="E3903" s="919" t="s">
        <v>13464</v>
      </c>
      <c r="F3903" s="919"/>
      <c r="G3903" s="671" t="s">
        <v>13515</v>
      </c>
      <c r="H3903" s="670">
        <v>1.07</v>
      </c>
      <c r="I3903" s="669">
        <v>74.59</v>
      </c>
      <c r="J3903" s="669">
        <v>79.81</v>
      </c>
    </row>
    <row r="3904" spans="1:10" ht="24" customHeight="1">
      <c r="A3904" s="672" t="s">
        <v>13467</v>
      </c>
      <c r="B3904" s="673" t="s">
        <v>13997</v>
      </c>
      <c r="C3904" s="672" t="s">
        <v>7</v>
      </c>
      <c r="D3904" s="672" t="s">
        <v>13996</v>
      </c>
      <c r="E3904" s="919" t="s">
        <v>13464</v>
      </c>
      <c r="F3904" s="919"/>
      <c r="G3904" s="671" t="s">
        <v>17</v>
      </c>
      <c r="H3904" s="670">
        <v>482.96</v>
      </c>
      <c r="I3904" s="669">
        <v>0.64</v>
      </c>
      <c r="J3904" s="669">
        <v>309.08999999999997</v>
      </c>
    </row>
    <row r="3905" spans="1:10" ht="25.5">
      <c r="A3905" s="668"/>
      <c r="B3905" s="668"/>
      <c r="C3905" s="668"/>
      <c r="D3905" s="668"/>
      <c r="E3905" s="668" t="s">
        <v>13463</v>
      </c>
      <c r="F3905" s="667">
        <v>48.049549060089099</v>
      </c>
      <c r="G3905" s="668" t="s">
        <v>13462</v>
      </c>
      <c r="H3905" s="667">
        <v>40.39</v>
      </c>
      <c r="I3905" s="668" t="s">
        <v>13461</v>
      </c>
      <c r="J3905" s="667">
        <v>88.44</v>
      </c>
    </row>
    <row r="3906" spans="1:10" ht="15" thickBot="1">
      <c r="A3906" s="668"/>
      <c r="B3906" s="668"/>
      <c r="C3906" s="668"/>
      <c r="D3906" s="668"/>
      <c r="E3906" s="668" t="s">
        <v>13460</v>
      </c>
      <c r="F3906" s="667">
        <v>143.75</v>
      </c>
      <c r="G3906" s="668"/>
      <c r="H3906" s="925" t="s">
        <v>13459</v>
      </c>
      <c r="I3906" s="925"/>
      <c r="J3906" s="667">
        <v>652.79999999999995</v>
      </c>
    </row>
    <row r="3907" spans="1:10" ht="0.95" customHeight="1" thickTop="1">
      <c r="A3907" s="666"/>
      <c r="B3907" s="666"/>
      <c r="C3907" s="666"/>
      <c r="D3907" s="666"/>
      <c r="E3907" s="666"/>
      <c r="F3907" s="666"/>
      <c r="G3907" s="666"/>
      <c r="H3907" s="666"/>
      <c r="I3907" s="666"/>
      <c r="J3907" s="666"/>
    </row>
    <row r="3908" spans="1:10" ht="18" customHeight="1">
      <c r="A3908" s="686" t="s">
        <v>14111</v>
      </c>
      <c r="B3908" s="684" t="s">
        <v>13484</v>
      </c>
      <c r="C3908" s="686" t="s">
        <v>13483</v>
      </c>
      <c r="D3908" s="686" t="s">
        <v>13482</v>
      </c>
      <c r="E3908" s="924" t="s">
        <v>13481</v>
      </c>
      <c r="F3908" s="924"/>
      <c r="G3908" s="685" t="s">
        <v>13480</v>
      </c>
      <c r="H3908" s="684" t="s">
        <v>13479</v>
      </c>
      <c r="I3908" s="684" t="s">
        <v>13478</v>
      </c>
      <c r="J3908" s="684" t="s">
        <v>13477</v>
      </c>
    </row>
    <row r="3909" spans="1:10" ht="36" customHeight="1">
      <c r="A3909" s="682" t="s">
        <v>13476</v>
      </c>
      <c r="B3909" s="683" t="s">
        <v>14117</v>
      </c>
      <c r="C3909" s="682" t="s">
        <v>7</v>
      </c>
      <c r="D3909" s="682" t="s">
        <v>4421</v>
      </c>
      <c r="E3909" s="917" t="s">
        <v>13470</v>
      </c>
      <c r="F3909" s="917"/>
      <c r="G3909" s="681" t="s">
        <v>13515</v>
      </c>
      <c r="H3909" s="680">
        <v>1</v>
      </c>
      <c r="I3909" s="679">
        <v>435.13</v>
      </c>
      <c r="J3909" s="679">
        <v>435.13</v>
      </c>
    </row>
    <row r="3910" spans="1:10" ht="48" customHeight="1">
      <c r="A3910" s="677" t="s">
        <v>13472</v>
      </c>
      <c r="B3910" s="678" t="s">
        <v>14061</v>
      </c>
      <c r="C3910" s="677" t="s">
        <v>7</v>
      </c>
      <c r="D3910" s="677" t="s">
        <v>1148</v>
      </c>
      <c r="E3910" s="918" t="s">
        <v>13491</v>
      </c>
      <c r="F3910" s="918"/>
      <c r="G3910" s="676" t="s">
        <v>38</v>
      </c>
      <c r="H3910" s="675">
        <v>0.8</v>
      </c>
      <c r="I3910" s="674">
        <v>1.68</v>
      </c>
      <c r="J3910" s="674">
        <v>1.34</v>
      </c>
    </row>
    <row r="3911" spans="1:10" ht="48" customHeight="1">
      <c r="A3911" s="677" t="s">
        <v>13472</v>
      </c>
      <c r="B3911" s="678" t="s">
        <v>14062</v>
      </c>
      <c r="C3911" s="677" t="s">
        <v>7</v>
      </c>
      <c r="D3911" s="677" t="s">
        <v>1149</v>
      </c>
      <c r="E3911" s="918" t="s">
        <v>13491</v>
      </c>
      <c r="F3911" s="918"/>
      <c r="G3911" s="676" t="s">
        <v>53</v>
      </c>
      <c r="H3911" s="675">
        <v>2.62</v>
      </c>
      <c r="I3911" s="674">
        <v>0.34</v>
      </c>
      <c r="J3911" s="674">
        <v>0.89</v>
      </c>
    </row>
    <row r="3912" spans="1:10" ht="24" customHeight="1">
      <c r="A3912" s="677" t="s">
        <v>13472</v>
      </c>
      <c r="B3912" s="678" t="s">
        <v>13690</v>
      </c>
      <c r="C3912" s="677" t="s">
        <v>7</v>
      </c>
      <c r="D3912" s="677" t="s">
        <v>1097</v>
      </c>
      <c r="E3912" s="918" t="s">
        <v>13470</v>
      </c>
      <c r="F3912" s="918"/>
      <c r="G3912" s="676" t="s">
        <v>19</v>
      </c>
      <c r="H3912" s="675">
        <v>3.42</v>
      </c>
      <c r="I3912" s="674">
        <v>12.73</v>
      </c>
      <c r="J3912" s="674">
        <v>43.53</v>
      </c>
    </row>
    <row r="3913" spans="1:10" ht="24" customHeight="1">
      <c r="A3913" s="672" t="s">
        <v>13467</v>
      </c>
      <c r="B3913" s="673" t="s">
        <v>13608</v>
      </c>
      <c r="C3913" s="672" t="s">
        <v>7</v>
      </c>
      <c r="D3913" s="672" t="s">
        <v>13607</v>
      </c>
      <c r="E3913" s="919" t="s">
        <v>13464</v>
      </c>
      <c r="F3913" s="919"/>
      <c r="G3913" s="671" t="s">
        <v>13515</v>
      </c>
      <c r="H3913" s="670">
        <v>1.07</v>
      </c>
      <c r="I3913" s="669">
        <v>74.59</v>
      </c>
      <c r="J3913" s="669">
        <v>79.81</v>
      </c>
    </row>
    <row r="3914" spans="1:10" ht="24" customHeight="1">
      <c r="A3914" s="672" t="s">
        <v>13467</v>
      </c>
      <c r="B3914" s="673" t="s">
        <v>13997</v>
      </c>
      <c r="C3914" s="672" t="s">
        <v>7</v>
      </c>
      <c r="D3914" s="672" t="s">
        <v>13996</v>
      </c>
      <c r="E3914" s="919" t="s">
        <v>13464</v>
      </c>
      <c r="F3914" s="919"/>
      <c r="G3914" s="671" t="s">
        <v>17</v>
      </c>
      <c r="H3914" s="670">
        <v>483.7</v>
      </c>
      <c r="I3914" s="669">
        <v>0.64</v>
      </c>
      <c r="J3914" s="669">
        <v>309.56</v>
      </c>
    </row>
    <row r="3915" spans="1:10" ht="25.5">
      <c r="A3915" s="668"/>
      <c r="B3915" s="668"/>
      <c r="C3915" s="668"/>
      <c r="D3915" s="668"/>
      <c r="E3915" s="668" t="s">
        <v>13463</v>
      </c>
      <c r="F3915" s="667">
        <v>18.227751820058675</v>
      </c>
      <c r="G3915" s="668" t="s">
        <v>13462</v>
      </c>
      <c r="H3915" s="667">
        <v>15.32</v>
      </c>
      <c r="I3915" s="668" t="s">
        <v>13461</v>
      </c>
      <c r="J3915" s="667">
        <v>33.549999999999997</v>
      </c>
    </row>
    <row r="3916" spans="1:10" ht="15" thickBot="1">
      <c r="A3916" s="668"/>
      <c r="B3916" s="668"/>
      <c r="C3916" s="668"/>
      <c r="D3916" s="668"/>
      <c r="E3916" s="668" t="s">
        <v>13460</v>
      </c>
      <c r="F3916" s="667">
        <v>122.88</v>
      </c>
      <c r="G3916" s="668"/>
      <c r="H3916" s="925" t="s">
        <v>13459</v>
      </c>
      <c r="I3916" s="925"/>
      <c r="J3916" s="667">
        <v>558.01</v>
      </c>
    </row>
    <row r="3917" spans="1:10" ht="0.95" customHeight="1" thickTop="1">
      <c r="A3917" s="666"/>
      <c r="B3917" s="666"/>
      <c r="C3917" s="666"/>
      <c r="D3917" s="666"/>
      <c r="E3917" s="666"/>
      <c r="F3917" s="666"/>
      <c r="G3917" s="666"/>
      <c r="H3917" s="666"/>
      <c r="I3917" s="666"/>
      <c r="J3917" s="666"/>
    </row>
    <row r="3918" spans="1:10" ht="18" customHeight="1">
      <c r="A3918" s="686" t="s">
        <v>14111</v>
      </c>
      <c r="B3918" s="684" t="s">
        <v>13484</v>
      </c>
      <c r="C3918" s="686" t="s">
        <v>13483</v>
      </c>
      <c r="D3918" s="686" t="s">
        <v>13482</v>
      </c>
      <c r="E3918" s="924" t="s">
        <v>13481</v>
      </c>
      <c r="F3918" s="924"/>
      <c r="G3918" s="685" t="s">
        <v>13480</v>
      </c>
      <c r="H3918" s="684" t="s">
        <v>13479</v>
      </c>
      <c r="I3918" s="684" t="s">
        <v>13478</v>
      </c>
      <c r="J3918" s="684" t="s">
        <v>13477</v>
      </c>
    </row>
    <row r="3919" spans="1:10" ht="36" customHeight="1">
      <c r="A3919" s="682" t="s">
        <v>13476</v>
      </c>
      <c r="B3919" s="683" t="s">
        <v>14116</v>
      </c>
      <c r="C3919" s="682" t="s">
        <v>7</v>
      </c>
      <c r="D3919" s="682" t="s">
        <v>4420</v>
      </c>
      <c r="E3919" s="917" t="s">
        <v>13470</v>
      </c>
      <c r="F3919" s="917"/>
      <c r="G3919" s="681" t="s">
        <v>13515</v>
      </c>
      <c r="H3919" s="680">
        <v>1</v>
      </c>
      <c r="I3919" s="679">
        <v>485.09</v>
      </c>
      <c r="J3919" s="679">
        <v>485.09</v>
      </c>
    </row>
    <row r="3920" spans="1:10" ht="24" customHeight="1">
      <c r="A3920" s="677" t="s">
        <v>13472</v>
      </c>
      <c r="B3920" s="678" t="s">
        <v>13471</v>
      </c>
      <c r="C3920" s="677" t="s">
        <v>7</v>
      </c>
      <c r="D3920" s="677" t="s">
        <v>21</v>
      </c>
      <c r="E3920" s="918" t="s">
        <v>13470</v>
      </c>
      <c r="F3920" s="918"/>
      <c r="G3920" s="676" t="s">
        <v>19</v>
      </c>
      <c r="H3920" s="675">
        <v>8.7799999999999994</v>
      </c>
      <c r="I3920" s="674">
        <v>14.02</v>
      </c>
      <c r="J3920" s="674">
        <v>123.09</v>
      </c>
    </row>
    <row r="3921" spans="1:10" ht="24" customHeight="1">
      <c r="A3921" s="672" t="s">
        <v>13467</v>
      </c>
      <c r="B3921" s="673" t="s">
        <v>13608</v>
      </c>
      <c r="C3921" s="672" t="s">
        <v>7</v>
      </c>
      <c r="D3921" s="672" t="s">
        <v>13607</v>
      </c>
      <c r="E3921" s="919" t="s">
        <v>13464</v>
      </c>
      <c r="F3921" s="919"/>
      <c r="G3921" s="671" t="s">
        <v>13515</v>
      </c>
      <c r="H3921" s="670">
        <v>1.1299999999999999</v>
      </c>
      <c r="I3921" s="669">
        <v>74.59</v>
      </c>
      <c r="J3921" s="669">
        <v>84.28</v>
      </c>
    </row>
    <row r="3922" spans="1:10" ht="24" customHeight="1">
      <c r="A3922" s="672" t="s">
        <v>13467</v>
      </c>
      <c r="B3922" s="673" t="s">
        <v>14087</v>
      </c>
      <c r="C3922" s="672" t="s">
        <v>7</v>
      </c>
      <c r="D3922" s="672" t="s">
        <v>14086</v>
      </c>
      <c r="E3922" s="919" t="s">
        <v>13464</v>
      </c>
      <c r="F3922" s="919"/>
      <c r="G3922" s="671" t="s">
        <v>17</v>
      </c>
      <c r="H3922" s="670">
        <v>75.47</v>
      </c>
      <c r="I3922" s="669">
        <v>0.8</v>
      </c>
      <c r="J3922" s="669">
        <v>60.37</v>
      </c>
    </row>
    <row r="3923" spans="1:10" ht="24" customHeight="1">
      <c r="A3923" s="672" t="s">
        <v>13467</v>
      </c>
      <c r="B3923" s="673" t="s">
        <v>13997</v>
      </c>
      <c r="C3923" s="672" t="s">
        <v>7</v>
      </c>
      <c r="D3923" s="672" t="s">
        <v>13996</v>
      </c>
      <c r="E3923" s="919" t="s">
        <v>13464</v>
      </c>
      <c r="F3923" s="919"/>
      <c r="G3923" s="671" t="s">
        <v>17</v>
      </c>
      <c r="H3923" s="670">
        <v>339.62</v>
      </c>
      <c r="I3923" s="669">
        <v>0.64</v>
      </c>
      <c r="J3923" s="669">
        <v>217.35</v>
      </c>
    </row>
    <row r="3924" spans="1:10" ht="25.5">
      <c r="A3924" s="668"/>
      <c r="B3924" s="668"/>
      <c r="C3924" s="668"/>
      <c r="D3924" s="668"/>
      <c r="E3924" s="668" t="s">
        <v>13463</v>
      </c>
      <c r="F3924" s="667">
        <v>49.223079430620444</v>
      </c>
      <c r="G3924" s="668" t="s">
        <v>13462</v>
      </c>
      <c r="H3924" s="667">
        <v>41.38</v>
      </c>
      <c r="I3924" s="668" t="s">
        <v>13461</v>
      </c>
      <c r="J3924" s="667">
        <v>90.6</v>
      </c>
    </row>
    <row r="3925" spans="1:10" ht="15" thickBot="1">
      <c r="A3925" s="668"/>
      <c r="B3925" s="668"/>
      <c r="C3925" s="668"/>
      <c r="D3925" s="668"/>
      <c r="E3925" s="668" t="s">
        <v>13460</v>
      </c>
      <c r="F3925" s="667">
        <v>136.97999999999999</v>
      </c>
      <c r="G3925" s="668"/>
      <c r="H3925" s="925" t="s">
        <v>13459</v>
      </c>
      <c r="I3925" s="925"/>
      <c r="J3925" s="667">
        <v>622.07000000000005</v>
      </c>
    </row>
    <row r="3926" spans="1:10" ht="0.95" customHeight="1" thickTop="1">
      <c r="A3926" s="666"/>
      <c r="B3926" s="666"/>
      <c r="C3926" s="666"/>
      <c r="D3926" s="666"/>
      <c r="E3926" s="666"/>
      <c r="F3926" s="666"/>
      <c r="G3926" s="666"/>
      <c r="H3926" s="666"/>
      <c r="I3926" s="666"/>
      <c r="J3926" s="666"/>
    </row>
    <row r="3927" spans="1:10" ht="18" customHeight="1">
      <c r="A3927" s="686" t="s">
        <v>14111</v>
      </c>
      <c r="B3927" s="684" t="s">
        <v>13484</v>
      </c>
      <c r="C3927" s="686" t="s">
        <v>13483</v>
      </c>
      <c r="D3927" s="686" t="s">
        <v>13482</v>
      </c>
      <c r="E3927" s="924" t="s">
        <v>13481</v>
      </c>
      <c r="F3927" s="924"/>
      <c r="G3927" s="685" t="s">
        <v>13480</v>
      </c>
      <c r="H3927" s="684" t="s">
        <v>13479</v>
      </c>
      <c r="I3927" s="684" t="s">
        <v>13478</v>
      </c>
      <c r="J3927" s="684" t="s">
        <v>13477</v>
      </c>
    </row>
    <row r="3928" spans="1:10" ht="24" customHeight="1">
      <c r="A3928" s="682" t="s">
        <v>13476</v>
      </c>
      <c r="B3928" s="683" t="s">
        <v>14115</v>
      </c>
      <c r="C3928" s="682" t="s">
        <v>7</v>
      </c>
      <c r="D3928" s="682" t="s">
        <v>4423</v>
      </c>
      <c r="E3928" s="917" t="s">
        <v>13470</v>
      </c>
      <c r="F3928" s="917"/>
      <c r="G3928" s="681" t="s">
        <v>13515</v>
      </c>
      <c r="H3928" s="680">
        <v>1</v>
      </c>
      <c r="I3928" s="679">
        <v>451.29</v>
      </c>
      <c r="J3928" s="679">
        <v>451.29</v>
      </c>
    </row>
    <row r="3929" spans="1:10" ht="24" customHeight="1">
      <c r="A3929" s="677" t="s">
        <v>13472</v>
      </c>
      <c r="B3929" s="678" t="s">
        <v>13471</v>
      </c>
      <c r="C3929" s="677" t="s">
        <v>7</v>
      </c>
      <c r="D3929" s="677" t="s">
        <v>21</v>
      </c>
      <c r="E3929" s="918" t="s">
        <v>13470</v>
      </c>
      <c r="F3929" s="918"/>
      <c r="G3929" s="676" t="s">
        <v>19</v>
      </c>
      <c r="H3929" s="675">
        <v>8.2899999999999991</v>
      </c>
      <c r="I3929" s="674">
        <v>14.02</v>
      </c>
      <c r="J3929" s="674">
        <v>116.22</v>
      </c>
    </row>
    <row r="3930" spans="1:10" ht="24" customHeight="1">
      <c r="A3930" s="672" t="s">
        <v>13467</v>
      </c>
      <c r="B3930" s="673" t="s">
        <v>13608</v>
      </c>
      <c r="C3930" s="672" t="s">
        <v>7</v>
      </c>
      <c r="D3930" s="672" t="s">
        <v>13607</v>
      </c>
      <c r="E3930" s="919" t="s">
        <v>13464</v>
      </c>
      <c r="F3930" s="919"/>
      <c r="G3930" s="671" t="s">
        <v>13515</v>
      </c>
      <c r="H3930" s="670">
        <v>1.1499999999999999</v>
      </c>
      <c r="I3930" s="669">
        <v>74.59</v>
      </c>
      <c r="J3930" s="669">
        <v>85.77</v>
      </c>
    </row>
    <row r="3931" spans="1:10" ht="24" customHeight="1">
      <c r="A3931" s="672" t="s">
        <v>13467</v>
      </c>
      <c r="B3931" s="673" t="s">
        <v>13997</v>
      </c>
      <c r="C3931" s="672" t="s">
        <v>7</v>
      </c>
      <c r="D3931" s="672" t="s">
        <v>13996</v>
      </c>
      <c r="E3931" s="919" t="s">
        <v>13464</v>
      </c>
      <c r="F3931" s="919"/>
      <c r="G3931" s="671" t="s">
        <v>17</v>
      </c>
      <c r="H3931" s="670">
        <v>389.54</v>
      </c>
      <c r="I3931" s="669">
        <v>0.64</v>
      </c>
      <c r="J3931" s="669">
        <v>249.3</v>
      </c>
    </row>
    <row r="3932" spans="1:10" ht="25.5">
      <c r="A3932" s="668"/>
      <c r="B3932" s="668"/>
      <c r="C3932" s="668"/>
      <c r="D3932" s="668"/>
      <c r="E3932" s="668" t="s">
        <v>13463</v>
      </c>
      <c r="F3932" s="667">
        <v>46.479408888405956</v>
      </c>
      <c r="G3932" s="668" t="s">
        <v>13462</v>
      </c>
      <c r="H3932" s="667">
        <v>39.07</v>
      </c>
      <c r="I3932" s="668" t="s">
        <v>13461</v>
      </c>
      <c r="J3932" s="667">
        <v>85.55</v>
      </c>
    </row>
    <row r="3933" spans="1:10" ht="15" thickBot="1">
      <c r="A3933" s="668"/>
      <c r="B3933" s="668"/>
      <c r="C3933" s="668"/>
      <c r="D3933" s="668"/>
      <c r="E3933" s="668" t="s">
        <v>13460</v>
      </c>
      <c r="F3933" s="667">
        <v>127.44</v>
      </c>
      <c r="G3933" s="668"/>
      <c r="H3933" s="925" t="s">
        <v>13459</v>
      </c>
      <c r="I3933" s="925"/>
      <c r="J3933" s="667">
        <v>578.73</v>
      </c>
    </row>
    <row r="3934" spans="1:10" ht="0.95" customHeight="1" thickTop="1">
      <c r="A3934" s="666"/>
      <c r="B3934" s="666"/>
      <c r="C3934" s="666"/>
      <c r="D3934" s="666"/>
      <c r="E3934" s="666"/>
      <c r="F3934" s="666"/>
      <c r="G3934" s="666"/>
      <c r="H3934" s="666"/>
      <c r="I3934" s="666"/>
      <c r="J3934" s="666"/>
    </row>
    <row r="3935" spans="1:10" ht="18" customHeight="1">
      <c r="A3935" s="686" t="s">
        <v>14111</v>
      </c>
      <c r="B3935" s="684" t="s">
        <v>13484</v>
      </c>
      <c r="C3935" s="686" t="s">
        <v>13483</v>
      </c>
      <c r="D3935" s="686" t="s">
        <v>13482</v>
      </c>
      <c r="E3935" s="924" t="s">
        <v>13481</v>
      </c>
      <c r="F3935" s="924"/>
      <c r="G3935" s="685" t="s">
        <v>13480</v>
      </c>
      <c r="H3935" s="684" t="s">
        <v>13479</v>
      </c>
      <c r="I3935" s="684" t="s">
        <v>13478</v>
      </c>
      <c r="J3935" s="684" t="s">
        <v>13477</v>
      </c>
    </row>
    <row r="3936" spans="1:10" ht="36" customHeight="1">
      <c r="A3936" s="682" t="s">
        <v>13476</v>
      </c>
      <c r="B3936" s="683" t="s">
        <v>14114</v>
      </c>
      <c r="C3936" s="682" t="s">
        <v>7</v>
      </c>
      <c r="D3936" s="682" t="s">
        <v>5459</v>
      </c>
      <c r="E3936" s="917" t="s">
        <v>14113</v>
      </c>
      <c r="F3936" s="917"/>
      <c r="G3936" s="681" t="s">
        <v>90</v>
      </c>
      <c r="H3936" s="680">
        <v>1</v>
      </c>
      <c r="I3936" s="679">
        <v>2.17</v>
      </c>
      <c r="J3936" s="679">
        <v>2.17</v>
      </c>
    </row>
    <row r="3937" spans="1:10" ht="60" customHeight="1">
      <c r="A3937" s="677" t="s">
        <v>13472</v>
      </c>
      <c r="B3937" s="678" t="s">
        <v>14046</v>
      </c>
      <c r="C3937" s="677" t="s">
        <v>7</v>
      </c>
      <c r="D3937" s="677" t="s">
        <v>1885</v>
      </c>
      <c r="E3937" s="918" t="s">
        <v>13491</v>
      </c>
      <c r="F3937" s="918"/>
      <c r="G3937" s="676" t="s">
        <v>38</v>
      </c>
      <c r="H3937" s="675">
        <v>1.0500000000000001E-2</v>
      </c>
      <c r="I3937" s="674">
        <v>191.18</v>
      </c>
      <c r="J3937" s="674">
        <v>2</v>
      </c>
    </row>
    <row r="3938" spans="1:10" ht="60" customHeight="1">
      <c r="A3938" s="677" t="s">
        <v>13472</v>
      </c>
      <c r="B3938" s="678" t="s">
        <v>14047</v>
      </c>
      <c r="C3938" s="677" t="s">
        <v>7</v>
      </c>
      <c r="D3938" s="677" t="s">
        <v>1886</v>
      </c>
      <c r="E3938" s="918" t="s">
        <v>13491</v>
      </c>
      <c r="F3938" s="918"/>
      <c r="G3938" s="676" t="s">
        <v>53</v>
      </c>
      <c r="H3938" s="675">
        <v>4.4999999999999997E-3</v>
      </c>
      <c r="I3938" s="674">
        <v>37.94</v>
      </c>
      <c r="J3938" s="674">
        <v>0.17</v>
      </c>
    </row>
    <row r="3939" spans="1:10" ht="25.5">
      <c r="A3939" s="668"/>
      <c r="B3939" s="668"/>
      <c r="C3939" s="668"/>
      <c r="D3939" s="668"/>
      <c r="E3939" s="668" t="s">
        <v>13463</v>
      </c>
      <c r="F3939" s="667">
        <v>8.1495164620232527E-2</v>
      </c>
      <c r="G3939" s="668" t="s">
        <v>13462</v>
      </c>
      <c r="H3939" s="667">
        <v>7.0000000000000007E-2</v>
      </c>
      <c r="I3939" s="668" t="s">
        <v>13461</v>
      </c>
      <c r="J3939" s="667">
        <v>0.15</v>
      </c>
    </row>
    <row r="3940" spans="1:10" ht="15" thickBot="1">
      <c r="A3940" s="668"/>
      <c r="B3940" s="668"/>
      <c r="C3940" s="668"/>
      <c r="D3940" s="668"/>
      <c r="E3940" s="668" t="s">
        <v>13460</v>
      </c>
      <c r="F3940" s="667">
        <v>0.61</v>
      </c>
      <c r="G3940" s="668"/>
      <c r="H3940" s="925" t="s">
        <v>13459</v>
      </c>
      <c r="I3940" s="925"/>
      <c r="J3940" s="667">
        <v>2.78</v>
      </c>
    </row>
    <row r="3941" spans="1:10" ht="0.95" customHeight="1" thickTop="1">
      <c r="A3941" s="666"/>
      <c r="B3941" s="666"/>
      <c r="C3941" s="666"/>
      <c r="D3941" s="666"/>
      <c r="E3941" s="666"/>
      <c r="F3941" s="666"/>
      <c r="G3941" s="666"/>
      <c r="H3941" s="666"/>
      <c r="I3941" s="666"/>
      <c r="J3941" s="666"/>
    </row>
    <row r="3942" spans="1:10" ht="18" customHeight="1">
      <c r="A3942" s="686" t="s">
        <v>14111</v>
      </c>
      <c r="B3942" s="684" t="s">
        <v>13484</v>
      </c>
      <c r="C3942" s="686" t="s">
        <v>13483</v>
      </c>
      <c r="D3942" s="686" t="s">
        <v>13482</v>
      </c>
      <c r="E3942" s="924" t="s">
        <v>13481</v>
      </c>
      <c r="F3942" s="924"/>
      <c r="G3942" s="685" t="s">
        <v>13480</v>
      </c>
      <c r="H3942" s="684" t="s">
        <v>13479</v>
      </c>
      <c r="I3942" s="684" t="s">
        <v>13478</v>
      </c>
      <c r="J3942" s="684" t="s">
        <v>13477</v>
      </c>
    </row>
    <row r="3943" spans="1:10" ht="24" customHeight="1">
      <c r="A3943" s="682" t="s">
        <v>13476</v>
      </c>
      <c r="B3943" s="683" t="s">
        <v>13767</v>
      </c>
      <c r="C3943" s="682" t="s">
        <v>7</v>
      </c>
      <c r="D3943" s="682" t="s">
        <v>144</v>
      </c>
      <c r="E3943" s="917" t="s">
        <v>13470</v>
      </c>
      <c r="F3943" s="917"/>
      <c r="G3943" s="681" t="s">
        <v>19</v>
      </c>
      <c r="H3943" s="680">
        <v>1</v>
      </c>
      <c r="I3943" s="679">
        <v>12.66</v>
      </c>
      <c r="J3943" s="679">
        <v>12.66</v>
      </c>
    </row>
    <row r="3944" spans="1:10" ht="24" customHeight="1">
      <c r="A3944" s="677" t="s">
        <v>13472</v>
      </c>
      <c r="B3944" s="678" t="s">
        <v>13909</v>
      </c>
      <c r="C3944" s="677" t="s">
        <v>7</v>
      </c>
      <c r="D3944" s="677" t="s">
        <v>2756</v>
      </c>
      <c r="E3944" s="918" t="s">
        <v>13470</v>
      </c>
      <c r="F3944" s="918"/>
      <c r="G3944" s="676" t="s">
        <v>19</v>
      </c>
      <c r="H3944" s="675">
        <v>1</v>
      </c>
      <c r="I3944" s="674">
        <v>7.0000000000000007E-2</v>
      </c>
      <c r="J3944" s="674">
        <v>7.0000000000000007E-2</v>
      </c>
    </row>
    <row r="3945" spans="1:10" ht="24" customHeight="1">
      <c r="A3945" s="672" t="s">
        <v>13467</v>
      </c>
      <c r="B3945" s="673" t="s">
        <v>13562</v>
      </c>
      <c r="C3945" s="672" t="s">
        <v>7</v>
      </c>
      <c r="D3945" s="672" t="s">
        <v>13561</v>
      </c>
      <c r="E3945" s="919" t="s">
        <v>13556</v>
      </c>
      <c r="F3945" s="919"/>
      <c r="G3945" s="671" t="s">
        <v>19</v>
      </c>
      <c r="H3945" s="670">
        <v>1</v>
      </c>
      <c r="I3945" s="669">
        <v>0.96</v>
      </c>
      <c r="J3945" s="669">
        <v>0.96</v>
      </c>
    </row>
    <row r="3946" spans="1:10" ht="24" customHeight="1">
      <c r="A3946" s="672" t="s">
        <v>13467</v>
      </c>
      <c r="B3946" s="673" t="s">
        <v>13665</v>
      </c>
      <c r="C3946" s="672" t="s">
        <v>7</v>
      </c>
      <c r="D3946" s="672" t="s">
        <v>13664</v>
      </c>
      <c r="E3946" s="919" t="s">
        <v>13493</v>
      </c>
      <c r="F3946" s="919"/>
      <c r="G3946" s="671" t="s">
        <v>19</v>
      </c>
      <c r="H3946" s="670">
        <v>1</v>
      </c>
      <c r="I3946" s="669">
        <v>0.63</v>
      </c>
      <c r="J3946" s="669">
        <v>0.63</v>
      </c>
    </row>
    <row r="3947" spans="1:10" ht="24" customHeight="1">
      <c r="A3947" s="672" t="s">
        <v>13467</v>
      </c>
      <c r="B3947" s="673" t="s">
        <v>13558</v>
      </c>
      <c r="C3947" s="672" t="s">
        <v>7</v>
      </c>
      <c r="D3947" s="672" t="s">
        <v>13557</v>
      </c>
      <c r="E3947" s="919" t="s">
        <v>13556</v>
      </c>
      <c r="F3947" s="919"/>
      <c r="G3947" s="671" t="s">
        <v>19</v>
      </c>
      <c r="H3947" s="670">
        <v>1</v>
      </c>
      <c r="I3947" s="669">
        <v>0.55000000000000004</v>
      </c>
      <c r="J3947" s="669">
        <v>0.55000000000000004</v>
      </c>
    </row>
    <row r="3948" spans="1:10" ht="24" customHeight="1">
      <c r="A3948" s="672" t="s">
        <v>13467</v>
      </c>
      <c r="B3948" s="673" t="s">
        <v>13663</v>
      </c>
      <c r="C3948" s="672" t="s">
        <v>7</v>
      </c>
      <c r="D3948" s="672" t="s">
        <v>13662</v>
      </c>
      <c r="E3948" s="919" t="s">
        <v>13493</v>
      </c>
      <c r="F3948" s="919"/>
      <c r="G3948" s="671" t="s">
        <v>19</v>
      </c>
      <c r="H3948" s="670">
        <v>1</v>
      </c>
      <c r="I3948" s="669">
        <v>0.01</v>
      </c>
      <c r="J3948" s="669">
        <v>0.01</v>
      </c>
    </row>
    <row r="3949" spans="1:10" ht="24" customHeight="1">
      <c r="A3949" s="672" t="s">
        <v>13467</v>
      </c>
      <c r="B3949" s="673" t="s">
        <v>13908</v>
      </c>
      <c r="C3949" s="672" t="s">
        <v>7</v>
      </c>
      <c r="D3949" s="672" t="s">
        <v>13907</v>
      </c>
      <c r="E3949" s="919" t="s">
        <v>13548</v>
      </c>
      <c r="F3949" s="919"/>
      <c r="G3949" s="671" t="s">
        <v>19</v>
      </c>
      <c r="H3949" s="670">
        <v>1</v>
      </c>
      <c r="I3949" s="669">
        <v>9.67</v>
      </c>
      <c r="J3949" s="669">
        <v>9.67</v>
      </c>
    </row>
    <row r="3950" spans="1:10" ht="24" customHeight="1">
      <c r="A3950" s="672" t="s">
        <v>13467</v>
      </c>
      <c r="B3950" s="673" t="s">
        <v>13553</v>
      </c>
      <c r="C3950" s="672" t="s">
        <v>7</v>
      </c>
      <c r="D3950" s="672" t="s">
        <v>13552</v>
      </c>
      <c r="E3950" s="919" t="s">
        <v>13551</v>
      </c>
      <c r="F3950" s="919"/>
      <c r="G3950" s="671" t="s">
        <v>19</v>
      </c>
      <c r="H3950" s="670">
        <v>1</v>
      </c>
      <c r="I3950" s="669">
        <v>0.06</v>
      </c>
      <c r="J3950" s="669">
        <v>0.06</v>
      </c>
    </row>
    <row r="3951" spans="1:10" ht="24" customHeight="1">
      <c r="A3951" s="672" t="s">
        <v>13467</v>
      </c>
      <c r="B3951" s="673" t="s">
        <v>13547</v>
      </c>
      <c r="C3951" s="672" t="s">
        <v>7</v>
      </c>
      <c r="D3951" s="672" t="s">
        <v>13546</v>
      </c>
      <c r="E3951" s="919" t="s">
        <v>13545</v>
      </c>
      <c r="F3951" s="919"/>
      <c r="G3951" s="671" t="s">
        <v>19</v>
      </c>
      <c r="H3951" s="670">
        <v>1</v>
      </c>
      <c r="I3951" s="669">
        <v>0.71</v>
      </c>
      <c r="J3951" s="669">
        <v>0.71</v>
      </c>
    </row>
    <row r="3952" spans="1:10" ht="25.5">
      <c r="A3952" s="668"/>
      <c r="B3952" s="668"/>
      <c r="C3952" s="668"/>
      <c r="D3952" s="668"/>
      <c r="E3952" s="668" t="s">
        <v>13463</v>
      </c>
      <c r="F3952" s="667">
        <v>5.2917527</v>
      </c>
      <c r="G3952" s="668" t="s">
        <v>13462</v>
      </c>
      <c r="H3952" s="667">
        <v>4.45</v>
      </c>
      <c r="I3952" s="668" t="s">
        <v>13461</v>
      </c>
      <c r="J3952" s="667">
        <v>9.74</v>
      </c>
    </row>
    <row r="3953" spans="1:10" ht="15" thickBot="1">
      <c r="A3953" s="668"/>
      <c r="B3953" s="668"/>
      <c r="C3953" s="668"/>
      <c r="D3953" s="668"/>
      <c r="E3953" s="668" t="s">
        <v>13460</v>
      </c>
      <c r="F3953" s="667">
        <v>3.57</v>
      </c>
      <c r="G3953" s="668"/>
      <c r="H3953" s="925" t="s">
        <v>13459</v>
      </c>
      <c r="I3953" s="925"/>
      <c r="J3953" s="667">
        <v>16.23</v>
      </c>
    </row>
    <row r="3954" spans="1:10" ht="0.95" customHeight="1" thickTop="1">
      <c r="A3954" s="666"/>
      <c r="B3954" s="666"/>
      <c r="C3954" s="666"/>
      <c r="D3954" s="666"/>
      <c r="E3954" s="666"/>
      <c r="F3954" s="666"/>
      <c r="G3954" s="666"/>
      <c r="H3954" s="666"/>
      <c r="I3954" s="666"/>
      <c r="J3954" s="666"/>
    </row>
    <row r="3955" spans="1:10" ht="18" customHeight="1">
      <c r="A3955" s="686" t="s">
        <v>14111</v>
      </c>
      <c r="B3955" s="684" t="s">
        <v>13484</v>
      </c>
      <c r="C3955" s="686" t="s">
        <v>13483</v>
      </c>
      <c r="D3955" s="686" t="s">
        <v>13482</v>
      </c>
      <c r="E3955" s="924" t="s">
        <v>13481</v>
      </c>
      <c r="F3955" s="924"/>
      <c r="G3955" s="685" t="s">
        <v>13480</v>
      </c>
      <c r="H3955" s="684" t="s">
        <v>13479</v>
      </c>
      <c r="I3955" s="684" t="s">
        <v>13478</v>
      </c>
      <c r="J3955" s="684" t="s">
        <v>13477</v>
      </c>
    </row>
    <row r="3956" spans="1:10" ht="24" customHeight="1">
      <c r="A3956" s="682" t="s">
        <v>13476</v>
      </c>
      <c r="B3956" s="683" t="s">
        <v>14112</v>
      </c>
      <c r="C3956" s="682" t="s">
        <v>7</v>
      </c>
      <c r="D3956" s="682" t="s">
        <v>129</v>
      </c>
      <c r="E3956" s="917" t="s">
        <v>13470</v>
      </c>
      <c r="F3956" s="917"/>
      <c r="G3956" s="681" t="s">
        <v>19</v>
      </c>
      <c r="H3956" s="680">
        <v>1</v>
      </c>
      <c r="I3956" s="679">
        <v>14.09</v>
      </c>
      <c r="J3956" s="679">
        <v>14.09</v>
      </c>
    </row>
    <row r="3957" spans="1:10" ht="24" customHeight="1">
      <c r="A3957" s="677" t="s">
        <v>13472</v>
      </c>
      <c r="B3957" s="678" t="s">
        <v>13939</v>
      </c>
      <c r="C3957" s="677" t="s">
        <v>7</v>
      </c>
      <c r="D3957" s="677" t="s">
        <v>2735</v>
      </c>
      <c r="E3957" s="918" t="s">
        <v>13470</v>
      </c>
      <c r="F3957" s="918"/>
      <c r="G3957" s="676" t="s">
        <v>19</v>
      </c>
      <c r="H3957" s="675">
        <v>1</v>
      </c>
      <c r="I3957" s="674">
        <v>0.08</v>
      </c>
      <c r="J3957" s="674">
        <v>0.08</v>
      </c>
    </row>
    <row r="3958" spans="1:10" ht="24" customHeight="1">
      <c r="A3958" s="672" t="s">
        <v>13467</v>
      </c>
      <c r="B3958" s="673" t="s">
        <v>13562</v>
      </c>
      <c r="C3958" s="672" t="s">
        <v>7</v>
      </c>
      <c r="D3958" s="672" t="s">
        <v>13561</v>
      </c>
      <c r="E3958" s="919" t="s">
        <v>13556</v>
      </c>
      <c r="F3958" s="919"/>
      <c r="G3958" s="671" t="s">
        <v>19</v>
      </c>
      <c r="H3958" s="670">
        <v>1</v>
      </c>
      <c r="I3958" s="669">
        <v>0.96</v>
      </c>
      <c r="J3958" s="669">
        <v>0.96</v>
      </c>
    </row>
    <row r="3959" spans="1:10" ht="24" customHeight="1">
      <c r="A3959" s="672" t="s">
        <v>13467</v>
      </c>
      <c r="B3959" s="673" t="s">
        <v>13938</v>
      </c>
      <c r="C3959" s="672" t="s">
        <v>7</v>
      </c>
      <c r="D3959" s="672" t="s">
        <v>13937</v>
      </c>
      <c r="E3959" s="919" t="s">
        <v>13548</v>
      </c>
      <c r="F3959" s="919"/>
      <c r="G3959" s="671" t="s">
        <v>19</v>
      </c>
      <c r="H3959" s="670">
        <v>1</v>
      </c>
      <c r="I3959" s="669">
        <v>10.199999999999999</v>
      </c>
      <c r="J3959" s="669">
        <v>10.199999999999999</v>
      </c>
    </row>
    <row r="3960" spans="1:10" ht="24" customHeight="1">
      <c r="A3960" s="672" t="s">
        <v>13467</v>
      </c>
      <c r="B3960" s="673" t="s">
        <v>13752</v>
      </c>
      <c r="C3960" s="672" t="s">
        <v>7</v>
      </c>
      <c r="D3960" s="672" t="s">
        <v>13751</v>
      </c>
      <c r="E3960" s="919" t="s">
        <v>13493</v>
      </c>
      <c r="F3960" s="919"/>
      <c r="G3960" s="671" t="s">
        <v>19</v>
      </c>
      <c r="H3960" s="670">
        <v>1</v>
      </c>
      <c r="I3960" s="669">
        <v>0.95</v>
      </c>
      <c r="J3960" s="669">
        <v>0.95</v>
      </c>
    </row>
    <row r="3961" spans="1:10" ht="24" customHeight="1">
      <c r="A3961" s="672" t="s">
        <v>13467</v>
      </c>
      <c r="B3961" s="673" t="s">
        <v>13558</v>
      </c>
      <c r="C3961" s="672" t="s">
        <v>7</v>
      </c>
      <c r="D3961" s="672" t="s">
        <v>13557</v>
      </c>
      <c r="E3961" s="919" t="s">
        <v>13556</v>
      </c>
      <c r="F3961" s="919"/>
      <c r="G3961" s="671" t="s">
        <v>19</v>
      </c>
      <c r="H3961" s="670">
        <v>1</v>
      </c>
      <c r="I3961" s="669">
        <v>0.55000000000000004</v>
      </c>
      <c r="J3961" s="669">
        <v>0.55000000000000004</v>
      </c>
    </row>
    <row r="3962" spans="1:10" ht="24" customHeight="1">
      <c r="A3962" s="672" t="s">
        <v>13467</v>
      </c>
      <c r="B3962" s="673" t="s">
        <v>13750</v>
      </c>
      <c r="C3962" s="672" t="s">
        <v>7</v>
      </c>
      <c r="D3962" s="672" t="s">
        <v>13749</v>
      </c>
      <c r="E3962" s="919" t="s">
        <v>13493</v>
      </c>
      <c r="F3962" s="919"/>
      <c r="G3962" s="671" t="s">
        <v>19</v>
      </c>
      <c r="H3962" s="670">
        <v>1</v>
      </c>
      <c r="I3962" s="669">
        <v>0.57999999999999996</v>
      </c>
      <c r="J3962" s="669">
        <v>0.57999999999999996</v>
      </c>
    </row>
    <row r="3963" spans="1:10" ht="24" customHeight="1">
      <c r="A3963" s="672" t="s">
        <v>13467</v>
      </c>
      <c r="B3963" s="673" t="s">
        <v>13553</v>
      </c>
      <c r="C3963" s="672" t="s">
        <v>7</v>
      </c>
      <c r="D3963" s="672" t="s">
        <v>13552</v>
      </c>
      <c r="E3963" s="919" t="s">
        <v>13551</v>
      </c>
      <c r="F3963" s="919"/>
      <c r="G3963" s="671" t="s">
        <v>19</v>
      </c>
      <c r="H3963" s="670">
        <v>1</v>
      </c>
      <c r="I3963" s="669">
        <v>0.06</v>
      </c>
      <c r="J3963" s="669">
        <v>0.06</v>
      </c>
    </row>
    <row r="3964" spans="1:10" ht="24" customHeight="1">
      <c r="A3964" s="672" t="s">
        <v>13467</v>
      </c>
      <c r="B3964" s="673" t="s">
        <v>13547</v>
      </c>
      <c r="C3964" s="672" t="s">
        <v>7</v>
      </c>
      <c r="D3964" s="672" t="s">
        <v>13546</v>
      </c>
      <c r="E3964" s="919" t="s">
        <v>13545</v>
      </c>
      <c r="F3964" s="919"/>
      <c r="G3964" s="671" t="s">
        <v>19</v>
      </c>
      <c r="H3964" s="670">
        <v>1</v>
      </c>
      <c r="I3964" s="669">
        <v>0.71</v>
      </c>
      <c r="J3964" s="669">
        <v>0.71</v>
      </c>
    </row>
    <row r="3965" spans="1:10" ht="25.5">
      <c r="A3965" s="668"/>
      <c r="B3965" s="668"/>
      <c r="C3965" s="668"/>
      <c r="D3965" s="668"/>
      <c r="E3965" s="668" t="s">
        <v>13463</v>
      </c>
      <c r="F3965" s="667">
        <v>5.5851353000000001</v>
      </c>
      <c r="G3965" s="668" t="s">
        <v>13462</v>
      </c>
      <c r="H3965" s="667">
        <v>4.6900000000000004</v>
      </c>
      <c r="I3965" s="668" t="s">
        <v>13461</v>
      </c>
      <c r="J3965" s="667">
        <v>10.28</v>
      </c>
    </row>
    <row r="3966" spans="1:10" ht="15" thickBot="1">
      <c r="A3966" s="668"/>
      <c r="B3966" s="668"/>
      <c r="C3966" s="668"/>
      <c r="D3966" s="668"/>
      <c r="E3966" s="668" t="s">
        <v>13460</v>
      </c>
      <c r="F3966" s="667">
        <v>3.97</v>
      </c>
      <c r="G3966" s="668"/>
      <c r="H3966" s="925" t="s">
        <v>13459</v>
      </c>
      <c r="I3966" s="925"/>
      <c r="J3966" s="667">
        <v>18.059999999999999</v>
      </c>
    </row>
    <row r="3967" spans="1:10" ht="0.95" customHeight="1" thickTop="1">
      <c r="A3967" s="666"/>
      <c r="B3967" s="666"/>
      <c r="C3967" s="666"/>
      <c r="D3967" s="666"/>
      <c r="E3967" s="666"/>
      <c r="F3967" s="666"/>
      <c r="G3967" s="666"/>
      <c r="H3967" s="666"/>
      <c r="I3967" s="666"/>
      <c r="J3967" s="666"/>
    </row>
    <row r="3968" spans="1:10" ht="18" customHeight="1">
      <c r="A3968" s="686" t="s">
        <v>14111</v>
      </c>
      <c r="B3968" s="684" t="s">
        <v>13484</v>
      </c>
      <c r="C3968" s="686" t="s">
        <v>13483</v>
      </c>
      <c r="D3968" s="686" t="s">
        <v>13482</v>
      </c>
      <c r="E3968" s="924" t="s">
        <v>13481</v>
      </c>
      <c r="F3968" s="924"/>
      <c r="G3968" s="685" t="s">
        <v>13480</v>
      </c>
      <c r="H3968" s="684" t="s">
        <v>13479</v>
      </c>
      <c r="I3968" s="684" t="s">
        <v>13478</v>
      </c>
      <c r="J3968" s="684" t="s">
        <v>13477</v>
      </c>
    </row>
    <row r="3969" spans="1:10" ht="24" customHeight="1">
      <c r="A3969" s="682" t="s">
        <v>13476</v>
      </c>
      <c r="B3969" s="683" t="s">
        <v>13833</v>
      </c>
      <c r="C3969" s="682" t="s">
        <v>7</v>
      </c>
      <c r="D3969" s="682" t="s">
        <v>40</v>
      </c>
      <c r="E3969" s="917" t="s">
        <v>13470</v>
      </c>
      <c r="F3969" s="917"/>
      <c r="G3969" s="681" t="s">
        <v>19</v>
      </c>
      <c r="H3969" s="680">
        <v>1</v>
      </c>
      <c r="I3969" s="679">
        <v>17.48</v>
      </c>
      <c r="J3969" s="679">
        <v>17.48</v>
      </c>
    </row>
    <row r="3970" spans="1:10" ht="24" customHeight="1">
      <c r="A3970" s="677" t="s">
        <v>13472</v>
      </c>
      <c r="B3970" s="678" t="s">
        <v>13927</v>
      </c>
      <c r="C3970" s="677" t="s">
        <v>7</v>
      </c>
      <c r="D3970" s="677" t="s">
        <v>2744</v>
      </c>
      <c r="E3970" s="918" t="s">
        <v>13470</v>
      </c>
      <c r="F3970" s="918"/>
      <c r="G3970" s="676" t="s">
        <v>19</v>
      </c>
      <c r="H3970" s="675">
        <v>1</v>
      </c>
      <c r="I3970" s="674">
        <v>0.11</v>
      </c>
      <c r="J3970" s="674">
        <v>0.11</v>
      </c>
    </row>
    <row r="3971" spans="1:10" ht="24" customHeight="1">
      <c r="A3971" s="672" t="s">
        <v>13467</v>
      </c>
      <c r="B3971" s="673" t="s">
        <v>13562</v>
      </c>
      <c r="C3971" s="672" t="s">
        <v>7</v>
      </c>
      <c r="D3971" s="672" t="s">
        <v>13561</v>
      </c>
      <c r="E3971" s="919" t="s">
        <v>13556</v>
      </c>
      <c r="F3971" s="919"/>
      <c r="G3971" s="671" t="s">
        <v>19</v>
      </c>
      <c r="H3971" s="670">
        <v>1</v>
      </c>
      <c r="I3971" s="669">
        <v>0.96</v>
      </c>
      <c r="J3971" s="669">
        <v>0.96</v>
      </c>
    </row>
    <row r="3972" spans="1:10" ht="24" customHeight="1">
      <c r="A3972" s="672" t="s">
        <v>13467</v>
      </c>
      <c r="B3972" s="673" t="s">
        <v>13926</v>
      </c>
      <c r="C3972" s="672" t="s">
        <v>7</v>
      </c>
      <c r="D3972" s="672" t="s">
        <v>13925</v>
      </c>
      <c r="E3972" s="919" t="s">
        <v>13548</v>
      </c>
      <c r="F3972" s="919"/>
      <c r="G3972" s="671" t="s">
        <v>19</v>
      </c>
      <c r="H3972" s="670">
        <v>1</v>
      </c>
      <c r="I3972" s="669">
        <v>13.66</v>
      </c>
      <c r="J3972" s="669">
        <v>13.66</v>
      </c>
    </row>
    <row r="3973" spans="1:10" ht="24" customHeight="1">
      <c r="A3973" s="672" t="s">
        <v>13467</v>
      </c>
      <c r="B3973" s="673" t="s">
        <v>13560</v>
      </c>
      <c r="C3973" s="672" t="s">
        <v>7</v>
      </c>
      <c r="D3973" s="672" t="s">
        <v>13559</v>
      </c>
      <c r="E3973" s="919" t="s">
        <v>13493</v>
      </c>
      <c r="F3973" s="919"/>
      <c r="G3973" s="671" t="s">
        <v>19</v>
      </c>
      <c r="H3973" s="670">
        <v>1</v>
      </c>
      <c r="I3973" s="669">
        <v>1.05</v>
      </c>
      <c r="J3973" s="669">
        <v>1.05</v>
      </c>
    </row>
    <row r="3974" spans="1:10" ht="24" customHeight="1">
      <c r="A3974" s="672" t="s">
        <v>13467</v>
      </c>
      <c r="B3974" s="673" t="s">
        <v>13558</v>
      </c>
      <c r="C3974" s="672" t="s">
        <v>7</v>
      </c>
      <c r="D3974" s="672" t="s">
        <v>13557</v>
      </c>
      <c r="E3974" s="919" t="s">
        <v>13556</v>
      </c>
      <c r="F3974" s="919"/>
      <c r="G3974" s="671" t="s">
        <v>19</v>
      </c>
      <c r="H3974" s="670">
        <v>1</v>
      </c>
      <c r="I3974" s="669">
        <v>0.55000000000000004</v>
      </c>
      <c r="J3974" s="669">
        <v>0.55000000000000004</v>
      </c>
    </row>
    <row r="3975" spans="1:10" ht="24" customHeight="1">
      <c r="A3975" s="672" t="s">
        <v>13467</v>
      </c>
      <c r="B3975" s="673" t="s">
        <v>13555</v>
      </c>
      <c r="C3975" s="672" t="s">
        <v>7</v>
      </c>
      <c r="D3975" s="672" t="s">
        <v>13554</v>
      </c>
      <c r="E3975" s="919" t="s">
        <v>13493</v>
      </c>
      <c r="F3975" s="919"/>
      <c r="G3975" s="671" t="s">
        <v>19</v>
      </c>
      <c r="H3975" s="670">
        <v>1</v>
      </c>
      <c r="I3975" s="669">
        <v>0.38</v>
      </c>
      <c r="J3975" s="669">
        <v>0.38</v>
      </c>
    </row>
    <row r="3976" spans="1:10" ht="24" customHeight="1">
      <c r="A3976" s="672" t="s">
        <v>13467</v>
      </c>
      <c r="B3976" s="673" t="s">
        <v>13553</v>
      </c>
      <c r="C3976" s="672" t="s">
        <v>7</v>
      </c>
      <c r="D3976" s="672" t="s">
        <v>13552</v>
      </c>
      <c r="E3976" s="919" t="s">
        <v>13551</v>
      </c>
      <c r="F3976" s="919"/>
      <c r="G3976" s="671" t="s">
        <v>19</v>
      </c>
      <c r="H3976" s="670">
        <v>1</v>
      </c>
      <c r="I3976" s="669">
        <v>0.06</v>
      </c>
      <c r="J3976" s="669">
        <v>0.06</v>
      </c>
    </row>
    <row r="3977" spans="1:10" ht="24" customHeight="1">
      <c r="A3977" s="672" t="s">
        <v>13467</v>
      </c>
      <c r="B3977" s="673" t="s">
        <v>13547</v>
      </c>
      <c r="C3977" s="672" t="s">
        <v>7</v>
      </c>
      <c r="D3977" s="672" t="s">
        <v>13546</v>
      </c>
      <c r="E3977" s="919" t="s">
        <v>13545</v>
      </c>
      <c r="F3977" s="919"/>
      <c r="G3977" s="671" t="s">
        <v>19</v>
      </c>
      <c r="H3977" s="670">
        <v>1</v>
      </c>
      <c r="I3977" s="669">
        <v>0.71</v>
      </c>
      <c r="J3977" s="669">
        <v>0.71</v>
      </c>
    </row>
    <row r="3978" spans="1:10" ht="25.5">
      <c r="A3978" s="668"/>
      <c r="B3978" s="668"/>
      <c r="C3978" s="668"/>
      <c r="D3978" s="668"/>
      <c r="E3978" s="668" t="s">
        <v>13463</v>
      </c>
      <c r="F3978" s="667">
        <v>7.4812561000000004</v>
      </c>
      <c r="G3978" s="668" t="s">
        <v>13462</v>
      </c>
      <c r="H3978" s="667">
        <v>6.29</v>
      </c>
      <c r="I3978" s="668" t="s">
        <v>13461</v>
      </c>
      <c r="J3978" s="667">
        <v>13.77</v>
      </c>
    </row>
    <row r="3979" spans="1:10" ht="15" thickBot="1">
      <c r="A3979" s="668"/>
      <c r="B3979" s="668"/>
      <c r="C3979" s="668"/>
      <c r="D3979" s="668"/>
      <c r="E3979" s="668" t="s">
        <v>13460</v>
      </c>
      <c r="F3979" s="667">
        <v>4.93</v>
      </c>
      <c r="G3979" s="668"/>
      <c r="H3979" s="925" t="s">
        <v>13459</v>
      </c>
      <c r="I3979" s="925"/>
      <c r="J3979" s="667">
        <v>22.41</v>
      </c>
    </row>
    <row r="3980" spans="1:10" ht="0.95" customHeight="1" thickTop="1">
      <c r="A3980" s="666"/>
      <c r="B3980" s="666"/>
      <c r="C3980" s="666"/>
      <c r="D3980" s="666"/>
      <c r="E3980" s="666"/>
      <c r="F3980" s="666"/>
      <c r="G3980" s="666"/>
      <c r="H3980" s="666"/>
      <c r="I3980" s="666"/>
      <c r="J3980" s="666"/>
    </row>
    <row r="3981" spans="1:10" ht="18" customHeight="1">
      <c r="A3981" s="686" t="s">
        <v>14111</v>
      </c>
      <c r="B3981" s="684" t="s">
        <v>13484</v>
      </c>
      <c r="C3981" s="686" t="s">
        <v>13483</v>
      </c>
      <c r="D3981" s="686" t="s">
        <v>13482</v>
      </c>
      <c r="E3981" s="924" t="s">
        <v>13481</v>
      </c>
      <c r="F3981" s="924"/>
      <c r="G3981" s="685" t="s">
        <v>13480</v>
      </c>
      <c r="H3981" s="684" t="s">
        <v>13479</v>
      </c>
      <c r="I3981" s="684" t="s">
        <v>13478</v>
      </c>
      <c r="J3981" s="684" t="s">
        <v>13477</v>
      </c>
    </row>
    <row r="3982" spans="1:10" ht="24" customHeight="1">
      <c r="A3982" s="682" t="s">
        <v>13476</v>
      </c>
      <c r="B3982" s="683" t="s">
        <v>14110</v>
      </c>
      <c r="C3982" s="682" t="s">
        <v>7</v>
      </c>
      <c r="D3982" s="682" t="s">
        <v>174</v>
      </c>
      <c r="E3982" s="917" t="s">
        <v>13470</v>
      </c>
      <c r="F3982" s="917"/>
      <c r="G3982" s="681" t="s">
        <v>19</v>
      </c>
      <c r="H3982" s="680">
        <v>1</v>
      </c>
      <c r="I3982" s="679">
        <v>18.239999999999998</v>
      </c>
      <c r="J3982" s="679">
        <v>18.239999999999998</v>
      </c>
    </row>
    <row r="3983" spans="1:10" ht="24" customHeight="1">
      <c r="A3983" s="677" t="s">
        <v>13472</v>
      </c>
      <c r="B3983" s="678" t="s">
        <v>13894</v>
      </c>
      <c r="C3983" s="677" t="s">
        <v>7</v>
      </c>
      <c r="D3983" s="677" t="s">
        <v>561</v>
      </c>
      <c r="E3983" s="918" t="s">
        <v>13470</v>
      </c>
      <c r="F3983" s="918"/>
      <c r="G3983" s="676" t="s">
        <v>19</v>
      </c>
      <c r="H3983" s="675">
        <v>1</v>
      </c>
      <c r="I3983" s="674">
        <v>0.11</v>
      </c>
      <c r="J3983" s="674">
        <v>0.11</v>
      </c>
    </row>
    <row r="3984" spans="1:10" ht="24" customHeight="1">
      <c r="A3984" s="672" t="s">
        <v>13467</v>
      </c>
      <c r="B3984" s="673" t="s">
        <v>13562</v>
      </c>
      <c r="C3984" s="672" t="s">
        <v>7</v>
      </c>
      <c r="D3984" s="672" t="s">
        <v>13561</v>
      </c>
      <c r="E3984" s="919" t="s">
        <v>13556</v>
      </c>
      <c r="F3984" s="919"/>
      <c r="G3984" s="671" t="s">
        <v>19</v>
      </c>
      <c r="H3984" s="670">
        <v>1</v>
      </c>
      <c r="I3984" s="669">
        <v>0.96</v>
      </c>
      <c r="J3984" s="669">
        <v>0.96</v>
      </c>
    </row>
    <row r="3985" spans="1:11" ht="24" customHeight="1">
      <c r="A3985" s="672" t="s">
        <v>13467</v>
      </c>
      <c r="B3985" s="673" t="s">
        <v>14109</v>
      </c>
      <c r="C3985" s="672" t="s">
        <v>7</v>
      </c>
      <c r="D3985" s="672" t="s">
        <v>14108</v>
      </c>
      <c r="E3985" s="919" t="s">
        <v>13493</v>
      </c>
      <c r="F3985" s="919"/>
      <c r="G3985" s="671" t="s">
        <v>19</v>
      </c>
      <c r="H3985" s="670">
        <v>1</v>
      </c>
      <c r="I3985" s="669">
        <v>1.3</v>
      </c>
      <c r="J3985" s="669">
        <v>1.3</v>
      </c>
    </row>
    <row r="3986" spans="1:11" ht="24" customHeight="1">
      <c r="A3986" s="672" t="s">
        <v>13467</v>
      </c>
      <c r="B3986" s="673" t="s">
        <v>13558</v>
      </c>
      <c r="C3986" s="672" t="s">
        <v>7</v>
      </c>
      <c r="D3986" s="672" t="s">
        <v>13557</v>
      </c>
      <c r="E3986" s="919" t="s">
        <v>13556</v>
      </c>
      <c r="F3986" s="919"/>
      <c r="G3986" s="671" t="s">
        <v>19</v>
      </c>
      <c r="H3986" s="670">
        <v>1</v>
      </c>
      <c r="I3986" s="669">
        <v>0.55000000000000004</v>
      </c>
      <c r="J3986" s="669">
        <v>0.55000000000000004</v>
      </c>
    </row>
    <row r="3987" spans="1:11" ht="24" customHeight="1">
      <c r="A3987" s="672" t="s">
        <v>13467</v>
      </c>
      <c r="B3987" s="673" t="s">
        <v>14107</v>
      </c>
      <c r="C3987" s="672" t="s">
        <v>7</v>
      </c>
      <c r="D3987" s="672" t="s">
        <v>14106</v>
      </c>
      <c r="E3987" s="919" t="s">
        <v>13493</v>
      </c>
      <c r="F3987" s="919"/>
      <c r="G3987" s="671" t="s">
        <v>19</v>
      </c>
      <c r="H3987" s="670">
        <v>1</v>
      </c>
      <c r="I3987" s="669">
        <v>0.89</v>
      </c>
      <c r="J3987" s="669">
        <v>0.89</v>
      </c>
    </row>
    <row r="3988" spans="1:11" ht="24" customHeight="1">
      <c r="A3988" s="672" t="s">
        <v>13467</v>
      </c>
      <c r="B3988" s="673" t="s">
        <v>13553</v>
      </c>
      <c r="C3988" s="672" t="s">
        <v>7</v>
      </c>
      <c r="D3988" s="672" t="s">
        <v>13552</v>
      </c>
      <c r="E3988" s="919" t="s">
        <v>13551</v>
      </c>
      <c r="F3988" s="919"/>
      <c r="G3988" s="671" t="s">
        <v>19</v>
      </c>
      <c r="H3988" s="670">
        <v>1</v>
      </c>
      <c r="I3988" s="669">
        <v>0.06</v>
      </c>
      <c r="J3988" s="669">
        <v>0.06</v>
      </c>
    </row>
    <row r="3989" spans="1:11" ht="24" customHeight="1">
      <c r="A3989" s="672" t="s">
        <v>13467</v>
      </c>
      <c r="B3989" s="673" t="s">
        <v>13893</v>
      </c>
      <c r="C3989" s="672" t="s">
        <v>7</v>
      </c>
      <c r="D3989" s="672" t="s">
        <v>13892</v>
      </c>
      <c r="E3989" s="919" t="s">
        <v>13548</v>
      </c>
      <c r="F3989" s="919"/>
      <c r="G3989" s="671" t="s">
        <v>19</v>
      </c>
      <c r="H3989" s="670">
        <v>1</v>
      </c>
      <c r="I3989" s="669">
        <v>13.66</v>
      </c>
      <c r="J3989" s="669">
        <v>13.66</v>
      </c>
    </row>
    <row r="3990" spans="1:11" ht="24" customHeight="1">
      <c r="A3990" s="672" t="s">
        <v>13467</v>
      </c>
      <c r="B3990" s="673" t="s">
        <v>13547</v>
      </c>
      <c r="C3990" s="672" t="s">
        <v>7</v>
      </c>
      <c r="D3990" s="672" t="s">
        <v>13546</v>
      </c>
      <c r="E3990" s="919" t="s">
        <v>13545</v>
      </c>
      <c r="F3990" s="919"/>
      <c r="G3990" s="671" t="s">
        <v>19</v>
      </c>
      <c r="H3990" s="670">
        <v>1</v>
      </c>
      <c r="I3990" s="669">
        <v>0.71</v>
      </c>
      <c r="J3990" s="669">
        <v>0.71</v>
      </c>
    </row>
    <row r="3991" spans="1:11" ht="25.5">
      <c r="A3991" s="668"/>
      <c r="B3991" s="668"/>
      <c r="C3991" s="668"/>
      <c r="D3991" s="668"/>
      <c r="E3991" s="668" t="s">
        <v>13463</v>
      </c>
      <c r="F3991" s="667">
        <v>7.4812561000000004</v>
      </c>
      <c r="G3991" s="668" t="s">
        <v>13462</v>
      </c>
      <c r="H3991" s="667">
        <v>6.29</v>
      </c>
      <c r="I3991" s="668" t="s">
        <v>13461</v>
      </c>
      <c r="J3991" s="667">
        <v>13.77</v>
      </c>
    </row>
    <row r="3992" spans="1:11" ht="15" thickBot="1">
      <c r="A3992" s="668"/>
      <c r="B3992" s="668"/>
      <c r="C3992" s="668"/>
      <c r="D3992" s="668"/>
      <c r="E3992" s="668" t="s">
        <v>13460</v>
      </c>
      <c r="F3992" s="667">
        <v>5.15</v>
      </c>
      <c r="G3992" s="668"/>
      <c r="H3992" s="925" t="s">
        <v>13459</v>
      </c>
      <c r="I3992" s="925"/>
      <c r="J3992" s="667">
        <v>23.39</v>
      </c>
    </row>
    <row r="3993" spans="1:11" ht="0.95" customHeight="1" thickTop="1">
      <c r="A3993" s="666"/>
      <c r="B3993" s="666"/>
      <c r="C3993" s="666"/>
      <c r="D3993" s="666"/>
      <c r="E3993" s="666"/>
      <c r="F3993" s="666"/>
      <c r="G3993" s="666"/>
      <c r="H3993" s="666"/>
      <c r="I3993" s="666"/>
      <c r="J3993" s="666"/>
    </row>
    <row r="3994" spans="1:11" ht="50.1" customHeight="1">
      <c r="A3994" s="922" t="s">
        <v>14105</v>
      </c>
      <c r="B3994" s="923"/>
      <c r="C3994" s="923"/>
      <c r="D3994" s="923"/>
      <c r="E3994" s="923"/>
      <c r="F3994" s="923"/>
      <c r="G3994" s="923"/>
      <c r="H3994" s="923"/>
      <c r="I3994" s="923"/>
      <c r="J3994" s="923"/>
      <c r="K3994" s="923"/>
    </row>
    <row r="3995" spans="1:11" ht="18" customHeight="1">
      <c r="A3995" s="686"/>
      <c r="B3995" s="684" t="s">
        <v>13484</v>
      </c>
      <c r="C3995" s="686" t="s">
        <v>13483</v>
      </c>
      <c r="D3995" s="686" t="s">
        <v>13482</v>
      </c>
      <c r="E3995" s="924" t="s">
        <v>13481</v>
      </c>
      <c r="F3995" s="924"/>
      <c r="G3995" s="685" t="s">
        <v>13480</v>
      </c>
      <c r="H3995" s="684" t="s">
        <v>13479</v>
      </c>
      <c r="I3995" s="684" t="s">
        <v>13478</v>
      </c>
      <c r="J3995" s="684" t="s">
        <v>13477</v>
      </c>
    </row>
    <row r="3996" spans="1:11" ht="60" customHeight="1">
      <c r="A3996" s="682" t="s">
        <v>13476</v>
      </c>
      <c r="B3996" s="683" t="s">
        <v>14104</v>
      </c>
      <c r="C3996" s="682" t="s">
        <v>7</v>
      </c>
      <c r="D3996" s="682" t="s">
        <v>2602</v>
      </c>
      <c r="E3996" s="917" t="s">
        <v>13474</v>
      </c>
      <c r="F3996" s="917"/>
      <c r="G3996" s="681" t="s">
        <v>34</v>
      </c>
      <c r="H3996" s="680">
        <v>1</v>
      </c>
      <c r="I3996" s="679">
        <v>17.21</v>
      </c>
      <c r="J3996" s="679">
        <v>17.21</v>
      </c>
    </row>
    <row r="3997" spans="1:11" ht="24" customHeight="1">
      <c r="A3997" s="677" t="s">
        <v>13472</v>
      </c>
      <c r="B3997" s="678" t="s">
        <v>13526</v>
      </c>
      <c r="C3997" s="677" t="s">
        <v>7</v>
      </c>
      <c r="D3997" s="677" t="s">
        <v>1093</v>
      </c>
      <c r="E3997" s="918" t="s">
        <v>13470</v>
      </c>
      <c r="F3997" s="918"/>
      <c r="G3997" s="676" t="s">
        <v>19</v>
      </c>
      <c r="H3997" s="675">
        <v>0.13600000000000001</v>
      </c>
      <c r="I3997" s="674">
        <v>13.48</v>
      </c>
      <c r="J3997" s="674">
        <v>1.83</v>
      </c>
    </row>
    <row r="3998" spans="1:11" ht="24" customHeight="1">
      <c r="A3998" s="677" t="s">
        <v>13472</v>
      </c>
      <c r="B3998" s="678" t="s">
        <v>13473</v>
      </c>
      <c r="C3998" s="677" t="s">
        <v>7</v>
      </c>
      <c r="D3998" s="677" t="s">
        <v>44</v>
      </c>
      <c r="E3998" s="918" t="s">
        <v>13470</v>
      </c>
      <c r="F3998" s="918"/>
      <c r="G3998" s="676" t="s">
        <v>19</v>
      </c>
      <c r="H3998" s="675">
        <v>0.13600000000000001</v>
      </c>
      <c r="I3998" s="674">
        <v>17.66</v>
      </c>
      <c r="J3998" s="674">
        <v>2.4</v>
      </c>
    </row>
    <row r="3999" spans="1:11" ht="24" customHeight="1">
      <c r="A3999" s="672" t="s">
        <v>13467</v>
      </c>
      <c r="B3999" s="673" t="s">
        <v>14103</v>
      </c>
      <c r="C3999" s="672" t="s">
        <v>7</v>
      </c>
      <c r="D3999" s="672" t="s">
        <v>14102</v>
      </c>
      <c r="E3999" s="919" t="s">
        <v>13464</v>
      </c>
      <c r="F3999" s="919"/>
      <c r="G3999" s="671" t="s">
        <v>34</v>
      </c>
      <c r="H3999" s="670">
        <v>1</v>
      </c>
      <c r="I3999" s="669">
        <v>10.95</v>
      </c>
      <c r="J3999" s="669">
        <v>10.95</v>
      </c>
    </row>
    <row r="4000" spans="1:11" ht="24" customHeight="1">
      <c r="A4000" s="672" t="s">
        <v>13467</v>
      </c>
      <c r="B4000" s="673" t="s">
        <v>13525</v>
      </c>
      <c r="C4000" s="672" t="s">
        <v>7</v>
      </c>
      <c r="D4000" s="672" t="s">
        <v>13524</v>
      </c>
      <c r="E4000" s="919" t="s">
        <v>13464</v>
      </c>
      <c r="F4000" s="919"/>
      <c r="G4000" s="671" t="s">
        <v>34</v>
      </c>
      <c r="H4000" s="670">
        <v>4.5999999999999999E-2</v>
      </c>
      <c r="I4000" s="669">
        <v>26.38</v>
      </c>
      <c r="J4000" s="669">
        <v>1.21</v>
      </c>
    </row>
    <row r="4001" spans="1:10" ht="24" customHeight="1">
      <c r="A4001" s="672" t="s">
        <v>13467</v>
      </c>
      <c r="B4001" s="673" t="s">
        <v>13523</v>
      </c>
      <c r="C4001" s="672" t="s">
        <v>7</v>
      </c>
      <c r="D4001" s="672" t="s">
        <v>13522</v>
      </c>
      <c r="E4001" s="919" t="s">
        <v>13464</v>
      </c>
      <c r="F4001" s="919"/>
      <c r="G4001" s="671" t="s">
        <v>34</v>
      </c>
      <c r="H4001" s="670">
        <v>1.4E-2</v>
      </c>
      <c r="I4001" s="669">
        <v>2.2000000000000002</v>
      </c>
      <c r="J4001" s="669">
        <v>0.03</v>
      </c>
    </row>
    <row r="4002" spans="1:10" ht="24" customHeight="1">
      <c r="A4002" s="672" t="s">
        <v>13467</v>
      </c>
      <c r="B4002" s="673" t="s">
        <v>13521</v>
      </c>
      <c r="C4002" s="672" t="s">
        <v>7</v>
      </c>
      <c r="D4002" s="672" t="s">
        <v>13520</v>
      </c>
      <c r="E4002" s="919" t="s">
        <v>13464</v>
      </c>
      <c r="F4002" s="919"/>
      <c r="G4002" s="671" t="s">
        <v>34</v>
      </c>
      <c r="H4002" s="670">
        <v>1.0999999999999999E-2</v>
      </c>
      <c r="I4002" s="669">
        <v>72.17</v>
      </c>
      <c r="J4002" s="669">
        <v>0.79</v>
      </c>
    </row>
    <row r="4003" spans="1:10" ht="25.5">
      <c r="A4003" s="668"/>
      <c r="B4003" s="668"/>
      <c r="C4003" s="668"/>
      <c r="D4003" s="668"/>
      <c r="E4003" s="668" t="s">
        <v>13463</v>
      </c>
      <c r="F4003" s="667">
        <v>1.798326632619798</v>
      </c>
      <c r="G4003" s="668" t="s">
        <v>13462</v>
      </c>
      <c r="H4003" s="667">
        <v>1.51</v>
      </c>
      <c r="I4003" s="668" t="s">
        <v>13461</v>
      </c>
      <c r="J4003" s="667">
        <v>3.31</v>
      </c>
    </row>
    <row r="4004" spans="1:10" ht="15" thickBot="1">
      <c r="A4004" s="668"/>
      <c r="B4004" s="668"/>
      <c r="C4004" s="668"/>
      <c r="D4004" s="668"/>
      <c r="E4004" s="668" t="s">
        <v>13460</v>
      </c>
      <c r="F4004" s="667">
        <v>4.8600000000000003</v>
      </c>
      <c r="G4004" s="668"/>
      <c r="H4004" s="925" t="s">
        <v>13459</v>
      </c>
      <c r="I4004" s="925"/>
      <c r="J4004" s="667">
        <v>22.07</v>
      </c>
    </row>
    <row r="4005" spans="1:10" ht="0.95" customHeight="1" thickTop="1">
      <c r="A4005" s="666"/>
      <c r="B4005" s="666"/>
      <c r="C4005" s="666"/>
      <c r="D4005" s="666"/>
      <c r="E4005" s="666"/>
      <c r="F4005" s="666"/>
      <c r="G4005" s="666"/>
      <c r="H4005" s="666"/>
      <c r="I4005" s="666"/>
      <c r="J4005" s="666"/>
    </row>
    <row r="4006" spans="1:10" ht="18" customHeight="1">
      <c r="A4006" s="686"/>
      <c r="B4006" s="684" t="s">
        <v>13484</v>
      </c>
      <c r="C4006" s="686" t="s">
        <v>13483</v>
      </c>
      <c r="D4006" s="686" t="s">
        <v>13482</v>
      </c>
      <c r="E4006" s="924" t="s">
        <v>13481</v>
      </c>
      <c r="F4006" s="924"/>
      <c r="G4006" s="685" t="s">
        <v>13480</v>
      </c>
      <c r="H4006" s="684" t="s">
        <v>13479</v>
      </c>
      <c r="I4006" s="684" t="s">
        <v>13478</v>
      </c>
      <c r="J4006" s="684" t="s">
        <v>13477</v>
      </c>
    </row>
    <row r="4007" spans="1:10" ht="24" customHeight="1">
      <c r="A4007" s="682" t="s">
        <v>13476</v>
      </c>
      <c r="B4007" s="683" t="s">
        <v>13723</v>
      </c>
      <c r="C4007" s="682" t="s">
        <v>7</v>
      </c>
      <c r="D4007" s="682" t="s">
        <v>120</v>
      </c>
      <c r="E4007" s="917" t="s">
        <v>13470</v>
      </c>
      <c r="F4007" s="917"/>
      <c r="G4007" s="681" t="s">
        <v>19</v>
      </c>
      <c r="H4007" s="680">
        <v>1</v>
      </c>
      <c r="I4007" s="679">
        <v>13.4</v>
      </c>
      <c r="J4007" s="679">
        <v>13.4</v>
      </c>
    </row>
    <row r="4008" spans="1:10" ht="24" customHeight="1">
      <c r="A4008" s="677" t="s">
        <v>13472</v>
      </c>
      <c r="B4008" s="678" t="s">
        <v>13960</v>
      </c>
      <c r="C4008" s="677" t="s">
        <v>7</v>
      </c>
      <c r="D4008" s="677" t="s">
        <v>2724</v>
      </c>
      <c r="E4008" s="918" t="s">
        <v>13470</v>
      </c>
      <c r="F4008" s="918"/>
      <c r="G4008" s="676" t="s">
        <v>19</v>
      </c>
      <c r="H4008" s="675">
        <v>1</v>
      </c>
      <c r="I4008" s="674">
        <v>7.0000000000000007E-2</v>
      </c>
      <c r="J4008" s="674">
        <v>7.0000000000000007E-2</v>
      </c>
    </row>
    <row r="4009" spans="1:10" ht="24" customHeight="1">
      <c r="A4009" s="672" t="s">
        <v>13467</v>
      </c>
      <c r="B4009" s="673" t="s">
        <v>13959</v>
      </c>
      <c r="C4009" s="672" t="s">
        <v>7</v>
      </c>
      <c r="D4009" s="672" t="s">
        <v>13958</v>
      </c>
      <c r="E4009" s="919" t="s">
        <v>13548</v>
      </c>
      <c r="F4009" s="919"/>
      <c r="G4009" s="671" t="s">
        <v>19</v>
      </c>
      <c r="H4009" s="670">
        <v>1</v>
      </c>
      <c r="I4009" s="669">
        <v>9.52</v>
      </c>
      <c r="J4009" s="669">
        <v>9.52</v>
      </c>
    </row>
    <row r="4010" spans="1:10" ht="24" customHeight="1">
      <c r="A4010" s="672" t="s">
        <v>13467</v>
      </c>
      <c r="B4010" s="673" t="s">
        <v>13562</v>
      </c>
      <c r="C4010" s="672" t="s">
        <v>7</v>
      </c>
      <c r="D4010" s="672" t="s">
        <v>13561</v>
      </c>
      <c r="E4010" s="919" t="s">
        <v>13556</v>
      </c>
      <c r="F4010" s="919"/>
      <c r="G4010" s="671" t="s">
        <v>19</v>
      </c>
      <c r="H4010" s="670">
        <v>1</v>
      </c>
      <c r="I4010" s="669">
        <v>0.96</v>
      </c>
      <c r="J4010" s="669">
        <v>0.96</v>
      </c>
    </row>
    <row r="4011" spans="1:10" ht="24" customHeight="1">
      <c r="A4011" s="672" t="s">
        <v>13467</v>
      </c>
      <c r="B4011" s="673" t="s">
        <v>13752</v>
      </c>
      <c r="C4011" s="672" t="s">
        <v>7</v>
      </c>
      <c r="D4011" s="672" t="s">
        <v>13751</v>
      </c>
      <c r="E4011" s="919" t="s">
        <v>13493</v>
      </c>
      <c r="F4011" s="919"/>
      <c r="G4011" s="671" t="s">
        <v>19</v>
      </c>
      <c r="H4011" s="670">
        <v>1</v>
      </c>
      <c r="I4011" s="669">
        <v>0.95</v>
      </c>
      <c r="J4011" s="669">
        <v>0.95</v>
      </c>
    </row>
    <row r="4012" spans="1:10" ht="24" customHeight="1">
      <c r="A4012" s="672" t="s">
        <v>13467</v>
      </c>
      <c r="B4012" s="673" t="s">
        <v>13558</v>
      </c>
      <c r="C4012" s="672" t="s">
        <v>7</v>
      </c>
      <c r="D4012" s="672" t="s">
        <v>13557</v>
      </c>
      <c r="E4012" s="919" t="s">
        <v>13556</v>
      </c>
      <c r="F4012" s="919"/>
      <c r="G4012" s="671" t="s">
        <v>19</v>
      </c>
      <c r="H4012" s="670">
        <v>1</v>
      </c>
      <c r="I4012" s="669">
        <v>0.55000000000000004</v>
      </c>
      <c r="J4012" s="669">
        <v>0.55000000000000004</v>
      </c>
    </row>
    <row r="4013" spans="1:10" ht="24" customHeight="1">
      <c r="A4013" s="672" t="s">
        <v>13467</v>
      </c>
      <c r="B4013" s="673" t="s">
        <v>13750</v>
      </c>
      <c r="C4013" s="672" t="s">
        <v>7</v>
      </c>
      <c r="D4013" s="672" t="s">
        <v>13749</v>
      </c>
      <c r="E4013" s="919" t="s">
        <v>13493</v>
      </c>
      <c r="F4013" s="919"/>
      <c r="G4013" s="671" t="s">
        <v>19</v>
      </c>
      <c r="H4013" s="670">
        <v>1</v>
      </c>
      <c r="I4013" s="669">
        <v>0.57999999999999996</v>
      </c>
      <c r="J4013" s="669">
        <v>0.57999999999999996</v>
      </c>
    </row>
    <row r="4014" spans="1:10" ht="24" customHeight="1">
      <c r="A4014" s="672" t="s">
        <v>13467</v>
      </c>
      <c r="B4014" s="673" t="s">
        <v>13553</v>
      </c>
      <c r="C4014" s="672" t="s">
        <v>7</v>
      </c>
      <c r="D4014" s="672" t="s">
        <v>13552</v>
      </c>
      <c r="E4014" s="919" t="s">
        <v>13551</v>
      </c>
      <c r="F4014" s="919"/>
      <c r="G4014" s="671" t="s">
        <v>19</v>
      </c>
      <c r="H4014" s="670">
        <v>1</v>
      </c>
      <c r="I4014" s="669">
        <v>0.06</v>
      </c>
      <c r="J4014" s="669">
        <v>0.06</v>
      </c>
    </row>
    <row r="4015" spans="1:10" ht="24" customHeight="1">
      <c r="A4015" s="672" t="s">
        <v>13467</v>
      </c>
      <c r="B4015" s="673" t="s">
        <v>13547</v>
      </c>
      <c r="C4015" s="672" t="s">
        <v>7</v>
      </c>
      <c r="D4015" s="672" t="s">
        <v>13546</v>
      </c>
      <c r="E4015" s="919" t="s">
        <v>13545</v>
      </c>
      <c r="F4015" s="919"/>
      <c r="G4015" s="671" t="s">
        <v>19</v>
      </c>
      <c r="H4015" s="670">
        <v>1</v>
      </c>
      <c r="I4015" s="669">
        <v>0.71</v>
      </c>
      <c r="J4015" s="669">
        <v>0.71</v>
      </c>
    </row>
    <row r="4016" spans="1:10" ht="25.5">
      <c r="A4016" s="668"/>
      <c r="B4016" s="668"/>
      <c r="C4016" s="668"/>
      <c r="D4016" s="668"/>
      <c r="E4016" s="668" t="s">
        <v>13463</v>
      </c>
      <c r="F4016" s="667">
        <v>5.2102575</v>
      </c>
      <c r="G4016" s="668" t="s">
        <v>13462</v>
      </c>
      <c r="H4016" s="667">
        <v>4.38</v>
      </c>
      <c r="I4016" s="668" t="s">
        <v>13461</v>
      </c>
      <c r="J4016" s="667">
        <v>9.59</v>
      </c>
    </row>
    <row r="4017" spans="1:10" ht="15" thickBot="1">
      <c r="A4017" s="668"/>
      <c r="B4017" s="668"/>
      <c r="C4017" s="668"/>
      <c r="D4017" s="668"/>
      <c r="E4017" s="668" t="s">
        <v>13460</v>
      </c>
      <c r="F4017" s="667">
        <v>3.78</v>
      </c>
      <c r="G4017" s="668"/>
      <c r="H4017" s="925" t="s">
        <v>13459</v>
      </c>
      <c r="I4017" s="925"/>
      <c r="J4017" s="667">
        <v>17.18</v>
      </c>
    </row>
    <row r="4018" spans="1:10" ht="0.95" customHeight="1" thickTop="1">
      <c r="A4018" s="666"/>
      <c r="B4018" s="666"/>
      <c r="C4018" s="666"/>
      <c r="D4018" s="666"/>
      <c r="E4018" s="666"/>
      <c r="F4018" s="666"/>
      <c r="G4018" s="666"/>
      <c r="H4018" s="666"/>
      <c r="I4018" s="666"/>
      <c r="J4018" s="666"/>
    </row>
    <row r="4019" spans="1:10" ht="18" customHeight="1">
      <c r="A4019" s="686"/>
      <c r="B4019" s="684" t="s">
        <v>13484</v>
      </c>
      <c r="C4019" s="686" t="s">
        <v>13483</v>
      </c>
      <c r="D4019" s="686" t="s">
        <v>13482</v>
      </c>
      <c r="E4019" s="924" t="s">
        <v>13481</v>
      </c>
      <c r="F4019" s="924"/>
      <c r="G4019" s="685" t="s">
        <v>13480</v>
      </c>
      <c r="H4019" s="684" t="s">
        <v>13479</v>
      </c>
      <c r="I4019" s="684" t="s">
        <v>13478</v>
      </c>
      <c r="J4019" s="684" t="s">
        <v>13477</v>
      </c>
    </row>
    <row r="4020" spans="1:10" ht="24" customHeight="1">
      <c r="A4020" s="682" t="s">
        <v>13476</v>
      </c>
      <c r="B4020" s="683" t="s">
        <v>13644</v>
      </c>
      <c r="C4020" s="682" t="s">
        <v>7</v>
      </c>
      <c r="D4020" s="682" t="s">
        <v>39</v>
      </c>
      <c r="E4020" s="917" t="s">
        <v>13470</v>
      </c>
      <c r="F4020" s="917"/>
      <c r="G4020" s="681" t="s">
        <v>19</v>
      </c>
      <c r="H4020" s="680">
        <v>1</v>
      </c>
      <c r="I4020" s="679">
        <v>14.57</v>
      </c>
      <c r="J4020" s="679">
        <v>14.57</v>
      </c>
    </row>
    <row r="4021" spans="1:10" ht="24" customHeight="1">
      <c r="A4021" s="677" t="s">
        <v>13472</v>
      </c>
      <c r="B4021" s="678" t="s">
        <v>13957</v>
      </c>
      <c r="C4021" s="677" t="s">
        <v>7</v>
      </c>
      <c r="D4021" s="677" t="s">
        <v>2725</v>
      </c>
      <c r="E4021" s="918" t="s">
        <v>13470</v>
      </c>
      <c r="F4021" s="918"/>
      <c r="G4021" s="676" t="s">
        <v>19</v>
      </c>
      <c r="H4021" s="675">
        <v>1</v>
      </c>
      <c r="I4021" s="674">
        <v>0.11</v>
      </c>
      <c r="J4021" s="674">
        <v>0.11</v>
      </c>
    </row>
    <row r="4022" spans="1:10" ht="24" customHeight="1">
      <c r="A4022" s="672" t="s">
        <v>13467</v>
      </c>
      <c r="B4022" s="673" t="s">
        <v>13562</v>
      </c>
      <c r="C4022" s="672" t="s">
        <v>7</v>
      </c>
      <c r="D4022" s="672" t="s">
        <v>13561</v>
      </c>
      <c r="E4022" s="919" t="s">
        <v>13556</v>
      </c>
      <c r="F4022" s="919"/>
      <c r="G4022" s="671" t="s">
        <v>19</v>
      </c>
      <c r="H4022" s="670">
        <v>1</v>
      </c>
      <c r="I4022" s="669">
        <v>0.96</v>
      </c>
      <c r="J4022" s="669">
        <v>0.96</v>
      </c>
    </row>
    <row r="4023" spans="1:10" ht="24" customHeight="1">
      <c r="A4023" s="672" t="s">
        <v>13467</v>
      </c>
      <c r="B4023" s="673" t="s">
        <v>13956</v>
      </c>
      <c r="C4023" s="672" t="s">
        <v>7</v>
      </c>
      <c r="D4023" s="672" t="s">
        <v>13955</v>
      </c>
      <c r="E4023" s="919" t="s">
        <v>13548</v>
      </c>
      <c r="F4023" s="919"/>
      <c r="G4023" s="671" t="s">
        <v>19</v>
      </c>
      <c r="H4023" s="670">
        <v>1</v>
      </c>
      <c r="I4023" s="669">
        <v>10.75</v>
      </c>
      <c r="J4023" s="669">
        <v>10.75</v>
      </c>
    </row>
    <row r="4024" spans="1:10" ht="24" customHeight="1">
      <c r="A4024" s="672" t="s">
        <v>13467</v>
      </c>
      <c r="B4024" s="673" t="s">
        <v>13560</v>
      </c>
      <c r="C4024" s="672" t="s">
        <v>7</v>
      </c>
      <c r="D4024" s="672" t="s">
        <v>13559</v>
      </c>
      <c r="E4024" s="919" t="s">
        <v>13493</v>
      </c>
      <c r="F4024" s="919"/>
      <c r="G4024" s="671" t="s">
        <v>19</v>
      </c>
      <c r="H4024" s="670">
        <v>1</v>
      </c>
      <c r="I4024" s="669">
        <v>1.05</v>
      </c>
      <c r="J4024" s="669">
        <v>1.05</v>
      </c>
    </row>
    <row r="4025" spans="1:10" ht="24" customHeight="1">
      <c r="A4025" s="672" t="s">
        <v>13467</v>
      </c>
      <c r="B4025" s="673" t="s">
        <v>13558</v>
      </c>
      <c r="C4025" s="672" t="s">
        <v>7</v>
      </c>
      <c r="D4025" s="672" t="s">
        <v>13557</v>
      </c>
      <c r="E4025" s="919" t="s">
        <v>13556</v>
      </c>
      <c r="F4025" s="919"/>
      <c r="G4025" s="671" t="s">
        <v>19</v>
      </c>
      <c r="H4025" s="670">
        <v>1</v>
      </c>
      <c r="I4025" s="669">
        <v>0.55000000000000004</v>
      </c>
      <c r="J4025" s="669">
        <v>0.55000000000000004</v>
      </c>
    </row>
    <row r="4026" spans="1:10" ht="24" customHeight="1">
      <c r="A4026" s="672" t="s">
        <v>13467</v>
      </c>
      <c r="B4026" s="673" t="s">
        <v>13555</v>
      </c>
      <c r="C4026" s="672" t="s">
        <v>7</v>
      </c>
      <c r="D4026" s="672" t="s">
        <v>13554</v>
      </c>
      <c r="E4026" s="919" t="s">
        <v>13493</v>
      </c>
      <c r="F4026" s="919"/>
      <c r="G4026" s="671" t="s">
        <v>19</v>
      </c>
      <c r="H4026" s="670">
        <v>1</v>
      </c>
      <c r="I4026" s="669">
        <v>0.38</v>
      </c>
      <c r="J4026" s="669">
        <v>0.38</v>
      </c>
    </row>
    <row r="4027" spans="1:10" ht="24" customHeight="1">
      <c r="A4027" s="672" t="s">
        <v>13467</v>
      </c>
      <c r="B4027" s="673" t="s">
        <v>13553</v>
      </c>
      <c r="C4027" s="672" t="s">
        <v>7</v>
      </c>
      <c r="D4027" s="672" t="s">
        <v>13552</v>
      </c>
      <c r="E4027" s="919" t="s">
        <v>13551</v>
      </c>
      <c r="F4027" s="919"/>
      <c r="G4027" s="671" t="s">
        <v>19</v>
      </c>
      <c r="H4027" s="670">
        <v>1</v>
      </c>
      <c r="I4027" s="669">
        <v>0.06</v>
      </c>
      <c r="J4027" s="669">
        <v>0.06</v>
      </c>
    </row>
    <row r="4028" spans="1:10" ht="24" customHeight="1">
      <c r="A4028" s="672" t="s">
        <v>13467</v>
      </c>
      <c r="B4028" s="673" t="s">
        <v>13547</v>
      </c>
      <c r="C4028" s="672" t="s">
        <v>7</v>
      </c>
      <c r="D4028" s="672" t="s">
        <v>13546</v>
      </c>
      <c r="E4028" s="919" t="s">
        <v>13545</v>
      </c>
      <c r="F4028" s="919"/>
      <c r="G4028" s="671" t="s">
        <v>19</v>
      </c>
      <c r="H4028" s="670">
        <v>1</v>
      </c>
      <c r="I4028" s="669">
        <v>0.71</v>
      </c>
      <c r="J4028" s="669">
        <v>0.71</v>
      </c>
    </row>
    <row r="4029" spans="1:10" ht="25.5">
      <c r="A4029" s="668"/>
      <c r="B4029" s="668"/>
      <c r="C4029" s="668"/>
      <c r="D4029" s="668"/>
      <c r="E4029" s="668" t="s">
        <v>13463</v>
      </c>
      <c r="F4029" s="667">
        <v>5.9002499000000004</v>
      </c>
      <c r="G4029" s="668" t="s">
        <v>13462</v>
      </c>
      <c r="H4029" s="667">
        <v>4.96</v>
      </c>
      <c r="I4029" s="668" t="s">
        <v>13461</v>
      </c>
      <c r="J4029" s="667">
        <v>10.86</v>
      </c>
    </row>
    <row r="4030" spans="1:10" ht="15" thickBot="1">
      <c r="A4030" s="668"/>
      <c r="B4030" s="668"/>
      <c r="C4030" s="668"/>
      <c r="D4030" s="668"/>
      <c r="E4030" s="668" t="s">
        <v>13460</v>
      </c>
      <c r="F4030" s="667">
        <v>4.1100000000000003</v>
      </c>
      <c r="G4030" s="668"/>
      <c r="H4030" s="925" t="s">
        <v>13459</v>
      </c>
      <c r="I4030" s="925"/>
      <c r="J4030" s="667">
        <v>18.68</v>
      </c>
    </row>
    <row r="4031" spans="1:10" ht="0.95" customHeight="1" thickTop="1">
      <c r="A4031" s="666"/>
      <c r="B4031" s="666"/>
      <c r="C4031" s="666"/>
      <c r="D4031" s="666"/>
      <c r="E4031" s="666"/>
      <c r="F4031" s="666"/>
      <c r="G4031" s="666"/>
      <c r="H4031" s="666"/>
      <c r="I4031" s="666"/>
      <c r="J4031" s="666"/>
    </row>
    <row r="4032" spans="1:10" ht="18" customHeight="1">
      <c r="A4032" s="686"/>
      <c r="B4032" s="684" t="s">
        <v>13484</v>
      </c>
      <c r="C4032" s="686" t="s">
        <v>13483</v>
      </c>
      <c r="D4032" s="686" t="s">
        <v>13482</v>
      </c>
      <c r="E4032" s="924" t="s">
        <v>13481</v>
      </c>
      <c r="F4032" s="924"/>
      <c r="G4032" s="685" t="s">
        <v>13480</v>
      </c>
      <c r="H4032" s="684" t="s">
        <v>13479</v>
      </c>
      <c r="I4032" s="684" t="s">
        <v>13478</v>
      </c>
      <c r="J4032" s="684" t="s">
        <v>13477</v>
      </c>
    </row>
    <row r="4033" spans="1:10" ht="24" customHeight="1">
      <c r="A4033" s="682" t="s">
        <v>13476</v>
      </c>
      <c r="B4033" s="683" t="s">
        <v>14101</v>
      </c>
      <c r="C4033" s="682" t="s">
        <v>7</v>
      </c>
      <c r="D4033" s="682" t="s">
        <v>124</v>
      </c>
      <c r="E4033" s="917" t="s">
        <v>13470</v>
      </c>
      <c r="F4033" s="917"/>
      <c r="G4033" s="681" t="s">
        <v>19</v>
      </c>
      <c r="H4033" s="680">
        <v>1</v>
      </c>
      <c r="I4033" s="679">
        <v>16.98</v>
      </c>
      <c r="J4033" s="679">
        <v>16.98</v>
      </c>
    </row>
    <row r="4034" spans="1:10" ht="24" customHeight="1">
      <c r="A4034" s="677" t="s">
        <v>13472</v>
      </c>
      <c r="B4034" s="678" t="s">
        <v>13954</v>
      </c>
      <c r="C4034" s="677" t="s">
        <v>7</v>
      </c>
      <c r="D4034" s="677" t="s">
        <v>2729</v>
      </c>
      <c r="E4034" s="918" t="s">
        <v>13470</v>
      </c>
      <c r="F4034" s="918"/>
      <c r="G4034" s="676" t="s">
        <v>19</v>
      </c>
      <c r="H4034" s="675">
        <v>1</v>
      </c>
      <c r="I4034" s="674">
        <v>0.1</v>
      </c>
      <c r="J4034" s="674">
        <v>0.1</v>
      </c>
    </row>
    <row r="4035" spans="1:10" ht="24" customHeight="1">
      <c r="A4035" s="672" t="s">
        <v>13467</v>
      </c>
      <c r="B4035" s="673" t="s">
        <v>13562</v>
      </c>
      <c r="C4035" s="672" t="s">
        <v>7</v>
      </c>
      <c r="D4035" s="672" t="s">
        <v>13561</v>
      </c>
      <c r="E4035" s="919" t="s">
        <v>13556</v>
      </c>
      <c r="F4035" s="919"/>
      <c r="G4035" s="671" t="s">
        <v>19</v>
      </c>
      <c r="H4035" s="670">
        <v>1</v>
      </c>
      <c r="I4035" s="669">
        <v>0.96</v>
      </c>
      <c r="J4035" s="669">
        <v>0.96</v>
      </c>
    </row>
    <row r="4036" spans="1:10" ht="24" customHeight="1">
      <c r="A4036" s="672" t="s">
        <v>13467</v>
      </c>
      <c r="B4036" s="673" t="s">
        <v>13953</v>
      </c>
      <c r="C4036" s="672" t="s">
        <v>7</v>
      </c>
      <c r="D4036" s="672" t="s">
        <v>13952</v>
      </c>
      <c r="E4036" s="919" t="s">
        <v>13548</v>
      </c>
      <c r="F4036" s="919"/>
      <c r="G4036" s="671" t="s">
        <v>19</v>
      </c>
      <c r="H4036" s="670">
        <v>1</v>
      </c>
      <c r="I4036" s="669">
        <v>13.18</v>
      </c>
      <c r="J4036" s="669">
        <v>13.18</v>
      </c>
    </row>
    <row r="4037" spans="1:10" ht="24" customHeight="1">
      <c r="A4037" s="672" t="s">
        <v>13467</v>
      </c>
      <c r="B4037" s="673" t="s">
        <v>14100</v>
      </c>
      <c r="C4037" s="672" t="s">
        <v>7</v>
      </c>
      <c r="D4037" s="672" t="s">
        <v>14099</v>
      </c>
      <c r="E4037" s="919" t="s">
        <v>13493</v>
      </c>
      <c r="F4037" s="919"/>
      <c r="G4037" s="671" t="s">
        <v>19</v>
      </c>
      <c r="H4037" s="670">
        <v>1</v>
      </c>
      <c r="I4037" s="669">
        <v>1.01</v>
      </c>
      <c r="J4037" s="669">
        <v>1.01</v>
      </c>
    </row>
    <row r="4038" spans="1:10" ht="24" customHeight="1">
      <c r="A4038" s="672" t="s">
        <v>13467</v>
      </c>
      <c r="B4038" s="673" t="s">
        <v>13558</v>
      </c>
      <c r="C4038" s="672" t="s">
        <v>7</v>
      </c>
      <c r="D4038" s="672" t="s">
        <v>13557</v>
      </c>
      <c r="E4038" s="919" t="s">
        <v>13556</v>
      </c>
      <c r="F4038" s="919"/>
      <c r="G4038" s="671" t="s">
        <v>19</v>
      </c>
      <c r="H4038" s="670">
        <v>1</v>
      </c>
      <c r="I4038" s="669">
        <v>0.55000000000000004</v>
      </c>
      <c r="J4038" s="669">
        <v>0.55000000000000004</v>
      </c>
    </row>
    <row r="4039" spans="1:10" ht="24" customHeight="1">
      <c r="A4039" s="672" t="s">
        <v>13467</v>
      </c>
      <c r="B4039" s="673" t="s">
        <v>14098</v>
      </c>
      <c r="C4039" s="672" t="s">
        <v>7</v>
      </c>
      <c r="D4039" s="672" t="s">
        <v>14097</v>
      </c>
      <c r="E4039" s="919" t="s">
        <v>13493</v>
      </c>
      <c r="F4039" s="919"/>
      <c r="G4039" s="671" t="s">
        <v>19</v>
      </c>
      <c r="H4039" s="670">
        <v>1</v>
      </c>
      <c r="I4039" s="669">
        <v>0.41</v>
      </c>
      <c r="J4039" s="669">
        <v>0.41</v>
      </c>
    </row>
    <row r="4040" spans="1:10" ht="24" customHeight="1">
      <c r="A4040" s="672" t="s">
        <v>13467</v>
      </c>
      <c r="B4040" s="673" t="s">
        <v>13553</v>
      </c>
      <c r="C4040" s="672" t="s">
        <v>7</v>
      </c>
      <c r="D4040" s="672" t="s">
        <v>13552</v>
      </c>
      <c r="E4040" s="919" t="s">
        <v>13551</v>
      </c>
      <c r="F4040" s="919"/>
      <c r="G4040" s="671" t="s">
        <v>19</v>
      </c>
      <c r="H4040" s="670">
        <v>1</v>
      </c>
      <c r="I4040" s="669">
        <v>0.06</v>
      </c>
      <c r="J4040" s="669">
        <v>0.06</v>
      </c>
    </row>
    <row r="4041" spans="1:10" ht="24" customHeight="1">
      <c r="A4041" s="672" t="s">
        <v>13467</v>
      </c>
      <c r="B4041" s="673" t="s">
        <v>13547</v>
      </c>
      <c r="C4041" s="672" t="s">
        <v>7</v>
      </c>
      <c r="D4041" s="672" t="s">
        <v>13546</v>
      </c>
      <c r="E4041" s="919" t="s">
        <v>13545</v>
      </c>
      <c r="F4041" s="919"/>
      <c r="G4041" s="671" t="s">
        <v>19</v>
      </c>
      <c r="H4041" s="670">
        <v>1</v>
      </c>
      <c r="I4041" s="669">
        <v>0.71</v>
      </c>
      <c r="J4041" s="669">
        <v>0.71</v>
      </c>
    </row>
    <row r="4042" spans="1:10" ht="25.5">
      <c r="A4042" s="668"/>
      <c r="B4042" s="668"/>
      <c r="C4042" s="668"/>
      <c r="D4042" s="668"/>
      <c r="E4042" s="668" t="s">
        <v>13463</v>
      </c>
      <c r="F4042" s="667">
        <v>7.2150385999999997</v>
      </c>
      <c r="G4042" s="668" t="s">
        <v>13462</v>
      </c>
      <c r="H4042" s="667">
        <v>6.06</v>
      </c>
      <c r="I4042" s="668" t="s">
        <v>13461</v>
      </c>
      <c r="J4042" s="667">
        <v>13.28</v>
      </c>
    </row>
    <row r="4043" spans="1:10" ht="15" thickBot="1">
      <c r="A4043" s="668"/>
      <c r="B4043" s="668"/>
      <c r="C4043" s="668"/>
      <c r="D4043" s="668"/>
      <c r="E4043" s="668" t="s">
        <v>13460</v>
      </c>
      <c r="F4043" s="667">
        <v>4.79</v>
      </c>
      <c r="G4043" s="668"/>
      <c r="H4043" s="925" t="s">
        <v>13459</v>
      </c>
      <c r="I4043" s="925"/>
      <c r="J4043" s="667">
        <v>21.77</v>
      </c>
    </row>
    <row r="4044" spans="1:10" ht="0.95" customHeight="1" thickTop="1">
      <c r="A4044" s="666"/>
      <c r="B4044" s="666"/>
      <c r="C4044" s="666"/>
      <c r="D4044" s="666"/>
      <c r="E4044" s="666"/>
      <c r="F4044" s="666"/>
      <c r="G4044" s="666"/>
      <c r="H4044" s="666"/>
      <c r="I4044" s="666"/>
      <c r="J4044" s="666"/>
    </row>
    <row r="4045" spans="1:10" ht="18" customHeight="1">
      <c r="A4045" s="686"/>
      <c r="B4045" s="684" t="s">
        <v>13484</v>
      </c>
      <c r="C4045" s="686" t="s">
        <v>13483</v>
      </c>
      <c r="D4045" s="686" t="s">
        <v>13482</v>
      </c>
      <c r="E4045" s="924" t="s">
        <v>13481</v>
      </c>
      <c r="F4045" s="924"/>
      <c r="G4045" s="685" t="s">
        <v>13480</v>
      </c>
      <c r="H4045" s="684" t="s">
        <v>13479</v>
      </c>
      <c r="I4045" s="684" t="s">
        <v>13478</v>
      </c>
      <c r="J4045" s="684" t="s">
        <v>13477</v>
      </c>
    </row>
    <row r="4046" spans="1:10" ht="36" customHeight="1">
      <c r="A4046" s="682" t="s">
        <v>13476</v>
      </c>
      <c r="B4046" s="683" t="s">
        <v>14096</v>
      </c>
      <c r="C4046" s="682" t="s">
        <v>7</v>
      </c>
      <c r="D4046" s="682" t="s">
        <v>4417</v>
      </c>
      <c r="E4046" s="917" t="s">
        <v>13470</v>
      </c>
      <c r="F4046" s="917"/>
      <c r="G4046" s="681" t="s">
        <v>13515</v>
      </c>
      <c r="H4046" s="680">
        <v>1</v>
      </c>
      <c r="I4046" s="679">
        <v>1663.09</v>
      </c>
      <c r="J4046" s="679">
        <v>1663.09</v>
      </c>
    </row>
    <row r="4047" spans="1:10" ht="36" customHeight="1">
      <c r="A4047" s="677" t="s">
        <v>13472</v>
      </c>
      <c r="B4047" s="678" t="s">
        <v>13596</v>
      </c>
      <c r="C4047" s="677" t="s">
        <v>7</v>
      </c>
      <c r="D4047" s="677" t="s">
        <v>184</v>
      </c>
      <c r="E4047" s="918" t="s">
        <v>13491</v>
      </c>
      <c r="F4047" s="918"/>
      <c r="G4047" s="676" t="s">
        <v>38</v>
      </c>
      <c r="H4047" s="675">
        <v>0.67</v>
      </c>
      <c r="I4047" s="674">
        <v>15.29</v>
      </c>
      <c r="J4047" s="674">
        <v>10.24</v>
      </c>
    </row>
    <row r="4048" spans="1:10" ht="36" customHeight="1">
      <c r="A4048" s="677" t="s">
        <v>13472</v>
      </c>
      <c r="B4048" s="678" t="s">
        <v>13597</v>
      </c>
      <c r="C4048" s="677" t="s">
        <v>7</v>
      </c>
      <c r="D4048" s="677" t="s">
        <v>189</v>
      </c>
      <c r="E4048" s="918" t="s">
        <v>13491</v>
      </c>
      <c r="F4048" s="918"/>
      <c r="G4048" s="676" t="s">
        <v>53</v>
      </c>
      <c r="H4048" s="675">
        <v>3.57</v>
      </c>
      <c r="I4048" s="674">
        <v>5.71</v>
      </c>
      <c r="J4048" s="674">
        <v>20.38</v>
      </c>
    </row>
    <row r="4049" spans="1:10" ht="24" customHeight="1">
      <c r="A4049" s="677" t="s">
        <v>13472</v>
      </c>
      <c r="B4049" s="678" t="s">
        <v>13690</v>
      </c>
      <c r="C4049" s="677" t="s">
        <v>7</v>
      </c>
      <c r="D4049" s="677" t="s">
        <v>1097</v>
      </c>
      <c r="E4049" s="918" t="s">
        <v>13470</v>
      </c>
      <c r="F4049" s="918"/>
      <c r="G4049" s="676" t="s">
        <v>19</v>
      </c>
      <c r="H4049" s="675">
        <v>4.24</v>
      </c>
      <c r="I4049" s="674">
        <v>12.73</v>
      </c>
      <c r="J4049" s="674">
        <v>53.97</v>
      </c>
    </row>
    <row r="4050" spans="1:10" ht="36" customHeight="1">
      <c r="A4050" s="672" t="s">
        <v>13467</v>
      </c>
      <c r="B4050" s="673" t="s">
        <v>14095</v>
      </c>
      <c r="C4050" s="672" t="s">
        <v>7</v>
      </c>
      <c r="D4050" s="672" t="s">
        <v>14094</v>
      </c>
      <c r="E4050" s="919" t="s">
        <v>13464</v>
      </c>
      <c r="F4050" s="919"/>
      <c r="G4050" s="671" t="s">
        <v>17</v>
      </c>
      <c r="H4050" s="670">
        <v>1857.06</v>
      </c>
      <c r="I4050" s="669">
        <v>0.85</v>
      </c>
      <c r="J4050" s="669">
        <v>1578.5</v>
      </c>
    </row>
    <row r="4051" spans="1:10" ht="25.5">
      <c r="A4051" s="668"/>
      <c r="B4051" s="668"/>
      <c r="C4051" s="668"/>
      <c r="D4051" s="668"/>
      <c r="E4051" s="668" t="s">
        <v>13463</v>
      </c>
      <c r="F4051" s="667">
        <v>22.595892643703142</v>
      </c>
      <c r="G4051" s="668" t="s">
        <v>13462</v>
      </c>
      <c r="H4051" s="667">
        <v>18.989999999999998</v>
      </c>
      <c r="I4051" s="668" t="s">
        <v>13461</v>
      </c>
      <c r="J4051" s="667">
        <v>41.59</v>
      </c>
    </row>
    <row r="4052" spans="1:10" ht="15" thickBot="1">
      <c r="A4052" s="668"/>
      <c r="B4052" s="668"/>
      <c r="C4052" s="668"/>
      <c r="D4052" s="668"/>
      <c r="E4052" s="668" t="s">
        <v>13460</v>
      </c>
      <c r="F4052" s="667">
        <v>469.65</v>
      </c>
      <c r="G4052" s="668"/>
      <c r="H4052" s="925" t="s">
        <v>13459</v>
      </c>
      <c r="I4052" s="925"/>
      <c r="J4052" s="667">
        <v>2132.7399999999998</v>
      </c>
    </row>
    <row r="4053" spans="1:10" ht="0.95" customHeight="1" thickTop="1">
      <c r="A4053" s="666"/>
      <c r="B4053" s="666"/>
      <c r="C4053" s="666"/>
      <c r="D4053" s="666"/>
      <c r="E4053" s="666"/>
      <c r="F4053" s="666"/>
      <c r="G4053" s="666"/>
      <c r="H4053" s="666"/>
      <c r="I4053" s="666"/>
      <c r="J4053" s="666"/>
    </row>
    <row r="4054" spans="1:10" ht="18" customHeight="1">
      <c r="A4054" s="686"/>
      <c r="B4054" s="684" t="s">
        <v>13484</v>
      </c>
      <c r="C4054" s="686" t="s">
        <v>13483</v>
      </c>
      <c r="D4054" s="686" t="s">
        <v>13482</v>
      </c>
      <c r="E4054" s="924" t="s">
        <v>13481</v>
      </c>
      <c r="F4054" s="924"/>
      <c r="G4054" s="685" t="s">
        <v>13480</v>
      </c>
      <c r="H4054" s="684" t="s">
        <v>13479</v>
      </c>
      <c r="I4054" s="684" t="s">
        <v>13478</v>
      </c>
      <c r="J4054" s="684" t="s">
        <v>13477</v>
      </c>
    </row>
    <row r="4055" spans="1:10" ht="36" customHeight="1">
      <c r="A4055" s="682" t="s">
        <v>13476</v>
      </c>
      <c r="B4055" s="683" t="s">
        <v>14093</v>
      </c>
      <c r="C4055" s="682" t="s">
        <v>7</v>
      </c>
      <c r="D4055" s="682" t="s">
        <v>4419</v>
      </c>
      <c r="E4055" s="917" t="s">
        <v>13470</v>
      </c>
      <c r="F4055" s="917"/>
      <c r="G4055" s="681" t="s">
        <v>13515</v>
      </c>
      <c r="H4055" s="680">
        <v>1</v>
      </c>
      <c r="I4055" s="679">
        <v>413.9</v>
      </c>
      <c r="J4055" s="679">
        <v>413.9</v>
      </c>
    </row>
    <row r="4056" spans="1:10" ht="48" customHeight="1">
      <c r="A4056" s="677" t="s">
        <v>13472</v>
      </c>
      <c r="B4056" s="678" t="s">
        <v>14061</v>
      </c>
      <c r="C4056" s="677" t="s">
        <v>7</v>
      </c>
      <c r="D4056" s="677" t="s">
        <v>1148</v>
      </c>
      <c r="E4056" s="918" t="s">
        <v>13491</v>
      </c>
      <c r="F4056" s="918"/>
      <c r="G4056" s="676" t="s">
        <v>38</v>
      </c>
      <c r="H4056" s="675">
        <v>0.9</v>
      </c>
      <c r="I4056" s="674">
        <v>1.68</v>
      </c>
      <c r="J4056" s="674">
        <v>1.51</v>
      </c>
    </row>
    <row r="4057" spans="1:10" ht="48" customHeight="1">
      <c r="A4057" s="677" t="s">
        <v>13472</v>
      </c>
      <c r="B4057" s="678" t="s">
        <v>14062</v>
      </c>
      <c r="C4057" s="677" t="s">
        <v>7</v>
      </c>
      <c r="D4057" s="677" t="s">
        <v>1149</v>
      </c>
      <c r="E4057" s="918" t="s">
        <v>13491</v>
      </c>
      <c r="F4057" s="918"/>
      <c r="G4057" s="676" t="s">
        <v>53</v>
      </c>
      <c r="H4057" s="675">
        <v>2.98</v>
      </c>
      <c r="I4057" s="674">
        <v>0.34</v>
      </c>
      <c r="J4057" s="674">
        <v>1.01</v>
      </c>
    </row>
    <row r="4058" spans="1:10" ht="24" customHeight="1">
      <c r="A4058" s="677" t="s">
        <v>13472</v>
      </c>
      <c r="B4058" s="678" t="s">
        <v>13690</v>
      </c>
      <c r="C4058" s="677" t="s">
        <v>7</v>
      </c>
      <c r="D4058" s="677" t="s">
        <v>1097</v>
      </c>
      <c r="E4058" s="918" t="s">
        <v>13470</v>
      </c>
      <c r="F4058" s="918"/>
      <c r="G4058" s="676" t="s">
        <v>19</v>
      </c>
      <c r="H4058" s="675">
        <v>3.88</v>
      </c>
      <c r="I4058" s="674">
        <v>12.73</v>
      </c>
      <c r="J4058" s="674">
        <v>49.39</v>
      </c>
    </row>
    <row r="4059" spans="1:10" ht="24" customHeight="1">
      <c r="A4059" s="672" t="s">
        <v>13467</v>
      </c>
      <c r="B4059" s="673" t="s">
        <v>13608</v>
      </c>
      <c r="C4059" s="672" t="s">
        <v>7</v>
      </c>
      <c r="D4059" s="672" t="s">
        <v>13607</v>
      </c>
      <c r="E4059" s="919" t="s">
        <v>13464</v>
      </c>
      <c r="F4059" s="919"/>
      <c r="G4059" s="671" t="s">
        <v>13515</v>
      </c>
      <c r="H4059" s="670">
        <v>1.1299999999999999</v>
      </c>
      <c r="I4059" s="669">
        <v>74.59</v>
      </c>
      <c r="J4059" s="669">
        <v>84.28</v>
      </c>
    </row>
    <row r="4060" spans="1:10" ht="24" customHeight="1">
      <c r="A4060" s="672" t="s">
        <v>13467</v>
      </c>
      <c r="B4060" s="673" t="s">
        <v>14087</v>
      </c>
      <c r="C4060" s="672" t="s">
        <v>7</v>
      </c>
      <c r="D4060" s="672" t="s">
        <v>14086</v>
      </c>
      <c r="E4060" s="919" t="s">
        <v>13464</v>
      </c>
      <c r="F4060" s="919"/>
      <c r="G4060" s="671" t="s">
        <v>17</v>
      </c>
      <c r="H4060" s="670">
        <v>75.47</v>
      </c>
      <c r="I4060" s="669">
        <v>0.8</v>
      </c>
      <c r="J4060" s="669">
        <v>60.37</v>
      </c>
    </row>
    <row r="4061" spans="1:10" ht="24" customHeight="1">
      <c r="A4061" s="672" t="s">
        <v>13467</v>
      </c>
      <c r="B4061" s="673" t="s">
        <v>13997</v>
      </c>
      <c r="C4061" s="672" t="s">
        <v>7</v>
      </c>
      <c r="D4061" s="672" t="s">
        <v>13996</v>
      </c>
      <c r="E4061" s="919" t="s">
        <v>13464</v>
      </c>
      <c r="F4061" s="919"/>
      <c r="G4061" s="671" t="s">
        <v>17</v>
      </c>
      <c r="H4061" s="670">
        <v>339.6</v>
      </c>
      <c r="I4061" s="669">
        <v>0.64</v>
      </c>
      <c r="J4061" s="669">
        <v>217.34</v>
      </c>
    </row>
    <row r="4062" spans="1:10" ht="25.5">
      <c r="A4062" s="668"/>
      <c r="B4062" s="668"/>
      <c r="C4062" s="668"/>
      <c r="D4062" s="668"/>
      <c r="E4062" s="668" t="s">
        <v>13463</v>
      </c>
      <c r="F4062" s="667">
        <v>20.678039769640336</v>
      </c>
      <c r="G4062" s="668" t="s">
        <v>13462</v>
      </c>
      <c r="H4062" s="667">
        <v>17.38</v>
      </c>
      <c r="I4062" s="668" t="s">
        <v>13461</v>
      </c>
      <c r="J4062" s="667">
        <v>38.06</v>
      </c>
    </row>
    <row r="4063" spans="1:10" ht="15" thickBot="1">
      <c r="A4063" s="668"/>
      <c r="B4063" s="668"/>
      <c r="C4063" s="668"/>
      <c r="D4063" s="668"/>
      <c r="E4063" s="668" t="s">
        <v>13460</v>
      </c>
      <c r="F4063" s="667">
        <v>116.88</v>
      </c>
      <c r="G4063" s="668"/>
      <c r="H4063" s="925" t="s">
        <v>13459</v>
      </c>
      <c r="I4063" s="925"/>
      <c r="J4063" s="667">
        <v>530.78</v>
      </c>
    </row>
    <row r="4064" spans="1:10" ht="0.95" customHeight="1" thickTop="1">
      <c r="A4064" s="666"/>
      <c r="B4064" s="666"/>
      <c r="C4064" s="666"/>
      <c r="D4064" s="666"/>
      <c r="E4064" s="666"/>
      <c r="F4064" s="666"/>
      <c r="G4064" s="666"/>
      <c r="H4064" s="666"/>
      <c r="I4064" s="666"/>
      <c r="J4064" s="666"/>
    </row>
    <row r="4065" spans="1:10" ht="18" customHeight="1">
      <c r="A4065" s="686"/>
      <c r="B4065" s="684" t="s">
        <v>13484</v>
      </c>
      <c r="C4065" s="686" t="s">
        <v>13483</v>
      </c>
      <c r="D4065" s="686" t="s">
        <v>13482</v>
      </c>
      <c r="E4065" s="924" t="s">
        <v>13481</v>
      </c>
      <c r="F4065" s="924"/>
      <c r="G4065" s="685" t="s">
        <v>13480</v>
      </c>
      <c r="H4065" s="684" t="s">
        <v>13479</v>
      </c>
      <c r="I4065" s="684" t="s">
        <v>13478</v>
      </c>
      <c r="J4065" s="684" t="s">
        <v>13477</v>
      </c>
    </row>
    <row r="4066" spans="1:10" ht="48" customHeight="1">
      <c r="A4066" s="682" t="s">
        <v>13476</v>
      </c>
      <c r="B4066" s="683" t="s">
        <v>14092</v>
      </c>
      <c r="C4066" s="682" t="s">
        <v>7</v>
      </c>
      <c r="D4066" s="682" t="s">
        <v>4382</v>
      </c>
      <c r="E4066" s="917" t="s">
        <v>13470</v>
      </c>
      <c r="F4066" s="917"/>
      <c r="G4066" s="681" t="s">
        <v>13515</v>
      </c>
      <c r="H4066" s="680">
        <v>1</v>
      </c>
      <c r="I4066" s="679">
        <v>504.68</v>
      </c>
      <c r="J4066" s="679">
        <v>504.68</v>
      </c>
    </row>
    <row r="4067" spans="1:10" ht="24" customHeight="1">
      <c r="A4067" s="677" t="s">
        <v>13472</v>
      </c>
      <c r="B4067" s="678" t="s">
        <v>13471</v>
      </c>
      <c r="C4067" s="677" t="s">
        <v>7</v>
      </c>
      <c r="D4067" s="677" t="s">
        <v>21</v>
      </c>
      <c r="E4067" s="918" t="s">
        <v>13470</v>
      </c>
      <c r="F4067" s="918"/>
      <c r="G4067" s="676" t="s">
        <v>19</v>
      </c>
      <c r="H4067" s="675">
        <v>11.23</v>
      </c>
      <c r="I4067" s="674">
        <v>14.02</v>
      </c>
      <c r="J4067" s="674">
        <v>157.44</v>
      </c>
    </row>
    <row r="4068" spans="1:10" ht="24" customHeight="1">
      <c r="A4068" s="672" t="s">
        <v>13467</v>
      </c>
      <c r="B4068" s="673" t="s">
        <v>13608</v>
      </c>
      <c r="C4068" s="672" t="s">
        <v>7</v>
      </c>
      <c r="D4068" s="672" t="s">
        <v>13607</v>
      </c>
      <c r="E4068" s="919" t="s">
        <v>13464</v>
      </c>
      <c r="F4068" s="919"/>
      <c r="G4068" s="671" t="s">
        <v>13515</v>
      </c>
      <c r="H4068" s="670">
        <v>1.1599999999999999</v>
      </c>
      <c r="I4068" s="669">
        <v>74.59</v>
      </c>
      <c r="J4068" s="669">
        <v>86.52</v>
      </c>
    </row>
    <row r="4069" spans="1:10" ht="24" customHeight="1">
      <c r="A4069" s="672" t="s">
        <v>13467</v>
      </c>
      <c r="B4069" s="673" t="s">
        <v>14087</v>
      </c>
      <c r="C4069" s="672" t="s">
        <v>7</v>
      </c>
      <c r="D4069" s="672" t="s">
        <v>14086</v>
      </c>
      <c r="E4069" s="919" t="s">
        <v>13464</v>
      </c>
      <c r="F4069" s="919"/>
      <c r="G4069" s="671" t="s">
        <v>17</v>
      </c>
      <c r="H4069" s="670">
        <v>116.4</v>
      </c>
      <c r="I4069" s="669">
        <v>0.8</v>
      </c>
      <c r="J4069" s="669">
        <v>93.12</v>
      </c>
    </row>
    <row r="4070" spans="1:10" ht="24" customHeight="1">
      <c r="A4070" s="672" t="s">
        <v>13467</v>
      </c>
      <c r="B4070" s="673" t="s">
        <v>13997</v>
      </c>
      <c r="C4070" s="672" t="s">
        <v>7</v>
      </c>
      <c r="D4070" s="672" t="s">
        <v>13996</v>
      </c>
      <c r="E4070" s="919" t="s">
        <v>13464</v>
      </c>
      <c r="F4070" s="919"/>
      <c r="G4070" s="671" t="s">
        <v>17</v>
      </c>
      <c r="H4070" s="670">
        <v>261.89</v>
      </c>
      <c r="I4070" s="669">
        <v>0.64</v>
      </c>
      <c r="J4070" s="669">
        <v>167.6</v>
      </c>
    </row>
    <row r="4071" spans="1:10" ht="25.5">
      <c r="A4071" s="668"/>
      <c r="B4071" s="668"/>
      <c r="C4071" s="668"/>
      <c r="D4071" s="668"/>
      <c r="E4071" s="668" t="s">
        <v>13463</v>
      </c>
      <c r="F4071" s="667">
        <v>62.963164185591658</v>
      </c>
      <c r="G4071" s="668" t="s">
        <v>13462</v>
      </c>
      <c r="H4071" s="667">
        <v>52.93</v>
      </c>
      <c r="I4071" s="668" t="s">
        <v>13461</v>
      </c>
      <c r="J4071" s="667">
        <v>115.89</v>
      </c>
    </row>
    <row r="4072" spans="1:10" ht="15" thickBot="1">
      <c r="A4072" s="668"/>
      <c r="B4072" s="668"/>
      <c r="C4072" s="668"/>
      <c r="D4072" s="668"/>
      <c r="E4072" s="668" t="s">
        <v>13460</v>
      </c>
      <c r="F4072" s="667">
        <v>142.52000000000001</v>
      </c>
      <c r="G4072" s="668"/>
      <c r="H4072" s="925" t="s">
        <v>13459</v>
      </c>
      <c r="I4072" s="925"/>
      <c r="J4072" s="667">
        <v>647.20000000000005</v>
      </c>
    </row>
    <row r="4073" spans="1:10" ht="0.95" customHeight="1" thickTop="1">
      <c r="A4073" s="666"/>
      <c r="B4073" s="666"/>
      <c r="C4073" s="666"/>
      <c r="D4073" s="666"/>
      <c r="E4073" s="666"/>
      <c r="F4073" s="666"/>
      <c r="G4073" s="666"/>
      <c r="H4073" s="666"/>
      <c r="I4073" s="666"/>
      <c r="J4073" s="666"/>
    </row>
    <row r="4074" spans="1:10" ht="18" customHeight="1">
      <c r="A4074" s="686"/>
      <c r="B4074" s="684" t="s">
        <v>13484</v>
      </c>
      <c r="C4074" s="686" t="s">
        <v>13483</v>
      </c>
      <c r="D4074" s="686" t="s">
        <v>13482</v>
      </c>
      <c r="E4074" s="924" t="s">
        <v>13481</v>
      </c>
      <c r="F4074" s="924"/>
      <c r="G4074" s="685" t="s">
        <v>13480</v>
      </c>
      <c r="H4074" s="684" t="s">
        <v>13479</v>
      </c>
      <c r="I4074" s="684" t="s">
        <v>13478</v>
      </c>
      <c r="J4074" s="684" t="s">
        <v>13477</v>
      </c>
    </row>
    <row r="4075" spans="1:10" ht="48" customHeight="1">
      <c r="A4075" s="682" t="s">
        <v>13476</v>
      </c>
      <c r="B4075" s="683" t="s">
        <v>14091</v>
      </c>
      <c r="C4075" s="682" t="s">
        <v>7</v>
      </c>
      <c r="D4075" s="682" t="s">
        <v>4314</v>
      </c>
      <c r="E4075" s="917" t="s">
        <v>13470</v>
      </c>
      <c r="F4075" s="917"/>
      <c r="G4075" s="681" t="s">
        <v>13515</v>
      </c>
      <c r="H4075" s="680">
        <v>1</v>
      </c>
      <c r="I4075" s="679">
        <v>418.86</v>
      </c>
      <c r="J4075" s="679">
        <v>418.86</v>
      </c>
    </row>
    <row r="4076" spans="1:10" ht="48" customHeight="1">
      <c r="A4076" s="677" t="s">
        <v>13472</v>
      </c>
      <c r="B4076" s="678" t="s">
        <v>14061</v>
      </c>
      <c r="C4076" s="677" t="s">
        <v>7</v>
      </c>
      <c r="D4076" s="677" t="s">
        <v>1148</v>
      </c>
      <c r="E4076" s="918" t="s">
        <v>13491</v>
      </c>
      <c r="F4076" s="918"/>
      <c r="G4076" s="676" t="s">
        <v>38</v>
      </c>
      <c r="H4076" s="675">
        <v>1.2</v>
      </c>
      <c r="I4076" s="674">
        <v>1.68</v>
      </c>
      <c r="J4076" s="674">
        <v>2.0099999999999998</v>
      </c>
    </row>
    <row r="4077" spans="1:10" ht="48" customHeight="1">
      <c r="A4077" s="677" t="s">
        <v>13472</v>
      </c>
      <c r="B4077" s="678" t="s">
        <v>14062</v>
      </c>
      <c r="C4077" s="677" t="s">
        <v>7</v>
      </c>
      <c r="D4077" s="677" t="s">
        <v>1149</v>
      </c>
      <c r="E4077" s="918" t="s">
        <v>13491</v>
      </c>
      <c r="F4077" s="918"/>
      <c r="G4077" s="676" t="s">
        <v>53</v>
      </c>
      <c r="H4077" s="675">
        <v>3.96</v>
      </c>
      <c r="I4077" s="674">
        <v>0.34</v>
      </c>
      <c r="J4077" s="674">
        <v>1.34</v>
      </c>
    </row>
    <row r="4078" spans="1:10" ht="24" customHeight="1">
      <c r="A4078" s="677" t="s">
        <v>13472</v>
      </c>
      <c r="B4078" s="678" t="s">
        <v>13690</v>
      </c>
      <c r="C4078" s="677" t="s">
        <v>7</v>
      </c>
      <c r="D4078" s="677" t="s">
        <v>1097</v>
      </c>
      <c r="E4078" s="918" t="s">
        <v>13470</v>
      </c>
      <c r="F4078" s="918"/>
      <c r="G4078" s="676" t="s">
        <v>19</v>
      </c>
      <c r="H4078" s="675">
        <v>5.16</v>
      </c>
      <c r="I4078" s="674">
        <v>12.73</v>
      </c>
      <c r="J4078" s="674">
        <v>65.680000000000007</v>
      </c>
    </row>
    <row r="4079" spans="1:10" ht="24" customHeight="1">
      <c r="A4079" s="672" t="s">
        <v>13467</v>
      </c>
      <c r="B4079" s="673" t="s">
        <v>13608</v>
      </c>
      <c r="C4079" s="672" t="s">
        <v>7</v>
      </c>
      <c r="D4079" s="672" t="s">
        <v>13607</v>
      </c>
      <c r="E4079" s="919" t="s">
        <v>13464</v>
      </c>
      <c r="F4079" s="919"/>
      <c r="G4079" s="671" t="s">
        <v>13515</v>
      </c>
      <c r="H4079" s="670">
        <v>1.17</v>
      </c>
      <c r="I4079" s="669">
        <v>74.59</v>
      </c>
      <c r="J4079" s="669">
        <v>87.27</v>
      </c>
    </row>
    <row r="4080" spans="1:10" ht="24" customHeight="1">
      <c r="A4080" s="672" t="s">
        <v>13467</v>
      </c>
      <c r="B4080" s="673" t="s">
        <v>14087</v>
      </c>
      <c r="C4080" s="672" t="s">
        <v>7</v>
      </c>
      <c r="D4080" s="672" t="s">
        <v>14086</v>
      </c>
      <c r="E4080" s="919" t="s">
        <v>13464</v>
      </c>
      <c r="F4080" s="919"/>
      <c r="G4080" s="671" t="s">
        <v>17</v>
      </c>
      <c r="H4080" s="670">
        <v>117.22</v>
      </c>
      <c r="I4080" s="669">
        <v>0.8</v>
      </c>
      <c r="J4080" s="669">
        <v>93.77</v>
      </c>
    </row>
    <row r="4081" spans="1:10" ht="24" customHeight="1">
      <c r="A4081" s="672" t="s">
        <v>13467</v>
      </c>
      <c r="B4081" s="673" t="s">
        <v>13997</v>
      </c>
      <c r="C4081" s="672" t="s">
        <v>7</v>
      </c>
      <c r="D4081" s="672" t="s">
        <v>13996</v>
      </c>
      <c r="E4081" s="919" t="s">
        <v>13464</v>
      </c>
      <c r="F4081" s="919"/>
      <c r="G4081" s="671" t="s">
        <v>17</v>
      </c>
      <c r="H4081" s="670">
        <v>263.74</v>
      </c>
      <c r="I4081" s="669">
        <v>0.64</v>
      </c>
      <c r="J4081" s="669">
        <v>168.79</v>
      </c>
    </row>
    <row r="4082" spans="1:10" ht="25.5">
      <c r="A4082" s="668"/>
      <c r="B4082" s="668"/>
      <c r="C4082" s="668"/>
      <c r="D4082" s="668"/>
      <c r="E4082" s="668" t="s">
        <v>13463</v>
      </c>
      <c r="F4082" s="667">
        <v>27.496468542866456</v>
      </c>
      <c r="G4082" s="668" t="s">
        <v>13462</v>
      </c>
      <c r="H4082" s="667">
        <v>23.11</v>
      </c>
      <c r="I4082" s="668" t="s">
        <v>13461</v>
      </c>
      <c r="J4082" s="667">
        <v>50.61</v>
      </c>
    </row>
    <row r="4083" spans="1:10" ht="15" thickBot="1">
      <c r="A4083" s="668"/>
      <c r="B4083" s="668"/>
      <c r="C4083" s="668"/>
      <c r="D4083" s="668"/>
      <c r="E4083" s="668" t="s">
        <v>13460</v>
      </c>
      <c r="F4083" s="667">
        <v>118.28</v>
      </c>
      <c r="G4083" s="668"/>
      <c r="H4083" s="925" t="s">
        <v>13459</v>
      </c>
      <c r="I4083" s="925"/>
      <c r="J4083" s="667">
        <v>537.14</v>
      </c>
    </row>
    <row r="4084" spans="1:10" ht="0.95" customHeight="1" thickTop="1">
      <c r="A4084" s="666"/>
      <c r="B4084" s="666"/>
      <c r="C4084" s="666"/>
      <c r="D4084" s="666"/>
      <c r="E4084" s="666"/>
      <c r="F4084" s="666"/>
      <c r="G4084" s="666"/>
      <c r="H4084" s="666"/>
      <c r="I4084" s="666"/>
      <c r="J4084" s="666"/>
    </row>
    <row r="4085" spans="1:10" ht="18" customHeight="1">
      <c r="A4085" s="686"/>
      <c r="B4085" s="684" t="s">
        <v>13484</v>
      </c>
      <c r="C4085" s="686" t="s">
        <v>13483</v>
      </c>
      <c r="D4085" s="686" t="s">
        <v>13482</v>
      </c>
      <c r="E4085" s="924" t="s">
        <v>13481</v>
      </c>
      <c r="F4085" s="924"/>
      <c r="G4085" s="685" t="s">
        <v>13480</v>
      </c>
      <c r="H4085" s="684" t="s">
        <v>13479</v>
      </c>
      <c r="I4085" s="684" t="s">
        <v>13478</v>
      </c>
      <c r="J4085" s="684" t="s">
        <v>13477</v>
      </c>
    </row>
    <row r="4086" spans="1:10" ht="48" customHeight="1">
      <c r="A4086" s="682" t="s">
        <v>13476</v>
      </c>
      <c r="B4086" s="683" t="s">
        <v>14090</v>
      </c>
      <c r="C4086" s="682" t="s">
        <v>7</v>
      </c>
      <c r="D4086" s="682" t="s">
        <v>4384</v>
      </c>
      <c r="E4086" s="917" t="s">
        <v>13470</v>
      </c>
      <c r="F4086" s="917"/>
      <c r="G4086" s="681" t="s">
        <v>13515</v>
      </c>
      <c r="H4086" s="680">
        <v>1</v>
      </c>
      <c r="I4086" s="679">
        <v>500.76</v>
      </c>
      <c r="J4086" s="679">
        <v>500.76</v>
      </c>
    </row>
    <row r="4087" spans="1:10" ht="24" customHeight="1">
      <c r="A4087" s="677" t="s">
        <v>13472</v>
      </c>
      <c r="B4087" s="678" t="s">
        <v>13471</v>
      </c>
      <c r="C4087" s="677" t="s">
        <v>7</v>
      </c>
      <c r="D4087" s="677" t="s">
        <v>21</v>
      </c>
      <c r="E4087" s="918" t="s">
        <v>13470</v>
      </c>
      <c r="F4087" s="918"/>
      <c r="G4087" s="676" t="s">
        <v>19</v>
      </c>
      <c r="H4087" s="675">
        <v>11.1</v>
      </c>
      <c r="I4087" s="674">
        <v>14.02</v>
      </c>
      <c r="J4087" s="674">
        <v>155.62</v>
      </c>
    </row>
    <row r="4088" spans="1:10" ht="24" customHeight="1">
      <c r="A4088" s="672" t="s">
        <v>13467</v>
      </c>
      <c r="B4088" s="673" t="s">
        <v>13608</v>
      </c>
      <c r="C4088" s="672" t="s">
        <v>7</v>
      </c>
      <c r="D4088" s="672" t="s">
        <v>13607</v>
      </c>
      <c r="E4088" s="919" t="s">
        <v>13464</v>
      </c>
      <c r="F4088" s="919"/>
      <c r="G4088" s="671" t="s">
        <v>13515</v>
      </c>
      <c r="H4088" s="670">
        <v>1.1399999999999999</v>
      </c>
      <c r="I4088" s="669">
        <v>74.59</v>
      </c>
      <c r="J4088" s="669">
        <v>85.03</v>
      </c>
    </row>
    <row r="4089" spans="1:10" ht="24" customHeight="1">
      <c r="A4089" s="672" t="s">
        <v>13467</v>
      </c>
      <c r="B4089" s="673" t="s">
        <v>14087</v>
      </c>
      <c r="C4089" s="672" t="s">
        <v>7</v>
      </c>
      <c r="D4089" s="672" t="s">
        <v>14086</v>
      </c>
      <c r="E4089" s="919" t="s">
        <v>13464</v>
      </c>
      <c r="F4089" s="919"/>
      <c r="G4089" s="671" t="s">
        <v>17</v>
      </c>
      <c r="H4089" s="670">
        <v>171.13</v>
      </c>
      <c r="I4089" s="669">
        <v>0.8</v>
      </c>
      <c r="J4089" s="669">
        <v>136.9</v>
      </c>
    </row>
    <row r="4090" spans="1:10" ht="24" customHeight="1">
      <c r="A4090" s="672" t="s">
        <v>13467</v>
      </c>
      <c r="B4090" s="673" t="s">
        <v>13997</v>
      </c>
      <c r="C4090" s="672" t="s">
        <v>7</v>
      </c>
      <c r="D4090" s="672" t="s">
        <v>13996</v>
      </c>
      <c r="E4090" s="919" t="s">
        <v>13464</v>
      </c>
      <c r="F4090" s="919"/>
      <c r="G4090" s="671" t="s">
        <v>17</v>
      </c>
      <c r="H4090" s="670">
        <v>192.52</v>
      </c>
      <c r="I4090" s="669">
        <v>0.64</v>
      </c>
      <c r="J4090" s="669">
        <v>123.21</v>
      </c>
    </row>
    <row r="4091" spans="1:10" ht="25.5">
      <c r="A4091" s="668"/>
      <c r="B4091" s="668"/>
      <c r="C4091" s="668"/>
      <c r="D4091" s="668"/>
      <c r="E4091" s="668" t="s">
        <v>13463</v>
      </c>
      <c r="F4091" s="667">
        <v>62.235140714984247</v>
      </c>
      <c r="G4091" s="668" t="s">
        <v>13462</v>
      </c>
      <c r="H4091" s="667">
        <v>52.31</v>
      </c>
      <c r="I4091" s="668" t="s">
        <v>13461</v>
      </c>
      <c r="J4091" s="667">
        <v>114.55</v>
      </c>
    </row>
    <row r="4092" spans="1:10" ht="15" thickBot="1">
      <c r="A4092" s="668"/>
      <c r="B4092" s="668"/>
      <c r="C4092" s="668"/>
      <c r="D4092" s="668"/>
      <c r="E4092" s="668" t="s">
        <v>13460</v>
      </c>
      <c r="F4092" s="667">
        <v>141.41</v>
      </c>
      <c r="G4092" s="668"/>
      <c r="H4092" s="925" t="s">
        <v>13459</v>
      </c>
      <c r="I4092" s="925"/>
      <c r="J4092" s="667">
        <v>642.16999999999996</v>
      </c>
    </row>
    <row r="4093" spans="1:10" ht="0.95" customHeight="1" thickTop="1">
      <c r="A4093" s="666"/>
      <c r="B4093" s="666"/>
      <c r="C4093" s="666"/>
      <c r="D4093" s="666"/>
      <c r="E4093" s="666"/>
      <c r="F4093" s="666"/>
      <c r="G4093" s="666"/>
      <c r="H4093" s="666"/>
      <c r="I4093" s="666"/>
      <c r="J4093" s="666"/>
    </row>
    <row r="4094" spans="1:10" ht="18" customHeight="1">
      <c r="A4094" s="686"/>
      <c r="B4094" s="684" t="s">
        <v>13484</v>
      </c>
      <c r="C4094" s="686" t="s">
        <v>13483</v>
      </c>
      <c r="D4094" s="686" t="s">
        <v>13482</v>
      </c>
      <c r="E4094" s="924" t="s">
        <v>13481</v>
      </c>
      <c r="F4094" s="924"/>
      <c r="G4094" s="685" t="s">
        <v>13480</v>
      </c>
      <c r="H4094" s="684" t="s">
        <v>13479</v>
      </c>
      <c r="I4094" s="684" t="s">
        <v>13478</v>
      </c>
      <c r="J4094" s="684" t="s">
        <v>13477</v>
      </c>
    </row>
    <row r="4095" spans="1:10" ht="48" customHeight="1">
      <c r="A4095" s="682" t="s">
        <v>13476</v>
      </c>
      <c r="B4095" s="683" t="s">
        <v>14089</v>
      </c>
      <c r="C4095" s="682" t="s">
        <v>7</v>
      </c>
      <c r="D4095" s="682" t="s">
        <v>4318</v>
      </c>
      <c r="E4095" s="917" t="s">
        <v>13470</v>
      </c>
      <c r="F4095" s="917"/>
      <c r="G4095" s="681" t="s">
        <v>13515</v>
      </c>
      <c r="H4095" s="680">
        <v>1</v>
      </c>
      <c r="I4095" s="679">
        <v>411.36</v>
      </c>
      <c r="J4095" s="679">
        <v>411.36</v>
      </c>
    </row>
    <row r="4096" spans="1:10" ht="48" customHeight="1">
      <c r="A4096" s="677" t="s">
        <v>13472</v>
      </c>
      <c r="B4096" s="678" t="s">
        <v>14061</v>
      </c>
      <c r="C4096" s="677" t="s">
        <v>7</v>
      </c>
      <c r="D4096" s="677" t="s">
        <v>1148</v>
      </c>
      <c r="E4096" s="918" t="s">
        <v>13491</v>
      </c>
      <c r="F4096" s="918"/>
      <c r="G4096" s="676" t="s">
        <v>38</v>
      </c>
      <c r="H4096" s="675">
        <v>1.05</v>
      </c>
      <c r="I4096" s="674">
        <v>1.68</v>
      </c>
      <c r="J4096" s="674">
        <v>1.76</v>
      </c>
    </row>
    <row r="4097" spans="1:10" ht="48" customHeight="1">
      <c r="A4097" s="677" t="s">
        <v>13472</v>
      </c>
      <c r="B4097" s="678" t="s">
        <v>14062</v>
      </c>
      <c r="C4097" s="677" t="s">
        <v>7</v>
      </c>
      <c r="D4097" s="677" t="s">
        <v>1149</v>
      </c>
      <c r="E4097" s="918" t="s">
        <v>13491</v>
      </c>
      <c r="F4097" s="918"/>
      <c r="G4097" s="676" t="s">
        <v>53</v>
      </c>
      <c r="H4097" s="675">
        <v>3.45</v>
      </c>
      <c r="I4097" s="674">
        <v>0.34</v>
      </c>
      <c r="J4097" s="674">
        <v>1.17</v>
      </c>
    </row>
    <row r="4098" spans="1:10" ht="24" customHeight="1">
      <c r="A4098" s="677" t="s">
        <v>13472</v>
      </c>
      <c r="B4098" s="678" t="s">
        <v>13690</v>
      </c>
      <c r="C4098" s="677" t="s">
        <v>7</v>
      </c>
      <c r="D4098" s="677" t="s">
        <v>1097</v>
      </c>
      <c r="E4098" s="918" t="s">
        <v>13470</v>
      </c>
      <c r="F4098" s="918"/>
      <c r="G4098" s="676" t="s">
        <v>19</v>
      </c>
      <c r="H4098" s="675">
        <v>4.5</v>
      </c>
      <c r="I4098" s="674">
        <v>12.73</v>
      </c>
      <c r="J4098" s="674">
        <v>57.28</v>
      </c>
    </row>
    <row r="4099" spans="1:10" ht="24" customHeight="1">
      <c r="A4099" s="672" t="s">
        <v>13467</v>
      </c>
      <c r="B4099" s="673" t="s">
        <v>13608</v>
      </c>
      <c r="C4099" s="672" t="s">
        <v>7</v>
      </c>
      <c r="D4099" s="672" t="s">
        <v>13607</v>
      </c>
      <c r="E4099" s="919" t="s">
        <v>13464</v>
      </c>
      <c r="F4099" s="919"/>
      <c r="G4099" s="671" t="s">
        <v>13515</v>
      </c>
      <c r="H4099" s="670">
        <v>1.1599999999999999</v>
      </c>
      <c r="I4099" s="669">
        <v>74.59</v>
      </c>
      <c r="J4099" s="669">
        <v>86.52</v>
      </c>
    </row>
    <row r="4100" spans="1:10" ht="24" customHeight="1">
      <c r="A4100" s="672" t="s">
        <v>13467</v>
      </c>
      <c r="B4100" s="673" t="s">
        <v>14087</v>
      </c>
      <c r="C4100" s="672" t="s">
        <v>7</v>
      </c>
      <c r="D4100" s="672" t="s">
        <v>14086</v>
      </c>
      <c r="E4100" s="919" t="s">
        <v>13464</v>
      </c>
      <c r="F4100" s="919"/>
      <c r="G4100" s="671" t="s">
        <v>17</v>
      </c>
      <c r="H4100" s="670">
        <v>174.1</v>
      </c>
      <c r="I4100" s="669">
        <v>0.8</v>
      </c>
      <c r="J4100" s="669">
        <v>139.28</v>
      </c>
    </row>
    <row r="4101" spans="1:10" ht="24" customHeight="1">
      <c r="A4101" s="672" t="s">
        <v>13467</v>
      </c>
      <c r="B4101" s="673" t="s">
        <v>13997</v>
      </c>
      <c r="C4101" s="672" t="s">
        <v>7</v>
      </c>
      <c r="D4101" s="672" t="s">
        <v>13996</v>
      </c>
      <c r="E4101" s="919" t="s">
        <v>13464</v>
      </c>
      <c r="F4101" s="919"/>
      <c r="G4101" s="671" t="s">
        <v>17</v>
      </c>
      <c r="H4101" s="670">
        <v>195.86</v>
      </c>
      <c r="I4101" s="669">
        <v>0.64</v>
      </c>
      <c r="J4101" s="669">
        <v>125.35</v>
      </c>
    </row>
    <row r="4102" spans="1:10" ht="25.5">
      <c r="A4102" s="668"/>
      <c r="B4102" s="668"/>
      <c r="C4102" s="668"/>
      <c r="D4102" s="668"/>
      <c r="E4102" s="668" t="s">
        <v>13463</v>
      </c>
      <c r="F4102" s="667">
        <v>23.981310442247093</v>
      </c>
      <c r="G4102" s="668" t="s">
        <v>13462</v>
      </c>
      <c r="H4102" s="667">
        <v>20.16</v>
      </c>
      <c r="I4102" s="668" t="s">
        <v>13461</v>
      </c>
      <c r="J4102" s="667">
        <v>44.14</v>
      </c>
    </row>
    <row r="4103" spans="1:10" ht="15" thickBot="1">
      <c r="A4103" s="668"/>
      <c r="B4103" s="668"/>
      <c r="C4103" s="668"/>
      <c r="D4103" s="668"/>
      <c r="E4103" s="668" t="s">
        <v>13460</v>
      </c>
      <c r="F4103" s="667">
        <v>116.16</v>
      </c>
      <c r="G4103" s="668"/>
      <c r="H4103" s="925" t="s">
        <v>13459</v>
      </c>
      <c r="I4103" s="925"/>
      <c r="J4103" s="667">
        <v>527.52</v>
      </c>
    </row>
    <row r="4104" spans="1:10" ht="0.95" customHeight="1" thickTop="1">
      <c r="A4104" s="666"/>
      <c r="B4104" s="666"/>
      <c r="C4104" s="666"/>
      <c r="D4104" s="666"/>
      <c r="E4104" s="666"/>
      <c r="F4104" s="666"/>
      <c r="G4104" s="666"/>
      <c r="H4104" s="666"/>
      <c r="I4104" s="666"/>
      <c r="J4104" s="666"/>
    </row>
    <row r="4105" spans="1:10" ht="18" customHeight="1">
      <c r="A4105" s="686"/>
      <c r="B4105" s="684" t="s">
        <v>13484</v>
      </c>
      <c r="C4105" s="686" t="s">
        <v>13483</v>
      </c>
      <c r="D4105" s="686" t="s">
        <v>13482</v>
      </c>
      <c r="E4105" s="924" t="s">
        <v>13481</v>
      </c>
      <c r="F4105" s="924"/>
      <c r="G4105" s="685" t="s">
        <v>13480</v>
      </c>
      <c r="H4105" s="684" t="s">
        <v>13479</v>
      </c>
      <c r="I4105" s="684" t="s">
        <v>13478</v>
      </c>
      <c r="J4105" s="684" t="s">
        <v>13477</v>
      </c>
    </row>
    <row r="4106" spans="1:10" ht="48" customHeight="1">
      <c r="A4106" s="682" t="s">
        <v>13476</v>
      </c>
      <c r="B4106" s="683" t="s">
        <v>14088</v>
      </c>
      <c r="C4106" s="682" t="s">
        <v>7</v>
      </c>
      <c r="D4106" s="682" t="s">
        <v>4319</v>
      </c>
      <c r="E4106" s="917" t="s">
        <v>13470</v>
      </c>
      <c r="F4106" s="917"/>
      <c r="G4106" s="681" t="s">
        <v>13515</v>
      </c>
      <c r="H4106" s="680">
        <v>1</v>
      </c>
      <c r="I4106" s="679">
        <v>392.81</v>
      </c>
      <c r="J4106" s="679">
        <v>392.81</v>
      </c>
    </row>
    <row r="4107" spans="1:10" ht="48" customHeight="1">
      <c r="A4107" s="677" t="s">
        <v>13472</v>
      </c>
      <c r="B4107" s="678" t="s">
        <v>13999</v>
      </c>
      <c r="C4107" s="677" t="s">
        <v>7</v>
      </c>
      <c r="D4107" s="677" t="s">
        <v>1213</v>
      </c>
      <c r="E4107" s="918" t="s">
        <v>13491</v>
      </c>
      <c r="F4107" s="918"/>
      <c r="G4107" s="676" t="s">
        <v>38</v>
      </c>
      <c r="H4107" s="675">
        <v>0.85</v>
      </c>
      <c r="I4107" s="674">
        <v>4.71</v>
      </c>
      <c r="J4107" s="674">
        <v>4</v>
      </c>
    </row>
    <row r="4108" spans="1:10" ht="48" customHeight="1">
      <c r="A4108" s="677" t="s">
        <v>13472</v>
      </c>
      <c r="B4108" s="678" t="s">
        <v>13998</v>
      </c>
      <c r="C4108" s="677" t="s">
        <v>7</v>
      </c>
      <c r="D4108" s="677" t="s">
        <v>1214</v>
      </c>
      <c r="E4108" s="918" t="s">
        <v>13491</v>
      </c>
      <c r="F4108" s="918"/>
      <c r="G4108" s="676" t="s">
        <v>53</v>
      </c>
      <c r="H4108" s="675">
        <v>2.8</v>
      </c>
      <c r="I4108" s="674">
        <v>1.42</v>
      </c>
      <c r="J4108" s="674">
        <v>3.97</v>
      </c>
    </row>
    <row r="4109" spans="1:10" ht="24" customHeight="1">
      <c r="A4109" s="677" t="s">
        <v>13472</v>
      </c>
      <c r="B4109" s="678" t="s">
        <v>13471</v>
      </c>
      <c r="C4109" s="677" t="s">
        <v>7</v>
      </c>
      <c r="D4109" s="677" t="s">
        <v>21</v>
      </c>
      <c r="E4109" s="918" t="s">
        <v>13470</v>
      </c>
      <c r="F4109" s="918"/>
      <c r="G4109" s="676" t="s">
        <v>19</v>
      </c>
      <c r="H4109" s="675">
        <v>0.79</v>
      </c>
      <c r="I4109" s="674">
        <v>14.02</v>
      </c>
      <c r="J4109" s="674">
        <v>11.07</v>
      </c>
    </row>
    <row r="4110" spans="1:10" ht="24" customHeight="1">
      <c r="A4110" s="677" t="s">
        <v>13472</v>
      </c>
      <c r="B4110" s="678" t="s">
        <v>13690</v>
      </c>
      <c r="C4110" s="677" t="s">
        <v>7</v>
      </c>
      <c r="D4110" s="677" t="s">
        <v>1097</v>
      </c>
      <c r="E4110" s="918" t="s">
        <v>13470</v>
      </c>
      <c r="F4110" s="918"/>
      <c r="G4110" s="676" t="s">
        <v>19</v>
      </c>
      <c r="H4110" s="675">
        <v>3.65</v>
      </c>
      <c r="I4110" s="674">
        <v>12.73</v>
      </c>
      <c r="J4110" s="674">
        <v>46.46</v>
      </c>
    </row>
    <row r="4111" spans="1:10" ht="24" customHeight="1">
      <c r="A4111" s="672" t="s">
        <v>13467</v>
      </c>
      <c r="B4111" s="673" t="s">
        <v>13608</v>
      </c>
      <c r="C4111" s="672" t="s">
        <v>7</v>
      </c>
      <c r="D4111" s="672" t="s">
        <v>13607</v>
      </c>
      <c r="E4111" s="919" t="s">
        <v>13464</v>
      </c>
      <c r="F4111" s="919"/>
      <c r="G4111" s="671" t="s">
        <v>13515</v>
      </c>
      <c r="H4111" s="670">
        <v>1.18</v>
      </c>
      <c r="I4111" s="669">
        <v>74.59</v>
      </c>
      <c r="J4111" s="669">
        <v>88.01</v>
      </c>
    </row>
    <row r="4112" spans="1:10" ht="24" customHeight="1">
      <c r="A4112" s="672" t="s">
        <v>13467</v>
      </c>
      <c r="B4112" s="673" t="s">
        <v>14087</v>
      </c>
      <c r="C4112" s="672" t="s">
        <v>7</v>
      </c>
      <c r="D4112" s="672" t="s">
        <v>14086</v>
      </c>
      <c r="E4112" s="919" t="s">
        <v>13464</v>
      </c>
      <c r="F4112" s="919"/>
      <c r="G4112" s="671" t="s">
        <v>17</v>
      </c>
      <c r="H4112" s="670">
        <v>157.44</v>
      </c>
      <c r="I4112" s="669">
        <v>0.8</v>
      </c>
      <c r="J4112" s="669">
        <v>125.95</v>
      </c>
    </row>
    <row r="4113" spans="1:10" ht="24" customHeight="1">
      <c r="A4113" s="672" t="s">
        <v>13467</v>
      </c>
      <c r="B4113" s="673" t="s">
        <v>13997</v>
      </c>
      <c r="C4113" s="672" t="s">
        <v>7</v>
      </c>
      <c r="D4113" s="672" t="s">
        <v>13996</v>
      </c>
      <c r="E4113" s="919" t="s">
        <v>13464</v>
      </c>
      <c r="F4113" s="919"/>
      <c r="G4113" s="671" t="s">
        <v>17</v>
      </c>
      <c r="H4113" s="670">
        <v>177.12</v>
      </c>
      <c r="I4113" s="669">
        <v>0.64</v>
      </c>
      <c r="J4113" s="669">
        <v>113.35</v>
      </c>
    </row>
    <row r="4114" spans="1:10" ht="25.5">
      <c r="A4114" s="668"/>
      <c r="B4114" s="668"/>
      <c r="C4114" s="668"/>
      <c r="D4114" s="668"/>
      <c r="E4114" s="668" t="s">
        <v>13463</v>
      </c>
      <c r="F4114" s="667">
        <v>23.878083233728134</v>
      </c>
      <c r="G4114" s="668" t="s">
        <v>13462</v>
      </c>
      <c r="H4114" s="667">
        <v>20.07</v>
      </c>
      <c r="I4114" s="668" t="s">
        <v>13461</v>
      </c>
      <c r="J4114" s="667">
        <v>43.95</v>
      </c>
    </row>
    <row r="4115" spans="1:10" ht="15" thickBot="1">
      <c r="A4115" s="668"/>
      <c r="B4115" s="668"/>
      <c r="C4115" s="668"/>
      <c r="D4115" s="668"/>
      <c r="E4115" s="668" t="s">
        <v>13460</v>
      </c>
      <c r="F4115" s="667">
        <v>110.92</v>
      </c>
      <c r="G4115" s="668"/>
      <c r="H4115" s="925" t="s">
        <v>13459</v>
      </c>
      <c r="I4115" s="925"/>
      <c r="J4115" s="667">
        <v>503.73</v>
      </c>
    </row>
    <row r="4116" spans="1:10" ht="0.95" customHeight="1" thickTop="1">
      <c r="A4116" s="666"/>
      <c r="B4116" s="666"/>
      <c r="C4116" s="666"/>
      <c r="D4116" s="666"/>
      <c r="E4116" s="666"/>
      <c r="F4116" s="666"/>
      <c r="G4116" s="666"/>
      <c r="H4116" s="666"/>
      <c r="I4116" s="666"/>
      <c r="J4116" s="666"/>
    </row>
    <row r="4117" spans="1:10" ht="18" customHeight="1">
      <c r="A4117" s="686"/>
      <c r="B4117" s="684" t="s">
        <v>13484</v>
      </c>
      <c r="C4117" s="686" t="s">
        <v>13483</v>
      </c>
      <c r="D4117" s="686" t="s">
        <v>13482</v>
      </c>
      <c r="E4117" s="924" t="s">
        <v>13481</v>
      </c>
      <c r="F4117" s="924"/>
      <c r="G4117" s="685" t="s">
        <v>13480</v>
      </c>
      <c r="H4117" s="684" t="s">
        <v>13479</v>
      </c>
      <c r="I4117" s="684" t="s">
        <v>13478</v>
      </c>
      <c r="J4117" s="684" t="s">
        <v>13477</v>
      </c>
    </row>
    <row r="4118" spans="1:10" ht="36" customHeight="1">
      <c r="A4118" s="682" t="s">
        <v>13476</v>
      </c>
      <c r="B4118" s="683" t="s">
        <v>14085</v>
      </c>
      <c r="C4118" s="682" t="s">
        <v>7</v>
      </c>
      <c r="D4118" s="682" t="s">
        <v>4392</v>
      </c>
      <c r="E4118" s="917" t="s">
        <v>13470</v>
      </c>
      <c r="F4118" s="917"/>
      <c r="G4118" s="681" t="s">
        <v>13515</v>
      </c>
      <c r="H4118" s="680">
        <v>1</v>
      </c>
      <c r="I4118" s="679">
        <v>496.89</v>
      </c>
      <c r="J4118" s="679">
        <v>496.89</v>
      </c>
    </row>
    <row r="4119" spans="1:10" ht="24" customHeight="1">
      <c r="A4119" s="677" t="s">
        <v>13472</v>
      </c>
      <c r="B4119" s="678" t="s">
        <v>13471</v>
      </c>
      <c r="C4119" s="677" t="s">
        <v>7</v>
      </c>
      <c r="D4119" s="677" t="s">
        <v>21</v>
      </c>
      <c r="E4119" s="918" t="s">
        <v>13470</v>
      </c>
      <c r="F4119" s="918"/>
      <c r="G4119" s="676" t="s">
        <v>19</v>
      </c>
      <c r="H4119" s="675">
        <v>11.02</v>
      </c>
      <c r="I4119" s="674">
        <v>14.02</v>
      </c>
      <c r="J4119" s="674">
        <v>154.5</v>
      </c>
    </row>
    <row r="4120" spans="1:10" ht="24" customHeight="1">
      <c r="A4120" s="672" t="s">
        <v>13467</v>
      </c>
      <c r="B4120" s="673" t="s">
        <v>14083</v>
      </c>
      <c r="C4120" s="672" t="s">
        <v>7</v>
      </c>
      <c r="D4120" s="672" t="s">
        <v>14082</v>
      </c>
      <c r="E4120" s="919" t="s">
        <v>13464</v>
      </c>
      <c r="F4120" s="919"/>
      <c r="G4120" s="671" t="s">
        <v>13515</v>
      </c>
      <c r="H4120" s="670">
        <v>0.94</v>
      </c>
      <c r="I4120" s="669">
        <v>76.5</v>
      </c>
      <c r="J4120" s="669">
        <v>71.91</v>
      </c>
    </row>
    <row r="4121" spans="1:10" ht="24" customHeight="1">
      <c r="A4121" s="672" t="s">
        <v>13467</v>
      </c>
      <c r="B4121" s="673" t="s">
        <v>13997</v>
      </c>
      <c r="C4121" s="672" t="s">
        <v>7</v>
      </c>
      <c r="D4121" s="672" t="s">
        <v>13996</v>
      </c>
      <c r="E4121" s="919" t="s">
        <v>13464</v>
      </c>
      <c r="F4121" s="919"/>
      <c r="G4121" s="671" t="s">
        <v>17</v>
      </c>
      <c r="H4121" s="670">
        <v>422.63</v>
      </c>
      <c r="I4121" s="669">
        <v>0.64</v>
      </c>
      <c r="J4121" s="669">
        <v>270.48</v>
      </c>
    </row>
    <row r="4122" spans="1:10" ht="25.5">
      <c r="A4122" s="668"/>
      <c r="B4122" s="668"/>
      <c r="C4122" s="668"/>
      <c r="D4122" s="668"/>
      <c r="E4122" s="668" t="s">
        <v>13463</v>
      </c>
      <c r="F4122" s="667">
        <v>61.784200804085621</v>
      </c>
      <c r="G4122" s="668" t="s">
        <v>13462</v>
      </c>
      <c r="H4122" s="667">
        <v>51.94</v>
      </c>
      <c r="I4122" s="668" t="s">
        <v>13461</v>
      </c>
      <c r="J4122" s="667">
        <v>113.72</v>
      </c>
    </row>
    <row r="4123" spans="1:10" ht="15" thickBot="1">
      <c r="A4123" s="668"/>
      <c r="B4123" s="668"/>
      <c r="C4123" s="668"/>
      <c r="D4123" s="668"/>
      <c r="E4123" s="668" t="s">
        <v>13460</v>
      </c>
      <c r="F4123" s="667">
        <v>140.32</v>
      </c>
      <c r="G4123" s="668"/>
      <c r="H4123" s="925" t="s">
        <v>13459</v>
      </c>
      <c r="I4123" s="925"/>
      <c r="J4123" s="667">
        <v>637.21</v>
      </c>
    </row>
    <row r="4124" spans="1:10" ht="0.95" customHeight="1" thickTop="1">
      <c r="A4124" s="666"/>
      <c r="B4124" s="666"/>
      <c r="C4124" s="666"/>
      <c r="D4124" s="666"/>
      <c r="E4124" s="666"/>
      <c r="F4124" s="666"/>
      <c r="G4124" s="666"/>
      <c r="H4124" s="666"/>
      <c r="I4124" s="666"/>
      <c r="J4124" s="666"/>
    </row>
    <row r="4125" spans="1:10" ht="18" customHeight="1">
      <c r="A4125" s="686"/>
      <c r="B4125" s="684" t="s">
        <v>13484</v>
      </c>
      <c r="C4125" s="686" t="s">
        <v>13483</v>
      </c>
      <c r="D4125" s="686" t="s">
        <v>13482</v>
      </c>
      <c r="E4125" s="924" t="s">
        <v>13481</v>
      </c>
      <c r="F4125" s="924"/>
      <c r="G4125" s="685" t="s">
        <v>13480</v>
      </c>
      <c r="H4125" s="684" t="s">
        <v>13479</v>
      </c>
      <c r="I4125" s="684" t="s">
        <v>13478</v>
      </c>
      <c r="J4125" s="684" t="s">
        <v>13477</v>
      </c>
    </row>
    <row r="4126" spans="1:10" ht="36" customHeight="1">
      <c r="A4126" s="682" t="s">
        <v>13476</v>
      </c>
      <c r="B4126" s="683" t="s">
        <v>14084</v>
      </c>
      <c r="C4126" s="682" t="s">
        <v>7</v>
      </c>
      <c r="D4126" s="682" t="s">
        <v>4332</v>
      </c>
      <c r="E4126" s="917" t="s">
        <v>13470</v>
      </c>
      <c r="F4126" s="917"/>
      <c r="G4126" s="681" t="s">
        <v>13515</v>
      </c>
      <c r="H4126" s="680">
        <v>1</v>
      </c>
      <c r="I4126" s="679">
        <v>403.42</v>
      </c>
      <c r="J4126" s="679">
        <v>403.42</v>
      </c>
    </row>
    <row r="4127" spans="1:10" ht="48" customHeight="1">
      <c r="A4127" s="677" t="s">
        <v>13472</v>
      </c>
      <c r="B4127" s="678" t="s">
        <v>14061</v>
      </c>
      <c r="C4127" s="677" t="s">
        <v>7</v>
      </c>
      <c r="D4127" s="677" t="s">
        <v>1148</v>
      </c>
      <c r="E4127" s="918" t="s">
        <v>13491</v>
      </c>
      <c r="F4127" s="918"/>
      <c r="G4127" s="676" t="s">
        <v>38</v>
      </c>
      <c r="H4127" s="675">
        <v>1.01</v>
      </c>
      <c r="I4127" s="674">
        <v>1.68</v>
      </c>
      <c r="J4127" s="674">
        <v>1.69</v>
      </c>
    </row>
    <row r="4128" spans="1:10" ht="48" customHeight="1">
      <c r="A4128" s="677" t="s">
        <v>13472</v>
      </c>
      <c r="B4128" s="678" t="s">
        <v>14062</v>
      </c>
      <c r="C4128" s="677" t="s">
        <v>7</v>
      </c>
      <c r="D4128" s="677" t="s">
        <v>1149</v>
      </c>
      <c r="E4128" s="918" t="s">
        <v>13491</v>
      </c>
      <c r="F4128" s="918"/>
      <c r="G4128" s="676" t="s">
        <v>53</v>
      </c>
      <c r="H4128" s="675">
        <v>3.31</v>
      </c>
      <c r="I4128" s="674">
        <v>0.34</v>
      </c>
      <c r="J4128" s="674">
        <v>1.1200000000000001</v>
      </c>
    </row>
    <row r="4129" spans="1:10" ht="24" customHeight="1">
      <c r="A4129" s="677" t="s">
        <v>13472</v>
      </c>
      <c r="B4129" s="678" t="s">
        <v>13690</v>
      </c>
      <c r="C4129" s="677" t="s">
        <v>7</v>
      </c>
      <c r="D4129" s="677" t="s">
        <v>1097</v>
      </c>
      <c r="E4129" s="918" t="s">
        <v>13470</v>
      </c>
      <c r="F4129" s="918"/>
      <c r="G4129" s="676" t="s">
        <v>19</v>
      </c>
      <c r="H4129" s="675">
        <v>4.32</v>
      </c>
      <c r="I4129" s="674">
        <v>12.73</v>
      </c>
      <c r="J4129" s="674">
        <v>54.99</v>
      </c>
    </row>
    <row r="4130" spans="1:10" ht="24" customHeight="1">
      <c r="A4130" s="672" t="s">
        <v>13467</v>
      </c>
      <c r="B4130" s="673" t="s">
        <v>14083</v>
      </c>
      <c r="C4130" s="672" t="s">
        <v>7</v>
      </c>
      <c r="D4130" s="672" t="s">
        <v>14082</v>
      </c>
      <c r="E4130" s="919" t="s">
        <v>13464</v>
      </c>
      <c r="F4130" s="919"/>
      <c r="G4130" s="671" t="s">
        <v>13515</v>
      </c>
      <c r="H4130" s="670">
        <v>0.95</v>
      </c>
      <c r="I4130" s="669">
        <v>76.5</v>
      </c>
      <c r="J4130" s="669">
        <v>72.67</v>
      </c>
    </row>
    <row r="4131" spans="1:10" ht="24" customHeight="1">
      <c r="A4131" s="672" t="s">
        <v>13467</v>
      </c>
      <c r="B4131" s="673" t="s">
        <v>13997</v>
      </c>
      <c r="C4131" s="672" t="s">
        <v>7</v>
      </c>
      <c r="D4131" s="672" t="s">
        <v>13996</v>
      </c>
      <c r="E4131" s="919" t="s">
        <v>13464</v>
      </c>
      <c r="F4131" s="919"/>
      <c r="G4131" s="671" t="s">
        <v>17</v>
      </c>
      <c r="H4131" s="670">
        <v>426.49</v>
      </c>
      <c r="I4131" s="669">
        <v>0.64</v>
      </c>
      <c r="J4131" s="669">
        <v>272.95</v>
      </c>
    </row>
    <row r="4132" spans="1:10" ht="25.5">
      <c r="A4132" s="668"/>
      <c r="B4132" s="668"/>
      <c r="C4132" s="668"/>
      <c r="D4132" s="668"/>
      <c r="E4132" s="668" t="s">
        <v>13463</v>
      </c>
      <c r="F4132" s="667">
        <v>23.019667499728349</v>
      </c>
      <c r="G4132" s="668" t="s">
        <v>13462</v>
      </c>
      <c r="H4132" s="667">
        <v>19.350000000000001</v>
      </c>
      <c r="I4132" s="668" t="s">
        <v>13461</v>
      </c>
      <c r="J4132" s="667">
        <v>42.37</v>
      </c>
    </row>
    <row r="4133" spans="1:10" ht="15" thickBot="1">
      <c r="A4133" s="668"/>
      <c r="B4133" s="668"/>
      <c r="C4133" s="668"/>
      <c r="D4133" s="668"/>
      <c r="E4133" s="668" t="s">
        <v>13460</v>
      </c>
      <c r="F4133" s="667">
        <v>113.92</v>
      </c>
      <c r="G4133" s="668"/>
      <c r="H4133" s="925" t="s">
        <v>13459</v>
      </c>
      <c r="I4133" s="925"/>
      <c r="J4133" s="667">
        <v>517.34</v>
      </c>
    </row>
    <row r="4134" spans="1:10" ht="0.95" customHeight="1" thickTop="1">
      <c r="A4134" s="666"/>
      <c r="B4134" s="666"/>
      <c r="C4134" s="666"/>
      <c r="D4134" s="666"/>
      <c r="E4134" s="666"/>
      <c r="F4134" s="666"/>
      <c r="G4134" s="666"/>
      <c r="H4134" s="666"/>
      <c r="I4134" s="666"/>
      <c r="J4134" s="666"/>
    </row>
    <row r="4135" spans="1:10" ht="18" customHeight="1">
      <c r="A4135" s="686"/>
      <c r="B4135" s="684" t="s">
        <v>13484</v>
      </c>
      <c r="C4135" s="686" t="s">
        <v>13483</v>
      </c>
      <c r="D4135" s="686" t="s">
        <v>13482</v>
      </c>
      <c r="E4135" s="924" t="s">
        <v>13481</v>
      </c>
      <c r="F4135" s="924"/>
      <c r="G4135" s="685" t="s">
        <v>13480</v>
      </c>
      <c r="H4135" s="684" t="s">
        <v>13479</v>
      </c>
      <c r="I4135" s="684" t="s">
        <v>13478</v>
      </c>
      <c r="J4135" s="684" t="s">
        <v>13477</v>
      </c>
    </row>
    <row r="4136" spans="1:10" ht="36" customHeight="1">
      <c r="A4136" s="682" t="s">
        <v>13476</v>
      </c>
      <c r="B4136" s="683" t="s">
        <v>14081</v>
      </c>
      <c r="C4136" s="682" t="s">
        <v>7</v>
      </c>
      <c r="D4136" s="682" t="s">
        <v>4322</v>
      </c>
      <c r="E4136" s="917" t="s">
        <v>13470</v>
      </c>
      <c r="F4136" s="917"/>
      <c r="G4136" s="681" t="s">
        <v>13515</v>
      </c>
      <c r="H4136" s="680">
        <v>1</v>
      </c>
      <c r="I4136" s="679">
        <v>520.97</v>
      </c>
      <c r="J4136" s="679">
        <v>520.97</v>
      </c>
    </row>
    <row r="4137" spans="1:10" ht="48" customHeight="1">
      <c r="A4137" s="677" t="s">
        <v>13472</v>
      </c>
      <c r="B4137" s="678" t="s">
        <v>14061</v>
      </c>
      <c r="C4137" s="677" t="s">
        <v>7</v>
      </c>
      <c r="D4137" s="677" t="s">
        <v>1148</v>
      </c>
      <c r="E4137" s="918" t="s">
        <v>13491</v>
      </c>
      <c r="F4137" s="918"/>
      <c r="G4137" s="676" t="s">
        <v>38</v>
      </c>
      <c r="H4137" s="675">
        <v>1.03</v>
      </c>
      <c r="I4137" s="674">
        <v>1.68</v>
      </c>
      <c r="J4137" s="674">
        <v>1.73</v>
      </c>
    </row>
    <row r="4138" spans="1:10" ht="48" customHeight="1">
      <c r="A4138" s="677" t="s">
        <v>13472</v>
      </c>
      <c r="B4138" s="678" t="s">
        <v>14062</v>
      </c>
      <c r="C4138" s="677" t="s">
        <v>7</v>
      </c>
      <c r="D4138" s="677" t="s">
        <v>1149</v>
      </c>
      <c r="E4138" s="918" t="s">
        <v>13491</v>
      </c>
      <c r="F4138" s="918"/>
      <c r="G4138" s="676" t="s">
        <v>53</v>
      </c>
      <c r="H4138" s="675">
        <v>3.39</v>
      </c>
      <c r="I4138" s="674">
        <v>0.34</v>
      </c>
      <c r="J4138" s="674">
        <v>1.1499999999999999</v>
      </c>
    </row>
    <row r="4139" spans="1:10" ht="24" customHeight="1">
      <c r="A4139" s="677" t="s">
        <v>13472</v>
      </c>
      <c r="B4139" s="678" t="s">
        <v>13690</v>
      </c>
      <c r="C4139" s="677" t="s">
        <v>7</v>
      </c>
      <c r="D4139" s="677" t="s">
        <v>1097</v>
      </c>
      <c r="E4139" s="918" t="s">
        <v>13470</v>
      </c>
      <c r="F4139" s="918"/>
      <c r="G4139" s="676" t="s">
        <v>19</v>
      </c>
      <c r="H4139" s="675">
        <v>4.42</v>
      </c>
      <c r="I4139" s="674">
        <v>12.73</v>
      </c>
      <c r="J4139" s="674">
        <v>56.26</v>
      </c>
    </row>
    <row r="4140" spans="1:10" ht="24" customHeight="1">
      <c r="A4140" s="672" t="s">
        <v>13467</v>
      </c>
      <c r="B4140" s="673" t="s">
        <v>13608</v>
      </c>
      <c r="C4140" s="672" t="s">
        <v>7</v>
      </c>
      <c r="D4140" s="672" t="s">
        <v>13607</v>
      </c>
      <c r="E4140" s="919" t="s">
        <v>13464</v>
      </c>
      <c r="F4140" s="919"/>
      <c r="G4140" s="671" t="s">
        <v>13515</v>
      </c>
      <c r="H4140" s="670">
        <v>1.27</v>
      </c>
      <c r="I4140" s="669">
        <v>74.59</v>
      </c>
      <c r="J4140" s="669">
        <v>94.72</v>
      </c>
    </row>
    <row r="4141" spans="1:10" ht="24" customHeight="1">
      <c r="A4141" s="672" t="s">
        <v>13467</v>
      </c>
      <c r="B4141" s="673" t="s">
        <v>13997</v>
      </c>
      <c r="C4141" s="672" t="s">
        <v>7</v>
      </c>
      <c r="D4141" s="672" t="s">
        <v>13996</v>
      </c>
      <c r="E4141" s="919" t="s">
        <v>13464</v>
      </c>
      <c r="F4141" s="919"/>
      <c r="G4141" s="671" t="s">
        <v>17</v>
      </c>
      <c r="H4141" s="670">
        <v>573.61</v>
      </c>
      <c r="I4141" s="669">
        <v>0.64</v>
      </c>
      <c r="J4141" s="669">
        <v>367.11</v>
      </c>
    </row>
    <row r="4142" spans="1:10" ht="25.5">
      <c r="A4142" s="668"/>
      <c r="B4142" s="668"/>
      <c r="C4142" s="668"/>
      <c r="D4142" s="668"/>
      <c r="E4142" s="668" t="s">
        <v>13463</v>
      </c>
      <c r="F4142" s="667">
        <v>23.557535586221885</v>
      </c>
      <c r="G4142" s="668" t="s">
        <v>13462</v>
      </c>
      <c r="H4142" s="667">
        <v>19.8</v>
      </c>
      <c r="I4142" s="668" t="s">
        <v>13461</v>
      </c>
      <c r="J4142" s="667">
        <v>43.36</v>
      </c>
    </row>
    <row r="4143" spans="1:10" ht="15" thickBot="1">
      <c r="A4143" s="668"/>
      <c r="B4143" s="668"/>
      <c r="C4143" s="668"/>
      <c r="D4143" s="668"/>
      <c r="E4143" s="668" t="s">
        <v>13460</v>
      </c>
      <c r="F4143" s="667">
        <v>147.12</v>
      </c>
      <c r="G4143" s="668"/>
      <c r="H4143" s="925" t="s">
        <v>13459</v>
      </c>
      <c r="I4143" s="925"/>
      <c r="J4143" s="667">
        <v>668.09</v>
      </c>
    </row>
    <row r="4144" spans="1:10" ht="0.95" customHeight="1" thickTop="1">
      <c r="A4144" s="666"/>
      <c r="B4144" s="666"/>
      <c r="C4144" s="666"/>
      <c r="D4144" s="666"/>
      <c r="E4144" s="666"/>
      <c r="F4144" s="666"/>
      <c r="G4144" s="666"/>
      <c r="H4144" s="666"/>
      <c r="I4144" s="666"/>
      <c r="J4144" s="666"/>
    </row>
    <row r="4145" spans="1:10" ht="18" customHeight="1">
      <c r="A4145" s="686"/>
      <c r="B4145" s="684" t="s">
        <v>13484</v>
      </c>
      <c r="C4145" s="686" t="s">
        <v>13483</v>
      </c>
      <c r="D4145" s="686" t="s">
        <v>13482</v>
      </c>
      <c r="E4145" s="924" t="s">
        <v>13481</v>
      </c>
      <c r="F4145" s="924"/>
      <c r="G4145" s="685" t="s">
        <v>13480</v>
      </c>
      <c r="H4145" s="684" t="s">
        <v>13479</v>
      </c>
      <c r="I4145" s="684" t="s">
        <v>13478</v>
      </c>
      <c r="J4145" s="684" t="s">
        <v>13477</v>
      </c>
    </row>
    <row r="4146" spans="1:10" ht="36" customHeight="1">
      <c r="A4146" s="682" t="s">
        <v>13476</v>
      </c>
      <c r="B4146" s="683" t="s">
        <v>14080</v>
      </c>
      <c r="C4146" s="682" t="s">
        <v>7</v>
      </c>
      <c r="D4146" s="682" t="s">
        <v>4446</v>
      </c>
      <c r="E4146" s="917" t="s">
        <v>13470</v>
      </c>
      <c r="F4146" s="917"/>
      <c r="G4146" s="681" t="s">
        <v>13515</v>
      </c>
      <c r="H4146" s="680">
        <v>1</v>
      </c>
      <c r="I4146" s="679">
        <v>436.29</v>
      </c>
      <c r="J4146" s="679">
        <v>436.29</v>
      </c>
    </row>
    <row r="4147" spans="1:10" ht="48" customHeight="1">
      <c r="A4147" s="677" t="s">
        <v>13472</v>
      </c>
      <c r="B4147" s="678" t="s">
        <v>13999</v>
      </c>
      <c r="C4147" s="677" t="s">
        <v>7</v>
      </c>
      <c r="D4147" s="677" t="s">
        <v>1213</v>
      </c>
      <c r="E4147" s="918" t="s">
        <v>13491</v>
      </c>
      <c r="F4147" s="918"/>
      <c r="G4147" s="676" t="s">
        <v>38</v>
      </c>
      <c r="H4147" s="675">
        <v>0.56999999999999995</v>
      </c>
      <c r="I4147" s="674">
        <v>4.71</v>
      </c>
      <c r="J4147" s="674">
        <v>2.68</v>
      </c>
    </row>
    <row r="4148" spans="1:10" ht="48" customHeight="1">
      <c r="A4148" s="677" t="s">
        <v>13472</v>
      </c>
      <c r="B4148" s="678" t="s">
        <v>13998</v>
      </c>
      <c r="C4148" s="677" t="s">
        <v>7</v>
      </c>
      <c r="D4148" s="677" t="s">
        <v>1214</v>
      </c>
      <c r="E4148" s="918" t="s">
        <v>13491</v>
      </c>
      <c r="F4148" s="918"/>
      <c r="G4148" s="676" t="s">
        <v>53</v>
      </c>
      <c r="H4148" s="675">
        <v>1.87</v>
      </c>
      <c r="I4148" s="674">
        <v>1.42</v>
      </c>
      <c r="J4148" s="674">
        <v>2.65</v>
      </c>
    </row>
    <row r="4149" spans="1:10" ht="24" customHeight="1">
      <c r="A4149" s="677" t="s">
        <v>13472</v>
      </c>
      <c r="B4149" s="678" t="s">
        <v>13471</v>
      </c>
      <c r="C4149" s="677" t="s">
        <v>7</v>
      </c>
      <c r="D4149" s="677" t="s">
        <v>21</v>
      </c>
      <c r="E4149" s="918" t="s">
        <v>13470</v>
      </c>
      <c r="F4149" s="918"/>
      <c r="G4149" s="676" t="s">
        <v>19</v>
      </c>
      <c r="H4149" s="675">
        <v>0.75</v>
      </c>
      <c r="I4149" s="674">
        <v>14.02</v>
      </c>
      <c r="J4149" s="674">
        <v>10.51</v>
      </c>
    </row>
    <row r="4150" spans="1:10" ht="24" customHeight="1">
      <c r="A4150" s="677" t="s">
        <v>13472</v>
      </c>
      <c r="B4150" s="678" t="s">
        <v>13690</v>
      </c>
      <c r="C4150" s="677" t="s">
        <v>7</v>
      </c>
      <c r="D4150" s="677" t="s">
        <v>1097</v>
      </c>
      <c r="E4150" s="918" t="s">
        <v>13470</v>
      </c>
      <c r="F4150" s="918"/>
      <c r="G4150" s="676" t="s">
        <v>19</v>
      </c>
      <c r="H4150" s="675">
        <v>2.44</v>
      </c>
      <c r="I4150" s="674">
        <v>12.73</v>
      </c>
      <c r="J4150" s="674">
        <v>31.06</v>
      </c>
    </row>
    <row r="4151" spans="1:10" ht="24" customHeight="1">
      <c r="A4151" s="672" t="s">
        <v>13467</v>
      </c>
      <c r="B4151" s="673" t="s">
        <v>13608</v>
      </c>
      <c r="C4151" s="672" t="s">
        <v>7</v>
      </c>
      <c r="D4151" s="672" t="s">
        <v>13607</v>
      </c>
      <c r="E4151" s="919" t="s">
        <v>13464</v>
      </c>
      <c r="F4151" s="919"/>
      <c r="G4151" s="671" t="s">
        <v>13515</v>
      </c>
      <c r="H4151" s="670">
        <v>1.07</v>
      </c>
      <c r="I4151" s="669">
        <v>74.59</v>
      </c>
      <c r="J4151" s="669">
        <v>79.81</v>
      </c>
    </row>
    <row r="4152" spans="1:10" ht="24" customHeight="1">
      <c r="A4152" s="672" t="s">
        <v>13467</v>
      </c>
      <c r="B4152" s="673" t="s">
        <v>13997</v>
      </c>
      <c r="C4152" s="672" t="s">
        <v>7</v>
      </c>
      <c r="D4152" s="672" t="s">
        <v>13996</v>
      </c>
      <c r="E4152" s="919" t="s">
        <v>13464</v>
      </c>
      <c r="F4152" s="919"/>
      <c r="G4152" s="671" t="s">
        <v>17</v>
      </c>
      <c r="H4152" s="670">
        <v>483.72</v>
      </c>
      <c r="I4152" s="669">
        <v>0.64</v>
      </c>
      <c r="J4152" s="669">
        <v>309.58</v>
      </c>
    </row>
    <row r="4153" spans="1:10" ht="25.5">
      <c r="A4153" s="668"/>
      <c r="B4153" s="668"/>
      <c r="C4153" s="668"/>
      <c r="D4153" s="668"/>
      <c r="E4153" s="668" t="s">
        <v>13463</v>
      </c>
      <c r="F4153" s="667">
        <v>17.206345756818429</v>
      </c>
      <c r="G4153" s="668" t="s">
        <v>13462</v>
      </c>
      <c r="H4153" s="667">
        <v>14.46</v>
      </c>
      <c r="I4153" s="668" t="s">
        <v>13461</v>
      </c>
      <c r="J4153" s="667">
        <v>31.67</v>
      </c>
    </row>
    <row r="4154" spans="1:10" ht="15" thickBot="1">
      <c r="A4154" s="668"/>
      <c r="B4154" s="668"/>
      <c r="C4154" s="668"/>
      <c r="D4154" s="668"/>
      <c r="E4154" s="668" t="s">
        <v>13460</v>
      </c>
      <c r="F4154" s="667">
        <v>123.2</v>
      </c>
      <c r="G4154" s="668"/>
      <c r="H4154" s="925" t="s">
        <v>13459</v>
      </c>
      <c r="I4154" s="925"/>
      <c r="J4154" s="667">
        <v>559.49</v>
      </c>
    </row>
    <row r="4155" spans="1:10" ht="0.95" customHeight="1" thickTop="1">
      <c r="A4155" s="666"/>
      <c r="B4155" s="666"/>
      <c r="C4155" s="666"/>
      <c r="D4155" s="666"/>
      <c r="E4155" s="666"/>
      <c r="F4155" s="666"/>
      <c r="G4155" s="666"/>
      <c r="H4155" s="666"/>
      <c r="I4155" s="666"/>
      <c r="J4155" s="666"/>
    </row>
    <row r="4156" spans="1:10" ht="18" customHeight="1">
      <c r="A4156" s="686"/>
      <c r="B4156" s="684" t="s">
        <v>13484</v>
      </c>
      <c r="C4156" s="686" t="s">
        <v>13483</v>
      </c>
      <c r="D4156" s="686" t="s">
        <v>13482</v>
      </c>
      <c r="E4156" s="924" t="s">
        <v>13481</v>
      </c>
      <c r="F4156" s="924"/>
      <c r="G4156" s="685" t="s">
        <v>13480</v>
      </c>
      <c r="H4156" s="684" t="s">
        <v>13479</v>
      </c>
      <c r="I4156" s="684" t="s">
        <v>13478</v>
      </c>
      <c r="J4156" s="684" t="s">
        <v>13477</v>
      </c>
    </row>
    <row r="4157" spans="1:10" ht="36" customHeight="1">
      <c r="A4157" s="682" t="s">
        <v>13476</v>
      </c>
      <c r="B4157" s="683" t="s">
        <v>14079</v>
      </c>
      <c r="C4157" s="682" t="s">
        <v>7</v>
      </c>
      <c r="D4157" s="682" t="s">
        <v>4324</v>
      </c>
      <c r="E4157" s="917" t="s">
        <v>13470</v>
      </c>
      <c r="F4157" s="917"/>
      <c r="G4157" s="681" t="s">
        <v>13515</v>
      </c>
      <c r="H4157" s="680">
        <v>1</v>
      </c>
      <c r="I4157" s="679">
        <v>460.63</v>
      </c>
      <c r="J4157" s="679">
        <v>460.63</v>
      </c>
    </row>
    <row r="4158" spans="1:10" ht="48" customHeight="1">
      <c r="A4158" s="677" t="s">
        <v>13472</v>
      </c>
      <c r="B4158" s="678" t="s">
        <v>14061</v>
      </c>
      <c r="C4158" s="677" t="s">
        <v>7</v>
      </c>
      <c r="D4158" s="677" t="s">
        <v>1148</v>
      </c>
      <c r="E4158" s="918" t="s">
        <v>13491</v>
      </c>
      <c r="F4158" s="918"/>
      <c r="G4158" s="676" t="s">
        <v>38</v>
      </c>
      <c r="H4158" s="675">
        <v>1.1299999999999999</v>
      </c>
      <c r="I4158" s="674">
        <v>1.68</v>
      </c>
      <c r="J4158" s="674">
        <v>1.89</v>
      </c>
    </row>
    <row r="4159" spans="1:10" ht="48" customHeight="1">
      <c r="A4159" s="677" t="s">
        <v>13472</v>
      </c>
      <c r="B4159" s="678" t="s">
        <v>14062</v>
      </c>
      <c r="C4159" s="677" t="s">
        <v>7</v>
      </c>
      <c r="D4159" s="677" t="s">
        <v>1149</v>
      </c>
      <c r="E4159" s="918" t="s">
        <v>13491</v>
      </c>
      <c r="F4159" s="918"/>
      <c r="G4159" s="676" t="s">
        <v>53</v>
      </c>
      <c r="H4159" s="675">
        <v>3.72</v>
      </c>
      <c r="I4159" s="674">
        <v>0.34</v>
      </c>
      <c r="J4159" s="674">
        <v>1.26</v>
      </c>
    </row>
    <row r="4160" spans="1:10" ht="24" customHeight="1">
      <c r="A4160" s="677" t="s">
        <v>13472</v>
      </c>
      <c r="B4160" s="678" t="s">
        <v>13690</v>
      </c>
      <c r="C4160" s="677" t="s">
        <v>7</v>
      </c>
      <c r="D4160" s="677" t="s">
        <v>1097</v>
      </c>
      <c r="E4160" s="918" t="s">
        <v>13470</v>
      </c>
      <c r="F4160" s="918"/>
      <c r="G4160" s="676" t="s">
        <v>19</v>
      </c>
      <c r="H4160" s="675">
        <v>4.8499999999999996</v>
      </c>
      <c r="I4160" s="674">
        <v>12.73</v>
      </c>
      <c r="J4160" s="674">
        <v>61.74</v>
      </c>
    </row>
    <row r="4161" spans="1:10" ht="24" customHeight="1">
      <c r="A4161" s="672" t="s">
        <v>13467</v>
      </c>
      <c r="B4161" s="673" t="s">
        <v>13608</v>
      </c>
      <c r="C4161" s="672" t="s">
        <v>7</v>
      </c>
      <c r="D4161" s="672" t="s">
        <v>13607</v>
      </c>
      <c r="E4161" s="919" t="s">
        <v>13464</v>
      </c>
      <c r="F4161" s="919"/>
      <c r="G4161" s="671" t="s">
        <v>13515</v>
      </c>
      <c r="H4161" s="670">
        <v>1.36</v>
      </c>
      <c r="I4161" s="669">
        <v>74.59</v>
      </c>
      <c r="J4161" s="669">
        <v>101.44</v>
      </c>
    </row>
    <row r="4162" spans="1:10" ht="24" customHeight="1">
      <c r="A4162" s="672" t="s">
        <v>13467</v>
      </c>
      <c r="B4162" s="673" t="s">
        <v>13997</v>
      </c>
      <c r="C4162" s="672" t="s">
        <v>7</v>
      </c>
      <c r="D4162" s="672" t="s">
        <v>13996</v>
      </c>
      <c r="E4162" s="919" t="s">
        <v>13464</v>
      </c>
      <c r="F4162" s="919"/>
      <c r="G4162" s="671" t="s">
        <v>17</v>
      </c>
      <c r="H4162" s="670">
        <v>459.85</v>
      </c>
      <c r="I4162" s="669">
        <v>0.64</v>
      </c>
      <c r="J4162" s="669">
        <v>294.3</v>
      </c>
    </row>
    <row r="4163" spans="1:10" ht="25.5">
      <c r="A4163" s="668"/>
      <c r="B4163" s="668"/>
      <c r="C4163" s="668"/>
      <c r="D4163" s="668"/>
      <c r="E4163" s="668" t="s">
        <v>13463</v>
      </c>
      <c r="F4163" s="667">
        <v>25.844833206563077</v>
      </c>
      <c r="G4163" s="668" t="s">
        <v>13462</v>
      </c>
      <c r="H4163" s="667">
        <v>21.73</v>
      </c>
      <c r="I4163" s="668" t="s">
        <v>13461</v>
      </c>
      <c r="J4163" s="667">
        <v>47.57</v>
      </c>
    </row>
    <row r="4164" spans="1:10" ht="15" thickBot="1">
      <c r="A4164" s="668"/>
      <c r="B4164" s="668"/>
      <c r="C4164" s="668"/>
      <c r="D4164" s="668"/>
      <c r="E4164" s="668" t="s">
        <v>13460</v>
      </c>
      <c r="F4164" s="667">
        <v>130.08000000000001</v>
      </c>
      <c r="G4164" s="668"/>
      <c r="H4164" s="925" t="s">
        <v>13459</v>
      </c>
      <c r="I4164" s="925"/>
      <c r="J4164" s="667">
        <v>590.71</v>
      </c>
    </row>
    <row r="4165" spans="1:10" ht="0.95" customHeight="1" thickTop="1">
      <c r="A4165" s="666"/>
      <c r="B4165" s="666"/>
      <c r="C4165" s="666"/>
      <c r="D4165" s="666"/>
      <c r="E4165" s="666"/>
      <c r="F4165" s="666"/>
      <c r="G4165" s="666"/>
      <c r="H4165" s="666"/>
      <c r="I4165" s="666"/>
      <c r="J4165" s="666"/>
    </row>
    <row r="4166" spans="1:10" ht="18" customHeight="1">
      <c r="A4166" s="686"/>
      <c r="B4166" s="684" t="s">
        <v>13484</v>
      </c>
      <c r="C4166" s="686" t="s">
        <v>13483</v>
      </c>
      <c r="D4166" s="686" t="s">
        <v>13482</v>
      </c>
      <c r="E4166" s="924" t="s">
        <v>13481</v>
      </c>
      <c r="F4166" s="924"/>
      <c r="G4166" s="685" t="s">
        <v>13480</v>
      </c>
      <c r="H4166" s="684" t="s">
        <v>13479</v>
      </c>
      <c r="I4166" s="684" t="s">
        <v>13478</v>
      </c>
      <c r="J4166" s="684" t="s">
        <v>13477</v>
      </c>
    </row>
    <row r="4167" spans="1:10" ht="60" customHeight="1">
      <c r="A4167" s="682" t="s">
        <v>13476</v>
      </c>
      <c r="B4167" s="683" t="s">
        <v>14078</v>
      </c>
      <c r="C4167" s="682" t="s">
        <v>7</v>
      </c>
      <c r="D4167" s="682" t="s">
        <v>4312</v>
      </c>
      <c r="E4167" s="917" t="s">
        <v>13470</v>
      </c>
      <c r="F4167" s="917"/>
      <c r="G4167" s="681" t="s">
        <v>13515</v>
      </c>
      <c r="H4167" s="680">
        <v>1</v>
      </c>
      <c r="I4167" s="679">
        <v>336.31</v>
      </c>
      <c r="J4167" s="679">
        <v>336.31</v>
      </c>
    </row>
    <row r="4168" spans="1:10" ht="48" customHeight="1">
      <c r="A4168" s="677" t="s">
        <v>13472</v>
      </c>
      <c r="B4168" s="678" t="s">
        <v>14061</v>
      </c>
      <c r="C4168" s="677" t="s">
        <v>7</v>
      </c>
      <c r="D4168" s="677" t="s">
        <v>1148</v>
      </c>
      <c r="E4168" s="918" t="s">
        <v>13491</v>
      </c>
      <c r="F4168" s="918"/>
      <c r="G4168" s="676" t="s">
        <v>38</v>
      </c>
      <c r="H4168" s="675">
        <v>3.3319999999999999</v>
      </c>
      <c r="I4168" s="674">
        <v>1.68</v>
      </c>
      <c r="J4168" s="674">
        <v>5.59</v>
      </c>
    </row>
    <row r="4169" spans="1:10" ht="48" customHeight="1">
      <c r="A4169" s="677" t="s">
        <v>13472</v>
      </c>
      <c r="B4169" s="678" t="s">
        <v>14062</v>
      </c>
      <c r="C4169" s="677" t="s">
        <v>7</v>
      </c>
      <c r="D4169" s="677" t="s">
        <v>1149</v>
      </c>
      <c r="E4169" s="918" t="s">
        <v>13491</v>
      </c>
      <c r="F4169" s="918"/>
      <c r="G4169" s="676" t="s">
        <v>53</v>
      </c>
      <c r="H4169" s="675">
        <v>1.01</v>
      </c>
      <c r="I4169" s="674">
        <v>0.34</v>
      </c>
      <c r="J4169" s="674">
        <v>0.34</v>
      </c>
    </row>
    <row r="4170" spans="1:10" ht="24" customHeight="1">
      <c r="A4170" s="677" t="s">
        <v>13472</v>
      </c>
      <c r="B4170" s="678" t="s">
        <v>13690</v>
      </c>
      <c r="C4170" s="677" t="s">
        <v>7</v>
      </c>
      <c r="D4170" s="677" t="s">
        <v>1097</v>
      </c>
      <c r="E4170" s="918" t="s">
        <v>13470</v>
      </c>
      <c r="F4170" s="918"/>
      <c r="G4170" s="676" t="s">
        <v>19</v>
      </c>
      <c r="H4170" s="675">
        <v>4.33</v>
      </c>
      <c r="I4170" s="674">
        <v>12.73</v>
      </c>
      <c r="J4170" s="674">
        <v>55.12</v>
      </c>
    </row>
    <row r="4171" spans="1:10" ht="36" customHeight="1">
      <c r="A4171" s="672" t="s">
        <v>13467</v>
      </c>
      <c r="B4171" s="673" t="s">
        <v>14077</v>
      </c>
      <c r="C4171" s="672" t="s">
        <v>7</v>
      </c>
      <c r="D4171" s="672" t="s">
        <v>14076</v>
      </c>
      <c r="E4171" s="919" t="s">
        <v>13464</v>
      </c>
      <c r="F4171" s="919"/>
      <c r="G4171" s="671" t="s">
        <v>50</v>
      </c>
      <c r="H4171" s="670">
        <v>6.3E-2</v>
      </c>
      <c r="I4171" s="669">
        <v>6.01</v>
      </c>
      <c r="J4171" s="669">
        <v>0.37</v>
      </c>
    </row>
    <row r="4172" spans="1:10" ht="24" customHeight="1">
      <c r="A4172" s="672" t="s">
        <v>13467</v>
      </c>
      <c r="B4172" s="673" t="s">
        <v>13608</v>
      </c>
      <c r="C4172" s="672" t="s">
        <v>7</v>
      </c>
      <c r="D4172" s="672" t="s">
        <v>13607</v>
      </c>
      <c r="E4172" s="919" t="s">
        <v>13464</v>
      </c>
      <c r="F4172" s="919"/>
      <c r="G4172" s="671" t="s">
        <v>13515</v>
      </c>
      <c r="H4172" s="670">
        <v>1.27</v>
      </c>
      <c r="I4172" s="669">
        <v>74.59</v>
      </c>
      <c r="J4172" s="669">
        <v>94.72</v>
      </c>
    </row>
    <row r="4173" spans="1:10" ht="24" customHeight="1">
      <c r="A4173" s="672" t="s">
        <v>13467</v>
      </c>
      <c r="B4173" s="673" t="s">
        <v>13997</v>
      </c>
      <c r="C4173" s="672" t="s">
        <v>7</v>
      </c>
      <c r="D4173" s="672" t="s">
        <v>13996</v>
      </c>
      <c r="E4173" s="919" t="s">
        <v>13464</v>
      </c>
      <c r="F4173" s="919"/>
      <c r="G4173" s="671" t="s">
        <v>17</v>
      </c>
      <c r="H4173" s="670">
        <v>281.52999999999997</v>
      </c>
      <c r="I4173" s="669">
        <v>0.64</v>
      </c>
      <c r="J4173" s="669">
        <v>180.17</v>
      </c>
    </row>
    <row r="4174" spans="1:10" ht="25.5">
      <c r="A4174" s="668"/>
      <c r="B4174" s="668"/>
      <c r="C4174" s="668"/>
      <c r="D4174" s="668"/>
      <c r="E4174" s="668" t="s">
        <v>13463</v>
      </c>
      <c r="F4174" s="667">
        <v>23.073997609475171</v>
      </c>
      <c r="G4174" s="668" t="s">
        <v>13462</v>
      </c>
      <c r="H4174" s="667">
        <v>19.399999999999999</v>
      </c>
      <c r="I4174" s="668" t="s">
        <v>13461</v>
      </c>
      <c r="J4174" s="667">
        <v>42.47</v>
      </c>
    </row>
    <row r="4175" spans="1:10" ht="15" thickBot="1">
      <c r="A4175" s="668"/>
      <c r="B4175" s="668"/>
      <c r="C4175" s="668"/>
      <c r="D4175" s="668"/>
      <c r="E4175" s="668" t="s">
        <v>13460</v>
      </c>
      <c r="F4175" s="667">
        <v>94.97</v>
      </c>
      <c r="G4175" s="668"/>
      <c r="H4175" s="925" t="s">
        <v>13459</v>
      </c>
      <c r="I4175" s="925"/>
      <c r="J4175" s="667">
        <v>431.28</v>
      </c>
    </row>
    <row r="4176" spans="1:10" ht="0.95" customHeight="1" thickTop="1">
      <c r="A4176" s="666"/>
      <c r="B4176" s="666"/>
      <c r="C4176" s="666"/>
      <c r="D4176" s="666"/>
      <c r="E4176" s="666"/>
      <c r="F4176" s="666"/>
      <c r="G4176" s="666"/>
      <c r="H4176" s="666"/>
      <c r="I4176" s="666"/>
      <c r="J4176" s="666"/>
    </row>
    <row r="4177" spans="1:10" ht="18" customHeight="1">
      <c r="A4177" s="686"/>
      <c r="B4177" s="684" t="s">
        <v>13484</v>
      </c>
      <c r="C4177" s="686" t="s">
        <v>13483</v>
      </c>
      <c r="D4177" s="686" t="s">
        <v>13482</v>
      </c>
      <c r="E4177" s="924" t="s">
        <v>13481</v>
      </c>
      <c r="F4177" s="924"/>
      <c r="G4177" s="685" t="s">
        <v>13480</v>
      </c>
      <c r="H4177" s="684" t="s">
        <v>13479</v>
      </c>
      <c r="I4177" s="684" t="s">
        <v>13478</v>
      </c>
      <c r="J4177" s="684" t="s">
        <v>13477</v>
      </c>
    </row>
    <row r="4178" spans="1:10" ht="24" customHeight="1">
      <c r="A4178" s="682" t="s">
        <v>13476</v>
      </c>
      <c r="B4178" s="683" t="s">
        <v>13724</v>
      </c>
      <c r="C4178" s="682" t="s">
        <v>7</v>
      </c>
      <c r="D4178" s="682" t="s">
        <v>125</v>
      </c>
      <c r="E4178" s="917" t="s">
        <v>13470</v>
      </c>
      <c r="F4178" s="917"/>
      <c r="G4178" s="681" t="s">
        <v>19</v>
      </c>
      <c r="H4178" s="680">
        <v>1</v>
      </c>
      <c r="I4178" s="679">
        <v>17.579999999999998</v>
      </c>
      <c r="J4178" s="679">
        <v>17.579999999999998</v>
      </c>
    </row>
    <row r="4179" spans="1:10" ht="24" customHeight="1">
      <c r="A4179" s="677" t="s">
        <v>13472</v>
      </c>
      <c r="B4179" s="678" t="s">
        <v>13951</v>
      </c>
      <c r="C4179" s="677" t="s">
        <v>7</v>
      </c>
      <c r="D4179" s="677" t="s">
        <v>555</v>
      </c>
      <c r="E4179" s="918" t="s">
        <v>13470</v>
      </c>
      <c r="F4179" s="918"/>
      <c r="G4179" s="676" t="s">
        <v>19</v>
      </c>
      <c r="H4179" s="675">
        <v>1</v>
      </c>
      <c r="I4179" s="674">
        <v>0.11</v>
      </c>
      <c r="J4179" s="674">
        <v>0.11</v>
      </c>
    </row>
    <row r="4180" spans="1:10" ht="24" customHeight="1">
      <c r="A4180" s="672" t="s">
        <v>13467</v>
      </c>
      <c r="B4180" s="673" t="s">
        <v>13562</v>
      </c>
      <c r="C4180" s="672" t="s">
        <v>7</v>
      </c>
      <c r="D4180" s="672" t="s">
        <v>13561</v>
      </c>
      <c r="E4180" s="919" t="s">
        <v>13556</v>
      </c>
      <c r="F4180" s="919"/>
      <c r="G4180" s="671" t="s">
        <v>19</v>
      </c>
      <c r="H4180" s="670">
        <v>1</v>
      </c>
      <c r="I4180" s="669">
        <v>0.96</v>
      </c>
      <c r="J4180" s="669">
        <v>0.96</v>
      </c>
    </row>
    <row r="4181" spans="1:10" ht="24" customHeight="1">
      <c r="A4181" s="672" t="s">
        <v>13467</v>
      </c>
      <c r="B4181" s="673" t="s">
        <v>13950</v>
      </c>
      <c r="C4181" s="672" t="s">
        <v>7</v>
      </c>
      <c r="D4181" s="672" t="s">
        <v>13949</v>
      </c>
      <c r="E4181" s="919" t="s">
        <v>13548</v>
      </c>
      <c r="F4181" s="919"/>
      <c r="G4181" s="671" t="s">
        <v>19</v>
      </c>
      <c r="H4181" s="670">
        <v>1</v>
      </c>
      <c r="I4181" s="669">
        <v>13.66</v>
      </c>
      <c r="J4181" s="669">
        <v>13.66</v>
      </c>
    </row>
    <row r="4182" spans="1:10" ht="24" customHeight="1">
      <c r="A4182" s="672" t="s">
        <v>13467</v>
      </c>
      <c r="B4182" s="673" t="s">
        <v>13752</v>
      </c>
      <c r="C4182" s="672" t="s">
        <v>7</v>
      </c>
      <c r="D4182" s="672" t="s">
        <v>13751</v>
      </c>
      <c r="E4182" s="919" t="s">
        <v>13493</v>
      </c>
      <c r="F4182" s="919"/>
      <c r="G4182" s="671" t="s">
        <v>19</v>
      </c>
      <c r="H4182" s="670">
        <v>1</v>
      </c>
      <c r="I4182" s="669">
        <v>0.95</v>
      </c>
      <c r="J4182" s="669">
        <v>0.95</v>
      </c>
    </row>
    <row r="4183" spans="1:10" ht="24" customHeight="1">
      <c r="A4183" s="672" t="s">
        <v>13467</v>
      </c>
      <c r="B4183" s="673" t="s">
        <v>13558</v>
      </c>
      <c r="C4183" s="672" t="s">
        <v>7</v>
      </c>
      <c r="D4183" s="672" t="s">
        <v>13557</v>
      </c>
      <c r="E4183" s="919" t="s">
        <v>13556</v>
      </c>
      <c r="F4183" s="919"/>
      <c r="G4183" s="671" t="s">
        <v>19</v>
      </c>
      <c r="H4183" s="670">
        <v>1</v>
      </c>
      <c r="I4183" s="669">
        <v>0.55000000000000004</v>
      </c>
      <c r="J4183" s="669">
        <v>0.55000000000000004</v>
      </c>
    </row>
    <row r="4184" spans="1:10" ht="24" customHeight="1">
      <c r="A4184" s="672" t="s">
        <v>13467</v>
      </c>
      <c r="B4184" s="673" t="s">
        <v>13750</v>
      </c>
      <c r="C4184" s="672" t="s">
        <v>7</v>
      </c>
      <c r="D4184" s="672" t="s">
        <v>13749</v>
      </c>
      <c r="E4184" s="919" t="s">
        <v>13493</v>
      </c>
      <c r="F4184" s="919"/>
      <c r="G4184" s="671" t="s">
        <v>19</v>
      </c>
      <c r="H4184" s="670">
        <v>1</v>
      </c>
      <c r="I4184" s="669">
        <v>0.57999999999999996</v>
      </c>
      <c r="J4184" s="669">
        <v>0.57999999999999996</v>
      </c>
    </row>
    <row r="4185" spans="1:10" ht="24" customHeight="1">
      <c r="A4185" s="672" t="s">
        <v>13467</v>
      </c>
      <c r="B4185" s="673" t="s">
        <v>13553</v>
      </c>
      <c r="C4185" s="672" t="s">
        <v>7</v>
      </c>
      <c r="D4185" s="672" t="s">
        <v>13552</v>
      </c>
      <c r="E4185" s="919" t="s">
        <v>13551</v>
      </c>
      <c r="F4185" s="919"/>
      <c r="G4185" s="671" t="s">
        <v>19</v>
      </c>
      <c r="H4185" s="670">
        <v>1</v>
      </c>
      <c r="I4185" s="669">
        <v>0.06</v>
      </c>
      <c r="J4185" s="669">
        <v>0.06</v>
      </c>
    </row>
    <row r="4186" spans="1:10" ht="24" customHeight="1">
      <c r="A4186" s="672" t="s">
        <v>13467</v>
      </c>
      <c r="B4186" s="673" t="s">
        <v>13547</v>
      </c>
      <c r="C4186" s="672" t="s">
        <v>7</v>
      </c>
      <c r="D4186" s="672" t="s">
        <v>13546</v>
      </c>
      <c r="E4186" s="919" t="s">
        <v>13545</v>
      </c>
      <c r="F4186" s="919"/>
      <c r="G4186" s="671" t="s">
        <v>19</v>
      </c>
      <c r="H4186" s="670">
        <v>1</v>
      </c>
      <c r="I4186" s="669">
        <v>0.71</v>
      </c>
      <c r="J4186" s="669">
        <v>0.71</v>
      </c>
    </row>
    <row r="4187" spans="1:10" ht="25.5">
      <c r="A4187" s="668"/>
      <c r="B4187" s="668"/>
      <c r="C4187" s="668"/>
      <c r="D4187" s="668"/>
      <c r="E4187" s="668" t="s">
        <v>13463</v>
      </c>
      <c r="F4187" s="667">
        <v>7.4812561000000004</v>
      </c>
      <c r="G4187" s="668" t="s">
        <v>13462</v>
      </c>
      <c r="H4187" s="667">
        <v>6.29</v>
      </c>
      <c r="I4187" s="668" t="s">
        <v>13461</v>
      </c>
      <c r="J4187" s="667">
        <v>13.77</v>
      </c>
    </row>
    <row r="4188" spans="1:10" ht="15" thickBot="1">
      <c r="A4188" s="668"/>
      <c r="B4188" s="668"/>
      <c r="C4188" s="668"/>
      <c r="D4188" s="668"/>
      <c r="E4188" s="668" t="s">
        <v>13460</v>
      </c>
      <c r="F4188" s="667">
        <v>4.96</v>
      </c>
      <c r="G4188" s="668"/>
      <c r="H4188" s="925" t="s">
        <v>13459</v>
      </c>
      <c r="I4188" s="925"/>
      <c r="J4188" s="667">
        <v>22.54</v>
      </c>
    </row>
    <row r="4189" spans="1:10" ht="0.95" customHeight="1" thickTop="1">
      <c r="A4189" s="666"/>
      <c r="B4189" s="666"/>
      <c r="C4189" s="666"/>
      <c r="D4189" s="666"/>
      <c r="E4189" s="666"/>
      <c r="F4189" s="666"/>
      <c r="G4189" s="666"/>
      <c r="H4189" s="666"/>
      <c r="I4189" s="666"/>
      <c r="J4189" s="666"/>
    </row>
    <row r="4190" spans="1:10" ht="18" customHeight="1">
      <c r="A4190" s="686"/>
      <c r="B4190" s="684" t="s">
        <v>13484</v>
      </c>
      <c r="C4190" s="686" t="s">
        <v>13483</v>
      </c>
      <c r="D4190" s="686" t="s">
        <v>13482</v>
      </c>
      <c r="E4190" s="924" t="s">
        <v>13481</v>
      </c>
      <c r="F4190" s="924"/>
      <c r="G4190" s="685" t="s">
        <v>13480</v>
      </c>
      <c r="H4190" s="684" t="s">
        <v>13479</v>
      </c>
      <c r="I4190" s="684" t="s">
        <v>13478</v>
      </c>
      <c r="J4190" s="684" t="s">
        <v>13477</v>
      </c>
    </row>
    <row r="4191" spans="1:10" ht="48" customHeight="1">
      <c r="A4191" s="682" t="s">
        <v>13476</v>
      </c>
      <c r="B4191" s="683" t="s">
        <v>14075</v>
      </c>
      <c r="C4191" s="682" t="s">
        <v>7</v>
      </c>
      <c r="D4191" s="682" t="s">
        <v>2198</v>
      </c>
      <c r="E4191" s="917" t="s">
        <v>13646</v>
      </c>
      <c r="F4191" s="917"/>
      <c r="G4191" s="681" t="s">
        <v>17</v>
      </c>
      <c r="H4191" s="680">
        <v>1</v>
      </c>
      <c r="I4191" s="679">
        <v>18.96</v>
      </c>
      <c r="J4191" s="679">
        <v>18.96</v>
      </c>
    </row>
    <row r="4192" spans="1:10" ht="24" customHeight="1">
      <c r="A4192" s="677" t="s">
        <v>13472</v>
      </c>
      <c r="B4192" s="678" t="s">
        <v>13972</v>
      </c>
      <c r="C4192" s="677" t="s">
        <v>7</v>
      </c>
      <c r="D4192" s="677" t="s">
        <v>2214</v>
      </c>
      <c r="E4192" s="918" t="s">
        <v>13646</v>
      </c>
      <c r="F4192" s="918"/>
      <c r="G4192" s="676" t="s">
        <v>17</v>
      </c>
      <c r="H4192" s="675">
        <v>1</v>
      </c>
      <c r="I4192" s="674">
        <v>14.99</v>
      </c>
      <c r="J4192" s="674">
        <v>14.99</v>
      </c>
    </row>
    <row r="4193" spans="1:10" ht="24" customHeight="1">
      <c r="A4193" s="677" t="s">
        <v>13472</v>
      </c>
      <c r="B4193" s="678" t="s">
        <v>13724</v>
      </c>
      <c r="C4193" s="677" t="s">
        <v>7</v>
      </c>
      <c r="D4193" s="677" t="s">
        <v>125</v>
      </c>
      <c r="E4193" s="918" t="s">
        <v>13470</v>
      </c>
      <c r="F4193" s="918"/>
      <c r="G4193" s="676" t="s">
        <v>19</v>
      </c>
      <c r="H4193" s="675">
        <v>0.1547</v>
      </c>
      <c r="I4193" s="674">
        <v>17.579999999999998</v>
      </c>
      <c r="J4193" s="674">
        <v>2.71</v>
      </c>
    </row>
    <row r="4194" spans="1:10" ht="24" customHeight="1">
      <c r="A4194" s="677" t="s">
        <v>13472</v>
      </c>
      <c r="B4194" s="678" t="s">
        <v>13723</v>
      </c>
      <c r="C4194" s="677" t="s">
        <v>7</v>
      </c>
      <c r="D4194" s="677" t="s">
        <v>120</v>
      </c>
      <c r="E4194" s="918" t="s">
        <v>13470</v>
      </c>
      <c r="F4194" s="918"/>
      <c r="G4194" s="676" t="s">
        <v>19</v>
      </c>
      <c r="H4194" s="675">
        <v>2.53E-2</v>
      </c>
      <c r="I4194" s="674">
        <v>13.4</v>
      </c>
      <c r="J4194" s="674">
        <v>0.33</v>
      </c>
    </row>
    <row r="4195" spans="1:10" ht="24" customHeight="1">
      <c r="A4195" s="672" t="s">
        <v>13467</v>
      </c>
      <c r="B4195" s="673" t="s">
        <v>13722</v>
      </c>
      <c r="C4195" s="672" t="s">
        <v>7</v>
      </c>
      <c r="D4195" s="672" t="s">
        <v>13721</v>
      </c>
      <c r="E4195" s="919" t="s">
        <v>13464</v>
      </c>
      <c r="F4195" s="919"/>
      <c r="G4195" s="671" t="s">
        <v>17</v>
      </c>
      <c r="H4195" s="670">
        <v>2.5000000000000001E-2</v>
      </c>
      <c r="I4195" s="669">
        <v>19.989999999999998</v>
      </c>
      <c r="J4195" s="669">
        <v>0.49</v>
      </c>
    </row>
    <row r="4196" spans="1:10" ht="36" customHeight="1">
      <c r="A4196" s="672" t="s">
        <v>13467</v>
      </c>
      <c r="B4196" s="673" t="s">
        <v>14074</v>
      </c>
      <c r="C4196" s="672" t="s">
        <v>7</v>
      </c>
      <c r="D4196" s="672" t="s">
        <v>14073</v>
      </c>
      <c r="E4196" s="919" t="s">
        <v>13464</v>
      </c>
      <c r="F4196" s="919"/>
      <c r="G4196" s="671" t="s">
        <v>34</v>
      </c>
      <c r="H4196" s="670">
        <v>2.1179999999999999</v>
      </c>
      <c r="I4196" s="669">
        <v>0.21</v>
      </c>
      <c r="J4196" s="669">
        <v>0.44</v>
      </c>
    </row>
    <row r="4197" spans="1:10" ht="25.5">
      <c r="A4197" s="668"/>
      <c r="B4197" s="668"/>
      <c r="C4197" s="668"/>
      <c r="D4197" s="668"/>
      <c r="E4197" s="668" t="s">
        <v>13463</v>
      </c>
      <c r="F4197" s="667">
        <v>1.7602955557970228</v>
      </c>
      <c r="G4197" s="668" t="s">
        <v>13462</v>
      </c>
      <c r="H4197" s="667">
        <v>1.48</v>
      </c>
      <c r="I4197" s="668" t="s">
        <v>13461</v>
      </c>
      <c r="J4197" s="667">
        <v>3.24</v>
      </c>
    </row>
    <row r="4198" spans="1:10" ht="15" thickBot="1">
      <c r="A4198" s="668"/>
      <c r="B4198" s="668"/>
      <c r="C4198" s="668"/>
      <c r="D4198" s="668"/>
      <c r="E4198" s="668" t="s">
        <v>13460</v>
      </c>
      <c r="F4198" s="667">
        <v>5.35</v>
      </c>
      <c r="G4198" s="668"/>
      <c r="H4198" s="925" t="s">
        <v>13459</v>
      </c>
      <c r="I4198" s="925"/>
      <c r="J4198" s="667">
        <v>24.31</v>
      </c>
    </row>
    <row r="4199" spans="1:10" ht="0.95" customHeight="1" thickTop="1">
      <c r="A4199" s="666"/>
      <c r="B4199" s="666"/>
      <c r="C4199" s="666"/>
      <c r="D4199" s="666"/>
      <c r="E4199" s="666"/>
      <c r="F4199" s="666"/>
      <c r="G4199" s="666"/>
      <c r="H4199" s="666"/>
      <c r="I4199" s="666"/>
      <c r="J4199" s="666"/>
    </row>
    <row r="4200" spans="1:10" ht="18" customHeight="1">
      <c r="A4200" s="686"/>
      <c r="B4200" s="684" t="s">
        <v>13484</v>
      </c>
      <c r="C4200" s="686" t="s">
        <v>13483</v>
      </c>
      <c r="D4200" s="686" t="s">
        <v>13482</v>
      </c>
      <c r="E4200" s="924" t="s">
        <v>13481</v>
      </c>
      <c r="F4200" s="924"/>
      <c r="G4200" s="685" t="s">
        <v>13480</v>
      </c>
      <c r="H4200" s="684" t="s">
        <v>13479</v>
      </c>
      <c r="I4200" s="684" t="s">
        <v>13478</v>
      </c>
      <c r="J4200" s="684" t="s">
        <v>13477</v>
      </c>
    </row>
    <row r="4201" spans="1:10" ht="24" customHeight="1">
      <c r="A4201" s="682" t="s">
        <v>13476</v>
      </c>
      <c r="B4201" s="683" t="s">
        <v>14072</v>
      </c>
      <c r="C4201" s="682" t="s">
        <v>7</v>
      </c>
      <c r="D4201" s="682" t="s">
        <v>6157</v>
      </c>
      <c r="E4201" s="917" t="s">
        <v>13646</v>
      </c>
      <c r="F4201" s="917"/>
      <c r="G4201" s="681" t="s">
        <v>17</v>
      </c>
      <c r="H4201" s="680">
        <v>1</v>
      </c>
      <c r="I4201" s="679">
        <v>24.03</v>
      </c>
      <c r="J4201" s="679">
        <v>24.03</v>
      </c>
    </row>
    <row r="4202" spans="1:10" ht="24" customHeight="1">
      <c r="A4202" s="677" t="s">
        <v>13472</v>
      </c>
      <c r="B4202" s="678" t="s">
        <v>13724</v>
      </c>
      <c r="C4202" s="677" t="s">
        <v>7</v>
      </c>
      <c r="D4202" s="677" t="s">
        <v>125</v>
      </c>
      <c r="E4202" s="918" t="s">
        <v>13470</v>
      </c>
      <c r="F4202" s="918"/>
      <c r="G4202" s="676" t="s">
        <v>19</v>
      </c>
      <c r="H4202" s="675">
        <v>2.4E-2</v>
      </c>
      <c r="I4202" s="674">
        <v>17.579999999999998</v>
      </c>
      <c r="J4202" s="674">
        <v>0.42</v>
      </c>
    </row>
    <row r="4203" spans="1:10" ht="24" customHeight="1">
      <c r="A4203" s="677" t="s">
        <v>13472</v>
      </c>
      <c r="B4203" s="678" t="s">
        <v>13723</v>
      </c>
      <c r="C4203" s="677" t="s">
        <v>7</v>
      </c>
      <c r="D4203" s="677" t="s">
        <v>120</v>
      </c>
      <c r="E4203" s="918" t="s">
        <v>13470</v>
      </c>
      <c r="F4203" s="918"/>
      <c r="G4203" s="676" t="s">
        <v>19</v>
      </c>
      <c r="H4203" s="675">
        <v>8.0000000000000002E-3</v>
      </c>
      <c r="I4203" s="674">
        <v>13.4</v>
      </c>
      <c r="J4203" s="674">
        <v>0.1</v>
      </c>
    </row>
    <row r="4204" spans="1:10" ht="24" customHeight="1">
      <c r="A4204" s="672" t="s">
        <v>13467</v>
      </c>
      <c r="B4204" s="673" t="s">
        <v>13722</v>
      </c>
      <c r="C4204" s="672" t="s">
        <v>7</v>
      </c>
      <c r="D4204" s="672" t="s">
        <v>13721</v>
      </c>
      <c r="E4204" s="919" t="s">
        <v>13464</v>
      </c>
      <c r="F4204" s="919"/>
      <c r="G4204" s="671" t="s">
        <v>17</v>
      </c>
      <c r="H4204" s="670">
        <v>1.0999999999999999E-2</v>
      </c>
      <c r="I4204" s="669">
        <v>19.989999999999998</v>
      </c>
      <c r="J4204" s="669">
        <v>0.21</v>
      </c>
    </row>
    <row r="4205" spans="1:10" ht="36" customHeight="1">
      <c r="A4205" s="672" t="s">
        <v>13467</v>
      </c>
      <c r="B4205" s="673" t="s">
        <v>14071</v>
      </c>
      <c r="C4205" s="672" t="s">
        <v>7</v>
      </c>
      <c r="D4205" s="672" t="s">
        <v>14070</v>
      </c>
      <c r="E4205" s="919" t="s">
        <v>13464</v>
      </c>
      <c r="F4205" s="919"/>
      <c r="G4205" s="671" t="s">
        <v>13610</v>
      </c>
      <c r="H4205" s="670">
        <v>0.39200000000000002</v>
      </c>
      <c r="I4205" s="669">
        <v>50.07</v>
      </c>
      <c r="J4205" s="669">
        <v>19.62</v>
      </c>
    </row>
    <row r="4206" spans="1:10" ht="36" customHeight="1">
      <c r="A4206" s="672" t="s">
        <v>13467</v>
      </c>
      <c r="B4206" s="673" t="s">
        <v>14069</v>
      </c>
      <c r="C4206" s="672" t="s">
        <v>7</v>
      </c>
      <c r="D4206" s="672" t="s">
        <v>14068</v>
      </c>
      <c r="E4206" s="919" t="s">
        <v>13464</v>
      </c>
      <c r="F4206" s="919"/>
      <c r="G4206" s="671" t="s">
        <v>14</v>
      </c>
      <c r="H4206" s="670">
        <v>0.32200000000000001</v>
      </c>
      <c r="I4206" s="669">
        <v>11.43</v>
      </c>
      <c r="J4206" s="669">
        <v>3.68</v>
      </c>
    </row>
    <row r="4207" spans="1:10" ht="25.5">
      <c r="A4207" s="668"/>
      <c r="B4207" s="668"/>
      <c r="C4207" s="668"/>
      <c r="D4207" s="668"/>
      <c r="E4207" s="668" t="s">
        <v>13463</v>
      </c>
      <c r="F4207" s="667">
        <v>0.21732043898728676</v>
      </c>
      <c r="G4207" s="668" t="s">
        <v>13462</v>
      </c>
      <c r="H4207" s="667">
        <v>0.18</v>
      </c>
      <c r="I4207" s="668" t="s">
        <v>13461</v>
      </c>
      <c r="J4207" s="667">
        <v>0.4</v>
      </c>
    </row>
    <row r="4208" spans="1:10" ht="15" thickBot="1">
      <c r="A4208" s="668"/>
      <c r="B4208" s="668"/>
      <c r="C4208" s="668"/>
      <c r="D4208" s="668"/>
      <c r="E4208" s="668" t="s">
        <v>13460</v>
      </c>
      <c r="F4208" s="667">
        <v>6.78</v>
      </c>
      <c r="G4208" s="668"/>
      <c r="H4208" s="925" t="s">
        <v>13459</v>
      </c>
      <c r="I4208" s="925"/>
      <c r="J4208" s="667">
        <v>30.81</v>
      </c>
    </row>
    <row r="4209" spans="1:10" ht="0.95" customHeight="1" thickTop="1">
      <c r="A4209" s="666"/>
      <c r="B4209" s="666"/>
      <c r="C4209" s="666"/>
      <c r="D4209" s="666"/>
      <c r="E4209" s="666"/>
      <c r="F4209" s="666"/>
      <c r="G4209" s="666"/>
      <c r="H4209" s="666"/>
      <c r="I4209" s="666"/>
      <c r="J4209" s="666"/>
    </row>
    <row r="4210" spans="1:10" ht="18" customHeight="1">
      <c r="A4210" s="686"/>
      <c r="B4210" s="684" t="s">
        <v>13484</v>
      </c>
      <c r="C4210" s="686" t="s">
        <v>13483</v>
      </c>
      <c r="D4210" s="686" t="s">
        <v>13482</v>
      </c>
      <c r="E4210" s="924" t="s">
        <v>13481</v>
      </c>
      <c r="F4210" s="924"/>
      <c r="G4210" s="685" t="s">
        <v>13480</v>
      </c>
      <c r="H4210" s="684" t="s">
        <v>13479</v>
      </c>
      <c r="I4210" s="684" t="s">
        <v>13478</v>
      </c>
      <c r="J4210" s="684" t="s">
        <v>13477</v>
      </c>
    </row>
    <row r="4211" spans="1:10" ht="24" customHeight="1">
      <c r="A4211" s="682" t="s">
        <v>13476</v>
      </c>
      <c r="B4211" s="683" t="s">
        <v>14067</v>
      </c>
      <c r="C4211" s="682" t="s">
        <v>7</v>
      </c>
      <c r="D4211" s="682" t="s">
        <v>126</v>
      </c>
      <c r="E4211" s="917" t="s">
        <v>13470</v>
      </c>
      <c r="F4211" s="917"/>
      <c r="G4211" s="681" t="s">
        <v>19</v>
      </c>
      <c r="H4211" s="680">
        <v>1</v>
      </c>
      <c r="I4211" s="679">
        <v>14.9</v>
      </c>
      <c r="J4211" s="679">
        <v>14.9</v>
      </c>
    </row>
    <row r="4212" spans="1:10" ht="24" customHeight="1">
      <c r="A4212" s="677" t="s">
        <v>13472</v>
      </c>
      <c r="B4212" s="678" t="s">
        <v>13948</v>
      </c>
      <c r="C4212" s="677" t="s">
        <v>7</v>
      </c>
      <c r="D4212" s="677" t="s">
        <v>2730</v>
      </c>
      <c r="E4212" s="918" t="s">
        <v>13470</v>
      </c>
      <c r="F4212" s="918"/>
      <c r="G4212" s="676" t="s">
        <v>19</v>
      </c>
      <c r="H4212" s="675">
        <v>1</v>
      </c>
      <c r="I4212" s="674">
        <v>0.12</v>
      </c>
      <c r="J4212" s="674">
        <v>0.12</v>
      </c>
    </row>
    <row r="4213" spans="1:10" ht="24" customHeight="1">
      <c r="A4213" s="672" t="s">
        <v>13467</v>
      </c>
      <c r="B4213" s="673" t="s">
        <v>13562</v>
      </c>
      <c r="C4213" s="672" t="s">
        <v>7</v>
      </c>
      <c r="D4213" s="672" t="s">
        <v>13561</v>
      </c>
      <c r="E4213" s="919" t="s">
        <v>13556</v>
      </c>
      <c r="F4213" s="919"/>
      <c r="G4213" s="671" t="s">
        <v>19</v>
      </c>
      <c r="H4213" s="670">
        <v>1</v>
      </c>
      <c r="I4213" s="669">
        <v>0.96</v>
      </c>
      <c r="J4213" s="669">
        <v>0.96</v>
      </c>
    </row>
    <row r="4214" spans="1:10" ht="24" customHeight="1">
      <c r="A4214" s="672" t="s">
        <v>13467</v>
      </c>
      <c r="B4214" s="673" t="s">
        <v>13947</v>
      </c>
      <c r="C4214" s="672" t="s">
        <v>7</v>
      </c>
      <c r="D4214" s="672" t="s">
        <v>13946</v>
      </c>
      <c r="E4214" s="919" t="s">
        <v>13548</v>
      </c>
      <c r="F4214" s="919"/>
      <c r="G4214" s="671" t="s">
        <v>19</v>
      </c>
      <c r="H4214" s="670">
        <v>1</v>
      </c>
      <c r="I4214" s="669">
        <v>11.86</v>
      </c>
      <c r="J4214" s="669">
        <v>11.86</v>
      </c>
    </row>
    <row r="4215" spans="1:10" ht="24" customHeight="1">
      <c r="A4215" s="672" t="s">
        <v>13467</v>
      </c>
      <c r="B4215" s="673" t="s">
        <v>13665</v>
      </c>
      <c r="C4215" s="672" t="s">
        <v>7</v>
      </c>
      <c r="D4215" s="672" t="s">
        <v>13664</v>
      </c>
      <c r="E4215" s="919" t="s">
        <v>13493</v>
      </c>
      <c r="F4215" s="919"/>
      <c r="G4215" s="671" t="s">
        <v>19</v>
      </c>
      <c r="H4215" s="670">
        <v>1</v>
      </c>
      <c r="I4215" s="669">
        <v>0.63</v>
      </c>
      <c r="J4215" s="669">
        <v>0.63</v>
      </c>
    </row>
    <row r="4216" spans="1:10" ht="24" customHeight="1">
      <c r="A4216" s="672" t="s">
        <v>13467</v>
      </c>
      <c r="B4216" s="673" t="s">
        <v>13558</v>
      </c>
      <c r="C4216" s="672" t="s">
        <v>7</v>
      </c>
      <c r="D4216" s="672" t="s">
        <v>13557</v>
      </c>
      <c r="E4216" s="919" t="s">
        <v>13556</v>
      </c>
      <c r="F4216" s="919"/>
      <c r="G4216" s="671" t="s">
        <v>19</v>
      </c>
      <c r="H4216" s="670">
        <v>1</v>
      </c>
      <c r="I4216" s="669">
        <v>0.55000000000000004</v>
      </c>
      <c r="J4216" s="669">
        <v>0.55000000000000004</v>
      </c>
    </row>
    <row r="4217" spans="1:10" ht="24" customHeight="1">
      <c r="A4217" s="672" t="s">
        <v>13467</v>
      </c>
      <c r="B4217" s="673" t="s">
        <v>13663</v>
      </c>
      <c r="C4217" s="672" t="s">
        <v>7</v>
      </c>
      <c r="D4217" s="672" t="s">
        <v>13662</v>
      </c>
      <c r="E4217" s="919" t="s">
        <v>13493</v>
      </c>
      <c r="F4217" s="919"/>
      <c r="G4217" s="671" t="s">
        <v>19</v>
      </c>
      <c r="H4217" s="670">
        <v>1</v>
      </c>
      <c r="I4217" s="669">
        <v>0.01</v>
      </c>
      <c r="J4217" s="669">
        <v>0.01</v>
      </c>
    </row>
    <row r="4218" spans="1:10" ht="24" customHeight="1">
      <c r="A4218" s="672" t="s">
        <v>13467</v>
      </c>
      <c r="B4218" s="673" t="s">
        <v>13553</v>
      </c>
      <c r="C4218" s="672" t="s">
        <v>7</v>
      </c>
      <c r="D4218" s="672" t="s">
        <v>13552</v>
      </c>
      <c r="E4218" s="919" t="s">
        <v>13551</v>
      </c>
      <c r="F4218" s="919"/>
      <c r="G4218" s="671" t="s">
        <v>19</v>
      </c>
      <c r="H4218" s="670">
        <v>1</v>
      </c>
      <c r="I4218" s="669">
        <v>0.06</v>
      </c>
      <c r="J4218" s="669">
        <v>0.06</v>
      </c>
    </row>
    <row r="4219" spans="1:10" ht="24" customHeight="1">
      <c r="A4219" s="672" t="s">
        <v>13467</v>
      </c>
      <c r="B4219" s="673" t="s">
        <v>13547</v>
      </c>
      <c r="C4219" s="672" t="s">
        <v>7</v>
      </c>
      <c r="D4219" s="672" t="s">
        <v>13546</v>
      </c>
      <c r="E4219" s="919" t="s">
        <v>13545</v>
      </c>
      <c r="F4219" s="919"/>
      <c r="G4219" s="671" t="s">
        <v>19</v>
      </c>
      <c r="H4219" s="670">
        <v>1</v>
      </c>
      <c r="I4219" s="669">
        <v>0.71</v>
      </c>
      <c r="J4219" s="669">
        <v>0.71</v>
      </c>
    </row>
    <row r="4220" spans="1:10" ht="25.5">
      <c r="A4220" s="668"/>
      <c r="B4220" s="668"/>
      <c r="C4220" s="668"/>
      <c r="D4220" s="668"/>
      <c r="E4220" s="668" t="s">
        <v>13463</v>
      </c>
      <c r="F4220" s="667">
        <v>6.5087470999999999</v>
      </c>
      <c r="G4220" s="668" t="s">
        <v>13462</v>
      </c>
      <c r="H4220" s="667">
        <v>5.47</v>
      </c>
      <c r="I4220" s="668" t="s">
        <v>13461</v>
      </c>
      <c r="J4220" s="667">
        <v>11.98</v>
      </c>
    </row>
    <row r="4221" spans="1:10" ht="15" thickBot="1">
      <c r="A4221" s="668"/>
      <c r="B4221" s="668"/>
      <c r="C4221" s="668"/>
      <c r="D4221" s="668"/>
      <c r="E4221" s="668" t="s">
        <v>13460</v>
      </c>
      <c r="F4221" s="667">
        <v>4.2</v>
      </c>
      <c r="G4221" s="668"/>
      <c r="H4221" s="925" t="s">
        <v>13459</v>
      </c>
      <c r="I4221" s="925"/>
      <c r="J4221" s="667">
        <v>19.100000000000001</v>
      </c>
    </row>
    <row r="4222" spans="1:10" ht="0.95" customHeight="1" thickTop="1">
      <c r="A4222" s="666"/>
      <c r="B4222" s="666"/>
      <c r="C4222" s="666"/>
      <c r="D4222" s="666"/>
      <c r="E4222" s="666"/>
      <c r="F4222" s="666"/>
      <c r="G4222" s="666"/>
      <c r="H4222" s="666"/>
      <c r="I4222" s="666"/>
      <c r="J4222" s="666"/>
    </row>
    <row r="4223" spans="1:10" ht="18" customHeight="1">
      <c r="A4223" s="686"/>
      <c r="B4223" s="684" t="s">
        <v>13484</v>
      </c>
      <c r="C4223" s="686" t="s">
        <v>13483</v>
      </c>
      <c r="D4223" s="686" t="s">
        <v>13482</v>
      </c>
      <c r="E4223" s="924" t="s">
        <v>13481</v>
      </c>
      <c r="F4223" s="924"/>
      <c r="G4223" s="685" t="s">
        <v>13480</v>
      </c>
      <c r="H4223" s="684" t="s">
        <v>13479</v>
      </c>
      <c r="I4223" s="684" t="s">
        <v>13478</v>
      </c>
      <c r="J4223" s="684" t="s">
        <v>13477</v>
      </c>
    </row>
    <row r="4224" spans="1:10" ht="48" customHeight="1">
      <c r="A4224" s="682" t="s">
        <v>13476</v>
      </c>
      <c r="B4224" s="683" t="s">
        <v>14066</v>
      </c>
      <c r="C4224" s="682" t="s">
        <v>7</v>
      </c>
      <c r="D4224" s="682" t="s">
        <v>4976</v>
      </c>
      <c r="E4224" s="917" t="s">
        <v>13540</v>
      </c>
      <c r="F4224" s="917"/>
      <c r="G4224" s="681" t="s">
        <v>34</v>
      </c>
      <c r="H4224" s="680">
        <v>1</v>
      </c>
      <c r="I4224" s="679">
        <v>352.87</v>
      </c>
      <c r="J4224" s="679">
        <v>352.87</v>
      </c>
    </row>
    <row r="4225" spans="1:10" ht="60" customHeight="1">
      <c r="A4225" s="677" t="s">
        <v>13472</v>
      </c>
      <c r="B4225" s="678" t="s">
        <v>13802</v>
      </c>
      <c r="C4225" s="677" t="s">
        <v>7</v>
      </c>
      <c r="D4225" s="677" t="s">
        <v>761</v>
      </c>
      <c r="E4225" s="918" t="s">
        <v>13491</v>
      </c>
      <c r="F4225" s="918"/>
      <c r="G4225" s="676" t="s">
        <v>38</v>
      </c>
      <c r="H4225" s="675">
        <v>7.6999999999999999E-2</v>
      </c>
      <c r="I4225" s="674">
        <v>189.61</v>
      </c>
      <c r="J4225" s="674">
        <v>14.59</v>
      </c>
    </row>
    <row r="4226" spans="1:10" ht="24" customHeight="1">
      <c r="A4226" s="677" t="s">
        <v>13472</v>
      </c>
      <c r="B4226" s="678" t="s">
        <v>13539</v>
      </c>
      <c r="C4226" s="677" t="s">
        <v>7</v>
      </c>
      <c r="D4226" s="677" t="s">
        <v>45</v>
      </c>
      <c r="E4226" s="918" t="s">
        <v>13470</v>
      </c>
      <c r="F4226" s="918"/>
      <c r="G4226" s="676" t="s">
        <v>19</v>
      </c>
      <c r="H4226" s="675">
        <v>4.008</v>
      </c>
      <c r="I4226" s="674">
        <v>18.3</v>
      </c>
      <c r="J4226" s="674">
        <v>73.34</v>
      </c>
    </row>
    <row r="4227" spans="1:10" ht="24" customHeight="1">
      <c r="A4227" s="677" t="s">
        <v>13472</v>
      </c>
      <c r="B4227" s="678" t="s">
        <v>13538</v>
      </c>
      <c r="C4227" s="677" t="s">
        <v>7</v>
      </c>
      <c r="D4227" s="677" t="s">
        <v>47</v>
      </c>
      <c r="E4227" s="918" t="s">
        <v>13470</v>
      </c>
      <c r="F4227" s="918"/>
      <c r="G4227" s="676" t="s">
        <v>19</v>
      </c>
      <c r="H4227" s="675">
        <v>1.2330000000000001</v>
      </c>
      <c r="I4227" s="674">
        <v>14</v>
      </c>
      <c r="J4227" s="674">
        <v>17.260000000000002</v>
      </c>
    </row>
    <row r="4228" spans="1:10" ht="24" customHeight="1">
      <c r="A4228" s="672" t="s">
        <v>13467</v>
      </c>
      <c r="B4228" s="673" t="s">
        <v>14065</v>
      </c>
      <c r="C4228" s="672" t="s">
        <v>7</v>
      </c>
      <c r="D4228" s="672" t="s">
        <v>14064</v>
      </c>
      <c r="E4228" s="919" t="s">
        <v>13464</v>
      </c>
      <c r="F4228" s="919"/>
      <c r="G4228" s="671" t="s">
        <v>14</v>
      </c>
      <c r="H4228" s="670">
        <v>9</v>
      </c>
      <c r="I4228" s="669">
        <v>27.52</v>
      </c>
      <c r="J4228" s="669">
        <v>247.68</v>
      </c>
    </row>
    <row r="4229" spans="1:10" ht="25.5">
      <c r="A4229" s="668"/>
      <c r="B4229" s="668"/>
      <c r="C4229" s="668"/>
      <c r="D4229" s="668"/>
      <c r="E4229" s="668" t="s">
        <v>13463</v>
      </c>
      <c r="F4229" s="667">
        <v>38.927523633597737</v>
      </c>
      <c r="G4229" s="668" t="s">
        <v>13462</v>
      </c>
      <c r="H4229" s="667">
        <v>32.72</v>
      </c>
      <c r="I4229" s="668" t="s">
        <v>13461</v>
      </c>
      <c r="J4229" s="667">
        <v>71.650000000000006</v>
      </c>
    </row>
    <row r="4230" spans="1:10" ht="15" thickBot="1">
      <c r="A4230" s="668"/>
      <c r="B4230" s="668"/>
      <c r="C4230" s="668"/>
      <c r="D4230" s="668"/>
      <c r="E4230" s="668" t="s">
        <v>13460</v>
      </c>
      <c r="F4230" s="667">
        <v>99.65</v>
      </c>
      <c r="G4230" s="668"/>
      <c r="H4230" s="925" t="s">
        <v>13459</v>
      </c>
      <c r="I4230" s="925"/>
      <c r="J4230" s="667">
        <v>452.52</v>
      </c>
    </row>
    <row r="4231" spans="1:10" ht="0.95" customHeight="1" thickTop="1">
      <c r="A4231" s="666"/>
      <c r="B4231" s="666"/>
      <c r="C4231" s="666"/>
      <c r="D4231" s="666"/>
      <c r="E4231" s="666"/>
      <c r="F4231" s="666"/>
      <c r="G4231" s="666"/>
      <c r="H4231" s="666"/>
      <c r="I4231" s="666"/>
      <c r="J4231" s="666"/>
    </row>
    <row r="4232" spans="1:10" ht="18" customHeight="1">
      <c r="A4232" s="686"/>
      <c r="B4232" s="684" t="s">
        <v>13484</v>
      </c>
      <c r="C4232" s="686" t="s">
        <v>13483</v>
      </c>
      <c r="D4232" s="686" t="s">
        <v>13482</v>
      </c>
      <c r="E4232" s="924" t="s">
        <v>13481</v>
      </c>
      <c r="F4232" s="924"/>
      <c r="G4232" s="685" t="s">
        <v>13480</v>
      </c>
      <c r="H4232" s="684" t="s">
        <v>13479</v>
      </c>
      <c r="I4232" s="684" t="s">
        <v>13478</v>
      </c>
      <c r="J4232" s="684" t="s">
        <v>13477</v>
      </c>
    </row>
    <row r="4233" spans="1:10" ht="24" customHeight="1">
      <c r="A4233" s="682" t="s">
        <v>13476</v>
      </c>
      <c r="B4233" s="683" t="s">
        <v>14063</v>
      </c>
      <c r="C4233" s="682" t="s">
        <v>7</v>
      </c>
      <c r="D4233" s="682" t="s">
        <v>20</v>
      </c>
      <c r="E4233" s="917" t="s">
        <v>13470</v>
      </c>
      <c r="F4233" s="917"/>
      <c r="G4233" s="681" t="s">
        <v>19</v>
      </c>
      <c r="H4233" s="680">
        <v>1</v>
      </c>
      <c r="I4233" s="679">
        <v>17.61</v>
      </c>
      <c r="J4233" s="679">
        <v>17.61</v>
      </c>
    </row>
    <row r="4234" spans="1:10" ht="24" customHeight="1">
      <c r="A4234" s="677" t="s">
        <v>13472</v>
      </c>
      <c r="B4234" s="678" t="s">
        <v>13936</v>
      </c>
      <c r="C4234" s="677" t="s">
        <v>7</v>
      </c>
      <c r="D4234" s="677" t="s">
        <v>2739</v>
      </c>
      <c r="E4234" s="918" t="s">
        <v>13470</v>
      </c>
      <c r="F4234" s="918"/>
      <c r="G4234" s="676" t="s">
        <v>19</v>
      </c>
      <c r="H4234" s="675">
        <v>1</v>
      </c>
      <c r="I4234" s="674">
        <v>0.14000000000000001</v>
      </c>
      <c r="J4234" s="674">
        <v>0.14000000000000001</v>
      </c>
    </row>
    <row r="4235" spans="1:10" ht="24" customHeight="1">
      <c r="A4235" s="672" t="s">
        <v>13467</v>
      </c>
      <c r="B4235" s="673" t="s">
        <v>13562</v>
      </c>
      <c r="C4235" s="672" t="s">
        <v>7</v>
      </c>
      <c r="D4235" s="672" t="s">
        <v>13561</v>
      </c>
      <c r="E4235" s="919" t="s">
        <v>13556</v>
      </c>
      <c r="F4235" s="919"/>
      <c r="G4235" s="671" t="s">
        <v>19</v>
      </c>
      <c r="H4235" s="670">
        <v>1</v>
      </c>
      <c r="I4235" s="669">
        <v>0.96</v>
      </c>
      <c r="J4235" s="669">
        <v>0.96</v>
      </c>
    </row>
    <row r="4236" spans="1:10" ht="24" customHeight="1">
      <c r="A4236" s="672" t="s">
        <v>13467</v>
      </c>
      <c r="B4236" s="673" t="s">
        <v>13935</v>
      </c>
      <c r="C4236" s="672" t="s">
        <v>7</v>
      </c>
      <c r="D4236" s="672" t="s">
        <v>13934</v>
      </c>
      <c r="E4236" s="919" t="s">
        <v>13548</v>
      </c>
      <c r="F4236" s="919"/>
      <c r="G4236" s="671" t="s">
        <v>19</v>
      </c>
      <c r="H4236" s="670">
        <v>1</v>
      </c>
      <c r="I4236" s="669">
        <v>13.66</v>
      </c>
      <c r="J4236" s="669">
        <v>13.66</v>
      </c>
    </row>
    <row r="4237" spans="1:10" ht="24" customHeight="1">
      <c r="A4237" s="672" t="s">
        <v>13467</v>
      </c>
      <c r="B4237" s="673" t="s">
        <v>13752</v>
      </c>
      <c r="C4237" s="672" t="s">
        <v>7</v>
      </c>
      <c r="D4237" s="672" t="s">
        <v>13751</v>
      </c>
      <c r="E4237" s="919" t="s">
        <v>13493</v>
      </c>
      <c r="F4237" s="919"/>
      <c r="G4237" s="671" t="s">
        <v>19</v>
      </c>
      <c r="H4237" s="670">
        <v>1</v>
      </c>
      <c r="I4237" s="669">
        <v>0.95</v>
      </c>
      <c r="J4237" s="669">
        <v>0.95</v>
      </c>
    </row>
    <row r="4238" spans="1:10" ht="24" customHeight="1">
      <c r="A4238" s="672" t="s">
        <v>13467</v>
      </c>
      <c r="B4238" s="673" t="s">
        <v>13558</v>
      </c>
      <c r="C4238" s="672" t="s">
        <v>7</v>
      </c>
      <c r="D4238" s="672" t="s">
        <v>13557</v>
      </c>
      <c r="E4238" s="919" t="s">
        <v>13556</v>
      </c>
      <c r="F4238" s="919"/>
      <c r="G4238" s="671" t="s">
        <v>19</v>
      </c>
      <c r="H4238" s="670">
        <v>1</v>
      </c>
      <c r="I4238" s="669">
        <v>0.55000000000000004</v>
      </c>
      <c r="J4238" s="669">
        <v>0.55000000000000004</v>
      </c>
    </row>
    <row r="4239" spans="1:10" ht="24" customHeight="1">
      <c r="A4239" s="672" t="s">
        <v>13467</v>
      </c>
      <c r="B4239" s="673" t="s">
        <v>13750</v>
      </c>
      <c r="C4239" s="672" t="s">
        <v>7</v>
      </c>
      <c r="D4239" s="672" t="s">
        <v>13749</v>
      </c>
      <c r="E4239" s="919" t="s">
        <v>13493</v>
      </c>
      <c r="F4239" s="919"/>
      <c r="G4239" s="671" t="s">
        <v>19</v>
      </c>
      <c r="H4239" s="670">
        <v>1</v>
      </c>
      <c r="I4239" s="669">
        <v>0.57999999999999996</v>
      </c>
      <c r="J4239" s="669">
        <v>0.57999999999999996</v>
      </c>
    </row>
    <row r="4240" spans="1:10" ht="24" customHeight="1">
      <c r="A4240" s="672" t="s">
        <v>13467</v>
      </c>
      <c r="B4240" s="673" t="s">
        <v>13553</v>
      </c>
      <c r="C4240" s="672" t="s">
        <v>7</v>
      </c>
      <c r="D4240" s="672" t="s">
        <v>13552</v>
      </c>
      <c r="E4240" s="919" t="s">
        <v>13551</v>
      </c>
      <c r="F4240" s="919"/>
      <c r="G4240" s="671" t="s">
        <v>19</v>
      </c>
      <c r="H4240" s="670">
        <v>1</v>
      </c>
      <c r="I4240" s="669">
        <v>0.06</v>
      </c>
      <c r="J4240" s="669">
        <v>0.06</v>
      </c>
    </row>
    <row r="4241" spans="1:10" ht="24" customHeight="1">
      <c r="A4241" s="672" t="s">
        <v>13467</v>
      </c>
      <c r="B4241" s="673" t="s">
        <v>13547</v>
      </c>
      <c r="C4241" s="672" t="s">
        <v>7</v>
      </c>
      <c r="D4241" s="672" t="s">
        <v>13546</v>
      </c>
      <c r="E4241" s="919" t="s">
        <v>13545</v>
      </c>
      <c r="F4241" s="919"/>
      <c r="G4241" s="671" t="s">
        <v>19</v>
      </c>
      <c r="H4241" s="670">
        <v>1</v>
      </c>
      <c r="I4241" s="669">
        <v>0.71</v>
      </c>
      <c r="J4241" s="669">
        <v>0.71</v>
      </c>
    </row>
    <row r="4242" spans="1:10" ht="25.5">
      <c r="A4242" s="668"/>
      <c r="B4242" s="668"/>
      <c r="C4242" s="668"/>
      <c r="D4242" s="668"/>
      <c r="E4242" s="668" t="s">
        <v>13463</v>
      </c>
      <c r="F4242" s="667">
        <v>7.4975550999999996</v>
      </c>
      <c r="G4242" s="668" t="s">
        <v>13462</v>
      </c>
      <c r="H4242" s="667">
        <v>6.3</v>
      </c>
      <c r="I4242" s="668" t="s">
        <v>13461</v>
      </c>
      <c r="J4242" s="667">
        <v>13.8</v>
      </c>
    </row>
    <row r="4243" spans="1:10" ht="15" thickBot="1">
      <c r="A4243" s="668"/>
      <c r="B4243" s="668"/>
      <c r="C4243" s="668"/>
      <c r="D4243" s="668"/>
      <c r="E4243" s="668" t="s">
        <v>13460</v>
      </c>
      <c r="F4243" s="667">
        <v>4.97</v>
      </c>
      <c r="G4243" s="668"/>
      <c r="H4243" s="925" t="s">
        <v>13459</v>
      </c>
      <c r="I4243" s="925"/>
      <c r="J4243" s="667">
        <v>22.58</v>
      </c>
    </row>
    <row r="4244" spans="1:10" ht="0.95" customHeight="1" thickTop="1">
      <c r="A4244" s="666"/>
      <c r="B4244" s="666"/>
      <c r="C4244" s="666"/>
      <c r="D4244" s="666"/>
      <c r="E4244" s="666"/>
      <c r="F4244" s="666"/>
      <c r="G4244" s="666"/>
      <c r="H4244" s="666"/>
      <c r="I4244" s="666"/>
      <c r="J4244" s="666"/>
    </row>
    <row r="4245" spans="1:10" ht="18" customHeight="1">
      <c r="A4245" s="686"/>
      <c r="B4245" s="684" t="s">
        <v>13484</v>
      </c>
      <c r="C4245" s="686" t="s">
        <v>13483</v>
      </c>
      <c r="D4245" s="686" t="s">
        <v>13482</v>
      </c>
      <c r="E4245" s="924" t="s">
        <v>13481</v>
      </c>
      <c r="F4245" s="924"/>
      <c r="G4245" s="685" t="s">
        <v>13480</v>
      </c>
      <c r="H4245" s="684" t="s">
        <v>13479</v>
      </c>
      <c r="I4245" s="684" t="s">
        <v>13478</v>
      </c>
      <c r="J4245" s="684" t="s">
        <v>13477</v>
      </c>
    </row>
    <row r="4246" spans="1:10" ht="48" customHeight="1">
      <c r="A4246" s="682" t="s">
        <v>13476</v>
      </c>
      <c r="B4246" s="683" t="s">
        <v>14062</v>
      </c>
      <c r="C4246" s="682" t="s">
        <v>7</v>
      </c>
      <c r="D4246" s="682" t="s">
        <v>1149</v>
      </c>
      <c r="E4246" s="917" t="s">
        <v>13491</v>
      </c>
      <c r="F4246" s="917"/>
      <c r="G4246" s="681" t="s">
        <v>53</v>
      </c>
      <c r="H4246" s="680">
        <v>1</v>
      </c>
      <c r="I4246" s="679">
        <v>0.34</v>
      </c>
      <c r="J4246" s="679">
        <v>0.34</v>
      </c>
    </row>
    <row r="4247" spans="1:10" ht="36" customHeight="1">
      <c r="A4247" s="677" t="s">
        <v>13472</v>
      </c>
      <c r="B4247" s="678" t="s">
        <v>14059</v>
      </c>
      <c r="C4247" s="677" t="s">
        <v>7</v>
      </c>
      <c r="D4247" s="677" t="s">
        <v>1145</v>
      </c>
      <c r="E4247" s="918" t="s">
        <v>13491</v>
      </c>
      <c r="F4247" s="918"/>
      <c r="G4247" s="676" t="s">
        <v>19</v>
      </c>
      <c r="H4247" s="675">
        <v>1</v>
      </c>
      <c r="I4247" s="674">
        <v>0.03</v>
      </c>
      <c r="J4247" s="674">
        <v>0.03</v>
      </c>
    </row>
    <row r="4248" spans="1:10" ht="48" customHeight="1">
      <c r="A4248" s="677" t="s">
        <v>13472</v>
      </c>
      <c r="B4248" s="678" t="s">
        <v>14060</v>
      </c>
      <c r="C4248" s="677" t="s">
        <v>7</v>
      </c>
      <c r="D4248" s="677" t="s">
        <v>1144</v>
      </c>
      <c r="E4248" s="918" t="s">
        <v>13491</v>
      </c>
      <c r="F4248" s="918"/>
      <c r="G4248" s="676" t="s">
        <v>19</v>
      </c>
      <c r="H4248" s="675">
        <v>1</v>
      </c>
      <c r="I4248" s="674">
        <v>0.31</v>
      </c>
      <c r="J4248" s="674">
        <v>0.31</v>
      </c>
    </row>
    <row r="4249" spans="1:10" ht="25.5">
      <c r="A4249" s="668"/>
      <c r="B4249" s="668"/>
      <c r="C4249" s="668"/>
      <c r="D4249" s="668"/>
      <c r="E4249" s="668" t="s">
        <v>13463</v>
      </c>
      <c r="F4249" s="667">
        <v>0</v>
      </c>
      <c r="G4249" s="668" t="s">
        <v>13462</v>
      </c>
      <c r="H4249" s="667">
        <v>0</v>
      </c>
      <c r="I4249" s="668" t="s">
        <v>13461</v>
      </c>
      <c r="J4249" s="667">
        <v>0</v>
      </c>
    </row>
    <row r="4250" spans="1:10" ht="15" thickBot="1">
      <c r="A4250" s="668"/>
      <c r="B4250" s="668"/>
      <c r="C4250" s="668"/>
      <c r="D4250" s="668"/>
      <c r="E4250" s="668" t="s">
        <v>13460</v>
      </c>
      <c r="F4250" s="667">
        <v>0.09</v>
      </c>
      <c r="G4250" s="668"/>
      <c r="H4250" s="925" t="s">
        <v>13459</v>
      </c>
      <c r="I4250" s="925"/>
      <c r="J4250" s="667">
        <v>0.43</v>
      </c>
    </row>
    <row r="4251" spans="1:10" ht="0.95" customHeight="1" thickTop="1">
      <c r="A4251" s="666"/>
      <c r="B4251" s="666"/>
      <c r="C4251" s="666"/>
      <c r="D4251" s="666"/>
      <c r="E4251" s="666"/>
      <c r="F4251" s="666"/>
      <c r="G4251" s="666"/>
      <c r="H4251" s="666"/>
      <c r="I4251" s="666"/>
      <c r="J4251" s="666"/>
    </row>
    <row r="4252" spans="1:10" ht="18" customHeight="1">
      <c r="A4252" s="686"/>
      <c r="B4252" s="684" t="s">
        <v>13484</v>
      </c>
      <c r="C4252" s="686" t="s">
        <v>13483</v>
      </c>
      <c r="D4252" s="686" t="s">
        <v>13482</v>
      </c>
      <c r="E4252" s="924" t="s">
        <v>13481</v>
      </c>
      <c r="F4252" s="924"/>
      <c r="G4252" s="685" t="s">
        <v>13480</v>
      </c>
      <c r="H4252" s="684" t="s">
        <v>13479</v>
      </c>
      <c r="I4252" s="684" t="s">
        <v>13478</v>
      </c>
      <c r="J4252" s="684" t="s">
        <v>13477</v>
      </c>
    </row>
    <row r="4253" spans="1:10" ht="48" customHeight="1">
      <c r="A4253" s="682" t="s">
        <v>13476</v>
      </c>
      <c r="B4253" s="683" t="s">
        <v>14061</v>
      </c>
      <c r="C4253" s="682" t="s">
        <v>7</v>
      </c>
      <c r="D4253" s="682" t="s">
        <v>1148</v>
      </c>
      <c r="E4253" s="917" t="s">
        <v>13491</v>
      </c>
      <c r="F4253" s="917"/>
      <c r="G4253" s="681" t="s">
        <v>38</v>
      </c>
      <c r="H4253" s="680">
        <v>1</v>
      </c>
      <c r="I4253" s="679">
        <v>1.68</v>
      </c>
      <c r="J4253" s="679">
        <v>1.68</v>
      </c>
    </row>
    <row r="4254" spans="1:10" ht="48" customHeight="1">
      <c r="A4254" s="677" t="s">
        <v>13472</v>
      </c>
      <c r="B4254" s="678" t="s">
        <v>14060</v>
      </c>
      <c r="C4254" s="677" t="s">
        <v>7</v>
      </c>
      <c r="D4254" s="677" t="s">
        <v>1144</v>
      </c>
      <c r="E4254" s="918" t="s">
        <v>13491</v>
      </c>
      <c r="F4254" s="918"/>
      <c r="G4254" s="676" t="s">
        <v>19</v>
      </c>
      <c r="H4254" s="675">
        <v>1</v>
      </c>
      <c r="I4254" s="674">
        <v>0.31</v>
      </c>
      <c r="J4254" s="674">
        <v>0.31</v>
      </c>
    </row>
    <row r="4255" spans="1:10" ht="36" customHeight="1">
      <c r="A4255" s="677" t="s">
        <v>13472</v>
      </c>
      <c r="B4255" s="678" t="s">
        <v>14059</v>
      </c>
      <c r="C4255" s="677" t="s">
        <v>7</v>
      </c>
      <c r="D4255" s="677" t="s">
        <v>1145</v>
      </c>
      <c r="E4255" s="918" t="s">
        <v>13491</v>
      </c>
      <c r="F4255" s="918"/>
      <c r="G4255" s="676" t="s">
        <v>19</v>
      </c>
      <c r="H4255" s="675">
        <v>1</v>
      </c>
      <c r="I4255" s="674">
        <v>0.03</v>
      </c>
      <c r="J4255" s="674">
        <v>0.03</v>
      </c>
    </row>
    <row r="4256" spans="1:10" ht="48" customHeight="1">
      <c r="A4256" s="677" t="s">
        <v>13472</v>
      </c>
      <c r="B4256" s="678" t="s">
        <v>14058</v>
      </c>
      <c r="C4256" s="677" t="s">
        <v>7</v>
      </c>
      <c r="D4256" s="677" t="s">
        <v>1146</v>
      </c>
      <c r="E4256" s="918" t="s">
        <v>13491</v>
      </c>
      <c r="F4256" s="918"/>
      <c r="G4256" s="676" t="s">
        <v>19</v>
      </c>
      <c r="H4256" s="675">
        <v>1</v>
      </c>
      <c r="I4256" s="674">
        <v>0.28999999999999998</v>
      </c>
      <c r="J4256" s="674">
        <v>0.28999999999999998</v>
      </c>
    </row>
    <row r="4257" spans="1:10" ht="48" customHeight="1">
      <c r="A4257" s="677" t="s">
        <v>13472</v>
      </c>
      <c r="B4257" s="678" t="s">
        <v>14055</v>
      </c>
      <c r="C4257" s="677" t="s">
        <v>7</v>
      </c>
      <c r="D4257" s="677" t="s">
        <v>1147</v>
      </c>
      <c r="E4257" s="918" t="s">
        <v>13491</v>
      </c>
      <c r="F4257" s="918"/>
      <c r="G4257" s="676" t="s">
        <v>19</v>
      </c>
      <c r="H4257" s="675">
        <v>1</v>
      </c>
      <c r="I4257" s="674">
        <v>1.05</v>
      </c>
      <c r="J4257" s="674">
        <v>1.05</v>
      </c>
    </row>
    <row r="4258" spans="1:10" ht="25.5">
      <c r="A4258" s="668"/>
      <c r="B4258" s="668"/>
      <c r="C4258" s="668"/>
      <c r="D4258" s="668"/>
      <c r="E4258" s="668" t="s">
        <v>13463</v>
      </c>
      <c r="F4258" s="667">
        <v>0</v>
      </c>
      <c r="G4258" s="668" t="s">
        <v>13462</v>
      </c>
      <c r="H4258" s="667">
        <v>0</v>
      </c>
      <c r="I4258" s="668" t="s">
        <v>13461</v>
      </c>
      <c r="J4258" s="667">
        <v>0</v>
      </c>
    </row>
    <row r="4259" spans="1:10" ht="15" thickBot="1">
      <c r="A4259" s="668"/>
      <c r="B4259" s="668"/>
      <c r="C4259" s="668"/>
      <c r="D4259" s="668"/>
      <c r="E4259" s="668" t="s">
        <v>13460</v>
      </c>
      <c r="F4259" s="667">
        <v>0.47</v>
      </c>
      <c r="G4259" s="668"/>
      <c r="H4259" s="925" t="s">
        <v>13459</v>
      </c>
      <c r="I4259" s="925"/>
      <c r="J4259" s="667">
        <v>2.15</v>
      </c>
    </row>
    <row r="4260" spans="1:10" ht="0.95" customHeight="1" thickTop="1">
      <c r="A4260" s="666"/>
      <c r="B4260" s="666"/>
      <c r="C4260" s="666"/>
      <c r="D4260" s="666"/>
      <c r="E4260" s="666"/>
      <c r="F4260" s="666"/>
      <c r="G4260" s="666"/>
      <c r="H4260" s="666"/>
      <c r="I4260" s="666"/>
      <c r="J4260" s="666"/>
    </row>
    <row r="4261" spans="1:10" ht="18" customHeight="1">
      <c r="A4261" s="686"/>
      <c r="B4261" s="684" t="s">
        <v>13484</v>
      </c>
      <c r="C4261" s="686" t="s">
        <v>13483</v>
      </c>
      <c r="D4261" s="686" t="s">
        <v>13482</v>
      </c>
      <c r="E4261" s="924" t="s">
        <v>13481</v>
      </c>
      <c r="F4261" s="924"/>
      <c r="G4261" s="685" t="s">
        <v>13480</v>
      </c>
      <c r="H4261" s="684" t="s">
        <v>13479</v>
      </c>
      <c r="I4261" s="684" t="s">
        <v>13478</v>
      </c>
      <c r="J4261" s="684" t="s">
        <v>13477</v>
      </c>
    </row>
    <row r="4262" spans="1:10" ht="48" customHeight="1">
      <c r="A4262" s="682" t="s">
        <v>13476</v>
      </c>
      <c r="B4262" s="683" t="s">
        <v>14060</v>
      </c>
      <c r="C4262" s="682" t="s">
        <v>7</v>
      </c>
      <c r="D4262" s="682" t="s">
        <v>1144</v>
      </c>
      <c r="E4262" s="917" t="s">
        <v>13491</v>
      </c>
      <c r="F4262" s="917"/>
      <c r="G4262" s="681" t="s">
        <v>19</v>
      </c>
      <c r="H4262" s="680">
        <v>1</v>
      </c>
      <c r="I4262" s="679">
        <v>0.31</v>
      </c>
      <c r="J4262" s="679">
        <v>0.31</v>
      </c>
    </row>
    <row r="4263" spans="1:10" ht="36" customHeight="1">
      <c r="A4263" s="672" t="s">
        <v>13467</v>
      </c>
      <c r="B4263" s="673" t="s">
        <v>14057</v>
      </c>
      <c r="C4263" s="672" t="s">
        <v>7</v>
      </c>
      <c r="D4263" s="672" t="s">
        <v>14056</v>
      </c>
      <c r="E4263" s="919" t="s">
        <v>13493</v>
      </c>
      <c r="F4263" s="919"/>
      <c r="G4263" s="671" t="s">
        <v>34</v>
      </c>
      <c r="H4263" s="670">
        <v>6.3999999999999997E-5</v>
      </c>
      <c r="I4263" s="669">
        <v>4897.8999999999996</v>
      </c>
      <c r="J4263" s="669">
        <v>0.31</v>
      </c>
    </row>
    <row r="4264" spans="1:10" ht="25.5">
      <c r="A4264" s="668"/>
      <c r="B4264" s="668"/>
      <c r="C4264" s="668"/>
      <c r="D4264" s="668"/>
      <c r="E4264" s="668" t="s">
        <v>13463</v>
      </c>
      <c r="F4264" s="667">
        <v>0</v>
      </c>
      <c r="G4264" s="668" t="s">
        <v>13462</v>
      </c>
      <c r="H4264" s="667">
        <v>0</v>
      </c>
      <c r="I4264" s="668" t="s">
        <v>13461</v>
      </c>
      <c r="J4264" s="667">
        <v>0</v>
      </c>
    </row>
    <row r="4265" spans="1:10" ht="15" thickBot="1">
      <c r="A4265" s="668"/>
      <c r="B4265" s="668"/>
      <c r="C4265" s="668"/>
      <c r="D4265" s="668"/>
      <c r="E4265" s="668" t="s">
        <v>13460</v>
      </c>
      <c r="F4265" s="667">
        <v>0.08</v>
      </c>
      <c r="G4265" s="668"/>
      <c r="H4265" s="925" t="s">
        <v>13459</v>
      </c>
      <c r="I4265" s="925"/>
      <c r="J4265" s="667">
        <v>0.39</v>
      </c>
    </row>
    <row r="4266" spans="1:10" ht="0.95" customHeight="1" thickTop="1">
      <c r="A4266" s="666"/>
      <c r="B4266" s="666"/>
      <c r="C4266" s="666"/>
      <c r="D4266" s="666"/>
      <c r="E4266" s="666"/>
      <c r="F4266" s="666"/>
      <c r="G4266" s="666"/>
      <c r="H4266" s="666"/>
      <c r="I4266" s="666"/>
      <c r="J4266" s="666"/>
    </row>
    <row r="4267" spans="1:10" ht="18" customHeight="1">
      <c r="A4267" s="686"/>
      <c r="B4267" s="684" t="s">
        <v>13484</v>
      </c>
      <c r="C4267" s="686" t="s">
        <v>13483</v>
      </c>
      <c r="D4267" s="686" t="s">
        <v>13482</v>
      </c>
      <c r="E4267" s="924" t="s">
        <v>13481</v>
      </c>
      <c r="F4267" s="924"/>
      <c r="G4267" s="685" t="s">
        <v>13480</v>
      </c>
      <c r="H4267" s="684" t="s">
        <v>13479</v>
      </c>
      <c r="I4267" s="684" t="s">
        <v>13478</v>
      </c>
      <c r="J4267" s="684" t="s">
        <v>13477</v>
      </c>
    </row>
    <row r="4268" spans="1:10" ht="36" customHeight="1">
      <c r="A4268" s="682" t="s">
        <v>13476</v>
      </c>
      <c r="B4268" s="683" t="s">
        <v>14059</v>
      </c>
      <c r="C4268" s="682" t="s">
        <v>7</v>
      </c>
      <c r="D4268" s="682" t="s">
        <v>1145</v>
      </c>
      <c r="E4268" s="917" t="s">
        <v>13491</v>
      </c>
      <c r="F4268" s="917"/>
      <c r="G4268" s="681" t="s">
        <v>19</v>
      </c>
      <c r="H4268" s="680">
        <v>1</v>
      </c>
      <c r="I4268" s="679">
        <v>0.03</v>
      </c>
      <c r="J4268" s="679">
        <v>0.03</v>
      </c>
    </row>
    <row r="4269" spans="1:10" ht="36" customHeight="1">
      <c r="A4269" s="672" t="s">
        <v>13467</v>
      </c>
      <c r="B4269" s="673" t="s">
        <v>14057</v>
      </c>
      <c r="C4269" s="672" t="s">
        <v>7</v>
      </c>
      <c r="D4269" s="672" t="s">
        <v>14056</v>
      </c>
      <c r="E4269" s="919" t="s">
        <v>13493</v>
      </c>
      <c r="F4269" s="919"/>
      <c r="G4269" s="671" t="s">
        <v>34</v>
      </c>
      <c r="H4269" s="670">
        <v>7.6000000000000001E-6</v>
      </c>
      <c r="I4269" s="669">
        <v>4897.8999999999996</v>
      </c>
      <c r="J4269" s="669">
        <v>0.03</v>
      </c>
    </row>
    <row r="4270" spans="1:10" ht="25.5">
      <c r="A4270" s="668"/>
      <c r="B4270" s="668"/>
      <c r="C4270" s="668"/>
      <c r="D4270" s="668"/>
      <c r="E4270" s="668" t="s">
        <v>13463</v>
      </c>
      <c r="F4270" s="667">
        <v>0</v>
      </c>
      <c r="G4270" s="668" t="s">
        <v>13462</v>
      </c>
      <c r="H4270" s="667">
        <v>0</v>
      </c>
      <c r="I4270" s="668" t="s">
        <v>13461</v>
      </c>
      <c r="J4270" s="667">
        <v>0</v>
      </c>
    </row>
    <row r="4271" spans="1:10" ht="15" thickBot="1">
      <c r="A4271" s="668"/>
      <c r="B4271" s="668"/>
      <c r="C4271" s="668"/>
      <c r="D4271" s="668"/>
      <c r="E4271" s="668" t="s">
        <v>13460</v>
      </c>
      <c r="F4271" s="667">
        <v>0</v>
      </c>
      <c r="G4271" s="668"/>
      <c r="H4271" s="925" t="s">
        <v>13459</v>
      </c>
      <c r="I4271" s="925"/>
      <c r="J4271" s="667">
        <v>0.03</v>
      </c>
    </row>
    <row r="4272" spans="1:10" ht="0.95" customHeight="1" thickTop="1">
      <c r="A4272" s="666"/>
      <c r="B4272" s="666"/>
      <c r="C4272" s="666"/>
      <c r="D4272" s="666"/>
      <c r="E4272" s="666"/>
      <c r="F4272" s="666"/>
      <c r="G4272" s="666"/>
      <c r="H4272" s="666"/>
      <c r="I4272" s="666"/>
      <c r="J4272" s="666"/>
    </row>
    <row r="4273" spans="1:10" ht="18" customHeight="1">
      <c r="A4273" s="686"/>
      <c r="B4273" s="684" t="s">
        <v>13484</v>
      </c>
      <c r="C4273" s="686" t="s">
        <v>13483</v>
      </c>
      <c r="D4273" s="686" t="s">
        <v>13482</v>
      </c>
      <c r="E4273" s="924" t="s">
        <v>13481</v>
      </c>
      <c r="F4273" s="924"/>
      <c r="G4273" s="685" t="s">
        <v>13480</v>
      </c>
      <c r="H4273" s="684" t="s">
        <v>13479</v>
      </c>
      <c r="I4273" s="684" t="s">
        <v>13478</v>
      </c>
      <c r="J4273" s="684" t="s">
        <v>13477</v>
      </c>
    </row>
    <row r="4274" spans="1:10" ht="48" customHeight="1">
      <c r="A4274" s="682" t="s">
        <v>13476</v>
      </c>
      <c r="B4274" s="683" t="s">
        <v>14058</v>
      </c>
      <c r="C4274" s="682" t="s">
        <v>7</v>
      </c>
      <c r="D4274" s="682" t="s">
        <v>1146</v>
      </c>
      <c r="E4274" s="917" t="s">
        <v>13491</v>
      </c>
      <c r="F4274" s="917"/>
      <c r="G4274" s="681" t="s">
        <v>19</v>
      </c>
      <c r="H4274" s="680">
        <v>1</v>
      </c>
      <c r="I4274" s="679">
        <v>0.28999999999999998</v>
      </c>
      <c r="J4274" s="679">
        <v>0.28999999999999998</v>
      </c>
    </row>
    <row r="4275" spans="1:10" ht="36" customHeight="1">
      <c r="A4275" s="672" t="s">
        <v>13467</v>
      </c>
      <c r="B4275" s="673" t="s">
        <v>14057</v>
      </c>
      <c r="C4275" s="672" t="s">
        <v>7</v>
      </c>
      <c r="D4275" s="672" t="s">
        <v>14056</v>
      </c>
      <c r="E4275" s="919" t="s">
        <v>13493</v>
      </c>
      <c r="F4275" s="919"/>
      <c r="G4275" s="671" t="s">
        <v>34</v>
      </c>
      <c r="H4275" s="670">
        <v>6.0000000000000002E-5</v>
      </c>
      <c r="I4275" s="669">
        <v>4897.8999999999996</v>
      </c>
      <c r="J4275" s="669">
        <v>0.28999999999999998</v>
      </c>
    </row>
    <row r="4276" spans="1:10" ht="25.5">
      <c r="A4276" s="668"/>
      <c r="B4276" s="668"/>
      <c r="C4276" s="668"/>
      <c r="D4276" s="668"/>
      <c r="E4276" s="668" t="s">
        <v>13463</v>
      </c>
      <c r="F4276" s="667">
        <v>0</v>
      </c>
      <c r="G4276" s="668" t="s">
        <v>13462</v>
      </c>
      <c r="H4276" s="667">
        <v>0</v>
      </c>
      <c r="I4276" s="668" t="s">
        <v>13461</v>
      </c>
      <c r="J4276" s="667">
        <v>0</v>
      </c>
    </row>
    <row r="4277" spans="1:10" ht="15" thickBot="1">
      <c r="A4277" s="668"/>
      <c r="B4277" s="668"/>
      <c r="C4277" s="668"/>
      <c r="D4277" s="668"/>
      <c r="E4277" s="668" t="s">
        <v>13460</v>
      </c>
      <c r="F4277" s="667">
        <v>0.08</v>
      </c>
      <c r="G4277" s="668"/>
      <c r="H4277" s="925" t="s">
        <v>13459</v>
      </c>
      <c r="I4277" s="925"/>
      <c r="J4277" s="667">
        <v>0.37</v>
      </c>
    </row>
    <row r="4278" spans="1:10" ht="0.95" customHeight="1" thickTop="1">
      <c r="A4278" s="666"/>
      <c r="B4278" s="666"/>
      <c r="C4278" s="666"/>
      <c r="D4278" s="666"/>
      <c r="E4278" s="666"/>
      <c r="F4278" s="666"/>
      <c r="G4278" s="666"/>
      <c r="H4278" s="666"/>
      <c r="I4278" s="666"/>
      <c r="J4278" s="666"/>
    </row>
    <row r="4279" spans="1:10" ht="18" customHeight="1">
      <c r="A4279" s="686"/>
      <c r="B4279" s="684" t="s">
        <v>13484</v>
      </c>
      <c r="C4279" s="686" t="s">
        <v>13483</v>
      </c>
      <c r="D4279" s="686" t="s">
        <v>13482</v>
      </c>
      <c r="E4279" s="924" t="s">
        <v>13481</v>
      </c>
      <c r="F4279" s="924"/>
      <c r="G4279" s="685" t="s">
        <v>13480</v>
      </c>
      <c r="H4279" s="684" t="s">
        <v>13479</v>
      </c>
      <c r="I4279" s="684" t="s">
        <v>13478</v>
      </c>
      <c r="J4279" s="684" t="s">
        <v>13477</v>
      </c>
    </row>
    <row r="4280" spans="1:10" ht="48" customHeight="1">
      <c r="A4280" s="682" t="s">
        <v>13476</v>
      </c>
      <c r="B4280" s="683" t="s">
        <v>14055</v>
      </c>
      <c r="C4280" s="682" t="s">
        <v>7</v>
      </c>
      <c r="D4280" s="682" t="s">
        <v>1147</v>
      </c>
      <c r="E4280" s="917" t="s">
        <v>13491</v>
      </c>
      <c r="F4280" s="917"/>
      <c r="G4280" s="681" t="s">
        <v>19</v>
      </c>
      <c r="H4280" s="680">
        <v>1</v>
      </c>
      <c r="I4280" s="679">
        <v>1.05</v>
      </c>
      <c r="J4280" s="679">
        <v>1.05</v>
      </c>
    </row>
    <row r="4281" spans="1:10" ht="24" customHeight="1">
      <c r="A4281" s="672" t="s">
        <v>13467</v>
      </c>
      <c r="B4281" s="673" t="s">
        <v>13490</v>
      </c>
      <c r="C4281" s="672" t="s">
        <v>7</v>
      </c>
      <c r="D4281" s="672" t="s">
        <v>13489</v>
      </c>
      <c r="E4281" s="919" t="s">
        <v>13464</v>
      </c>
      <c r="F4281" s="919"/>
      <c r="G4281" s="671" t="s">
        <v>13488</v>
      </c>
      <c r="H4281" s="670">
        <v>1.25</v>
      </c>
      <c r="I4281" s="669">
        <v>0.84</v>
      </c>
      <c r="J4281" s="669">
        <v>1.05</v>
      </c>
    </row>
    <row r="4282" spans="1:10" ht="25.5">
      <c r="A4282" s="668"/>
      <c r="B4282" s="668"/>
      <c r="C4282" s="668"/>
      <c r="D4282" s="668"/>
      <c r="E4282" s="668" t="s">
        <v>13463</v>
      </c>
      <c r="F4282" s="667">
        <v>0</v>
      </c>
      <c r="G4282" s="668" t="s">
        <v>13462</v>
      </c>
      <c r="H4282" s="667">
        <v>0</v>
      </c>
      <c r="I4282" s="668" t="s">
        <v>13461</v>
      </c>
      <c r="J4282" s="667">
        <v>0</v>
      </c>
    </row>
    <row r="4283" spans="1:10" ht="15" thickBot="1">
      <c r="A4283" s="668"/>
      <c r="B4283" s="668"/>
      <c r="C4283" s="668"/>
      <c r="D4283" s="668"/>
      <c r="E4283" s="668" t="s">
        <v>13460</v>
      </c>
      <c r="F4283" s="667">
        <v>0.28999999999999998</v>
      </c>
      <c r="G4283" s="668"/>
      <c r="H4283" s="925" t="s">
        <v>13459</v>
      </c>
      <c r="I4283" s="925"/>
      <c r="J4283" s="667">
        <v>1.34</v>
      </c>
    </row>
    <row r="4284" spans="1:10" ht="0.95" customHeight="1" thickTop="1">
      <c r="A4284" s="666"/>
      <c r="B4284" s="666"/>
      <c r="C4284" s="666"/>
      <c r="D4284" s="666"/>
      <c r="E4284" s="666"/>
      <c r="F4284" s="666"/>
      <c r="G4284" s="666"/>
      <c r="H4284" s="666"/>
      <c r="I4284" s="666"/>
      <c r="J4284" s="666"/>
    </row>
    <row r="4285" spans="1:10" ht="18" customHeight="1">
      <c r="A4285" s="686"/>
      <c r="B4285" s="684" t="s">
        <v>13484</v>
      </c>
      <c r="C4285" s="686" t="s">
        <v>13483</v>
      </c>
      <c r="D4285" s="686" t="s">
        <v>13482</v>
      </c>
      <c r="E4285" s="924" t="s">
        <v>13481</v>
      </c>
      <c r="F4285" s="924"/>
      <c r="G4285" s="685" t="s">
        <v>13480</v>
      </c>
      <c r="H4285" s="684" t="s">
        <v>13479</v>
      </c>
      <c r="I4285" s="684" t="s">
        <v>13478</v>
      </c>
      <c r="J4285" s="684" t="s">
        <v>13477</v>
      </c>
    </row>
    <row r="4286" spans="1:10" ht="48" customHeight="1">
      <c r="A4286" s="682" t="s">
        <v>13476</v>
      </c>
      <c r="B4286" s="683" t="s">
        <v>13998</v>
      </c>
      <c r="C4286" s="682" t="s">
        <v>7</v>
      </c>
      <c r="D4286" s="682" t="s">
        <v>1214</v>
      </c>
      <c r="E4286" s="917" t="s">
        <v>13491</v>
      </c>
      <c r="F4286" s="917"/>
      <c r="G4286" s="681" t="s">
        <v>53</v>
      </c>
      <c r="H4286" s="680">
        <v>1</v>
      </c>
      <c r="I4286" s="679">
        <v>1.42</v>
      </c>
      <c r="J4286" s="679">
        <v>1.42</v>
      </c>
    </row>
    <row r="4287" spans="1:10" ht="48" customHeight="1">
      <c r="A4287" s="677" t="s">
        <v>13472</v>
      </c>
      <c r="B4287" s="678" t="s">
        <v>14054</v>
      </c>
      <c r="C4287" s="677" t="s">
        <v>7</v>
      </c>
      <c r="D4287" s="677" t="s">
        <v>1209</v>
      </c>
      <c r="E4287" s="918" t="s">
        <v>13491</v>
      </c>
      <c r="F4287" s="918"/>
      <c r="G4287" s="676" t="s">
        <v>19</v>
      </c>
      <c r="H4287" s="675">
        <v>1</v>
      </c>
      <c r="I4287" s="674">
        <v>1.27</v>
      </c>
      <c r="J4287" s="674">
        <v>1.27</v>
      </c>
    </row>
    <row r="4288" spans="1:10" ht="36" customHeight="1">
      <c r="A4288" s="677" t="s">
        <v>13472</v>
      </c>
      <c r="B4288" s="678" t="s">
        <v>14053</v>
      </c>
      <c r="C4288" s="677" t="s">
        <v>7</v>
      </c>
      <c r="D4288" s="677" t="s">
        <v>1210</v>
      </c>
      <c r="E4288" s="918" t="s">
        <v>13491</v>
      </c>
      <c r="F4288" s="918"/>
      <c r="G4288" s="676" t="s">
        <v>19</v>
      </c>
      <c r="H4288" s="675">
        <v>1</v>
      </c>
      <c r="I4288" s="674">
        <v>0.15</v>
      </c>
      <c r="J4288" s="674">
        <v>0.15</v>
      </c>
    </row>
    <row r="4289" spans="1:10" ht="25.5">
      <c r="A4289" s="668"/>
      <c r="B4289" s="668"/>
      <c r="C4289" s="668"/>
      <c r="D4289" s="668"/>
      <c r="E4289" s="668" t="s">
        <v>13463</v>
      </c>
      <c r="F4289" s="667">
        <v>0</v>
      </c>
      <c r="G4289" s="668" t="s">
        <v>13462</v>
      </c>
      <c r="H4289" s="667">
        <v>0</v>
      </c>
      <c r="I4289" s="668" t="s">
        <v>13461</v>
      </c>
      <c r="J4289" s="667">
        <v>0</v>
      </c>
    </row>
    <row r="4290" spans="1:10" ht="15" thickBot="1">
      <c r="A4290" s="668"/>
      <c r="B4290" s="668"/>
      <c r="C4290" s="668"/>
      <c r="D4290" s="668"/>
      <c r="E4290" s="668" t="s">
        <v>13460</v>
      </c>
      <c r="F4290" s="667">
        <v>0.4</v>
      </c>
      <c r="G4290" s="668"/>
      <c r="H4290" s="925" t="s">
        <v>13459</v>
      </c>
      <c r="I4290" s="925"/>
      <c r="J4290" s="667">
        <v>1.82</v>
      </c>
    </row>
    <row r="4291" spans="1:10" ht="0.95" customHeight="1" thickTop="1">
      <c r="A4291" s="666"/>
      <c r="B4291" s="666"/>
      <c r="C4291" s="666"/>
      <c r="D4291" s="666"/>
      <c r="E4291" s="666"/>
      <c r="F4291" s="666"/>
      <c r="G4291" s="666"/>
      <c r="H4291" s="666"/>
      <c r="I4291" s="666"/>
      <c r="J4291" s="666"/>
    </row>
    <row r="4292" spans="1:10" ht="18" customHeight="1">
      <c r="A4292" s="686"/>
      <c r="B4292" s="684" t="s">
        <v>13484</v>
      </c>
      <c r="C4292" s="686" t="s">
        <v>13483</v>
      </c>
      <c r="D4292" s="686" t="s">
        <v>13482</v>
      </c>
      <c r="E4292" s="924" t="s">
        <v>13481</v>
      </c>
      <c r="F4292" s="924"/>
      <c r="G4292" s="685" t="s">
        <v>13480</v>
      </c>
      <c r="H4292" s="684" t="s">
        <v>13479</v>
      </c>
      <c r="I4292" s="684" t="s">
        <v>13478</v>
      </c>
      <c r="J4292" s="684" t="s">
        <v>13477</v>
      </c>
    </row>
    <row r="4293" spans="1:10" ht="48" customHeight="1">
      <c r="A4293" s="682" t="s">
        <v>13476</v>
      </c>
      <c r="B4293" s="683" t="s">
        <v>13999</v>
      </c>
      <c r="C4293" s="682" t="s">
        <v>7</v>
      </c>
      <c r="D4293" s="682" t="s">
        <v>1213</v>
      </c>
      <c r="E4293" s="917" t="s">
        <v>13491</v>
      </c>
      <c r="F4293" s="917"/>
      <c r="G4293" s="681" t="s">
        <v>38</v>
      </c>
      <c r="H4293" s="680">
        <v>1</v>
      </c>
      <c r="I4293" s="679">
        <v>4.71</v>
      </c>
      <c r="J4293" s="679">
        <v>4.71</v>
      </c>
    </row>
    <row r="4294" spans="1:10" ht="48" customHeight="1">
      <c r="A4294" s="677" t="s">
        <v>13472</v>
      </c>
      <c r="B4294" s="678" t="s">
        <v>14054</v>
      </c>
      <c r="C4294" s="677" t="s">
        <v>7</v>
      </c>
      <c r="D4294" s="677" t="s">
        <v>1209</v>
      </c>
      <c r="E4294" s="918" t="s">
        <v>13491</v>
      </c>
      <c r="F4294" s="918"/>
      <c r="G4294" s="676" t="s">
        <v>19</v>
      </c>
      <c r="H4294" s="675">
        <v>1</v>
      </c>
      <c r="I4294" s="674">
        <v>1.27</v>
      </c>
      <c r="J4294" s="674">
        <v>1.27</v>
      </c>
    </row>
    <row r="4295" spans="1:10" ht="48" customHeight="1">
      <c r="A4295" s="677" t="s">
        <v>13472</v>
      </c>
      <c r="B4295" s="678" t="s">
        <v>14052</v>
      </c>
      <c r="C4295" s="677" t="s">
        <v>7</v>
      </c>
      <c r="D4295" s="677" t="s">
        <v>1211</v>
      </c>
      <c r="E4295" s="918" t="s">
        <v>13491</v>
      </c>
      <c r="F4295" s="918"/>
      <c r="G4295" s="676" t="s">
        <v>19</v>
      </c>
      <c r="H4295" s="675">
        <v>1</v>
      </c>
      <c r="I4295" s="674">
        <v>1.19</v>
      </c>
      <c r="J4295" s="674">
        <v>1.19</v>
      </c>
    </row>
    <row r="4296" spans="1:10" ht="36" customHeight="1">
      <c r="A4296" s="677" t="s">
        <v>13472</v>
      </c>
      <c r="B4296" s="678" t="s">
        <v>14053</v>
      </c>
      <c r="C4296" s="677" t="s">
        <v>7</v>
      </c>
      <c r="D4296" s="677" t="s">
        <v>1210</v>
      </c>
      <c r="E4296" s="918" t="s">
        <v>13491</v>
      </c>
      <c r="F4296" s="918"/>
      <c r="G4296" s="676" t="s">
        <v>19</v>
      </c>
      <c r="H4296" s="675">
        <v>1</v>
      </c>
      <c r="I4296" s="674">
        <v>0.15</v>
      </c>
      <c r="J4296" s="674">
        <v>0.15</v>
      </c>
    </row>
    <row r="4297" spans="1:10" ht="48" customHeight="1">
      <c r="A4297" s="677" t="s">
        <v>13472</v>
      </c>
      <c r="B4297" s="678" t="s">
        <v>14049</v>
      </c>
      <c r="C4297" s="677" t="s">
        <v>7</v>
      </c>
      <c r="D4297" s="677" t="s">
        <v>1212</v>
      </c>
      <c r="E4297" s="918" t="s">
        <v>13491</v>
      </c>
      <c r="F4297" s="918"/>
      <c r="G4297" s="676" t="s">
        <v>19</v>
      </c>
      <c r="H4297" s="675">
        <v>1</v>
      </c>
      <c r="I4297" s="674">
        <v>2.1</v>
      </c>
      <c r="J4297" s="674">
        <v>2.1</v>
      </c>
    </row>
    <row r="4298" spans="1:10" ht="25.5">
      <c r="A4298" s="668"/>
      <c r="B4298" s="668"/>
      <c r="C4298" s="668"/>
      <c r="D4298" s="668"/>
      <c r="E4298" s="668" t="s">
        <v>13463</v>
      </c>
      <c r="F4298" s="667">
        <v>0</v>
      </c>
      <c r="G4298" s="668" t="s">
        <v>13462</v>
      </c>
      <c r="H4298" s="667">
        <v>0</v>
      </c>
      <c r="I4298" s="668" t="s">
        <v>13461</v>
      </c>
      <c r="J4298" s="667">
        <v>0</v>
      </c>
    </row>
    <row r="4299" spans="1:10" ht="15" thickBot="1">
      <c r="A4299" s="668"/>
      <c r="B4299" s="668"/>
      <c r="C4299" s="668"/>
      <c r="D4299" s="668"/>
      <c r="E4299" s="668" t="s">
        <v>13460</v>
      </c>
      <c r="F4299" s="667">
        <v>1.33</v>
      </c>
      <c r="G4299" s="668"/>
      <c r="H4299" s="925" t="s">
        <v>13459</v>
      </c>
      <c r="I4299" s="925"/>
      <c r="J4299" s="667">
        <v>6.04</v>
      </c>
    </row>
    <row r="4300" spans="1:10" ht="0.95" customHeight="1" thickTop="1">
      <c r="A4300" s="666"/>
      <c r="B4300" s="666"/>
      <c r="C4300" s="666"/>
      <c r="D4300" s="666"/>
      <c r="E4300" s="666"/>
      <c r="F4300" s="666"/>
      <c r="G4300" s="666"/>
      <c r="H4300" s="666"/>
      <c r="I4300" s="666"/>
      <c r="J4300" s="666"/>
    </row>
    <row r="4301" spans="1:10" ht="18" customHeight="1">
      <c r="A4301" s="686"/>
      <c r="B4301" s="684" t="s">
        <v>13484</v>
      </c>
      <c r="C4301" s="686" t="s">
        <v>13483</v>
      </c>
      <c r="D4301" s="686" t="s">
        <v>13482</v>
      </c>
      <c r="E4301" s="924" t="s">
        <v>13481</v>
      </c>
      <c r="F4301" s="924"/>
      <c r="G4301" s="685" t="s">
        <v>13480</v>
      </c>
      <c r="H4301" s="684" t="s">
        <v>13479</v>
      </c>
      <c r="I4301" s="684" t="s">
        <v>13478</v>
      </c>
      <c r="J4301" s="684" t="s">
        <v>13477</v>
      </c>
    </row>
    <row r="4302" spans="1:10" ht="48" customHeight="1">
      <c r="A4302" s="682" t="s">
        <v>13476</v>
      </c>
      <c r="B4302" s="683" t="s">
        <v>14054</v>
      </c>
      <c r="C4302" s="682" t="s">
        <v>7</v>
      </c>
      <c r="D4302" s="682" t="s">
        <v>1209</v>
      </c>
      <c r="E4302" s="917" t="s">
        <v>13491</v>
      </c>
      <c r="F4302" s="917"/>
      <c r="G4302" s="681" t="s">
        <v>19</v>
      </c>
      <c r="H4302" s="680">
        <v>1</v>
      </c>
      <c r="I4302" s="679">
        <v>1.27</v>
      </c>
      <c r="J4302" s="679">
        <v>1.27</v>
      </c>
    </row>
    <row r="4303" spans="1:10" ht="36" customHeight="1">
      <c r="A4303" s="672" t="s">
        <v>13467</v>
      </c>
      <c r="B4303" s="673" t="s">
        <v>14051</v>
      </c>
      <c r="C4303" s="672" t="s">
        <v>7</v>
      </c>
      <c r="D4303" s="672" t="s">
        <v>14050</v>
      </c>
      <c r="E4303" s="919" t="s">
        <v>13493</v>
      </c>
      <c r="F4303" s="919"/>
      <c r="G4303" s="671" t="s">
        <v>34</v>
      </c>
      <c r="H4303" s="670">
        <v>6.3999999999999997E-5</v>
      </c>
      <c r="I4303" s="669">
        <v>19923.66</v>
      </c>
      <c r="J4303" s="669">
        <v>1.27</v>
      </c>
    </row>
    <row r="4304" spans="1:10" ht="25.5">
      <c r="A4304" s="668"/>
      <c r="B4304" s="668"/>
      <c r="C4304" s="668"/>
      <c r="D4304" s="668"/>
      <c r="E4304" s="668" t="s">
        <v>13463</v>
      </c>
      <c r="F4304" s="667">
        <v>0</v>
      </c>
      <c r="G4304" s="668" t="s">
        <v>13462</v>
      </c>
      <c r="H4304" s="667">
        <v>0</v>
      </c>
      <c r="I4304" s="668" t="s">
        <v>13461</v>
      </c>
      <c r="J4304" s="667">
        <v>0</v>
      </c>
    </row>
    <row r="4305" spans="1:10" ht="15" thickBot="1">
      <c r="A4305" s="668"/>
      <c r="B4305" s="668"/>
      <c r="C4305" s="668"/>
      <c r="D4305" s="668"/>
      <c r="E4305" s="668" t="s">
        <v>13460</v>
      </c>
      <c r="F4305" s="667">
        <v>0.35</v>
      </c>
      <c r="G4305" s="668"/>
      <c r="H4305" s="925" t="s">
        <v>13459</v>
      </c>
      <c r="I4305" s="925"/>
      <c r="J4305" s="667">
        <v>1.62</v>
      </c>
    </row>
    <row r="4306" spans="1:10" ht="0.95" customHeight="1" thickTop="1">
      <c r="A4306" s="666"/>
      <c r="B4306" s="666"/>
      <c r="C4306" s="666"/>
      <c r="D4306" s="666"/>
      <c r="E4306" s="666"/>
      <c r="F4306" s="666"/>
      <c r="G4306" s="666"/>
      <c r="H4306" s="666"/>
      <c r="I4306" s="666"/>
      <c r="J4306" s="666"/>
    </row>
    <row r="4307" spans="1:10" ht="18" customHeight="1">
      <c r="A4307" s="686"/>
      <c r="B4307" s="684" t="s">
        <v>13484</v>
      </c>
      <c r="C4307" s="686" t="s">
        <v>13483</v>
      </c>
      <c r="D4307" s="686" t="s">
        <v>13482</v>
      </c>
      <c r="E4307" s="924" t="s">
        <v>13481</v>
      </c>
      <c r="F4307" s="924"/>
      <c r="G4307" s="685" t="s">
        <v>13480</v>
      </c>
      <c r="H4307" s="684" t="s">
        <v>13479</v>
      </c>
      <c r="I4307" s="684" t="s">
        <v>13478</v>
      </c>
      <c r="J4307" s="684" t="s">
        <v>13477</v>
      </c>
    </row>
    <row r="4308" spans="1:10" ht="36" customHeight="1">
      <c r="A4308" s="682" t="s">
        <v>13476</v>
      </c>
      <c r="B4308" s="683" t="s">
        <v>14053</v>
      </c>
      <c r="C4308" s="682" t="s">
        <v>7</v>
      </c>
      <c r="D4308" s="682" t="s">
        <v>1210</v>
      </c>
      <c r="E4308" s="917" t="s">
        <v>13491</v>
      </c>
      <c r="F4308" s="917"/>
      <c r="G4308" s="681" t="s">
        <v>19</v>
      </c>
      <c r="H4308" s="680">
        <v>1</v>
      </c>
      <c r="I4308" s="679">
        <v>0.15</v>
      </c>
      <c r="J4308" s="679">
        <v>0.15</v>
      </c>
    </row>
    <row r="4309" spans="1:10" ht="36" customHeight="1">
      <c r="A4309" s="672" t="s">
        <v>13467</v>
      </c>
      <c r="B4309" s="673" t="s">
        <v>14051</v>
      </c>
      <c r="C4309" s="672" t="s">
        <v>7</v>
      </c>
      <c r="D4309" s="672" t="s">
        <v>14050</v>
      </c>
      <c r="E4309" s="919" t="s">
        <v>13493</v>
      </c>
      <c r="F4309" s="919"/>
      <c r="G4309" s="671" t="s">
        <v>34</v>
      </c>
      <c r="H4309" s="670">
        <v>7.6000000000000001E-6</v>
      </c>
      <c r="I4309" s="669">
        <v>19923.66</v>
      </c>
      <c r="J4309" s="669">
        <v>0.15</v>
      </c>
    </row>
    <row r="4310" spans="1:10" ht="25.5">
      <c r="A4310" s="668"/>
      <c r="B4310" s="668"/>
      <c r="C4310" s="668"/>
      <c r="D4310" s="668"/>
      <c r="E4310" s="668" t="s">
        <v>13463</v>
      </c>
      <c r="F4310" s="667">
        <v>0</v>
      </c>
      <c r="G4310" s="668" t="s">
        <v>13462</v>
      </c>
      <c r="H4310" s="667">
        <v>0</v>
      </c>
      <c r="I4310" s="668" t="s">
        <v>13461</v>
      </c>
      <c r="J4310" s="667">
        <v>0</v>
      </c>
    </row>
    <row r="4311" spans="1:10" ht="15" thickBot="1">
      <c r="A4311" s="668"/>
      <c r="B4311" s="668"/>
      <c r="C4311" s="668"/>
      <c r="D4311" s="668"/>
      <c r="E4311" s="668" t="s">
        <v>13460</v>
      </c>
      <c r="F4311" s="667">
        <v>0.04</v>
      </c>
      <c r="G4311" s="668"/>
      <c r="H4311" s="925" t="s">
        <v>13459</v>
      </c>
      <c r="I4311" s="925"/>
      <c r="J4311" s="667">
        <v>0.19</v>
      </c>
    </row>
    <row r="4312" spans="1:10" ht="0.95" customHeight="1" thickTop="1">
      <c r="A4312" s="666"/>
      <c r="B4312" s="666"/>
      <c r="C4312" s="666"/>
      <c r="D4312" s="666"/>
      <c r="E4312" s="666"/>
      <c r="F4312" s="666"/>
      <c r="G4312" s="666"/>
      <c r="H4312" s="666"/>
      <c r="I4312" s="666"/>
      <c r="J4312" s="666"/>
    </row>
    <row r="4313" spans="1:10" ht="18" customHeight="1">
      <c r="A4313" s="686"/>
      <c r="B4313" s="684" t="s">
        <v>13484</v>
      </c>
      <c r="C4313" s="686" t="s">
        <v>13483</v>
      </c>
      <c r="D4313" s="686" t="s">
        <v>13482</v>
      </c>
      <c r="E4313" s="924" t="s">
        <v>13481</v>
      </c>
      <c r="F4313" s="924"/>
      <c r="G4313" s="685" t="s">
        <v>13480</v>
      </c>
      <c r="H4313" s="684" t="s">
        <v>13479</v>
      </c>
      <c r="I4313" s="684" t="s">
        <v>13478</v>
      </c>
      <c r="J4313" s="684" t="s">
        <v>13477</v>
      </c>
    </row>
    <row r="4314" spans="1:10" ht="48" customHeight="1">
      <c r="A4314" s="682" t="s">
        <v>13476</v>
      </c>
      <c r="B4314" s="683" t="s">
        <v>14052</v>
      </c>
      <c r="C4314" s="682" t="s">
        <v>7</v>
      </c>
      <c r="D4314" s="682" t="s">
        <v>1211</v>
      </c>
      <c r="E4314" s="917" t="s">
        <v>13491</v>
      </c>
      <c r="F4314" s="917"/>
      <c r="G4314" s="681" t="s">
        <v>19</v>
      </c>
      <c r="H4314" s="680">
        <v>1</v>
      </c>
      <c r="I4314" s="679">
        <v>1.19</v>
      </c>
      <c r="J4314" s="679">
        <v>1.19</v>
      </c>
    </row>
    <row r="4315" spans="1:10" ht="36" customHeight="1">
      <c r="A4315" s="672" t="s">
        <v>13467</v>
      </c>
      <c r="B4315" s="673" t="s">
        <v>14051</v>
      </c>
      <c r="C4315" s="672" t="s">
        <v>7</v>
      </c>
      <c r="D4315" s="672" t="s">
        <v>14050</v>
      </c>
      <c r="E4315" s="919" t="s">
        <v>13493</v>
      </c>
      <c r="F4315" s="919"/>
      <c r="G4315" s="671" t="s">
        <v>34</v>
      </c>
      <c r="H4315" s="670">
        <v>6.0000000000000002E-5</v>
      </c>
      <c r="I4315" s="669">
        <v>19923.66</v>
      </c>
      <c r="J4315" s="669">
        <v>1.19</v>
      </c>
    </row>
    <row r="4316" spans="1:10" ht="25.5">
      <c r="A4316" s="668"/>
      <c r="B4316" s="668"/>
      <c r="C4316" s="668"/>
      <c r="D4316" s="668"/>
      <c r="E4316" s="668" t="s">
        <v>13463</v>
      </c>
      <c r="F4316" s="667">
        <v>0</v>
      </c>
      <c r="G4316" s="668" t="s">
        <v>13462</v>
      </c>
      <c r="H4316" s="667">
        <v>0</v>
      </c>
      <c r="I4316" s="668" t="s">
        <v>13461</v>
      </c>
      <c r="J4316" s="667">
        <v>0</v>
      </c>
    </row>
    <row r="4317" spans="1:10" ht="15" thickBot="1">
      <c r="A4317" s="668"/>
      <c r="B4317" s="668"/>
      <c r="C4317" s="668"/>
      <c r="D4317" s="668"/>
      <c r="E4317" s="668" t="s">
        <v>13460</v>
      </c>
      <c r="F4317" s="667">
        <v>0.33</v>
      </c>
      <c r="G4317" s="668"/>
      <c r="H4317" s="925" t="s">
        <v>13459</v>
      </c>
      <c r="I4317" s="925"/>
      <c r="J4317" s="667">
        <v>1.52</v>
      </c>
    </row>
    <row r="4318" spans="1:10" ht="0.95" customHeight="1" thickTop="1">
      <c r="A4318" s="666"/>
      <c r="B4318" s="666"/>
      <c r="C4318" s="666"/>
      <c r="D4318" s="666"/>
      <c r="E4318" s="666"/>
      <c r="F4318" s="666"/>
      <c r="G4318" s="666"/>
      <c r="H4318" s="666"/>
      <c r="I4318" s="666"/>
      <c r="J4318" s="666"/>
    </row>
    <row r="4319" spans="1:10" ht="18" customHeight="1">
      <c r="A4319" s="686"/>
      <c r="B4319" s="684" t="s">
        <v>13484</v>
      </c>
      <c r="C4319" s="686" t="s">
        <v>13483</v>
      </c>
      <c r="D4319" s="686" t="s">
        <v>13482</v>
      </c>
      <c r="E4319" s="924" t="s">
        <v>13481</v>
      </c>
      <c r="F4319" s="924"/>
      <c r="G4319" s="685" t="s">
        <v>13480</v>
      </c>
      <c r="H4319" s="684" t="s">
        <v>13479</v>
      </c>
      <c r="I4319" s="684" t="s">
        <v>13478</v>
      </c>
      <c r="J4319" s="684" t="s">
        <v>13477</v>
      </c>
    </row>
    <row r="4320" spans="1:10" ht="48" customHeight="1">
      <c r="A4320" s="682" t="s">
        <v>13476</v>
      </c>
      <c r="B4320" s="683" t="s">
        <v>14049</v>
      </c>
      <c r="C4320" s="682" t="s">
        <v>7</v>
      </c>
      <c r="D4320" s="682" t="s">
        <v>1212</v>
      </c>
      <c r="E4320" s="917" t="s">
        <v>13491</v>
      </c>
      <c r="F4320" s="917"/>
      <c r="G4320" s="681" t="s">
        <v>19</v>
      </c>
      <c r="H4320" s="680">
        <v>1</v>
      </c>
      <c r="I4320" s="679">
        <v>2.1</v>
      </c>
      <c r="J4320" s="679">
        <v>2.1</v>
      </c>
    </row>
    <row r="4321" spans="1:10" ht="24" customHeight="1">
      <c r="A4321" s="672" t="s">
        <v>13467</v>
      </c>
      <c r="B4321" s="673" t="s">
        <v>13490</v>
      </c>
      <c r="C4321" s="672" t="s">
        <v>7</v>
      </c>
      <c r="D4321" s="672" t="s">
        <v>13489</v>
      </c>
      <c r="E4321" s="919" t="s">
        <v>13464</v>
      </c>
      <c r="F4321" s="919"/>
      <c r="G4321" s="671" t="s">
        <v>13488</v>
      </c>
      <c r="H4321" s="670">
        <v>2.5</v>
      </c>
      <c r="I4321" s="669">
        <v>0.84</v>
      </c>
      <c r="J4321" s="669">
        <v>2.1</v>
      </c>
    </row>
    <row r="4322" spans="1:10" ht="25.5">
      <c r="A4322" s="668"/>
      <c r="B4322" s="668"/>
      <c r="C4322" s="668"/>
      <c r="D4322" s="668"/>
      <c r="E4322" s="668" t="s">
        <v>13463</v>
      </c>
      <c r="F4322" s="667">
        <v>0</v>
      </c>
      <c r="G4322" s="668" t="s">
        <v>13462</v>
      </c>
      <c r="H4322" s="667">
        <v>0</v>
      </c>
      <c r="I4322" s="668" t="s">
        <v>13461</v>
      </c>
      <c r="J4322" s="667">
        <v>0</v>
      </c>
    </row>
    <row r="4323" spans="1:10" ht="15" thickBot="1">
      <c r="A4323" s="668"/>
      <c r="B4323" s="668"/>
      <c r="C4323" s="668"/>
      <c r="D4323" s="668"/>
      <c r="E4323" s="668" t="s">
        <v>13460</v>
      </c>
      <c r="F4323" s="667">
        <v>0.59</v>
      </c>
      <c r="G4323" s="668"/>
      <c r="H4323" s="925" t="s">
        <v>13459</v>
      </c>
      <c r="I4323" s="925"/>
      <c r="J4323" s="667">
        <v>2.69</v>
      </c>
    </row>
    <row r="4324" spans="1:10" ht="0.95" customHeight="1" thickTop="1">
      <c r="A4324" s="666"/>
      <c r="B4324" s="666"/>
      <c r="C4324" s="666"/>
      <c r="D4324" s="666"/>
      <c r="E4324" s="666"/>
      <c r="F4324" s="666"/>
      <c r="G4324" s="666"/>
      <c r="H4324" s="666"/>
      <c r="I4324" s="666"/>
      <c r="J4324" s="666"/>
    </row>
    <row r="4325" spans="1:10" ht="18" customHeight="1">
      <c r="A4325" s="686"/>
      <c r="B4325" s="684" t="s">
        <v>13484</v>
      </c>
      <c r="C4325" s="686" t="s">
        <v>13483</v>
      </c>
      <c r="D4325" s="686" t="s">
        <v>13482</v>
      </c>
      <c r="E4325" s="924" t="s">
        <v>13481</v>
      </c>
      <c r="F4325" s="924"/>
      <c r="G4325" s="685" t="s">
        <v>13480</v>
      </c>
      <c r="H4325" s="684" t="s">
        <v>13479</v>
      </c>
      <c r="I4325" s="684" t="s">
        <v>13478</v>
      </c>
      <c r="J4325" s="684" t="s">
        <v>13477</v>
      </c>
    </row>
    <row r="4326" spans="1:10" ht="24" customHeight="1">
      <c r="A4326" s="682" t="s">
        <v>13476</v>
      </c>
      <c r="B4326" s="683" t="s">
        <v>14048</v>
      </c>
      <c r="C4326" s="682" t="s">
        <v>7</v>
      </c>
      <c r="D4326" s="682" t="s">
        <v>134</v>
      </c>
      <c r="E4326" s="917" t="s">
        <v>13470</v>
      </c>
      <c r="F4326" s="917"/>
      <c r="G4326" s="681" t="s">
        <v>19</v>
      </c>
      <c r="H4326" s="680">
        <v>1</v>
      </c>
      <c r="I4326" s="679">
        <v>17.41</v>
      </c>
      <c r="J4326" s="679">
        <v>17.41</v>
      </c>
    </row>
    <row r="4327" spans="1:10" ht="24" customHeight="1">
      <c r="A4327" s="677" t="s">
        <v>13472</v>
      </c>
      <c r="B4327" s="678" t="s">
        <v>13933</v>
      </c>
      <c r="C4327" s="677" t="s">
        <v>7</v>
      </c>
      <c r="D4327" s="677" t="s">
        <v>2742</v>
      </c>
      <c r="E4327" s="918" t="s">
        <v>13470</v>
      </c>
      <c r="F4327" s="918"/>
      <c r="G4327" s="676" t="s">
        <v>19</v>
      </c>
      <c r="H4327" s="675">
        <v>1</v>
      </c>
      <c r="I4327" s="674">
        <v>0.11</v>
      </c>
      <c r="J4327" s="674">
        <v>0.11</v>
      </c>
    </row>
    <row r="4328" spans="1:10" ht="24" customHeight="1">
      <c r="A4328" s="672" t="s">
        <v>13467</v>
      </c>
      <c r="B4328" s="673" t="s">
        <v>13562</v>
      </c>
      <c r="C4328" s="672" t="s">
        <v>7</v>
      </c>
      <c r="D4328" s="672" t="s">
        <v>13561</v>
      </c>
      <c r="E4328" s="919" t="s">
        <v>13556</v>
      </c>
      <c r="F4328" s="919"/>
      <c r="G4328" s="671" t="s">
        <v>19</v>
      </c>
      <c r="H4328" s="670">
        <v>1</v>
      </c>
      <c r="I4328" s="669">
        <v>0.96</v>
      </c>
      <c r="J4328" s="669">
        <v>0.96</v>
      </c>
    </row>
    <row r="4329" spans="1:10" ht="24" customHeight="1">
      <c r="A4329" s="672" t="s">
        <v>13467</v>
      </c>
      <c r="B4329" s="673" t="s">
        <v>13932</v>
      </c>
      <c r="C4329" s="672" t="s">
        <v>7</v>
      </c>
      <c r="D4329" s="672" t="s">
        <v>13931</v>
      </c>
      <c r="E4329" s="919" t="s">
        <v>13548</v>
      </c>
      <c r="F4329" s="919"/>
      <c r="G4329" s="671" t="s">
        <v>19</v>
      </c>
      <c r="H4329" s="670">
        <v>1</v>
      </c>
      <c r="I4329" s="669">
        <v>13.49</v>
      </c>
      <c r="J4329" s="669">
        <v>13.49</v>
      </c>
    </row>
    <row r="4330" spans="1:10" ht="24" customHeight="1">
      <c r="A4330" s="672" t="s">
        <v>13467</v>
      </c>
      <c r="B4330" s="673" t="s">
        <v>13752</v>
      </c>
      <c r="C4330" s="672" t="s">
        <v>7</v>
      </c>
      <c r="D4330" s="672" t="s">
        <v>13751</v>
      </c>
      <c r="E4330" s="919" t="s">
        <v>13493</v>
      </c>
      <c r="F4330" s="919"/>
      <c r="G4330" s="671" t="s">
        <v>19</v>
      </c>
      <c r="H4330" s="670">
        <v>1</v>
      </c>
      <c r="I4330" s="669">
        <v>0.95</v>
      </c>
      <c r="J4330" s="669">
        <v>0.95</v>
      </c>
    </row>
    <row r="4331" spans="1:10" ht="24" customHeight="1">
      <c r="A4331" s="672" t="s">
        <v>13467</v>
      </c>
      <c r="B4331" s="673" t="s">
        <v>13558</v>
      </c>
      <c r="C4331" s="672" t="s">
        <v>7</v>
      </c>
      <c r="D4331" s="672" t="s">
        <v>13557</v>
      </c>
      <c r="E4331" s="919" t="s">
        <v>13556</v>
      </c>
      <c r="F4331" s="919"/>
      <c r="G4331" s="671" t="s">
        <v>19</v>
      </c>
      <c r="H4331" s="670">
        <v>1</v>
      </c>
      <c r="I4331" s="669">
        <v>0.55000000000000004</v>
      </c>
      <c r="J4331" s="669">
        <v>0.55000000000000004</v>
      </c>
    </row>
    <row r="4332" spans="1:10" ht="24" customHeight="1">
      <c r="A4332" s="672" t="s">
        <v>13467</v>
      </c>
      <c r="B4332" s="673" t="s">
        <v>13750</v>
      </c>
      <c r="C4332" s="672" t="s">
        <v>7</v>
      </c>
      <c r="D4332" s="672" t="s">
        <v>13749</v>
      </c>
      <c r="E4332" s="919" t="s">
        <v>13493</v>
      </c>
      <c r="F4332" s="919"/>
      <c r="G4332" s="671" t="s">
        <v>19</v>
      </c>
      <c r="H4332" s="670">
        <v>1</v>
      </c>
      <c r="I4332" s="669">
        <v>0.57999999999999996</v>
      </c>
      <c r="J4332" s="669">
        <v>0.57999999999999996</v>
      </c>
    </row>
    <row r="4333" spans="1:10" ht="24" customHeight="1">
      <c r="A4333" s="672" t="s">
        <v>13467</v>
      </c>
      <c r="B4333" s="673" t="s">
        <v>13553</v>
      </c>
      <c r="C4333" s="672" t="s">
        <v>7</v>
      </c>
      <c r="D4333" s="672" t="s">
        <v>13552</v>
      </c>
      <c r="E4333" s="919" t="s">
        <v>13551</v>
      </c>
      <c r="F4333" s="919"/>
      <c r="G4333" s="671" t="s">
        <v>19</v>
      </c>
      <c r="H4333" s="670">
        <v>1</v>
      </c>
      <c r="I4333" s="669">
        <v>0.06</v>
      </c>
      <c r="J4333" s="669">
        <v>0.06</v>
      </c>
    </row>
    <row r="4334" spans="1:10" ht="24" customHeight="1">
      <c r="A4334" s="672" t="s">
        <v>13467</v>
      </c>
      <c r="B4334" s="673" t="s">
        <v>13547</v>
      </c>
      <c r="C4334" s="672" t="s">
        <v>7</v>
      </c>
      <c r="D4334" s="672" t="s">
        <v>13546</v>
      </c>
      <c r="E4334" s="919" t="s">
        <v>13545</v>
      </c>
      <c r="F4334" s="919"/>
      <c r="G4334" s="671" t="s">
        <v>19</v>
      </c>
      <c r="H4334" s="670">
        <v>1</v>
      </c>
      <c r="I4334" s="669">
        <v>0.71</v>
      </c>
      <c r="J4334" s="669">
        <v>0.71</v>
      </c>
    </row>
    <row r="4335" spans="1:10" ht="25.5">
      <c r="A4335" s="668"/>
      <c r="B4335" s="668"/>
      <c r="C4335" s="668"/>
      <c r="D4335" s="668"/>
      <c r="E4335" s="668" t="s">
        <v>13463</v>
      </c>
      <c r="F4335" s="667">
        <v>7.3888949000000004</v>
      </c>
      <c r="G4335" s="668" t="s">
        <v>13462</v>
      </c>
      <c r="H4335" s="667">
        <v>6.21</v>
      </c>
      <c r="I4335" s="668" t="s">
        <v>13461</v>
      </c>
      <c r="J4335" s="667">
        <v>13.6</v>
      </c>
    </row>
    <row r="4336" spans="1:10" ht="15" thickBot="1">
      <c r="A4336" s="668"/>
      <c r="B4336" s="668"/>
      <c r="C4336" s="668"/>
      <c r="D4336" s="668"/>
      <c r="E4336" s="668" t="s">
        <v>13460</v>
      </c>
      <c r="F4336" s="667">
        <v>4.91</v>
      </c>
      <c r="G4336" s="668"/>
      <c r="H4336" s="925" t="s">
        <v>13459</v>
      </c>
      <c r="I4336" s="925"/>
      <c r="J4336" s="667">
        <v>22.32</v>
      </c>
    </row>
    <row r="4337" spans="1:10" ht="0.95" customHeight="1" thickTop="1">
      <c r="A4337" s="666"/>
      <c r="B4337" s="666"/>
      <c r="C4337" s="666"/>
      <c r="D4337" s="666"/>
      <c r="E4337" s="666"/>
      <c r="F4337" s="666"/>
      <c r="G4337" s="666"/>
      <c r="H4337" s="666"/>
      <c r="I4337" s="666"/>
      <c r="J4337" s="666"/>
    </row>
    <row r="4338" spans="1:10" ht="18" customHeight="1">
      <c r="A4338" s="686"/>
      <c r="B4338" s="684" t="s">
        <v>13484</v>
      </c>
      <c r="C4338" s="686" t="s">
        <v>13483</v>
      </c>
      <c r="D4338" s="686" t="s">
        <v>13482</v>
      </c>
      <c r="E4338" s="924" t="s">
        <v>13481</v>
      </c>
      <c r="F4338" s="924"/>
      <c r="G4338" s="685" t="s">
        <v>13480</v>
      </c>
      <c r="H4338" s="684" t="s">
        <v>13479</v>
      </c>
      <c r="I4338" s="684" t="s">
        <v>13478</v>
      </c>
      <c r="J4338" s="684" t="s">
        <v>13477</v>
      </c>
    </row>
    <row r="4339" spans="1:10" ht="60" customHeight="1">
      <c r="A4339" s="682" t="s">
        <v>13476</v>
      </c>
      <c r="B4339" s="683" t="s">
        <v>14047</v>
      </c>
      <c r="C4339" s="682" t="s">
        <v>7</v>
      </c>
      <c r="D4339" s="682" t="s">
        <v>1886</v>
      </c>
      <c r="E4339" s="917" t="s">
        <v>13491</v>
      </c>
      <c r="F4339" s="917"/>
      <c r="G4339" s="681" t="s">
        <v>53</v>
      </c>
      <c r="H4339" s="680">
        <v>1</v>
      </c>
      <c r="I4339" s="679">
        <v>37.94</v>
      </c>
      <c r="J4339" s="679">
        <v>37.94</v>
      </c>
    </row>
    <row r="4340" spans="1:10" ht="60" customHeight="1">
      <c r="A4340" s="677" t="s">
        <v>13472</v>
      </c>
      <c r="B4340" s="678" t="s">
        <v>14045</v>
      </c>
      <c r="C4340" s="677" t="s">
        <v>7</v>
      </c>
      <c r="D4340" s="677" t="s">
        <v>1880</v>
      </c>
      <c r="E4340" s="918" t="s">
        <v>13491</v>
      </c>
      <c r="F4340" s="918"/>
      <c r="G4340" s="676" t="s">
        <v>19</v>
      </c>
      <c r="H4340" s="675">
        <v>1</v>
      </c>
      <c r="I4340" s="674">
        <v>19.41</v>
      </c>
      <c r="J4340" s="674">
        <v>19.41</v>
      </c>
    </row>
    <row r="4341" spans="1:10" ht="60" customHeight="1">
      <c r="A4341" s="677" t="s">
        <v>13472</v>
      </c>
      <c r="B4341" s="678" t="s">
        <v>14043</v>
      </c>
      <c r="C4341" s="677" t="s">
        <v>7</v>
      </c>
      <c r="D4341" s="677" t="s">
        <v>1881</v>
      </c>
      <c r="E4341" s="918" t="s">
        <v>13491</v>
      </c>
      <c r="F4341" s="918"/>
      <c r="G4341" s="676" t="s">
        <v>19</v>
      </c>
      <c r="H4341" s="675">
        <v>1</v>
      </c>
      <c r="I4341" s="674">
        <v>3.59</v>
      </c>
      <c r="J4341" s="674">
        <v>3.59</v>
      </c>
    </row>
    <row r="4342" spans="1:10" ht="60" customHeight="1">
      <c r="A4342" s="677" t="s">
        <v>13472</v>
      </c>
      <c r="B4342" s="678" t="s">
        <v>14044</v>
      </c>
      <c r="C4342" s="677" t="s">
        <v>7</v>
      </c>
      <c r="D4342" s="677" t="s">
        <v>1882</v>
      </c>
      <c r="E4342" s="918" t="s">
        <v>13491</v>
      </c>
      <c r="F4342" s="918"/>
      <c r="G4342" s="676" t="s">
        <v>19</v>
      </c>
      <c r="H4342" s="675">
        <v>1</v>
      </c>
      <c r="I4342" s="674">
        <v>1.4</v>
      </c>
      <c r="J4342" s="674">
        <v>1.4</v>
      </c>
    </row>
    <row r="4343" spans="1:10" ht="24" customHeight="1">
      <c r="A4343" s="677" t="s">
        <v>13472</v>
      </c>
      <c r="B4343" s="678" t="s">
        <v>13720</v>
      </c>
      <c r="C4343" s="677" t="s">
        <v>7</v>
      </c>
      <c r="D4343" s="677" t="s">
        <v>146</v>
      </c>
      <c r="E4343" s="918" t="s">
        <v>13470</v>
      </c>
      <c r="F4343" s="918"/>
      <c r="G4343" s="676" t="s">
        <v>19</v>
      </c>
      <c r="H4343" s="675">
        <v>1</v>
      </c>
      <c r="I4343" s="674">
        <v>13.54</v>
      </c>
      <c r="J4343" s="674">
        <v>13.54</v>
      </c>
    </row>
    <row r="4344" spans="1:10" ht="25.5">
      <c r="A4344" s="668"/>
      <c r="B4344" s="668"/>
      <c r="C4344" s="668"/>
      <c r="D4344" s="668"/>
      <c r="E4344" s="668" t="s">
        <v>13463</v>
      </c>
      <c r="F4344" s="667">
        <v>5.7698577000000002</v>
      </c>
      <c r="G4344" s="668" t="s">
        <v>13462</v>
      </c>
      <c r="H4344" s="667">
        <v>4.8499999999999996</v>
      </c>
      <c r="I4344" s="668" t="s">
        <v>13461</v>
      </c>
      <c r="J4344" s="667">
        <v>10.62</v>
      </c>
    </row>
    <row r="4345" spans="1:10" ht="15" thickBot="1">
      <c r="A4345" s="668"/>
      <c r="B4345" s="668"/>
      <c r="C4345" s="668"/>
      <c r="D4345" s="668"/>
      <c r="E4345" s="668" t="s">
        <v>13460</v>
      </c>
      <c r="F4345" s="667">
        <v>10.71</v>
      </c>
      <c r="G4345" s="668"/>
      <c r="H4345" s="925" t="s">
        <v>13459</v>
      </c>
      <c r="I4345" s="925"/>
      <c r="J4345" s="667">
        <v>48.65</v>
      </c>
    </row>
    <row r="4346" spans="1:10" ht="0.95" customHeight="1" thickTop="1">
      <c r="A4346" s="666"/>
      <c r="B4346" s="666"/>
      <c r="C4346" s="666"/>
      <c r="D4346" s="666"/>
      <c r="E4346" s="666"/>
      <c r="F4346" s="666"/>
      <c r="G4346" s="666"/>
      <c r="H4346" s="666"/>
      <c r="I4346" s="666"/>
      <c r="J4346" s="666"/>
    </row>
    <row r="4347" spans="1:10" ht="18" customHeight="1">
      <c r="A4347" s="686"/>
      <c r="B4347" s="684" t="s">
        <v>13484</v>
      </c>
      <c r="C4347" s="686" t="s">
        <v>13483</v>
      </c>
      <c r="D4347" s="686" t="s">
        <v>13482</v>
      </c>
      <c r="E4347" s="924" t="s">
        <v>13481</v>
      </c>
      <c r="F4347" s="924"/>
      <c r="G4347" s="685" t="s">
        <v>13480</v>
      </c>
      <c r="H4347" s="684" t="s">
        <v>13479</v>
      </c>
      <c r="I4347" s="684" t="s">
        <v>13478</v>
      </c>
      <c r="J4347" s="684" t="s">
        <v>13477</v>
      </c>
    </row>
    <row r="4348" spans="1:10" ht="60" customHeight="1">
      <c r="A4348" s="682" t="s">
        <v>13476</v>
      </c>
      <c r="B4348" s="683" t="s">
        <v>14046</v>
      </c>
      <c r="C4348" s="682" t="s">
        <v>7</v>
      </c>
      <c r="D4348" s="682" t="s">
        <v>1885</v>
      </c>
      <c r="E4348" s="917" t="s">
        <v>13491</v>
      </c>
      <c r="F4348" s="917"/>
      <c r="G4348" s="681" t="s">
        <v>38</v>
      </c>
      <c r="H4348" s="680">
        <v>1</v>
      </c>
      <c r="I4348" s="679">
        <v>191.18</v>
      </c>
      <c r="J4348" s="679">
        <v>191.18</v>
      </c>
    </row>
    <row r="4349" spans="1:10" ht="60" customHeight="1">
      <c r="A4349" s="677" t="s">
        <v>13472</v>
      </c>
      <c r="B4349" s="678" t="s">
        <v>14045</v>
      </c>
      <c r="C4349" s="677" t="s">
        <v>7</v>
      </c>
      <c r="D4349" s="677" t="s">
        <v>1880</v>
      </c>
      <c r="E4349" s="918" t="s">
        <v>13491</v>
      </c>
      <c r="F4349" s="918"/>
      <c r="G4349" s="676" t="s">
        <v>19</v>
      </c>
      <c r="H4349" s="675">
        <v>1</v>
      </c>
      <c r="I4349" s="674">
        <v>19.41</v>
      </c>
      <c r="J4349" s="674">
        <v>19.41</v>
      </c>
    </row>
    <row r="4350" spans="1:10" ht="60" customHeight="1">
      <c r="A4350" s="677" t="s">
        <v>13472</v>
      </c>
      <c r="B4350" s="678" t="s">
        <v>14039</v>
      </c>
      <c r="C4350" s="677" t="s">
        <v>7</v>
      </c>
      <c r="D4350" s="677" t="s">
        <v>1884</v>
      </c>
      <c r="E4350" s="918" t="s">
        <v>13491</v>
      </c>
      <c r="F4350" s="918"/>
      <c r="G4350" s="676" t="s">
        <v>19</v>
      </c>
      <c r="H4350" s="675">
        <v>1</v>
      </c>
      <c r="I4350" s="674">
        <v>116.84</v>
      </c>
      <c r="J4350" s="674">
        <v>116.84</v>
      </c>
    </row>
    <row r="4351" spans="1:10" ht="60" customHeight="1">
      <c r="A4351" s="677" t="s">
        <v>13472</v>
      </c>
      <c r="B4351" s="678" t="s">
        <v>14042</v>
      </c>
      <c r="C4351" s="677" t="s">
        <v>7</v>
      </c>
      <c r="D4351" s="677" t="s">
        <v>1883</v>
      </c>
      <c r="E4351" s="918" t="s">
        <v>13491</v>
      </c>
      <c r="F4351" s="918"/>
      <c r="G4351" s="676" t="s">
        <v>19</v>
      </c>
      <c r="H4351" s="675">
        <v>1</v>
      </c>
      <c r="I4351" s="674">
        <v>36.4</v>
      </c>
      <c r="J4351" s="674">
        <v>36.4</v>
      </c>
    </row>
    <row r="4352" spans="1:10" ht="60" customHeight="1">
      <c r="A4352" s="677" t="s">
        <v>13472</v>
      </c>
      <c r="B4352" s="678" t="s">
        <v>14043</v>
      </c>
      <c r="C4352" s="677" t="s">
        <v>7</v>
      </c>
      <c r="D4352" s="677" t="s">
        <v>1881</v>
      </c>
      <c r="E4352" s="918" t="s">
        <v>13491</v>
      </c>
      <c r="F4352" s="918"/>
      <c r="G4352" s="676" t="s">
        <v>19</v>
      </c>
      <c r="H4352" s="675">
        <v>1</v>
      </c>
      <c r="I4352" s="674">
        <v>3.59</v>
      </c>
      <c r="J4352" s="674">
        <v>3.59</v>
      </c>
    </row>
    <row r="4353" spans="1:10" ht="60" customHeight="1">
      <c r="A4353" s="677" t="s">
        <v>13472</v>
      </c>
      <c r="B4353" s="678" t="s">
        <v>14044</v>
      </c>
      <c r="C4353" s="677" t="s">
        <v>7</v>
      </c>
      <c r="D4353" s="677" t="s">
        <v>1882</v>
      </c>
      <c r="E4353" s="918" t="s">
        <v>13491</v>
      </c>
      <c r="F4353" s="918"/>
      <c r="G4353" s="676" t="s">
        <v>19</v>
      </c>
      <c r="H4353" s="675">
        <v>1</v>
      </c>
      <c r="I4353" s="674">
        <v>1.4</v>
      </c>
      <c r="J4353" s="674">
        <v>1.4</v>
      </c>
    </row>
    <row r="4354" spans="1:10" ht="24" customHeight="1">
      <c r="A4354" s="677" t="s">
        <v>13472</v>
      </c>
      <c r="B4354" s="678" t="s">
        <v>13720</v>
      </c>
      <c r="C4354" s="677" t="s">
        <v>7</v>
      </c>
      <c r="D4354" s="677" t="s">
        <v>146</v>
      </c>
      <c r="E4354" s="918" t="s">
        <v>13470</v>
      </c>
      <c r="F4354" s="918"/>
      <c r="G4354" s="676" t="s">
        <v>19</v>
      </c>
      <c r="H4354" s="675">
        <v>1</v>
      </c>
      <c r="I4354" s="674">
        <v>13.54</v>
      </c>
      <c r="J4354" s="674">
        <v>13.54</v>
      </c>
    </row>
    <row r="4355" spans="1:10" ht="25.5">
      <c r="A4355" s="668"/>
      <c r="B4355" s="668"/>
      <c r="C4355" s="668"/>
      <c r="D4355" s="668"/>
      <c r="E4355" s="668" t="s">
        <v>13463</v>
      </c>
      <c r="F4355" s="667">
        <v>5.7698577000000002</v>
      </c>
      <c r="G4355" s="668" t="s">
        <v>13462</v>
      </c>
      <c r="H4355" s="667">
        <v>4.8499999999999996</v>
      </c>
      <c r="I4355" s="668" t="s">
        <v>13461</v>
      </c>
      <c r="J4355" s="667">
        <v>10.62</v>
      </c>
    </row>
    <row r="4356" spans="1:10" ht="15" thickBot="1">
      <c r="A4356" s="668"/>
      <c r="B4356" s="668"/>
      <c r="C4356" s="668"/>
      <c r="D4356" s="668"/>
      <c r="E4356" s="668" t="s">
        <v>13460</v>
      </c>
      <c r="F4356" s="667">
        <v>53.98</v>
      </c>
      <c r="G4356" s="668"/>
      <c r="H4356" s="925" t="s">
        <v>13459</v>
      </c>
      <c r="I4356" s="925"/>
      <c r="J4356" s="667">
        <v>245.16</v>
      </c>
    </row>
    <row r="4357" spans="1:10" ht="0.95" customHeight="1" thickTop="1">
      <c r="A4357" s="666"/>
      <c r="B4357" s="666"/>
      <c r="C4357" s="666"/>
      <c r="D4357" s="666"/>
      <c r="E4357" s="666"/>
      <c r="F4357" s="666"/>
      <c r="G4357" s="666"/>
      <c r="H4357" s="666"/>
      <c r="I4357" s="666"/>
      <c r="J4357" s="666"/>
    </row>
    <row r="4358" spans="1:10" ht="18" customHeight="1">
      <c r="A4358" s="686"/>
      <c r="B4358" s="684" t="s">
        <v>13484</v>
      </c>
      <c r="C4358" s="686" t="s">
        <v>13483</v>
      </c>
      <c r="D4358" s="686" t="s">
        <v>13482</v>
      </c>
      <c r="E4358" s="924" t="s">
        <v>13481</v>
      </c>
      <c r="F4358" s="924"/>
      <c r="G4358" s="685" t="s">
        <v>13480</v>
      </c>
      <c r="H4358" s="684" t="s">
        <v>13479</v>
      </c>
      <c r="I4358" s="684" t="s">
        <v>13478</v>
      </c>
      <c r="J4358" s="684" t="s">
        <v>13477</v>
      </c>
    </row>
    <row r="4359" spans="1:10" ht="60" customHeight="1">
      <c r="A4359" s="682" t="s">
        <v>13476</v>
      </c>
      <c r="B4359" s="683" t="s">
        <v>14045</v>
      </c>
      <c r="C4359" s="682" t="s">
        <v>7</v>
      </c>
      <c r="D4359" s="682" t="s">
        <v>1880</v>
      </c>
      <c r="E4359" s="917" t="s">
        <v>13491</v>
      </c>
      <c r="F4359" s="917"/>
      <c r="G4359" s="681" t="s">
        <v>19</v>
      </c>
      <c r="H4359" s="680">
        <v>1</v>
      </c>
      <c r="I4359" s="679">
        <v>19.41</v>
      </c>
      <c r="J4359" s="679">
        <v>19.41</v>
      </c>
    </row>
    <row r="4360" spans="1:10" ht="24" customHeight="1">
      <c r="A4360" s="672" t="s">
        <v>13467</v>
      </c>
      <c r="B4360" s="673" t="s">
        <v>14041</v>
      </c>
      <c r="C4360" s="672" t="s">
        <v>7</v>
      </c>
      <c r="D4360" s="672" t="s">
        <v>14040</v>
      </c>
      <c r="E4360" s="919" t="s">
        <v>13464</v>
      </c>
      <c r="F4360" s="919"/>
      <c r="G4360" s="671" t="s">
        <v>34</v>
      </c>
      <c r="H4360" s="670">
        <v>4.0000000000000003E-5</v>
      </c>
      <c r="I4360" s="669">
        <v>73223.149999999994</v>
      </c>
      <c r="J4360" s="669">
        <v>2.92</v>
      </c>
    </row>
    <row r="4361" spans="1:10" ht="48" customHeight="1">
      <c r="A4361" s="672" t="s">
        <v>13467</v>
      </c>
      <c r="B4361" s="673" t="s">
        <v>14023</v>
      </c>
      <c r="C4361" s="672" t="s">
        <v>7</v>
      </c>
      <c r="D4361" s="672" t="s">
        <v>14022</v>
      </c>
      <c r="E4361" s="919" t="s">
        <v>13493</v>
      </c>
      <c r="F4361" s="919"/>
      <c r="G4361" s="671" t="s">
        <v>34</v>
      </c>
      <c r="H4361" s="670">
        <v>4.0000000000000003E-5</v>
      </c>
      <c r="I4361" s="669">
        <v>412260.6</v>
      </c>
      <c r="J4361" s="669">
        <v>16.489999999999998</v>
      </c>
    </row>
    <row r="4362" spans="1:10" ht="25.5">
      <c r="A4362" s="668"/>
      <c r="B4362" s="668"/>
      <c r="C4362" s="668"/>
      <c r="D4362" s="668"/>
      <c r="E4362" s="668" t="s">
        <v>13463</v>
      </c>
      <c r="F4362" s="667">
        <v>0</v>
      </c>
      <c r="G4362" s="668" t="s">
        <v>13462</v>
      </c>
      <c r="H4362" s="667">
        <v>0</v>
      </c>
      <c r="I4362" s="668" t="s">
        <v>13461</v>
      </c>
      <c r="J4362" s="667">
        <v>0</v>
      </c>
    </row>
    <row r="4363" spans="1:10" ht="15" thickBot="1">
      <c r="A4363" s="668"/>
      <c r="B4363" s="668"/>
      <c r="C4363" s="668"/>
      <c r="D4363" s="668"/>
      <c r="E4363" s="668" t="s">
        <v>13460</v>
      </c>
      <c r="F4363" s="667">
        <v>5.48</v>
      </c>
      <c r="G4363" s="668"/>
      <c r="H4363" s="925" t="s">
        <v>13459</v>
      </c>
      <c r="I4363" s="925"/>
      <c r="J4363" s="667">
        <v>24.89</v>
      </c>
    </row>
    <row r="4364" spans="1:10" ht="0.95" customHeight="1" thickTop="1">
      <c r="A4364" s="666"/>
      <c r="B4364" s="666"/>
      <c r="C4364" s="666"/>
      <c r="D4364" s="666"/>
      <c r="E4364" s="666"/>
      <c r="F4364" s="666"/>
      <c r="G4364" s="666"/>
      <c r="H4364" s="666"/>
      <c r="I4364" s="666"/>
      <c r="J4364" s="666"/>
    </row>
    <row r="4365" spans="1:10" ht="18" customHeight="1">
      <c r="A4365" s="686"/>
      <c r="B4365" s="684" t="s">
        <v>13484</v>
      </c>
      <c r="C4365" s="686" t="s">
        <v>13483</v>
      </c>
      <c r="D4365" s="686" t="s">
        <v>13482</v>
      </c>
      <c r="E4365" s="924" t="s">
        <v>13481</v>
      </c>
      <c r="F4365" s="924"/>
      <c r="G4365" s="685" t="s">
        <v>13480</v>
      </c>
      <c r="H4365" s="684" t="s">
        <v>13479</v>
      </c>
      <c r="I4365" s="684" t="s">
        <v>13478</v>
      </c>
      <c r="J4365" s="684" t="s">
        <v>13477</v>
      </c>
    </row>
    <row r="4366" spans="1:10" ht="60" customHeight="1">
      <c r="A4366" s="682" t="s">
        <v>13476</v>
      </c>
      <c r="B4366" s="683" t="s">
        <v>14044</v>
      </c>
      <c r="C4366" s="682" t="s">
        <v>7</v>
      </c>
      <c r="D4366" s="682" t="s">
        <v>1882</v>
      </c>
      <c r="E4366" s="917" t="s">
        <v>13491</v>
      </c>
      <c r="F4366" s="917"/>
      <c r="G4366" s="681" t="s">
        <v>19</v>
      </c>
      <c r="H4366" s="680">
        <v>1</v>
      </c>
      <c r="I4366" s="679">
        <v>1.4</v>
      </c>
      <c r="J4366" s="679">
        <v>1.4</v>
      </c>
    </row>
    <row r="4367" spans="1:10" ht="24" customHeight="1">
      <c r="A4367" s="672" t="s">
        <v>13467</v>
      </c>
      <c r="B4367" s="673" t="s">
        <v>14041</v>
      </c>
      <c r="C4367" s="672" t="s">
        <v>7</v>
      </c>
      <c r="D4367" s="672" t="s">
        <v>14040</v>
      </c>
      <c r="E4367" s="919" t="s">
        <v>13464</v>
      </c>
      <c r="F4367" s="919"/>
      <c r="G4367" s="671" t="s">
        <v>34</v>
      </c>
      <c r="H4367" s="670">
        <v>2.9000000000000002E-6</v>
      </c>
      <c r="I4367" s="669">
        <v>73223.149999999994</v>
      </c>
      <c r="J4367" s="669">
        <v>0.21</v>
      </c>
    </row>
    <row r="4368" spans="1:10" ht="48" customHeight="1">
      <c r="A4368" s="672" t="s">
        <v>13467</v>
      </c>
      <c r="B4368" s="673" t="s">
        <v>14023</v>
      </c>
      <c r="C4368" s="672" t="s">
        <v>7</v>
      </c>
      <c r="D4368" s="672" t="s">
        <v>14022</v>
      </c>
      <c r="E4368" s="919" t="s">
        <v>13493</v>
      </c>
      <c r="F4368" s="919"/>
      <c r="G4368" s="671" t="s">
        <v>34</v>
      </c>
      <c r="H4368" s="670">
        <v>2.9000000000000002E-6</v>
      </c>
      <c r="I4368" s="669">
        <v>412260.6</v>
      </c>
      <c r="J4368" s="669">
        <v>1.19</v>
      </c>
    </row>
    <row r="4369" spans="1:10" ht="25.5">
      <c r="A4369" s="668"/>
      <c r="B4369" s="668"/>
      <c r="C4369" s="668"/>
      <c r="D4369" s="668"/>
      <c r="E4369" s="668" t="s">
        <v>13463</v>
      </c>
      <c r="F4369" s="667">
        <v>0</v>
      </c>
      <c r="G4369" s="668" t="s">
        <v>13462</v>
      </c>
      <c r="H4369" s="667">
        <v>0</v>
      </c>
      <c r="I4369" s="668" t="s">
        <v>13461</v>
      </c>
      <c r="J4369" s="667">
        <v>0</v>
      </c>
    </row>
    <row r="4370" spans="1:10" ht="15" thickBot="1">
      <c r="A4370" s="668"/>
      <c r="B4370" s="668"/>
      <c r="C4370" s="668"/>
      <c r="D4370" s="668"/>
      <c r="E4370" s="668" t="s">
        <v>13460</v>
      </c>
      <c r="F4370" s="667">
        <v>0.39</v>
      </c>
      <c r="G4370" s="668"/>
      <c r="H4370" s="925" t="s">
        <v>13459</v>
      </c>
      <c r="I4370" s="925"/>
      <c r="J4370" s="667">
        <v>1.79</v>
      </c>
    </row>
    <row r="4371" spans="1:10" ht="0.95" customHeight="1" thickTop="1">
      <c r="A4371" s="666"/>
      <c r="B4371" s="666"/>
      <c r="C4371" s="666"/>
      <c r="D4371" s="666"/>
      <c r="E4371" s="666"/>
      <c r="F4371" s="666"/>
      <c r="G4371" s="666"/>
      <c r="H4371" s="666"/>
      <c r="I4371" s="666"/>
      <c r="J4371" s="666"/>
    </row>
    <row r="4372" spans="1:10" ht="18" customHeight="1">
      <c r="A4372" s="686"/>
      <c r="B4372" s="684" t="s">
        <v>13484</v>
      </c>
      <c r="C4372" s="686" t="s">
        <v>13483</v>
      </c>
      <c r="D4372" s="686" t="s">
        <v>13482</v>
      </c>
      <c r="E4372" s="924" t="s">
        <v>13481</v>
      </c>
      <c r="F4372" s="924"/>
      <c r="G4372" s="685" t="s">
        <v>13480</v>
      </c>
      <c r="H4372" s="684" t="s">
        <v>13479</v>
      </c>
      <c r="I4372" s="684" t="s">
        <v>13478</v>
      </c>
      <c r="J4372" s="684" t="s">
        <v>13477</v>
      </c>
    </row>
    <row r="4373" spans="1:10" ht="60" customHeight="1">
      <c r="A4373" s="682" t="s">
        <v>13476</v>
      </c>
      <c r="B4373" s="683" t="s">
        <v>14043</v>
      </c>
      <c r="C4373" s="682" t="s">
        <v>7</v>
      </c>
      <c r="D4373" s="682" t="s">
        <v>1881</v>
      </c>
      <c r="E4373" s="917" t="s">
        <v>13491</v>
      </c>
      <c r="F4373" s="917"/>
      <c r="G4373" s="681" t="s">
        <v>19</v>
      </c>
      <c r="H4373" s="680">
        <v>1</v>
      </c>
      <c r="I4373" s="679">
        <v>3.59</v>
      </c>
      <c r="J4373" s="679">
        <v>3.59</v>
      </c>
    </row>
    <row r="4374" spans="1:10" ht="24" customHeight="1">
      <c r="A4374" s="672" t="s">
        <v>13467</v>
      </c>
      <c r="B4374" s="673" t="s">
        <v>14041</v>
      </c>
      <c r="C4374" s="672" t="s">
        <v>7</v>
      </c>
      <c r="D4374" s="672" t="s">
        <v>14040</v>
      </c>
      <c r="E4374" s="919" t="s">
        <v>13464</v>
      </c>
      <c r="F4374" s="919"/>
      <c r="G4374" s="671" t="s">
        <v>34</v>
      </c>
      <c r="H4374" s="670">
        <v>7.4000000000000003E-6</v>
      </c>
      <c r="I4374" s="669">
        <v>73223.149999999994</v>
      </c>
      <c r="J4374" s="669">
        <v>0.54</v>
      </c>
    </row>
    <row r="4375" spans="1:10" ht="48" customHeight="1">
      <c r="A4375" s="672" t="s">
        <v>13467</v>
      </c>
      <c r="B4375" s="673" t="s">
        <v>14023</v>
      </c>
      <c r="C4375" s="672" t="s">
        <v>7</v>
      </c>
      <c r="D4375" s="672" t="s">
        <v>14022</v>
      </c>
      <c r="E4375" s="919" t="s">
        <v>13493</v>
      </c>
      <c r="F4375" s="919"/>
      <c r="G4375" s="671" t="s">
        <v>34</v>
      </c>
      <c r="H4375" s="670">
        <v>7.4000000000000003E-6</v>
      </c>
      <c r="I4375" s="669">
        <v>412260.6</v>
      </c>
      <c r="J4375" s="669">
        <v>3.05</v>
      </c>
    </row>
    <row r="4376" spans="1:10" ht="25.5">
      <c r="A4376" s="668"/>
      <c r="B4376" s="668"/>
      <c r="C4376" s="668"/>
      <c r="D4376" s="668"/>
      <c r="E4376" s="668" t="s">
        <v>13463</v>
      </c>
      <c r="F4376" s="667">
        <v>0</v>
      </c>
      <c r="G4376" s="668" t="s">
        <v>13462</v>
      </c>
      <c r="H4376" s="667">
        <v>0</v>
      </c>
      <c r="I4376" s="668" t="s">
        <v>13461</v>
      </c>
      <c r="J4376" s="667">
        <v>0</v>
      </c>
    </row>
    <row r="4377" spans="1:10" ht="15" thickBot="1">
      <c r="A4377" s="668"/>
      <c r="B4377" s="668"/>
      <c r="C4377" s="668"/>
      <c r="D4377" s="668"/>
      <c r="E4377" s="668" t="s">
        <v>13460</v>
      </c>
      <c r="F4377" s="667">
        <v>1.01</v>
      </c>
      <c r="G4377" s="668"/>
      <c r="H4377" s="925" t="s">
        <v>13459</v>
      </c>
      <c r="I4377" s="925"/>
      <c r="J4377" s="667">
        <v>4.5999999999999996</v>
      </c>
    </row>
    <row r="4378" spans="1:10" ht="0.95" customHeight="1" thickTop="1">
      <c r="A4378" s="666"/>
      <c r="B4378" s="666"/>
      <c r="C4378" s="666"/>
      <c r="D4378" s="666"/>
      <c r="E4378" s="666"/>
      <c r="F4378" s="666"/>
      <c r="G4378" s="666"/>
      <c r="H4378" s="666"/>
      <c r="I4378" s="666"/>
      <c r="J4378" s="666"/>
    </row>
    <row r="4379" spans="1:10" ht="18" customHeight="1">
      <c r="A4379" s="686"/>
      <c r="B4379" s="684" t="s">
        <v>13484</v>
      </c>
      <c r="C4379" s="686" t="s">
        <v>13483</v>
      </c>
      <c r="D4379" s="686" t="s">
        <v>13482</v>
      </c>
      <c r="E4379" s="924" t="s">
        <v>13481</v>
      </c>
      <c r="F4379" s="924"/>
      <c r="G4379" s="685" t="s">
        <v>13480</v>
      </c>
      <c r="H4379" s="684" t="s">
        <v>13479</v>
      </c>
      <c r="I4379" s="684" t="s">
        <v>13478</v>
      </c>
      <c r="J4379" s="684" t="s">
        <v>13477</v>
      </c>
    </row>
    <row r="4380" spans="1:10" ht="60" customHeight="1">
      <c r="A4380" s="682" t="s">
        <v>13476</v>
      </c>
      <c r="B4380" s="683" t="s">
        <v>14042</v>
      </c>
      <c r="C4380" s="682" t="s">
        <v>7</v>
      </c>
      <c r="D4380" s="682" t="s">
        <v>1883</v>
      </c>
      <c r="E4380" s="917" t="s">
        <v>13491</v>
      </c>
      <c r="F4380" s="917"/>
      <c r="G4380" s="681" t="s">
        <v>19</v>
      </c>
      <c r="H4380" s="680">
        <v>1</v>
      </c>
      <c r="I4380" s="679">
        <v>36.4</v>
      </c>
      <c r="J4380" s="679">
        <v>36.4</v>
      </c>
    </row>
    <row r="4381" spans="1:10" ht="24" customHeight="1">
      <c r="A4381" s="672" t="s">
        <v>13467</v>
      </c>
      <c r="B4381" s="673" t="s">
        <v>14041</v>
      </c>
      <c r="C4381" s="672" t="s">
        <v>7</v>
      </c>
      <c r="D4381" s="672" t="s">
        <v>14040</v>
      </c>
      <c r="E4381" s="919" t="s">
        <v>13464</v>
      </c>
      <c r="F4381" s="919"/>
      <c r="G4381" s="671" t="s">
        <v>34</v>
      </c>
      <c r="H4381" s="670">
        <v>7.4999999999999993E-5</v>
      </c>
      <c r="I4381" s="669">
        <v>73223.149999999994</v>
      </c>
      <c r="J4381" s="669">
        <v>5.49</v>
      </c>
    </row>
    <row r="4382" spans="1:10" ht="48" customHeight="1">
      <c r="A4382" s="672" t="s">
        <v>13467</v>
      </c>
      <c r="B4382" s="673" t="s">
        <v>14023</v>
      </c>
      <c r="C4382" s="672" t="s">
        <v>7</v>
      </c>
      <c r="D4382" s="672" t="s">
        <v>14022</v>
      </c>
      <c r="E4382" s="919" t="s">
        <v>13493</v>
      </c>
      <c r="F4382" s="919"/>
      <c r="G4382" s="671" t="s">
        <v>34</v>
      </c>
      <c r="H4382" s="670">
        <v>7.4999999999999993E-5</v>
      </c>
      <c r="I4382" s="669">
        <v>412260.6</v>
      </c>
      <c r="J4382" s="669">
        <v>30.91</v>
      </c>
    </row>
    <row r="4383" spans="1:10" ht="25.5">
      <c r="A4383" s="668"/>
      <c r="B4383" s="668"/>
      <c r="C4383" s="668"/>
      <c r="D4383" s="668"/>
      <c r="E4383" s="668" t="s">
        <v>13463</v>
      </c>
      <c r="F4383" s="667">
        <v>0</v>
      </c>
      <c r="G4383" s="668" t="s">
        <v>13462</v>
      </c>
      <c r="H4383" s="667">
        <v>0</v>
      </c>
      <c r="I4383" s="668" t="s">
        <v>13461</v>
      </c>
      <c r="J4383" s="667">
        <v>0</v>
      </c>
    </row>
    <row r="4384" spans="1:10" ht="15" thickBot="1">
      <c r="A4384" s="668"/>
      <c r="B4384" s="668"/>
      <c r="C4384" s="668"/>
      <c r="D4384" s="668"/>
      <c r="E4384" s="668" t="s">
        <v>13460</v>
      </c>
      <c r="F4384" s="667">
        <v>10.27</v>
      </c>
      <c r="G4384" s="668"/>
      <c r="H4384" s="925" t="s">
        <v>13459</v>
      </c>
      <c r="I4384" s="925"/>
      <c r="J4384" s="667">
        <v>46.67</v>
      </c>
    </row>
    <row r="4385" spans="1:10" ht="0.95" customHeight="1" thickTop="1">
      <c r="A4385" s="666"/>
      <c r="B4385" s="666"/>
      <c r="C4385" s="666"/>
      <c r="D4385" s="666"/>
      <c r="E4385" s="666"/>
      <c r="F4385" s="666"/>
      <c r="G4385" s="666"/>
      <c r="H4385" s="666"/>
      <c r="I4385" s="666"/>
      <c r="J4385" s="666"/>
    </row>
    <row r="4386" spans="1:10" ht="18" customHeight="1">
      <c r="A4386" s="686"/>
      <c r="B4386" s="684" t="s">
        <v>13484</v>
      </c>
      <c r="C4386" s="686" t="s">
        <v>13483</v>
      </c>
      <c r="D4386" s="686" t="s">
        <v>13482</v>
      </c>
      <c r="E4386" s="924" t="s">
        <v>13481</v>
      </c>
      <c r="F4386" s="924"/>
      <c r="G4386" s="685" t="s">
        <v>13480</v>
      </c>
      <c r="H4386" s="684" t="s">
        <v>13479</v>
      </c>
      <c r="I4386" s="684" t="s">
        <v>13478</v>
      </c>
      <c r="J4386" s="684" t="s">
        <v>13477</v>
      </c>
    </row>
    <row r="4387" spans="1:10" ht="60" customHeight="1">
      <c r="A4387" s="682" t="s">
        <v>13476</v>
      </c>
      <c r="B4387" s="683" t="s">
        <v>14039</v>
      </c>
      <c r="C4387" s="682" t="s">
        <v>7</v>
      </c>
      <c r="D4387" s="682" t="s">
        <v>1884</v>
      </c>
      <c r="E4387" s="917" t="s">
        <v>13491</v>
      </c>
      <c r="F4387" s="917"/>
      <c r="G4387" s="681" t="s">
        <v>19</v>
      </c>
      <c r="H4387" s="680">
        <v>1</v>
      </c>
      <c r="I4387" s="679">
        <v>116.84</v>
      </c>
      <c r="J4387" s="679">
        <v>116.84</v>
      </c>
    </row>
    <row r="4388" spans="1:10" ht="24" customHeight="1">
      <c r="A4388" s="672" t="s">
        <v>13467</v>
      </c>
      <c r="B4388" s="673" t="s">
        <v>13580</v>
      </c>
      <c r="C4388" s="672" t="s">
        <v>7</v>
      </c>
      <c r="D4388" s="672" t="s">
        <v>13579</v>
      </c>
      <c r="E4388" s="919" t="s">
        <v>13464</v>
      </c>
      <c r="F4388" s="919"/>
      <c r="G4388" s="671" t="s">
        <v>50</v>
      </c>
      <c r="H4388" s="670">
        <v>23.7</v>
      </c>
      <c r="I4388" s="669">
        <v>4.93</v>
      </c>
      <c r="J4388" s="669">
        <v>116.84</v>
      </c>
    </row>
    <row r="4389" spans="1:10" ht="25.5">
      <c r="A4389" s="668"/>
      <c r="B4389" s="668"/>
      <c r="C4389" s="668"/>
      <c r="D4389" s="668"/>
      <c r="E4389" s="668" t="s">
        <v>13463</v>
      </c>
      <c r="F4389" s="667">
        <v>0</v>
      </c>
      <c r="G4389" s="668" t="s">
        <v>13462</v>
      </c>
      <c r="H4389" s="667">
        <v>0</v>
      </c>
      <c r="I4389" s="668" t="s">
        <v>13461</v>
      </c>
      <c r="J4389" s="667">
        <v>0</v>
      </c>
    </row>
    <row r="4390" spans="1:10" ht="15" thickBot="1">
      <c r="A4390" s="668"/>
      <c r="B4390" s="668"/>
      <c r="C4390" s="668"/>
      <c r="D4390" s="668"/>
      <c r="E4390" s="668" t="s">
        <v>13460</v>
      </c>
      <c r="F4390" s="667">
        <v>32.99</v>
      </c>
      <c r="G4390" s="668"/>
      <c r="H4390" s="925" t="s">
        <v>13459</v>
      </c>
      <c r="I4390" s="925"/>
      <c r="J4390" s="667">
        <v>149.83000000000001</v>
      </c>
    </row>
    <row r="4391" spans="1:10" ht="0.95" customHeight="1" thickTop="1">
      <c r="A4391" s="666"/>
      <c r="B4391" s="666"/>
      <c r="C4391" s="666"/>
      <c r="D4391" s="666"/>
      <c r="E4391" s="666"/>
      <c r="F4391" s="666"/>
      <c r="G4391" s="666"/>
      <c r="H4391" s="666"/>
      <c r="I4391" s="666"/>
      <c r="J4391" s="666"/>
    </row>
    <row r="4392" spans="1:10" ht="18" customHeight="1">
      <c r="A4392" s="686"/>
      <c r="B4392" s="684" t="s">
        <v>13484</v>
      </c>
      <c r="C4392" s="686" t="s">
        <v>13483</v>
      </c>
      <c r="D4392" s="686" t="s">
        <v>13482</v>
      </c>
      <c r="E4392" s="924" t="s">
        <v>13481</v>
      </c>
      <c r="F4392" s="924"/>
      <c r="G4392" s="685" t="s">
        <v>13480</v>
      </c>
      <c r="H4392" s="684" t="s">
        <v>13479</v>
      </c>
      <c r="I4392" s="684" t="s">
        <v>13478</v>
      </c>
      <c r="J4392" s="684" t="s">
        <v>13477</v>
      </c>
    </row>
    <row r="4393" spans="1:10" ht="48" customHeight="1">
      <c r="A4393" s="682" t="s">
        <v>13476</v>
      </c>
      <c r="B4393" s="683" t="s">
        <v>14038</v>
      </c>
      <c r="C4393" s="682" t="s">
        <v>7</v>
      </c>
      <c r="D4393" s="682" t="s">
        <v>824</v>
      </c>
      <c r="E4393" s="917" t="s">
        <v>13491</v>
      </c>
      <c r="F4393" s="917"/>
      <c r="G4393" s="681" t="s">
        <v>53</v>
      </c>
      <c r="H4393" s="680">
        <v>1</v>
      </c>
      <c r="I4393" s="679">
        <v>34.06</v>
      </c>
      <c r="J4393" s="679">
        <v>34.06</v>
      </c>
    </row>
    <row r="4394" spans="1:10" ht="48" customHeight="1">
      <c r="A4394" s="677" t="s">
        <v>13472</v>
      </c>
      <c r="B4394" s="678" t="s">
        <v>14036</v>
      </c>
      <c r="C4394" s="677" t="s">
        <v>7</v>
      </c>
      <c r="D4394" s="677" t="s">
        <v>793</v>
      </c>
      <c r="E4394" s="918" t="s">
        <v>13491</v>
      </c>
      <c r="F4394" s="918"/>
      <c r="G4394" s="676" t="s">
        <v>19</v>
      </c>
      <c r="H4394" s="675">
        <v>1</v>
      </c>
      <c r="I4394" s="674">
        <v>16.34</v>
      </c>
      <c r="J4394" s="674">
        <v>16.34</v>
      </c>
    </row>
    <row r="4395" spans="1:10" ht="48" customHeight="1">
      <c r="A4395" s="677" t="s">
        <v>13472</v>
      </c>
      <c r="B4395" s="678" t="s">
        <v>14034</v>
      </c>
      <c r="C4395" s="677" t="s">
        <v>7</v>
      </c>
      <c r="D4395" s="677" t="s">
        <v>794</v>
      </c>
      <c r="E4395" s="918" t="s">
        <v>13491</v>
      </c>
      <c r="F4395" s="918"/>
      <c r="G4395" s="676" t="s">
        <v>19</v>
      </c>
      <c r="H4395" s="675">
        <v>1</v>
      </c>
      <c r="I4395" s="674">
        <v>3.01</v>
      </c>
      <c r="J4395" s="674">
        <v>3.01</v>
      </c>
    </row>
    <row r="4396" spans="1:10" ht="48" customHeight="1">
      <c r="A4396" s="677" t="s">
        <v>13472</v>
      </c>
      <c r="B4396" s="678" t="s">
        <v>14035</v>
      </c>
      <c r="C4396" s="677" t="s">
        <v>7</v>
      </c>
      <c r="D4396" s="677" t="s">
        <v>1894</v>
      </c>
      <c r="E4396" s="918" t="s">
        <v>13491</v>
      </c>
      <c r="F4396" s="918"/>
      <c r="G4396" s="676" t="s">
        <v>19</v>
      </c>
      <c r="H4396" s="675">
        <v>1</v>
      </c>
      <c r="I4396" s="674">
        <v>1.17</v>
      </c>
      <c r="J4396" s="674">
        <v>1.17</v>
      </c>
    </row>
    <row r="4397" spans="1:10" ht="24" customHeight="1">
      <c r="A4397" s="677" t="s">
        <v>13472</v>
      </c>
      <c r="B4397" s="678" t="s">
        <v>13720</v>
      </c>
      <c r="C4397" s="677" t="s">
        <v>7</v>
      </c>
      <c r="D4397" s="677" t="s">
        <v>146</v>
      </c>
      <c r="E4397" s="918" t="s">
        <v>13470</v>
      </c>
      <c r="F4397" s="918"/>
      <c r="G4397" s="676" t="s">
        <v>19</v>
      </c>
      <c r="H4397" s="675">
        <v>1</v>
      </c>
      <c r="I4397" s="674">
        <v>13.54</v>
      </c>
      <c r="J4397" s="674">
        <v>13.54</v>
      </c>
    </row>
    <row r="4398" spans="1:10" ht="25.5">
      <c r="A4398" s="668"/>
      <c r="B4398" s="668"/>
      <c r="C4398" s="668"/>
      <c r="D4398" s="668"/>
      <c r="E4398" s="668" t="s">
        <v>13463</v>
      </c>
      <c r="F4398" s="667">
        <v>5.7698577000000002</v>
      </c>
      <c r="G4398" s="668" t="s">
        <v>13462</v>
      </c>
      <c r="H4398" s="667">
        <v>4.8499999999999996</v>
      </c>
      <c r="I4398" s="668" t="s">
        <v>13461</v>
      </c>
      <c r="J4398" s="667">
        <v>10.62</v>
      </c>
    </row>
    <row r="4399" spans="1:10" ht="15" thickBot="1">
      <c r="A4399" s="668"/>
      <c r="B4399" s="668"/>
      <c r="C4399" s="668"/>
      <c r="D4399" s="668"/>
      <c r="E4399" s="668" t="s">
        <v>13460</v>
      </c>
      <c r="F4399" s="667">
        <v>9.61</v>
      </c>
      <c r="G4399" s="668"/>
      <c r="H4399" s="925" t="s">
        <v>13459</v>
      </c>
      <c r="I4399" s="925"/>
      <c r="J4399" s="667">
        <v>43.67</v>
      </c>
    </row>
    <row r="4400" spans="1:10" ht="0.95" customHeight="1" thickTop="1">
      <c r="A4400" s="666"/>
      <c r="B4400" s="666"/>
      <c r="C4400" s="666"/>
      <c r="D4400" s="666"/>
      <c r="E4400" s="666"/>
      <c r="F4400" s="666"/>
      <c r="G4400" s="666"/>
      <c r="H4400" s="666"/>
      <c r="I4400" s="666"/>
      <c r="J4400" s="666"/>
    </row>
    <row r="4401" spans="1:10" ht="18" customHeight="1">
      <c r="A4401" s="686"/>
      <c r="B4401" s="684" t="s">
        <v>13484</v>
      </c>
      <c r="C4401" s="686" t="s">
        <v>13483</v>
      </c>
      <c r="D4401" s="686" t="s">
        <v>13482</v>
      </c>
      <c r="E4401" s="924" t="s">
        <v>13481</v>
      </c>
      <c r="F4401" s="924"/>
      <c r="G4401" s="685" t="s">
        <v>13480</v>
      </c>
      <c r="H4401" s="684" t="s">
        <v>13479</v>
      </c>
      <c r="I4401" s="684" t="s">
        <v>13478</v>
      </c>
      <c r="J4401" s="684" t="s">
        <v>13477</v>
      </c>
    </row>
    <row r="4402" spans="1:10" ht="48" customHeight="1">
      <c r="A4402" s="682" t="s">
        <v>13476</v>
      </c>
      <c r="B4402" s="683" t="s">
        <v>14037</v>
      </c>
      <c r="C4402" s="682" t="s">
        <v>7</v>
      </c>
      <c r="D4402" s="682" t="s">
        <v>823</v>
      </c>
      <c r="E4402" s="917" t="s">
        <v>13491</v>
      </c>
      <c r="F4402" s="917"/>
      <c r="G4402" s="681" t="s">
        <v>38</v>
      </c>
      <c r="H4402" s="680">
        <v>1</v>
      </c>
      <c r="I4402" s="679">
        <v>131.85</v>
      </c>
      <c r="J4402" s="679">
        <v>131.85</v>
      </c>
    </row>
    <row r="4403" spans="1:10" ht="48" customHeight="1">
      <c r="A4403" s="677" t="s">
        <v>13472</v>
      </c>
      <c r="B4403" s="678" t="s">
        <v>14034</v>
      </c>
      <c r="C4403" s="677" t="s">
        <v>7</v>
      </c>
      <c r="D4403" s="677" t="s">
        <v>794</v>
      </c>
      <c r="E4403" s="918" t="s">
        <v>13491</v>
      </c>
      <c r="F4403" s="918"/>
      <c r="G4403" s="676" t="s">
        <v>19</v>
      </c>
      <c r="H4403" s="675">
        <v>1</v>
      </c>
      <c r="I4403" s="674">
        <v>3.01</v>
      </c>
      <c r="J4403" s="674">
        <v>3.01</v>
      </c>
    </row>
    <row r="4404" spans="1:10" ht="48" customHeight="1">
      <c r="A4404" s="677" t="s">
        <v>13472</v>
      </c>
      <c r="B4404" s="678" t="s">
        <v>14036</v>
      </c>
      <c r="C4404" s="677" t="s">
        <v>7</v>
      </c>
      <c r="D4404" s="677" t="s">
        <v>793</v>
      </c>
      <c r="E4404" s="918" t="s">
        <v>13491</v>
      </c>
      <c r="F4404" s="918"/>
      <c r="G4404" s="676" t="s">
        <v>19</v>
      </c>
      <c r="H4404" s="675">
        <v>1</v>
      </c>
      <c r="I4404" s="674">
        <v>16.34</v>
      </c>
      <c r="J4404" s="674">
        <v>16.34</v>
      </c>
    </row>
    <row r="4405" spans="1:10" ht="48" customHeight="1">
      <c r="A4405" s="677" t="s">
        <v>13472</v>
      </c>
      <c r="B4405" s="678" t="s">
        <v>14033</v>
      </c>
      <c r="C4405" s="677" t="s">
        <v>7</v>
      </c>
      <c r="D4405" s="677" t="s">
        <v>795</v>
      </c>
      <c r="E4405" s="918" t="s">
        <v>13491</v>
      </c>
      <c r="F4405" s="918"/>
      <c r="G4405" s="676" t="s">
        <v>19</v>
      </c>
      <c r="H4405" s="675">
        <v>1</v>
      </c>
      <c r="I4405" s="674">
        <v>30.65</v>
      </c>
      <c r="J4405" s="674">
        <v>30.65</v>
      </c>
    </row>
    <row r="4406" spans="1:10" ht="48" customHeight="1">
      <c r="A4406" s="677" t="s">
        <v>13472</v>
      </c>
      <c r="B4406" s="678" t="s">
        <v>14028</v>
      </c>
      <c r="C4406" s="677" t="s">
        <v>7</v>
      </c>
      <c r="D4406" s="677" t="s">
        <v>796</v>
      </c>
      <c r="E4406" s="918" t="s">
        <v>13491</v>
      </c>
      <c r="F4406" s="918"/>
      <c r="G4406" s="676" t="s">
        <v>19</v>
      </c>
      <c r="H4406" s="675">
        <v>1</v>
      </c>
      <c r="I4406" s="674">
        <v>67.14</v>
      </c>
      <c r="J4406" s="674">
        <v>67.14</v>
      </c>
    </row>
    <row r="4407" spans="1:10" ht="48" customHeight="1">
      <c r="A4407" s="677" t="s">
        <v>13472</v>
      </c>
      <c r="B4407" s="678" t="s">
        <v>14035</v>
      </c>
      <c r="C4407" s="677" t="s">
        <v>7</v>
      </c>
      <c r="D4407" s="677" t="s">
        <v>1894</v>
      </c>
      <c r="E4407" s="918" t="s">
        <v>13491</v>
      </c>
      <c r="F4407" s="918"/>
      <c r="G4407" s="676" t="s">
        <v>19</v>
      </c>
      <c r="H4407" s="675">
        <v>1</v>
      </c>
      <c r="I4407" s="674">
        <v>1.17</v>
      </c>
      <c r="J4407" s="674">
        <v>1.17</v>
      </c>
    </row>
    <row r="4408" spans="1:10" ht="24" customHeight="1">
      <c r="A4408" s="677" t="s">
        <v>13472</v>
      </c>
      <c r="B4408" s="678" t="s">
        <v>13720</v>
      </c>
      <c r="C4408" s="677" t="s">
        <v>7</v>
      </c>
      <c r="D4408" s="677" t="s">
        <v>146</v>
      </c>
      <c r="E4408" s="918" t="s">
        <v>13470</v>
      </c>
      <c r="F4408" s="918"/>
      <c r="G4408" s="676" t="s">
        <v>19</v>
      </c>
      <c r="H4408" s="675">
        <v>1</v>
      </c>
      <c r="I4408" s="674">
        <v>13.54</v>
      </c>
      <c r="J4408" s="674">
        <v>13.54</v>
      </c>
    </row>
    <row r="4409" spans="1:10" ht="25.5">
      <c r="A4409" s="668"/>
      <c r="B4409" s="668"/>
      <c r="C4409" s="668"/>
      <c r="D4409" s="668"/>
      <c r="E4409" s="668" t="s">
        <v>13463</v>
      </c>
      <c r="F4409" s="667">
        <v>5.7698577000000002</v>
      </c>
      <c r="G4409" s="668" t="s">
        <v>13462</v>
      </c>
      <c r="H4409" s="667">
        <v>4.8499999999999996</v>
      </c>
      <c r="I4409" s="668" t="s">
        <v>13461</v>
      </c>
      <c r="J4409" s="667">
        <v>10.62</v>
      </c>
    </row>
    <row r="4410" spans="1:10" ht="15" thickBot="1">
      <c r="A4410" s="668"/>
      <c r="B4410" s="668"/>
      <c r="C4410" s="668"/>
      <c r="D4410" s="668"/>
      <c r="E4410" s="668" t="s">
        <v>13460</v>
      </c>
      <c r="F4410" s="667">
        <v>37.229999999999997</v>
      </c>
      <c r="G4410" s="668"/>
      <c r="H4410" s="925" t="s">
        <v>13459</v>
      </c>
      <c r="I4410" s="925"/>
      <c r="J4410" s="667">
        <v>169.08</v>
      </c>
    </row>
    <row r="4411" spans="1:10" ht="0.95" customHeight="1" thickTop="1">
      <c r="A4411" s="666"/>
      <c r="B4411" s="666"/>
      <c r="C4411" s="666"/>
      <c r="D4411" s="666"/>
      <c r="E4411" s="666"/>
      <c r="F4411" s="666"/>
      <c r="G4411" s="666"/>
      <c r="H4411" s="666"/>
      <c r="I4411" s="666"/>
      <c r="J4411" s="666"/>
    </row>
    <row r="4412" spans="1:10" ht="18" customHeight="1">
      <c r="A4412" s="686"/>
      <c r="B4412" s="684" t="s">
        <v>13484</v>
      </c>
      <c r="C4412" s="686" t="s">
        <v>13483</v>
      </c>
      <c r="D4412" s="686" t="s">
        <v>13482</v>
      </c>
      <c r="E4412" s="924" t="s">
        <v>13481</v>
      </c>
      <c r="F4412" s="924"/>
      <c r="G4412" s="685" t="s">
        <v>13480</v>
      </c>
      <c r="H4412" s="684" t="s">
        <v>13479</v>
      </c>
      <c r="I4412" s="684" t="s">
        <v>13478</v>
      </c>
      <c r="J4412" s="684" t="s">
        <v>13477</v>
      </c>
    </row>
    <row r="4413" spans="1:10" ht="48" customHeight="1">
      <c r="A4413" s="682" t="s">
        <v>13476</v>
      </c>
      <c r="B4413" s="683" t="s">
        <v>14036</v>
      </c>
      <c r="C4413" s="682" t="s">
        <v>7</v>
      </c>
      <c r="D4413" s="682" t="s">
        <v>793</v>
      </c>
      <c r="E4413" s="917" t="s">
        <v>13491</v>
      </c>
      <c r="F4413" s="917"/>
      <c r="G4413" s="681" t="s">
        <v>19</v>
      </c>
      <c r="H4413" s="680">
        <v>1</v>
      </c>
      <c r="I4413" s="679">
        <v>16.34</v>
      </c>
      <c r="J4413" s="679">
        <v>16.34</v>
      </c>
    </row>
    <row r="4414" spans="1:10" ht="24" customHeight="1">
      <c r="A4414" s="672" t="s">
        <v>13467</v>
      </c>
      <c r="B4414" s="673" t="s">
        <v>14032</v>
      </c>
      <c r="C4414" s="672" t="s">
        <v>7</v>
      </c>
      <c r="D4414" s="672" t="s">
        <v>14031</v>
      </c>
      <c r="E4414" s="919" t="s">
        <v>13464</v>
      </c>
      <c r="F4414" s="919"/>
      <c r="G4414" s="671" t="s">
        <v>34</v>
      </c>
      <c r="H4414" s="670">
        <v>4.0000000000000003E-5</v>
      </c>
      <c r="I4414" s="669">
        <v>54902.44</v>
      </c>
      <c r="J4414" s="669">
        <v>2.19</v>
      </c>
    </row>
    <row r="4415" spans="1:10" ht="48" customHeight="1">
      <c r="A4415" s="672" t="s">
        <v>13467</v>
      </c>
      <c r="B4415" s="673" t="s">
        <v>14030</v>
      </c>
      <c r="C4415" s="672" t="s">
        <v>7</v>
      </c>
      <c r="D4415" s="672" t="s">
        <v>14029</v>
      </c>
      <c r="E4415" s="919" t="s">
        <v>13493</v>
      </c>
      <c r="F4415" s="919"/>
      <c r="G4415" s="671" t="s">
        <v>34</v>
      </c>
      <c r="H4415" s="670">
        <v>4.0000000000000003E-5</v>
      </c>
      <c r="I4415" s="669">
        <v>353983.45</v>
      </c>
      <c r="J4415" s="669">
        <v>14.15</v>
      </c>
    </row>
    <row r="4416" spans="1:10" ht="25.5">
      <c r="A4416" s="668"/>
      <c r="B4416" s="668"/>
      <c r="C4416" s="668"/>
      <c r="D4416" s="668"/>
      <c r="E4416" s="668" t="s">
        <v>13463</v>
      </c>
      <c r="F4416" s="667">
        <v>0</v>
      </c>
      <c r="G4416" s="668" t="s">
        <v>13462</v>
      </c>
      <c r="H4416" s="667">
        <v>0</v>
      </c>
      <c r="I4416" s="668" t="s">
        <v>13461</v>
      </c>
      <c r="J4416" s="667">
        <v>0</v>
      </c>
    </row>
    <row r="4417" spans="1:10" ht="15" thickBot="1">
      <c r="A4417" s="668"/>
      <c r="B4417" s="668"/>
      <c r="C4417" s="668"/>
      <c r="D4417" s="668"/>
      <c r="E4417" s="668" t="s">
        <v>13460</v>
      </c>
      <c r="F4417" s="667">
        <v>4.6100000000000003</v>
      </c>
      <c r="G4417" s="668"/>
      <c r="H4417" s="925" t="s">
        <v>13459</v>
      </c>
      <c r="I4417" s="925"/>
      <c r="J4417" s="667">
        <v>20.95</v>
      </c>
    </row>
    <row r="4418" spans="1:10" ht="0.95" customHeight="1" thickTop="1">
      <c r="A4418" s="666"/>
      <c r="B4418" s="666"/>
      <c r="C4418" s="666"/>
      <c r="D4418" s="666"/>
      <c r="E4418" s="666"/>
      <c r="F4418" s="666"/>
      <c r="G4418" s="666"/>
      <c r="H4418" s="666"/>
      <c r="I4418" s="666"/>
      <c r="J4418" s="666"/>
    </row>
    <row r="4419" spans="1:10" ht="18" customHeight="1">
      <c r="A4419" s="686"/>
      <c r="B4419" s="684" t="s">
        <v>13484</v>
      </c>
      <c r="C4419" s="686" t="s">
        <v>13483</v>
      </c>
      <c r="D4419" s="686" t="s">
        <v>13482</v>
      </c>
      <c r="E4419" s="924" t="s">
        <v>13481</v>
      </c>
      <c r="F4419" s="924"/>
      <c r="G4419" s="685" t="s">
        <v>13480</v>
      </c>
      <c r="H4419" s="684" t="s">
        <v>13479</v>
      </c>
      <c r="I4419" s="684" t="s">
        <v>13478</v>
      </c>
      <c r="J4419" s="684" t="s">
        <v>13477</v>
      </c>
    </row>
    <row r="4420" spans="1:10" ht="48" customHeight="1">
      <c r="A4420" s="682" t="s">
        <v>13476</v>
      </c>
      <c r="B4420" s="683" t="s">
        <v>14035</v>
      </c>
      <c r="C4420" s="682" t="s">
        <v>7</v>
      </c>
      <c r="D4420" s="682" t="s">
        <v>1894</v>
      </c>
      <c r="E4420" s="917" t="s">
        <v>13491</v>
      </c>
      <c r="F4420" s="917"/>
      <c r="G4420" s="681" t="s">
        <v>19</v>
      </c>
      <c r="H4420" s="680">
        <v>1</v>
      </c>
      <c r="I4420" s="679">
        <v>1.17</v>
      </c>
      <c r="J4420" s="679">
        <v>1.17</v>
      </c>
    </row>
    <row r="4421" spans="1:10" ht="24" customHeight="1">
      <c r="A4421" s="672" t="s">
        <v>13467</v>
      </c>
      <c r="B4421" s="673" t="s">
        <v>14032</v>
      </c>
      <c r="C4421" s="672" t="s">
        <v>7</v>
      </c>
      <c r="D4421" s="672" t="s">
        <v>14031</v>
      </c>
      <c r="E4421" s="919" t="s">
        <v>13464</v>
      </c>
      <c r="F4421" s="919"/>
      <c r="G4421" s="671" t="s">
        <v>34</v>
      </c>
      <c r="H4421" s="670">
        <v>2.9000000000000002E-6</v>
      </c>
      <c r="I4421" s="669">
        <v>54902.44</v>
      </c>
      <c r="J4421" s="669">
        <v>0.15</v>
      </c>
    </row>
    <row r="4422" spans="1:10" ht="48" customHeight="1">
      <c r="A4422" s="672" t="s">
        <v>13467</v>
      </c>
      <c r="B4422" s="673" t="s">
        <v>14030</v>
      </c>
      <c r="C4422" s="672" t="s">
        <v>7</v>
      </c>
      <c r="D4422" s="672" t="s">
        <v>14029</v>
      </c>
      <c r="E4422" s="919" t="s">
        <v>13493</v>
      </c>
      <c r="F4422" s="919"/>
      <c r="G4422" s="671" t="s">
        <v>34</v>
      </c>
      <c r="H4422" s="670">
        <v>2.9000000000000002E-6</v>
      </c>
      <c r="I4422" s="669">
        <v>353983.45</v>
      </c>
      <c r="J4422" s="669">
        <v>1.02</v>
      </c>
    </row>
    <row r="4423" spans="1:10" ht="25.5">
      <c r="A4423" s="668"/>
      <c r="B4423" s="668"/>
      <c r="C4423" s="668"/>
      <c r="D4423" s="668"/>
      <c r="E4423" s="668" t="s">
        <v>13463</v>
      </c>
      <c r="F4423" s="667">
        <v>0</v>
      </c>
      <c r="G4423" s="668" t="s">
        <v>13462</v>
      </c>
      <c r="H4423" s="667">
        <v>0</v>
      </c>
      <c r="I4423" s="668" t="s">
        <v>13461</v>
      </c>
      <c r="J4423" s="667">
        <v>0</v>
      </c>
    </row>
    <row r="4424" spans="1:10" ht="15" thickBot="1">
      <c r="A4424" s="668"/>
      <c r="B4424" s="668"/>
      <c r="C4424" s="668"/>
      <c r="D4424" s="668"/>
      <c r="E4424" s="668" t="s">
        <v>13460</v>
      </c>
      <c r="F4424" s="667">
        <v>0.33</v>
      </c>
      <c r="G4424" s="668"/>
      <c r="H4424" s="925" t="s">
        <v>13459</v>
      </c>
      <c r="I4424" s="925"/>
      <c r="J4424" s="667">
        <v>1.5</v>
      </c>
    </row>
    <row r="4425" spans="1:10" ht="0.95" customHeight="1" thickTop="1">
      <c r="A4425" s="666"/>
      <c r="B4425" s="666"/>
      <c r="C4425" s="666"/>
      <c r="D4425" s="666"/>
      <c r="E4425" s="666"/>
      <c r="F4425" s="666"/>
      <c r="G4425" s="666"/>
      <c r="H4425" s="666"/>
      <c r="I4425" s="666"/>
      <c r="J4425" s="666"/>
    </row>
    <row r="4426" spans="1:10" ht="18" customHeight="1">
      <c r="A4426" s="686"/>
      <c r="B4426" s="684" t="s">
        <v>13484</v>
      </c>
      <c r="C4426" s="686" t="s">
        <v>13483</v>
      </c>
      <c r="D4426" s="686" t="s">
        <v>13482</v>
      </c>
      <c r="E4426" s="924" t="s">
        <v>13481</v>
      </c>
      <c r="F4426" s="924"/>
      <c r="G4426" s="685" t="s">
        <v>13480</v>
      </c>
      <c r="H4426" s="684" t="s">
        <v>13479</v>
      </c>
      <c r="I4426" s="684" t="s">
        <v>13478</v>
      </c>
      <c r="J4426" s="684" t="s">
        <v>13477</v>
      </c>
    </row>
    <row r="4427" spans="1:10" ht="48" customHeight="1">
      <c r="A4427" s="682" t="s">
        <v>13476</v>
      </c>
      <c r="B4427" s="683" t="s">
        <v>14034</v>
      </c>
      <c r="C4427" s="682" t="s">
        <v>7</v>
      </c>
      <c r="D4427" s="682" t="s">
        <v>794</v>
      </c>
      <c r="E4427" s="917" t="s">
        <v>13491</v>
      </c>
      <c r="F4427" s="917"/>
      <c r="G4427" s="681" t="s">
        <v>19</v>
      </c>
      <c r="H4427" s="680">
        <v>1</v>
      </c>
      <c r="I4427" s="679">
        <v>3.01</v>
      </c>
      <c r="J4427" s="679">
        <v>3.01</v>
      </c>
    </row>
    <row r="4428" spans="1:10" ht="24" customHeight="1">
      <c r="A4428" s="672" t="s">
        <v>13467</v>
      </c>
      <c r="B4428" s="673" t="s">
        <v>14032</v>
      </c>
      <c r="C4428" s="672" t="s">
        <v>7</v>
      </c>
      <c r="D4428" s="672" t="s">
        <v>14031</v>
      </c>
      <c r="E4428" s="919" t="s">
        <v>13464</v>
      </c>
      <c r="F4428" s="919"/>
      <c r="G4428" s="671" t="s">
        <v>34</v>
      </c>
      <c r="H4428" s="670">
        <v>7.4000000000000003E-6</v>
      </c>
      <c r="I4428" s="669">
        <v>54902.44</v>
      </c>
      <c r="J4428" s="669">
        <v>0.4</v>
      </c>
    </row>
    <row r="4429" spans="1:10" ht="48" customHeight="1">
      <c r="A4429" s="672" t="s">
        <v>13467</v>
      </c>
      <c r="B4429" s="673" t="s">
        <v>14030</v>
      </c>
      <c r="C4429" s="672" t="s">
        <v>7</v>
      </c>
      <c r="D4429" s="672" t="s">
        <v>14029</v>
      </c>
      <c r="E4429" s="919" t="s">
        <v>13493</v>
      </c>
      <c r="F4429" s="919"/>
      <c r="G4429" s="671" t="s">
        <v>34</v>
      </c>
      <c r="H4429" s="670">
        <v>7.4000000000000003E-6</v>
      </c>
      <c r="I4429" s="669">
        <v>353983.45</v>
      </c>
      <c r="J4429" s="669">
        <v>2.61</v>
      </c>
    </row>
    <row r="4430" spans="1:10" ht="25.5">
      <c r="A4430" s="668"/>
      <c r="B4430" s="668"/>
      <c r="C4430" s="668"/>
      <c r="D4430" s="668"/>
      <c r="E4430" s="668" t="s">
        <v>13463</v>
      </c>
      <c r="F4430" s="667">
        <v>0</v>
      </c>
      <c r="G4430" s="668" t="s">
        <v>13462</v>
      </c>
      <c r="H4430" s="667">
        <v>0</v>
      </c>
      <c r="I4430" s="668" t="s">
        <v>13461</v>
      </c>
      <c r="J4430" s="667">
        <v>0</v>
      </c>
    </row>
    <row r="4431" spans="1:10" ht="15" thickBot="1">
      <c r="A4431" s="668"/>
      <c r="B4431" s="668"/>
      <c r="C4431" s="668"/>
      <c r="D4431" s="668"/>
      <c r="E4431" s="668" t="s">
        <v>13460</v>
      </c>
      <c r="F4431" s="667">
        <v>0.85</v>
      </c>
      <c r="G4431" s="668"/>
      <c r="H4431" s="925" t="s">
        <v>13459</v>
      </c>
      <c r="I4431" s="925"/>
      <c r="J4431" s="667">
        <v>3.86</v>
      </c>
    </row>
    <row r="4432" spans="1:10" ht="0.95" customHeight="1" thickTop="1">
      <c r="A4432" s="666"/>
      <c r="B4432" s="666"/>
      <c r="C4432" s="666"/>
      <c r="D4432" s="666"/>
      <c r="E4432" s="666"/>
      <c r="F4432" s="666"/>
      <c r="G4432" s="666"/>
      <c r="H4432" s="666"/>
      <c r="I4432" s="666"/>
      <c r="J4432" s="666"/>
    </row>
    <row r="4433" spans="1:10" ht="18" customHeight="1">
      <c r="A4433" s="686"/>
      <c r="B4433" s="684" t="s">
        <v>13484</v>
      </c>
      <c r="C4433" s="686" t="s">
        <v>13483</v>
      </c>
      <c r="D4433" s="686" t="s">
        <v>13482</v>
      </c>
      <c r="E4433" s="924" t="s">
        <v>13481</v>
      </c>
      <c r="F4433" s="924"/>
      <c r="G4433" s="685" t="s">
        <v>13480</v>
      </c>
      <c r="H4433" s="684" t="s">
        <v>13479</v>
      </c>
      <c r="I4433" s="684" t="s">
        <v>13478</v>
      </c>
      <c r="J4433" s="684" t="s">
        <v>13477</v>
      </c>
    </row>
    <row r="4434" spans="1:10" ht="48" customHeight="1">
      <c r="A4434" s="682" t="s">
        <v>13476</v>
      </c>
      <c r="B4434" s="683" t="s">
        <v>14033</v>
      </c>
      <c r="C4434" s="682" t="s">
        <v>7</v>
      </c>
      <c r="D4434" s="682" t="s">
        <v>795</v>
      </c>
      <c r="E4434" s="917" t="s">
        <v>13491</v>
      </c>
      <c r="F4434" s="917"/>
      <c r="G4434" s="681" t="s">
        <v>19</v>
      </c>
      <c r="H4434" s="680">
        <v>1</v>
      </c>
      <c r="I4434" s="679">
        <v>30.65</v>
      </c>
      <c r="J4434" s="679">
        <v>30.65</v>
      </c>
    </row>
    <row r="4435" spans="1:10" ht="24" customHeight="1">
      <c r="A4435" s="672" t="s">
        <v>13467</v>
      </c>
      <c r="B4435" s="673" t="s">
        <v>14032</v>
      </c>
      <c r="C4435" s="672" t="s">
        <v>7</v>
      </c>
      <c r="D4435" s="672" t="s">
        <v>14031</v>
      </c>
      <c r="E4435" s="919" t="s">
        <v>13464</v>
      </c>
      <c r="F4435" s="919"/>
      <c r="G4435" s="671" t="s">
        <v>34</v>
      </c>
      <c r="H4435" s="670">
        <v>7.4999999999999993E-5</v>
      </c>
      <c r="I4435" s="669">
        <v>54902.44</v>
      </c>
      <c r="J4435" s="669">
        <v>4.1100000000000003</v>
      </c>
    </row>
    <row r="4436" spans="1:10" ht="48" customHeight="1">
      <c r="A4436" s="672" t="s">
        <v>13467</v>
      </c>
      <c r="B4436" s="673" t="s">
        <v>14030</v>
      </c>
      <c r="C4436" s="672" t="s">
        <v>7</v>
      </c>
      <c r="D4436" s="672" t="s">
        <v>14029</v>
      </c>
      <c r="E4436" s="919" t="s">
        <v>13493</v>
      </c>
      <c r="F4436" s="919"/>
      <c r="G4436" s="671" t="s">
        <v>34</v>
      </c>
      <c r="H4436" s="670">
        <v>7.4999999999999993E-5</v>
      </c>
      <c r="I4436" s="669">
        <v>353983.45</v>
      </c>
      <c r="J4436" s="669">
        <v>26.54</v>
      </c>
    </row>
    <row r="4437" spans="1:10" ht="25.5">
      <c r="A4437" s="668"/>
      <c r="B4437" s="668"/>
      <c r="C4437" s="668"/>
      <c r="D4437" s="668"/>
      <c r="E4437" s="668" t="s">
        <v>13463</v>
      </c>
      <c r="F4437" s="667">
        <v>0</v>
      </c>
      <c r="G4437" s="668" t="s">
        <v>13462</v>
      </c>
      <c r="H4437" s="667">
        <v>0</v>
      </c>
      <c r="I4437" s="668" t="s">
        <v>13461</v>
      </c>
      <c r="J4437" s="667">
        <v>0</v>
      </c>
    </row>
    <row r="4438" spans="1:10" ht="15" thickBot="1">
      <c r="A4438" s="668"/>
      <c r="B4438" s="668"/>
      <c r="C4438" s="668"/>
      <c r="D4438" s="668"/>
      <c r="E4438" s="668" t="s">
        <v>13460</v>
      </c>
      <c r="F4438" s="667">
        <v>8.65</v>
      </c>
      <c r="G4438" s="668"/>
      <c r="H4438" s="925" t="s">
        <v>13459</v>
      </c>
      <c r="I4438" s="925"/>
      <c r="J4438" s="667">
        <v>39.299999999999997</v>
      </c>
    </row>
    <row r="4439" spans="1:10" ht="0.95" customHeight="1" thickTop="1">
      <c r="A4439" s="666"/>
      <c r="B4439" s="666"/>
      <c r="C4439" s="666"/>
      <c r="D4439" s="666"/>
      <c r="E4439" s="666"/>
      <c r="F4439" s="666"/>
      <c r="G4439" s="666"/>
      <c r="H4439" s="666"/>
      <c r="I4439" s="666"/>
      <c r="J4439" s="666"/>
    </row>
    <row r="4440" spans="1:10" ht="18" customHeight="1">
      <c r="A4440" s="686"/>
      <c r="B4440" s="684" t="s">
        <v>13484</v>
      </c>
      <c r="C4440" s="686" t="s">
        <v>13483</v>
      </c>
      <c r="D4440" s="686" t="s">
        <v>13482</v>
      </c>
      <c r="E4440" s="924" t="s">
        <v>13481</v>
      </c>
      <c r="F4440" s="924"/>
      <c r="G4440" s="685" t="s">
        <v>13480</v>
      </c>
      <c r="H4440" s="684" t="s">
        <v>13479</v>
      </c>
      <c r="I4440" s="684" t="s">
        <v>13478</v>
      </c>
      <c r="J4440" s="684" t="s">
        <v>13477</v>
      </c>
    </row>
    <row r="4441" spans="1:10" ht="48" customHeight="1">
      <c r="A4441" s="682" t="s">
        <v>13476</v>
      </c>
      <c r="B4441" s="683" t="s">
        <v>14028</v>
      </c>
      <c r="C4441" s="682" t="s">
        <v>7</v>
      </c>
      <c r="D4441" s="682" t="s">
        <v>796</v>
      </c>
      <c r="E4441" s="917" t="s">
        <v>13491</v>
      </c>
      <c r="F4441" s="917"/>
      <c r="G4441" s="681" t="s">
        <v>19</v>
      </c>
      <c r="H4441" s="680">
        <v>1</v>
      </c>
      <c r="I4441" s="679">
        <v>67.14</v>
      </c>
      <c r="J4441" s="679">
        <v>67.14</v>
      </c>
    </row>
    <row r="4442" spans="1:10" ht="24" customHeight="1">
      <c r="A4442" s="672" t="s">
        <v>13467</v>
      </c>
      <c r="B4442" s="673" t="s">
        <v>13580</v>
      </c>
      <c r="C4442" s="672" t="s">
        <v>7</v>
      </c>
      <c r="D4442" s="672" t="s">
        <v>13579</v>
      </c>
      <c r="E4442" s="919" t="s">
        <v>13464</v>
      </c>
      <c r="F4442" s="919"/>
      <c r="G4442" s="671" t="s">
        <v>50</v>
      </c>
      <c r="H4442" s="670">
        <v>13.62</v>
      </c>
      <c r="I4442" s="669">
        <v>4.93</v>
      </c>
      <c r="J4442" s="669">
        <v>67.14</v>
      </c>
    </row>
    <row r="4443" spans="1:10" ht="25.5">
      <c r="A4443" s="668"/>
      <c r="B4443" s="668"/>
      <c r="C4443" s="668"/>
      <c r="D4443" s="668"/>
      <c r="E4443" s="668" t="s">
        <v>13463</v>
      </c>
      <c r="F4443" s="667">
        <v>0</v>
      </c>
      <c r="G4443" s="668" t="s">
        <v>13462</v>
      </c>
      <c r="H4443" s="667">
        <v>0</v>
      </c>
      <c r="I4443" s="668" t="s">
        <v>13461</v>
      </c>
      <c r="J4443" s="667">
        <v>0</v>
      </c>
    </row>
    <row r="4444" spans="1:10" ht="15" thickBot="1">
      <c r="A4444" s="668"/>
      <c r="B4444" s="668"/>
      <c r="C4444" s="668"/>
      <c r="D4444" s="668"/>
      <c r="E4444" s="668" t="s">
        <v>13460</v>
      </c>
      <c r="F4444" s="667">
        <v>18.96</v>
      </c>
      <c r="G4444" s="668"/>
      <c r="H4444" s="925" t="s">
        <v>13459</v>
      </c>
      <c r="I4444" s="925"/>
      <c r="J4444" s="667">
        <v>86.1</v>
      </c>
    </row>
    <row r="4445" spans="1:10" ht="0.95" customHeight="1" thickTop="1">
      <c r="A4445" s="666"/>
      <c r="B4445" s="666"/>
      <c r="C4445" s="666"/>
      <c r="D4445" s="666"/>
      <c r="E4445" s="666"/>
      <c r="F4445" s="666"/>
      <c r="G4445" s="666"/>
      <c r="H4445" s="666"/>
      <c r="I4445" s="666"/>
      <c r="J4445" s="666"/>
    </row>
    <row r="4446" spans="1:10" ht="18" customHeight="1">
      <c r="A4446" s="686"/>
      <c r="B4446" s="684" t="s">
        <v>13484</v>
      </c>
      <c r="C4446" s="686" t="s">
        <v>13483</v>
      </c>
      <c r="D4446" s="686" t="s">
        <v>13482</v>
      </c>
      <c r="E4446" s="924" t="s">
        <v>13481</v>
      </c>
      <c r="F4446" s="924"/>
      <c r="G4446" s="685" t="s">
        <v>13480</v>
      </c>
      <c r="H4446" s="684" t="s">
        <v>13479</v>
      </c>
      <c r="I4446" s="684" t="s">
        <v>13478</v>
      </c>
      <c r="J4446" s="684" t="s">
        <v>13477</v>
      </c>
    </row>
    <row r="4447" spans="1:10" ht="60" customHeight="1">
      <c r="A4447" s="682" t="s">
        <v>13476</v>
      </c>
      <c r="B4447" s="683" t="s">
        <v>13513</v>
      </c>
      <c r="C4447" s="682" t="s">
        <v>7</v>
      </c>
      <c r="D4447" s="682" t="s">
        <v>758</v>
      </c>
      <c r="E4447" s="917" t="s">
        <v>13491</v>
      </c>
      <c r="F4447" s="917"/>
      <c r="G4447" s="681" t="s">
        <v>53</v>
      </c>
      <c r="H4447" s="680">
        <v>1</v>
      </c>
      <c r="I4447" s="679">
        <v>36.01</v>
      </c>
      <c r="J4447" s="679">
        <v>36.01</v>
      </c>
    </row>
    <row r="4448" spans="1:10" ht="60" customHeight="1">
      <c r="A4448" s="677" t="s">
        <v>13472</v>
      </c>
      <c r="B4448" s="678" t="s">
        <v>14027</v>
      </c>
      <c r="C4448" s="677" t="s">
        <v>7</v>
      </c>
      <c r="D4448" s="677" t="s">
        <v>1891</v>
      </c>
      <c r="E4448" s="918" t="s">
        <v>13491</v>
      </c>
      <c r="F4448" s="918"/>
      <c r="G4448" s="676" t="s">
        <v>19</v>
      </c>
      <c r="H4448" s="675">
        <v>1</v>
      </c>
      <c r="I4448" s="674">
        <v>16.91</v>
      </c>
      <c r="J4448" s="674">
        <v>16.91</v>
      </c>
    </row>
    <row r="4449" spans="1:10" ht="60" customHeight="1">
      <c r="A4449" s="677" t="s">
        <v>13472</v>
      </c>
      <c r="B4449" s="678" t="s">
        <v>14025</v>
      </c>
      <c r="C4449" s="677" t="s">
        <v>7</v>
      </c>
      <c r="D4449" s="677" t="s">
        <v>1892</v>
      </c>
      <c r="E4449" s="918" t="s">
        <v>13491</v>
      </c>
      <c r="F4449" s="918"/>
      <c r="G4449" s="676" t="s">
        <v>19</v>
      </c>
      <c r="H4449" s="675">
        <v>1</v>
      </c>
      <c r="I4449" s="674">
        <v>3.54</v>
      </c>
      <c r="J4449" s="674">
        <v>3.54</v>
      </c>
    </row>
    <row r="4450" spans="1:10" ht="60" customHeight="1">
      <c r="A4450" s="677" t="s">
        <v>13472</v>
      </c>
      <c r="B4450" s="678" t="s">
        <v>14026</v>
      </c>
      <c r="C4450" s="677" t="s">
        <v>7</v>
      </c>
      <c r="D4450" s="677" t="s">
        <v>1893</v>
      </c>
      <c r="E4450" s="918" t="s">
        <v>13491</v>
      </c>
      <c r="F4450" s="918"/>
      <c r="G4450" s="676" t="s">
        <v>19</v>
      </c>
      <c r="H4450" s="675">
        <v>1</v>
      </c>
      <c r="I4450" s="674">
        <v>1.37</v>
      </c>
      <c r="J4450" s="674">
        <v>1.37</v>
      </c>
    </row>
    <row r="4451" spans="1:10" ht="24" customHeight="1">
      <c r="A4451" s="677" t="s">
        <v>13472</v>
      </c>
      <c r="B4451" s="678" t="s">
        <v>13716</v>
      </c>
      <c r="C4451" s="677" t="s">
        <v>7</v>
      </c>
      <c r="D4451" s="677" t="s">
        <v>147</v>
      </c>
      <c r="E4451" s="918" t="s">
        <v>13470</v>
      </c>
      <c r="F4451" s="918"/>
      <c r="G4451" s="676" t="s">
        <v>19</v>
      </c>
      <c r="H4451" s="675">
        <v>1</v>
      </c>
      <c r="I4451" s="674">
        <v>14.19</v>
      </c>
      <c r="J4451" s="674">
        <v>14.19</v>
      </c>
    </row>
    <row r="4452" spans="1:10" ht="25.5">
      <c r="A4452" s="668"/>
      <c r="B4452" s="668"/>
      <c r="C4452" s="668"/>
      <c r="D4452" s="668"/>
      <c r="E4452" s="668" t="s">
        <v>13463</v>
      </c>
      <c r="F4452" s="667">
        <v>6.1230034</v>
      </c>
      <c r="G4452" s="668" t="s">
        <v>13462</v>
      </c>
      <c r="H4452" s="667">
        <v>5.15</v>
      </c>
      <c r="I4452" s="668" t="s">
        <v>13461</v>
      </c>
      <c r="J4452" s="667">
        <v>11.27</v>
      </c>
    </row>
    <row r="4453" spans="1:10" ht="15" thickBot="1">
      <c r="A4453" s="668"/>
      <c r="B4453" s="668"/>
      <c r="C4453" s="668"/>
      <c r="D4453" s="668"/>
      <c r="E4453" s="668" t="s">
        <v>13460</v>
      </c>
      <c r="F4453" s="667">
        <v>10.16</v>
      </c>
      <c r="G4453" s="668"/>
      <c r="H4453" s="925" t="s">
        <v>13459</v>
      </c>
      <c r="I4453" s="925"/>
      <c r="J4453" s="667">
        <v>46.17</v>
      </c>
    </row>
    <row r="4454" spans="1:10" ht="0.95" customHeight="1" thickTop="1">
      <c r="A4454" s="666"/>
      <c r="B4454" s="666"/>
      <c r="C4454" s="666"/>
      <c r="D4454" s="666"/>
      <c r="E4454" s="666"/>
      <c r="F4454" s="666"/>
      <c r="G4454" s="666"/>
      <c r="H4454" s="666"/>
      <c r="I4454" s="666"/>
      <c r="J4454" s="666"/>
    </row>
    <row r="4455" spans="1:10" ht="18" customHeight="1">
      <c r="A4455" s="686"/>
      <c r="B4455" s="684" t="s">
        <v>13484</v>
      </c>
      <c r="C4455" s="686" t="s">
        <v>13483</v>
      </c>
      <c r="D4455" s="686" t="s">
        <v>13482</v>
      </c>
      <c r="E4455" s="924" t="s">
        <v>13481</v>
      </c>
      <c r="F4455" s="924"/>
      <c r="G4455" s="685" t="s">
        <v>13480</v>
      </c>
      <c r="H4455" s="684" t="s">
        <v>13479</v>
      </c>
      <c r="I4455" s="684" t="s">
        <v>13478</v>
      </c>
      <c r="J4455" s="684" t="s">
        <v>13477</v>
      </c>
    </row>
    <row r="4456" spans="1:10" ht="60" customHeight="1">
      <c r="A4456" s="682" t="s">
        <v>13476</v>
      </c>
      <c r="B4456" s="683" t="s">
        <v>13514</v>
      </c>
      <c r="C4456" s="682" t="s">
        <v>7</v>
      </c>
      <c r="D4456" s="682" t="s">
        <v>757</v>
      </c>
      <c r="E4456" s="917" t="s">
        <v>13491</v>
      </c>
      <c r="F4456" s="917"/>
      <c r="G4456" s="681" t="s">
        <v>38</v>
      </c>
      <c r="H4456" s="680">
        <v>1</v>
      </c>
      <c r="I4456" s="679">
        <v>226.25</v>
      </c>
      <c r="J4456" s="679">
        <v>226.25</v>
      </c>
    </row>
    <row r="4457" spans="1:10" ht="60" customHeight="1">
      <c r="A4457" s="677" t="s">
        <v>13472</v>
      </c>
      <c r="B4457" s="678" t="s">
        <v>14024</v>
      </c>
      <c r="C4457" s="677" t="s">
        <v>7</v>
      </c>
      <c r="D4457" s="677" t="s">
        <v>730</v>
      </c>
      <c r="E4457" s="918" t="s">
        <v>13491</v>
      </c>
      <c r="F4457" s="918"/>
      <c r="G4457" s="676" t="s">
        <v>19</v>
      </c>
      <c r="H4457" s="675">
        <v>1</v>
      </c>
      <c r="I4457" s="674">
        <v>31.7</v>
      </c>
      <c r="J4457" s="674">
        <v>31.7</v>
      </c>
    </row>
    <row r="4458" spans="1:10" ht="60" customHeight="1">
      <c r="A4458" s="677" t="s">
        <v>13472</v>
      </c>
      <c r="B4458" s="678" t="s">
        <v>14019</v>
      </c>
      <c r="C4458" s="677" t="s">
        <v>7</v>
      </c>
      <c r="D4458" s="677" t="s">
        <v>811</v>
      </c>
      <c r="E4458" s="918" t="s">
        <v>13491</v>
      </c>
      <c r="F4458" s="918"/>
      <c r="G4458" s="676" t="s">
        <v>19</v>
      </c>
      <c r="H4458" s="675">
        <v>1</v>
      </c>
      <c r="I4458" s="674">
        <v>158.54</v>
      </c>
      <c r="J4458" s="674">
        <v>158.54</v>
      </c>
    </row>
    <row r="4459" spans="1:10" ht="60" customHeight="1">
      <c r="A4459" s="677" t="s">
        <v>13472</v>
      </c>
      <c r="B4459" s="678" t="s">
        <v>14027</v>
      </c>
      <c r="C4459" s="677" t="s">
        <v>7</v>
      </c>
      <c r="D4459" s="677" t="s">
        <v>1891</v>
      </c>
      <c r="E4459" s="918" t="s">
        <v>13491</v>
      </c>
      <c r="F4459" s="918"/>
      <c r="G4459" s="676" t="s">
        <v>19</v>
      </c>
      <c r="H4459" s="675">
        <v>1</v>
      </c>
      <c r="I4459" s="674">
        <v>16.91</v>
      </c>
      <c r="J4459" s="674">
        <v>16.91</v>
      </c>
    </row>
    <row r="4460" spans="1:10" ht="60" customHeight="1">
      <c r="A4460" s="677" t="s">
        <v>13472</v>
      </c>
      <c r="B4460" s="678" t="s">
        <v>14025</v>
      </c>
      <c r="C4460" s="677" t="s">
        <v>7</v>
      </c>
      <c r="D4460" s="677" t="s">
        <v>1892</v>
      </c>
      <c r="E4460" s="918" t="s">
        <v>13491</v>
      </c>
      <c r="F4460" s="918"/>
      <c r="G4460" s="676" t="s">
        <v>19</v>
      </c>
      <c r="H4460" s="675">
        <v>1</v>
      </c>
      <c r="I4460" s="674">
        <v>3.54</v>
      </c>
      <c r="J4460" s="674">
        <v>3.54</v>
      </c>
    </row>
    <row r="4461" spans="1:10" ht="60" customHeight="1">
      <c r="A4461" s="677" t="s">
        <v>13472</v>
      </c>
      <c r="B4461" s="678" t="s">
        <v>14026</v>
      </c>
      <c r="C4461" s="677" t="s">
        <v>7</v>
      </c>
      <c r="D4461" s="677" t="s">
        <v>1893</v>
      </c>
      <c r="E4461" s="918" t="s">
        <v>13491</v>
      </c>
      <c r="F4461" s="918"/>
      <c r="G4461" s="676" t="s">
        <v>19</v>
      </c>
      <c r="H4461" s="675">
        <v>1</v>
      </c>
      <c r="I4461" s="674">
        <v>1.37</v>
      </c>
      <c r="J4461" s="674">
        <v>1.37</v>
      </c>
    </row>
    <row r="4462" spans="1:10" ht="24" customHeight="1">
      <c r="A4462" s="677" t="s">
        <v>13472</v>
      </c>
      <c r="B4462" s="678" t="s">
        <v>13716</v>
      </c>
      <c r="C4462" s="677" t="s">
        <v>7</v>
      </c>
      <c r="D4462" s="677" t="s">
        <v>147</v>
      </c>
      <c r="E4462" s="918" t="s">
        <v>13470</v>
      </c>
      <c r="F4462" s="918"/>
      <c r="G4462" s="676" t="s">
        <v>19</v>
      </c>
      <c r="H4462" s="675">
        <v>1</v>
      </c>
      <c r="I4462" s="674">
        <v>14.19</v>
      </c>
      <c r="J4462" s="674">
        <v>14.19</v>
      </c>
    </row>
    <row r="4463" spans="1:10" ht="25.5">
      <c r="A4463" s="668"/>
      <c r="B4463" s="668"/>
      <c r="C4463" s="668"/>
      <c r="D4463" s="668"/>
      <c r="E4463" s="668" t="s">
        <v>13463</v>
      </c>
      <c r="F4463" s="667">
        <v>6.1230034</v>
      </c>
      <c r="G4463" s="668" t="s">
        <v>13462</v>
      </c>
      <c r="H4463" s="667">
        <v>5.15</v>
      </c>
      <c r="I4463" s="668" t="s">
        <v>13461</v>
      </c>
      <c r="J4463" s="667">
        <v>11.27</v>
      </c>
    </row>
    <row r="4464" spans="1:10" ht="15" thickBot="1">
      <c r="A4464" s="668"/>
      <c r="B4464" s="668"/>
      <c r="C4464" s="668"/>
      <c r="D4464" s="668"/>
      <c r="E4464" s="668" t="s">
        <v>13460</v>
      </c>
      <c r="F4464" s="667">
        <v>63.89</v>
      </c>
      <c r="G4464" s="668"/>
      <c r="H4464" s="925" t="s">
        <v>13459</v>
      </c>
      <c r="I4464" s="925"/>
      <c r="J4464" s="667">
        <v>290.14</v>
      </c>
    </row>
    <row r="4465" spans="1:10" ht="0.95" customHeight="1" thickTop="1">
      <c r="A4465" s="666"/>
      <c r="B4465" s="666"/>
      <c r="C4465" s="666"/>
      <c r="D4465" s="666"/>
      <c r="E4465" s="666"/>
      <c r="F4465" s="666"/>
      <c r="G4465" s="666"/>
      <c r="H4465" s="666"/>
      <c r="I4465" s="666"/>
      <c r="J4465" s="666"/>
    </row>
    <row r="4466" spans="1:10" ht="18" customHeight="1">
      <c r="A4466" s="686"/>
      <c r="B4466" s="684" t="s">
        <v>13484</v>
      </c>
      <c r="C4466" s="686" t="s">
        <v>13483</v>
      </c>
      <c r="D4466" s="686" t="s">
        <v>13482</v>
      </c>
      <c r="E4466" s="924" t="s">
        <v>13481</v>
      </c>
      <c r="F4466" s="924"/>
      <c r="G4466" s="685" t="s">
        <v>13480</v>
      </c>
      <c r="H4466" s="684" t="s">
        <v>13479</v>
      </c>
      <c r="I4466" s="684" t="s">
        <v>13478</v>
      </c>
      <c r="J4466" s="684" t="s">
        <v>13477</v>
      </c>
    </row>
    <row r="4467" spans="1:10" ht="60" customHeight="1">
      <c r="A4467" s="682" t="s">
        <v>13476</v>
      </c>
      <c r="B4467" s="683" t="s">
        <v>14027</v>
      </c>
      <c r="C4467" s="682" t="s">
        <v>7</v>
      </c>
      <c r="D4467" s="682" t="s">
        <v>1891</v>
      </c>
      <c r="E4467" s="917" t="s">
        <v>13491</v>
      </c>
      <c r="F4467" s="917"/>
      <c r="G4467" s="681" t="s">
        <v>19</v>
      </c>
      <c r="H4467" s="680">
        <v>1</v>
      </c>
      <c r="I4467" s="679">
        <v>16.91</v>
      </c>
      <c r="J4467" s="679">
        <v>16.91</v>
      </c>
    </row>
    <row r="4468" spans="1:10" ht="48" customHeight="1">
      <c r="A4468" s="672" t="s">
        <v>13467</v>
      </c>
      <c r="B4468" s="673" t="s">
        <v>14023</v>
      </c>
      <c r="C4468" s="672" t="s">
        <v>7</v>
      </c>
      <c r="D4468" s="672" t="s">
        <v>14022</v>
      </c>
      <c r="E4468" s="919" t="s">
        <v>13493</v>
      </c>
      <c r="F4468" s="919"/>
      <c r="G4468" s="671" t="s">
        <v>34</v>
      </c>
      <c r="H4468" s="670">
        <v>3.43E-5</v>
      </c>
      <c r="I4468" s="669">
        <v>412260.6</v>
      </c>
      <c r="J4468" s="669">
        <v>14.14</v>
      </c>
    </row>
    <row r="4469" spans="1:10" ht="48" customHeight="1">
      <c r="A4469" s="672" t="s">
        <v>13467</v>
      </c>
      <c r="B4469" s="673" t="s">
        <v>14021</v>
      </c>
      <c r="C4469" s="672" t="s">
        <v>7</v>
      </c>
      <c r="D4469" s="672" t="s">
        <v>14020</v>
      </c>
      <c r="E4469" s="919" t="s">
        <v>13464</v>
      </c>
      <c r="F4469" s="919"/>
      <c r="G4469" s="671" t="s">
        <v>34</v>
      </c>
      <c r="H4469" s="670">
        <v>3.43E-5</v>
      </c>
      <c r="I4469" s="669">
        <v>80950</v>
      </c>
      <c r="J4469" s="669">
        <v>2.77</v>
      </c>
    </row>
    <row r="4470" spans="1:10" ht="25.5">
      <c r="A4470" s="668"/>
      <c r="B4470" s="668"/>
      <c r="C4470" s="668"/>
      <c r="D4470" s="668"/>
      <c r="E4470" s="668" t="s">
        <v>13463</v>
      </c>
      <c r="F4470" s="667">
        <v>0</v>
      </c>
      <c r="G4470" s="668" t="s">
        <v>13462</v>
      </c>
      <c r="H4470" s="667">
        <v>0</v>
      </c>
      <c r="I4470" s="668" t="s">
        <v>13461</v>
      </c>
      <c r="J4470" s="667">
        <v>0</v>
      </c>
    </row>
    <row r="4471" spans="1:10" ht="15" thickBot="1">
      <c r="A4471" s="668"/>
      <c r="B4471" s="668"/>
      <c r="C4471" s="668"/>
      <c r="D4471" s="668"/>
      <c r="E4471" s="668" t="s">
        <v>13460</v>
      </c>
      <c r="F4471" s="667">
        <v>4.7699999999999996</v>
      </c>
      <c r="G4471" s="668"/>
      <c r="H4471" s="925" t="s">
        <v>13459</v>
      </c>
      <c r="I4471" s="925"/>
      <c r="J4471" s="667">
        <v>21.68</v>
      </c>
    </row>
    <row r="4472" spans="1:10" ht="0.95" customHeight="1" thickTop="1">
      <c r="A4472" s="666"/>
      <c r="B4472" s="666"/>
      <c r="C4472" s="666"/>
      <c r="D4472" s="666"/>
      <c r="E4472" s="666"/>
      <c r="F4472" s="666"/>
      <c r="G4472" s="666"/>
      <c r="H4472" s="666"/>
      <c r="I4472" s="666"/>
      <c r="J4472" s="666"/>
    </row>
    <row r="4473" spans="1:10" ht="18" customHeight="1">
      <c r="A4473" s="686"/>
      <c r="B4473" s="684" t="s">
        <v>13484</v>
      </c>
      <c r="C4473" s="686" t="s">
        <v>13483</v>
      </c>
      <c r="D4473" s="686" t="s">
        <v>13482</v>
      </c>
      <c r="E4473" s="924" t="s">
        <v>13481</v>
      </c>
      <c r="F4473" s="924"/>
      <c r="G4473" s="685" t="s">
        <v>13480</v>
      </c>
      <c r="H4473" s="684" t="s">
        <v>13479</v>
      </c>
      <c r="I4473" s="684" t="s">
        <v>13478</v>
      </c>
      <c r="J4473" s="684" t="s">
        <v>13477</v>
      </c>
    </row>
    <row r="4474" spans="1:10" ht="60" customHeight="1">
      <c r="A4474" s="682" t="s">
        <v>13476</v>
      </c>
      <c r="B4474" s="683" t="s">
        <v>14026</v>
      </c>
      <c r="C4474" s="682" t="s">
        <v>7</v>
      </c>
      <c r="D4474" s="682" t="s">
        <v>1893</v>
      </c>
      <c r="E4474" s="917" t="s">
        <v>13491</v>
      </c>
      <c r="F4474" s="917"/>
      <c r="G4474" s="681" t="s">
        <v>19</v>
      </c>
      <c r="H4474" s="680">
        <v>1</v>
      </c>
      <c r="I4474" s="679">
        <v>1.37</v>
      </c>
      <c r="J4474" s="679">
        <v>1.37</v>
      </c>
    </row>
    <row r="4475" spans="1:10" ht="48" customHeight="1">
      <c r="A4475" s="672" t="s">
        <v>13467</v>
      </c>
      <c r="B4475" s="673" t="s">
        <v>14023</v>
      </c>
      <c r="C4475" s="672" t="s">
        <v>7</v>
      </c>
      <c r="D4475" s="672" t="s">
        <v>14022</v>
      </c>
      <c r="E4475" s="919" t="s">
        <v>13493</v>
      </c>
      <c r="F4475" s="919"/>
      <c r="G4475" s="671" t="s">
        <v>34</v>
      </c>
      <c r="H4475" s="670">
        <v>2.7999999999999999E-6</v>
      </c>
      <c r="I4475" s="669">
        <v>412260.6</v>
      </c>
      <c r="J4475" s="669">
        <v>1.1499999999999999</v>
      </c>
    </row>
    <row r="4476" spans="1:10" ht="48" customHeight="1">
      <c r="A4476" s="672" t="s">
        <v>13467</v>
      </c>
      <c r="B4476" s="673" t="s">
        <v>14021</v>
      </c>
      <c r="C4476" s="672" t="s">
        <v>7</v>
      </c>
      <c r="D4476" s="672" t="s">
        <v>14020</v>
      </c>
      <c r="E4476" s="919" t="s">
        <v>13464</v>
      </c>
      <c r="F4476" s="919"/>
      <c r="G4476" s="671" t="s">
        <v>34</v>
      </c>
      <c r="H4476" s="670">
        <v>2.7999999999999999E-6</v>
      </c>
      <c r="I4476" s="669">
        <v>80950</v>
      </c>
      <c r="J4476" s="669">
        <v>0.22</v>
      </c>
    </row>
    <row r="4477" spans="1:10" ht="25.5">
      <c r="A4477" s="668"/>
      <c r="B4477" s="668"/>
      <c r="C4477" s="668"/>
      <c r="D4477" s="668"/>
      <c r="E4477" s="668" t="s">
        <v>13463</v>
      </c>
      <c r="F4477" s="667">
        <v>0</v>
      </c>
      <c r="G4477" s="668" t="s">
        <v>13462</v>
      </c>
      <c r="H4477" s="667">
        <v>0</v>
      </c>
      <c r="I4477" s="668" t="s">
        <v>13461</v>
      </c>
      <c r="J4477" s="667">
        <v>0</v>
      </c>
    </row>
    <row r="4478" spans="1:10" ht="15" thickBot="1">
      <c r="A4478" s="668"/>
      <c r="B4478" s="668"/>
      <c r="C4478" s="668"/>
      <c r="D4478" s="668"/>
      <c r="E4478" s="668" t="s">
        <v>13460</v>
      </c>
      <c r="F4478" s="667">
        <v>0.38</v>
      </c>
      <c r="G4478" s="668"/>
      <c r="H4478" s="925" t="s">
        <v>13459</v>
      </c>
      <c r="I4478" s="925"/>
      <c r="J4478" s="667">
        <v>1.75</v>
      </c>
    </row>
    <row r="4479" spans="1:10" ht="0.95" customHeight="1" thickTop="1">
      <c r="A4479" s="666"/>
      <c r="B4479" s="666"/>
      <c r="C4479" s="666"/>
      <c r="D4479" s="666"/>
      <c r="E4479" s="666"/>
      <c r="F4479" s="666"/>
      <c r="G4479" s="666"/>
      <c r="H4479" s="666"/>
      <c r="I4479" s="666"/>
      <c r="J4479" s="666"/>
    </row>
    <row r="4480" spans="1:10" ht="18" customHeight="1">
      <c r="A4480" s="686"/>
      <c r="B4480" s="684" t="s">
        <v>13484</v>
      </c>
      <c r="C4480" s="686" t="s">
        <v>13483</v>
      </c>
      <c r="D4480" s="686" t="s">
        <v>13482</v>
      </c>
      <c r="E4480" s="924" t="s">
        <v>13481</v>
      </c>
      <c r="F4480" s="924"/>
      <c r="G4480" s="685" t="s">
        <v>13480</v>
      </c>
      <c r="H4480" s="684" t="s">
        <v>13479</v>
      </c>
      <c r="I4480" s="684" t="s">
        <v>13478</v>
      </c>
      <c r="J4480" s="684" t="s">
        <v>13477</v>
      </c>
    </row>
    <row r="4481" spans="1:10" ht="60" customHeight="1">
      <c r="A4481" s="682" t="s">
        <v>13476</v>
      </c>
      <c r="B4481" s="683" t="s">
        <v>14025</v>
      </c>
      <c r="C4481" s="682" t="s">
        <v>7</v>
      </c>
      <c r="D4481" s="682" t="s">
        <v>1892</v>
      </c>
      <c r="E4481" s="917" t="s">
        <v>13491</v>
      </c>
      <c r="F4481" s="917"/>
      <c r="G4481" s="681" t="s">
        <v>19</v>
      </c>
      <c r="H4481" s="680">
        <v>1</v>
      </c>
      <c r="I4481" s="679">
        <v>3.54</v>
      </c>
      <c r="J4481" s="679">
        <v>3.54</v>
      </c>
    </row>
    <row r="4482" spans="1:10" ht="48" customHeight="1">
      <c r="A4482" s="672" t="s">
        <v>13467</v>
      </c>
      <c r="B4482" s="673" t="s">
        <v>14023</v>
      </c>
      <c r="C4482" s="672" t="s">
        <v>7</v>
      </c>
      <c r="D4482" s="672" t="s">
        <v>14022</v>
      </c>
      <c r="E4482" s="919" t="s">
        <v>13493</v>
      </c>
      <c r="F4482" s="919"/>
      <c r="G4482" s="671" t="s">
        <v>34</v>
      </c>
      <c r="H4482" s="670">
        <v>7.1999999999999997E-6</v>
      </c>
      <c r="I4482" s="669">
        <v>412260.6</v>
      </c>
      <c r="J4482" s="669">
        <v>2.96</v>
      </c>
    </row>
    <row r="4483" spans="1:10" ht="48" customHeight="1">
      <c r="A4483" s="672" t="s">
        <v>13467</v>
      </c>
      <c r="B4483" s="673" t="s">
        <v>14021</v>
      </c>
      <c r="C4483" s="672" t="s">
        <v>7</v>
      </c>
      <c r="D4483" s="672" t="s">
        <v>14020</v>
      </c>
      <c r="E4483" s="919" t="s">
        <v>13464</v>
      </c>
      <c r="F4483" s="919"/>
      <c r="G4483" s="671" t="s">
        <v>34</v>
      </c>
      <c r="H4483" s="670">
        <v>7.1999999999999997E-6</v>
      </c>
      <c r="I4483" s="669">
        <v>80950</v>
      </c>
      <c r="J4483" s="669">
        <v>0.57999999999999996</v>
      </c>
    </row>
    <row r="4484" spans="1:10" ht="25.5">
      <c r="A4484" s="668"/>
      <c r="B4484" s="668"/>
      <c r="C4484" s="668"/>
      <c r="D4484" s="668"/>
      <c r="E4484" s="668" t="s">
        <v>13463</v>
      </c>
      <c r="F4484" s="667">
        <v>0</v>
      </c>
      <c r="G4484" s="668" t="s">
        <v>13462</v>
      </c>
      <c r="H4484" s="667">
        <v>0</v>
      </c>
      <c r="I4484" s="668" t="s">
        <v>13461</v>
      </c>
      <c r="J4484" s="667">
        <v>0</v>
      </c>
    </row>
    <row r="4485" spans="1:10" ht="15" thickBot="1">
      <c r="A4485" s="668"/>
      <c r="B4485" s="668"/>
      <c r="C4485" s="668"/>
      <c r="D4485" s="668"/>
      <c r="E4485" s="668" t="s">
        <v>13460</v>
      </c>
      <c r="F4485" s="667">
        <v>0.99</v>
      </c>
      <c r="G4485" s="668"/>
      <c r="H4485" s="925" t="s">
        <v>13459</v>
      </c>
      <c r="I4485" s="925"/>
      <c r="J4485" s="667">
        <v>4.53</v>
      </c>
    </row>
    <row r="4486" spans="1:10" ht="0.95" customHeight="1" thickTop="1">
      <c r="A4486" s="666"/>
      <c r="B4486" s="666"/>
      <c r="C4486" s="666"/>
      <c r="D4486" s="666"/>
      <c r="E4486" s="666"/>
      <c r="F4486" s="666"/>
      <c r="G4486" s="666"/>
      <c r="H4486" s="666"/>
      <c r="I4486" s="666"/>
      <c r="J4486" s="666"/>
    </row>
    <row r="4487" spans="1:10" ht="18" customHeight="1">
      <c r="A4487" s="686"/>
      <c r="B4487" s="684" t="s">
        <v>13484</v>
      </c>
      <c r="C4487" s="686" t="s">
        <v>13483</v>
      </c>
      <c r="D4487" s="686" t="s">
        <v>13482</v>
      </c>
      <c r="E4487" s="924" t="s">
        <v>13481</v>
      </c>
      <c r="F4487" s="924"/>
      <c r="G4487" s="685" t="s">
        <v>13480</v>
      </c>
      <c r="H4487" s="684" t="s">
        <v>13479</v>
      </c>
      <c r="I4487" s="684" t="s">
        <v>13478</v>
      </c>
      <c r="J4487" s="684" t="s">
        <v>13477</v>
      </c>
    </row>
    <row r="4488" spans="1:10" ht="60" customHeight="1">
      <c r="A4488" s="682" t="s">
        <v>13476</v>
      </c>
      <c r="B4488" s="683" t="s">
        <v>14024</v>
      </c>
      <c r="C4488" s="682" t="s">
        <v>7</v>
      </c>
      <c r="D4488" s="682" t="s">
        <v>730</v>
      </c>
      <c r="E4488" s="917" t="s">
        <v>13491</v>
      </c>
      <c r="F4488" s="917"/>
      <c r="G4488" s="681" t="s">
        <v>19</v>
      </c>
      <c r="H4488" s="680">
        <v>1</v>
      </c>
      <c r="I4488" s="679">
        <v>31.7</v>
      </c>
      <c r="J4488" s="679">
        <v>31.7</v>
      </c>
    </row>
    <row r="4489" spans="1:10" ht="48" customHeight="1">
      <c r="A4489" s="672" t="s">
        <v>13467</v>
      </c>
      <c r="B4489" s="673" t="s">
        <v>14023</v>
      </c>
      <c r="C4489" s="672" t="s">
        <v>7</v>
      </c>
      <c r="D4489" s="672" t="s">
        <v>14022</v>
      </c>
      <c r="E4489" s="919" t="s">
        <v>13493</v>
      </c>
      <c r="F4489" s="919"/>
      <c r="G4489" s="671" t="s">
        <v>34</v>
      </c>
      <c r="H4489" s="670">
        <v>6.4300000000000004E-5</v>
      </c>
      <c r="I4489" s="669">
        <v>412260.6</v>
      </c>
      <c r="J4489" s="669">
        <v>26.5</v>
      </c>
    </row>
    <row r="4490" spans="1:10" ht="48" customHeight="1">
      <c r="A4490" s="672" t="s">
        <v>13467</v>
      </c>
      <c r="B4490" s="673" t="s">
        <v>14021</v>
      </c>
      <c r="C4490" s="672" t="s">
        <v>7</v>
      </c>
      <c r="D4490" s="672" t="s">
        <v>14020</v>
      </c>
      <c r="E4490" s="919" t="s">
        <v>13464</v>
      </c>
      <c r="F4490" s="919"/>
      <c r="G4490" s="671" t="s">
        <v>34</v>
      </c>
      <c r="H4490" s="670">
        <v>6.4300000000000004E-5</v>
      </c>
      <c r="I4490" s="669">
        <v>80950</v>
      </c>
      <c r="J4490" s="669">
        <v>5.2</v>
      </c>
    </row>
    <row r="4491" spans="1:10" ht="25.5">
      <c r="A4491" s="668"/>
      <c r="B4491" s="668"/>
      <c r="C4491" s="668"/>
      <c r="D4491" s="668"/>
      <c r="E4491" s="668" t="s">
        <v>13463</v>
      </c>
      <c r="F4491" s="667">
        <v>0</v>
      </c>
      <c r="G4491" s="668" t="s">
        <v>13462</v>
      </c>
      <c r="H4491" s="667">
        <v>0</v>
      </c>
      <c r="I4491" s="668" t="s">
        <v>13461</v>
      </c>
      <c r="J4491" s="667">
        <v>0</v>
      </c>
    </row>
    <row r="4492" spans="1:10" ht="15" thickBot="1">
      <c r="A4492" s="668"/>
      <c r="B4492" s="668"/>
      <c r="C4492" s="668"/>
      <c r="D4492" s="668"/>
      <c r="E4492" s="668" t="s">
        <v>13460</v>
      </c>
      <c r="F4492" s="667">
        <v>8.9499999999999993</v>
      </c>
      <c r="G4492" s="668"/>
      <c r="H4492" s="925" t="s">
        <v>13459</v>
      </c>
      <c r="I4492" s="925"/>
      <c r="J4492" s="667">
        <v>40.65</v>
      </c>
    </row>
    <row r="4493" spans="1:10" ht="0.95" customHeight="1" thickTop="1">
      <c r="A4493" s="666"/>
      <c r="B4493" s="666"/>
      <c r="C4493" s="666"/>
      <c r="D4493" s="666"/>
      <c r="E4493" s="666"/>
      <c r="F4493" s="666"/>
      <c r="G4493" s="666"/>
      <c r="H4493" s="666"/>
      <c r="I4493" s="666"/>
      <c r="J4493" s="666"/>
    </row>
    <row r="4494" spans="1:10" ht="18" customHeight="1">
      <c r="A4494" s="686"/>
      <c r="B4494" s="684" t="s">
        <v>13484</v>
      </c>
      <c r="C4494" s="686" t="s">
        <v>13483</v>
      </c>
      <c r="D4494" s="686" t="s">
        <v>13482</v>
      </c>
      <c r="E4494" s="924" t="s">
        <v>13481</v>
      </c>
      <c r="F4494" s="924"/>
      <c r="G4494" s="685" t="s">
        <v>13480</v>
      </c>
      <c r="H4494" s="684" t="s">
        <v>13479</v>
      </c>
      <c r="I4494" s="684" t="s">
        <v>13478</v>
      </c>
      <c r="J4494" s="684" t="s">
        <v>13477</v>
      </c>
    </row>
    <row r="4495" spans="1:10" ht="60" customHeight="1">
      <c r="A4495" s="682" t="s">
        <v>13476</v>
      </c>
      <c r="B4495" s="683" t="s">
        <v>14019</v>
      </c>
      <c r="C4495" s="682" t="s">
        <v>7</v>
      </c>
      <c r="D4495" s="682" t="s">
        <v>811</v>
      </c>
      <c r="E4495" s="917" t="s">
        <v>13491</v>
      </c>
      <c r="F4495" s="917"/>
      <c r="G4495" s="681" t="s">
        <v>19</v>
      </c>
      <c r="H4495" s="680">
        <v>1</v>
      </c>
      <c r="I4495" s="679">
        <v>158.54</v>
      </c>
      <c r="J4495" s="679">
        <v>158.54</v>
      </c>
    </row>
    <row r="4496" spans="1:10" ht="24" customHeight="1">
      <c r="A4496" s="672" t="s">
        <v>13467</v>
      </c>
      <c r="B4496" s="673" t="s">
        <v>13580</v>
      </c>
      <c r="C4496" s="672" t="s">
        <v>7</v>
      </c>
      <c r="D4496" s="672" t="s">
        <v>13579</v>
      </c>
      <c r="E4496" s="919" t="s">
        <v>13464</v>
      </c>
      <c r="F4496" s="919"/>
      <c r="G4496" s="671" t="s">
        <v>50</v>
      </c>
      <c r="H4496" s="670">
        <v>32.159999999999997</v>
      </c>
      <c r="I4496" s="669">
        <v>4.93</v>
      </c>
      <c r="J4496" s="669">
        <v>158.54</v>
      </c>
    </row>
    <row r="4497" spans="1:10" ht="25.5">
      <c r="A4497" s="668"/>
      <c r="B4497" s="668"/>
      <c r="C4497" s="668"/>
      <c r="D4497" s="668"/>
      <c r="E4497" s="668" t="s">
        <v>13463</v>
      </c>
      <c r="F4497" s="667">
        <v>0</v>
      </c>
      <c r="G4497" s="668" t="s">
        <v>13462</v>
      </c>
      <c r="H4497" s="667">
        <v>0</v>
      </c>
      <c r="I4497" s="668" t="s">
        <v>13461</v>
      </c>
      <c r="J4497" s="667">
        <v>0</v>
      </c>
    </row>
    <row r="4498" spans="1:10" ht="15" thickBot="1">
      <c r="A4498" s="668"/>
      <c r="B4498" s="668"/>
      <c r="C4498" s="668"/>
      <c r="D4498" s="668"/>
      <c r="E4498" s="668" t="s">
        <v>13460</v>
      </c>
      <c r="F4498" s="667">
        <v>44.77</v>
      </c>
      <c r="G4498" s="668"/>
      <c r="H4498" s="925" t="s">
        <v>13459</v>
      </c>
      <c r="I4498" s="925"/>
      <c r="J4498" s="667">
        <v>203.31</v>
      </c>
    </row>
    <row r="4499" spans="1:10" ht="0.95" customHeight="1" thickTop="1">
      <c r="A4499" s="666"/>
      <c r="B4499" s="666"/>
      <c r="C4499" s="666"/>
      <c r="D4499" s="666"/>
      <c r="E4499" s="666"/>
      <c r="F4499" s="666"/>
      <c r="G4499" s="666"/>
      <c r="H4499" s="666"/>
      <c r="I4499" s="666"/>
      <c r="J4499" s="666"/>
    </row>
    <row r="4500" spans="1:10" ht="18" customHeight="1">
      <c r="A4500" s="686"/>
      <c r="B4500" s="684" t="s">
        <v>13484</v>
      </c>
      <c r="C4500" s="686" t="s">
        <v>13483</v>
      </c>
      <c r="D4500" s="686" t="s">
        <v>13482</v>
      </c>
      <c r="E4500" s="924" t="s">
        <v>13481</v>
      </c>
      <c r="F4500" s="924"/>
      <c r="G4500" s="685" t="s">
        <v>13480</v>
      </c>
      <c r="H4500" s="684" t="s">
        <v>13479</v>
      </c>
      <c r="I4500" s="684" t="s">
        <v>13478</v>
      </c>
      <c r="J4500" s="684" t="s">
        <v>13477</v>
      </c>
    </row>
    <row r="4501" spans="1:10" ht="24" customHeight="1">
      <c r="A4501" s="682" t="s">
        <v>13476</v>
      </c>
      <c r="B4501" s="683" t="s">
        <v>13645</v>
      </c>
      <c r="C4501" s="682" t="s">
        <v>7</v>
      </c>
      <c r="D4501" s="682" t="s">
        <v>46</v>
      </c>
      <c r="E4501" s="917" t="s">
        <v>13470</v>
      </c>
      <c r="F4501" s="917"/>
      <c r="G4501" s="681" t="s">
        <v>19</v>
      </c>
      <c r="H4501" s="680">
        <v>1</v>
      </c>
      <c r="I4501" s="679">
        <v>18.77</v>
      </c>
      <c r="J4501" s="679">
        <v>18.77</v>
      </c>
    </row>
    <row r="4502" spans="1:10" ht="24" customHeight="1">
      <c r="A4502" s="677" t="s">
        <v>13472</v>
      </c>
      <c r="B4502" s="678" t="s">
        <v>13930</v>
      </c>
      <c r="C4502" s="677" t="s">
        <v>7</v>
      </c>
      <c r="D4502" s="677" t="s">
        <v>2743</v>
      </c>
      <c r="E4502" s="918" t="s">
        <v>13470</v>
      </c>
      <c r="F4502" s="918"/>
      <c r="G4502" s="676" t="s">
        <v>19</v>
      </c>
      <c r="H4502" s="675">
        <v>1</v>
      </c>
      <c r="I4502" s="674">
        <v>0.15</v>
      </c>
      <c r="J4502" s="674">
        <v>0.15</v>
      </c>
    </row>
    <row r="4503" spans="1:10" ht="24" customHeight="1">
      <c r="A4503" s="672" t="s">
        <v>13467</v>
      </c>
      <c r="B4503" s="673" t="s">
        <v>13562</v>
      </c>
      <c r="C4503" s="672" t="s">
        <v>7</v>
      </c>
      <c r="D4503" s="672" t="s">
        <v>13561</v>
      </c>
      <c r="E4503" s="919" t="s">
        <v>13556</v>
      </c>
      <c r="F4503" s="919"/>
      <c r="G4503" s="671" t="s">
        <v>19</v>
      </c>
      <c r="H4503" s="670">
        <v>1</v>
      </c>
      <c r="I4503" s="669">
        <v>0.96</v>
      </c>
      <c r="J4503" s="669">
        <v>0.96</v>
      </c>
    </row>
    <row r="4504" spans="1:10" ht="24" customHeight="1">
      <c r="A4504" s="672" t="s">
        <v>13467</v>
      </c>
      <c r="B4504" s="673" t="s">
        <v>13929</v>
      </c>
      <c r="C4504" s="672" t="s">
        <v>7</v>
      </c>
      <c r="D4504" s="672" t="s">
        <v>13928</v>
      </c>
      <c r="E4504" s="919" t="s">
        <v>13548</v>
      </c>
      <c r="F4504" s="919"/>
      <c r="G4504" s="671" t="s">
        <v>19</v>
      </c>
      <c r="H4504" s="670">
        <v>1</v>
      </c>
      <c r="I4504" s="669">
        <v>14.91</v>
      </c>
      <c r="J4504" s="669">
        <v>14.91</v>
      </c>
    </row>
    <row r="4505" spans="1:10" ht="24" customHeight="1">
      <c r="A4505" s="672" t="s">
        <v>13467</v>
      </c>
      <c r="B4505" s="673" t="s">
        <v>13560</v>
      </c>
      <c r="C4505" s="672" t="s">
        <v>7</v>
      </c>
      <c r="D4505" s="672" t="s">
        <v>13559</v>
      </c>
      <c r="E4505" s="919" t="s">
        <v>13493</v>
      </c>
      <c r="F4505" s="919"/>
      <c r="G4505" s="671" t="s">
        <v>19</v>
      </c>
      <c r="H4505" s="670">
        <v>1</v>
      </c>
      <c r="I4505" s="669">
        <v>1.05</v>
      </c>
      <c r="J4505" s="669">
        <v>1.05</v>
      </c>
    </row>
    <row r="4506" spans="1:10" ht="24" customHeight="1">
      <c r="A4506" s="672" t="s">
        <v>13467</v>
      </c>
      <c r="B4506" s="673" t="s">
        <v>13558</v>
      </c>
      <c r="C4506" s="672" t="s">
        <v>7</v>
      </c>
      <c r="D4506" s="672" t="s">
        <v>13557</v>
      </c>
      <c r="E4506" s="919" t="s">
        <v>13556</v>
      </c>
      <c r="F4506" s="919"/>
      <c r="G4506" s="671" t="s">
        <v>19</v>
      </c>
      <c r="H4506" s="670">
        <v>1</v>
      </c>
      <c r="I4506" s="669">
        <v>0.55000000000000004</v>
      </c>
      <c r="J4506" s="669">
        <v>0.55000000000000004</v>
      </c>
    </row>
    <row r="4507" spans="1:10" ht="24" customHeight="1">
      <c r="A4507" s="672" t="s">
        <v>13467</v>
      </c>
      <c r="B4507" s="673" t="s">
        <v>13555</v>
      </c>
      <c r="C4507" s="672" t="s">
        <v>7</v>
      </c>
      <c r="D4507" s="672" t="s">
        <v>13554</v>
      </c>
      <c r="E4507" s="919" t="s">
        <v>13493</v>
      </c>
      <c r="F4507" s="919"/>
      <c r="G4507" s="671" t="s">
        <v>19</v>
      </c>
      <c r="H4507" s="670">
        <v>1</v>
      </c>
      <c r="I4507" s="669">
        <v>0.38</v>
      </c>
      <c r="J4507" s="669">
        <v>0.38</v>
      </c>
    </row>
    <row r="4508" spans="1:10" ht="24" customHeight="1">
      <c r="A4508" s="672" t="s">
        <v>13467</v>
      </c>
      <c r="B4508" s="673" t="s">
        <v>13553</v>
      </c>
      <c r="C4508" s="672" t="s">
        <v>7</v>
      </c>
      <c r="D4508" s="672" t="s">
        <v>13552</v>
      </c>
      <c r="E4508" s="919" t="s">
        <v>13551</v>
      </c>
      <c r="F4508" s="919"/>
      <c r="G4508" s="671" t="s">
        <v>19</v>
      </c>
      <c r="H4508" s="670">
        <v>1</v>
      </c>
      <c r="I4508" s="669">
        <v>0.06</v>
      </c>
      <c r="J4508" s="669">
        <v>0.06</v>
      </c>
    </row>
    <row r="4509" spans="1:10" ht="24" customHeight="1">
      <c r="A4509" s="672" t="s">
        <v>13467</v>
      </c>
      <c r="B4509" s="673" t="s">
        <v>13547</v>
      </c>
      <c r="C4509" s="672" t="s">
        <v>7</v>
      </c>
      <c r="D4509" s="672" t="s">
        <v>13546</v>
      </c>
      <c r="E4509" s="919" t="s">
        <v>13545</v>
      </c>
      <c r="F4509" s="919"/>
      <c r="G4509" s="671" t="s">
        <v>19</v>
      </c>
      <c r="H4509" s="670">
        <v>1</v>
      </c>
      <c r="I4509" s="669">
        <v>0.71</v>
      </c>
      <c r="J4509" s="669">
        <v>0.71</v>
      </c>
    </row>
    <row r="4510" spans="1:10" ht="25.5">
      <c r="A4510" s="668"/>
      <c r="B4510" s="668"/>
      <c r="C4510" s="668"/>
      <c r="D4510" s="668"/>
      <c r="E4510" s="668" t="s">
        <v>13463</v>
      </c>
      <c r="F4510" s="667">
        <v>8.1821145000000008</v>
      </c>
      <c r="G4510" s="668" t="s">
        <v>13462</v>
      </c>
      <c r="H4510" s="667">
        <v>6.88</v>
      </c>
      <c r="I4510" s="668" t="s">
        <v>13461</v>
      </c>
      <c r="J4510" s="667">
        <v>15.06</v>
      </c>
    </row>
    <row r="4511" spans="1:10" ht="15" thickBot="1">
      <c r="A4511" s="668"/>
      <c r="B4511" s="668"/>
      <c r="C4511" s="668"/>
      <c r="D4511" s="668"/>
      <c r="E4511" s="668" t="s">
        <v>13460</v>
      </c>
      <c r="F4511" s="667">
        <v>5.3</v>
      </c>
      <c r="G4511" s="668"/>
      <c r="H4511" s="925" t="s">
        <v>13459</v>
      </c>
      <c r="I4511" s="925"/>
      <c r="J4511" s="667">
        <v>24.07</v>
      </c>
    </row>
    <row r="4512" spans="1:10" ht="0.95" customHeight="1" thickTop="1">
      <c r="A4512" s="666"/>
      <c r="B4512" s="666"/>
      <c r="C4512" s="666"/>
      <c r="D4512" s="666"/>
      <c r="E4512" s="666"/>
      <c r="F4512" s="666"/>
      <c r="G4512" s="666"/>
      <c r="H4512" s="666"/>
      <c r="I4512" s="666"/>
      <c r="J4512" s="666"/>
    </row>
    <row r="4513" spans="1:10" ht="18" customHeight="1">
      <c r="A4513" s="686"/>
      <c r="B4513" s="684" t="s">
        <v>13484</v>
      </c>
      <c r="C4513" s="686" t="s">
        <v>13483</v>
      </c>
      <c r="D4513" s="686" t="s">
        <v>13482</v>
      </c>
      <c r="E4513" s="924" t="s">
        <v>13481</v>
      </c>
      <c r="F4513" s="924"/>
      <c r="G4513" s="685" t="s">
        <v>13480</v>
      </c>
      <c r="H4513" s="684" t="s">
        <v>13479</v>
      </c>
      <c r="I4513" s="684" t="s">
        <v>13478</v>
      </c>
      <c r="J4513" s="684" t="s">
        <v>13477</v>
      </c>
    </row>
    <row r="4514" spans="1:10" ht="36" customHeight="1">
      <c r="A4514" s="682" t="s">
        <v>13476</v>
      </c>
      <c r="B4514" s="683" t="s">
        <v>13601</v>
      </c>
      <c r="C4514" s="682" t="s">
        <v>7</v>
      </c>
      <c r="D4514" s="682" t="s">
        <v>1913</v>
      </c>
      <c r="E4514" s="917" t="s">
        <v>13491</v>
      </c>
      <c r="F4514" s="917"/>
      <c r="G4514" s="681" t="s">
        <v>53</v>
      </c>
      <c r="H4514" s="680">
        <v>1</v>
      </c>
      <c r="I4514" s="679">
        <v>14.17</v>
      </c>
      <c r="J4514" s="679">
        <v>14.17</v>
      </c>
    </row>
    <row r="4515" spans="1:10" ht="36" customHeight="1">
      <c r="A4515" s="677" t="s">
        <v>13472</v>
      </c>
      <c r="B4515" s="678" t="s">
        <v>14018</v>
      </c>
      <c r="C4515" s="677" t="s">
        <v>7</v>
      </c>
      <c r="D4515" s="677" t="s">
        <v>1908</v>
      </c>
      <c r="E4515" s="918" t="s">
        <v>13491</v>
      </c>
      <c r="F4515" s="918"/>
      <c r="G4515" s="676" t="s">
        <v>19</v>
      </c>
      <c r="H4515" s="675">
        <v>1</v>
      </c>
      <c r="I4515" s="674">
        <v>0.68</v>
      </c>
      <c r="J4515" s="674">
        <v>0.68</v>
      </c>
    </row>
    <row r="4516" spans="1:10" ht="36" customHeight="1">
      <c r="A4516" s="677" t="s">
        <v>13472</v>
      </c>
      <c r="B4516" s="678" t="s">
        <v>14017</v>
      </c>
      <c r="C4516" s="677" t="s">
        <v>7</v>
      </c>
      <c r="D4516" s="677" t="s">
        <v>1909</v>
      </c>
      <c r="E4516" s="918" t="s">
        <v>13491</v>
      </c>
      <c r="F4516" s="918"/>
      <c r="G4516" s="676" t="s">
        <v>19</v>
      </c>
      <c r="H4516" s="675">
        <v>1</v>
      </c>
      <c r="I4516" s="674">
        <v>0.09</v>
      </c>
      <c r="J4516" s="674">
        <v>0.09</v>
      </c>
    </row>
    <row r="4517" spans="1:10" ht="24" customHeight="1">
      <c r="A4517" s="677" t="s">
        <v>13472</v>
      </c>
      <c r="B4517" s="678" t="s">
        <v>13576</v>
      </c>
      <c r="C4517" s="677" t="s">
        <v>7</v>
      </c>
      <c r="D4517" s="677" t="s">
        <v>159</v>
      </c>
      <c r="E4517" s="918" t="s">
        <v>13470</v>
      </c>
      <c r="F4517" s="918"/>
      <c r="G4517" s="676" t="s">
        <v>19</v>
      </c>
      <c r="H4517" s="675">
        <v>1</v>
      </c>
      <c r="I4517" s="674">
        <v>13.4</v>
      </c>
      <c r="J4517" s="674">
        <v>13.4</v>
      </c>
    </row>
    <row r="4518" spans="1:10" ht="25.5">
      <c r="A4518" s="668"/>
      <c r="B4518" s="668"/>
      <c r="C4518" s="668"/>
      <c r="D4518" s="668"/>
      <c r="E4518" s="668" t="s">
        <v>13463</v>
      </c>
      <c r="F4518" s="667">
        <v>5.6937955000000002</v>
      </c>
      <c r="G4518" s="668" t="s">
        <v>13462</v>
      </c>
      <c r="H4518" s="667">
        <v>4.79</v>
      </c>
      <c r="I4518" s="668" t="s">
        <v>13461</v>
      </c>
      <c r="J4518" s="667">
        <v>10.48</v>
      </c>
    </row>
    <row r="4519" spans="1:10" ht="15" thickBot="1">
      <c r="A4519" s="668"/>
      <c r="B4519" s="668"/>
      <c r="C4519" s="668"/>
      <c r="D4519" s="668"/>
      <c r="E4519" s="668" t="s">
        <v>13460</v>
      </c>
      <c r="F4519" s="667">
        <v>4</v>
      </c>
      <c r="G4519" s="668"/>
      <c r="H4519" s="925" t="s">
        <v>13459</v>
      </c>
      <c r="I4519" s="925"/>
      <c r="J4519" s="667">
        <v>18.170000000000002</v>
      </c>
    </row>
    <row r="4520" spans="1:10" ht="0.95" customHeight="1" thickTop="1">
      <c r="A4520" s="666"/>
      <c r="B4520" s="666"/>
      <c r="C4520" s="666"/>
      <c r="D4520" s="666"/>
      <c r="E4520" s="666"/>
      <c r="F4520" s="666"/>
      <c r="G4520" s="666"/>
      <c r="H4520" s="666"/>
      <c r="I4520" s="666"/>
      <c r="J4520" s="666"/>
    </row>
    <row r="4521" spans="1:10" ht="18" customHeight="1">
      <c r="A4521" s="686"/>
      <c r="B4521" s="684" t="s">
        <v>13484</v>
      </c>
      <c r="C4521" s="686" t="s">
        <v>13483</v>
      </c>
      <c r="D4521" s="686" t="s">
        <v>13482</v>
      </c>
      <c r="E4521" s="924" t="s">
        <v>13481</v>
      </c>
      <c r="F4521" s="924"/>
      <c r="G4521" s="685" t="s">
        <v>13480</v>
      </c>
      <c r="H4521" s="684" t="s">
        <v>13479</v>
      </c>
      <c r="I4521" s="684" t="s">
        <v>13478</v>
      </c>
      <c r="J4521" s="684" t="s">
        <v>13477</v>
      </c>
    </row>
    <row r="4522" spans="1:10" ht="36" customHeight="1">
      <c r="A4522" s="682" t="s">
        <v>13476</v>
      </c>
      <c r="B4522" s="683" t="s">
        <v>13603</v>
      </c>
      <c r="C4522" s="682" t="s">
        <v>7</v>
      </c>
      <c r="D4522" s="682" t="s">
        <v>1912</v>
      </c>
      <c r="E4522" s="917" t="s">
        <v>13491</v>
      </c>
      <c r="F4522" s="917"/>
      <c r="G4522" s="681" t="s">
        <v>38</v>
      </c>
      <c r="H4522" s="680">
        <v>1</v>
      </c>
      <c r="I4522" s="679">
        <v>21.1</v>
      </c>
      <c r="J4522" s="679">
        <v>21.1</v>
      </c>
    </row>
    <row r="4523" spans="1:10" ht="36" customHeight="1">
      <c r="A4523" s="677" t="s">
        <v>13472</v>
      </c>
      <c r="B4523" s="678" t="s">
        <v>14016</v>
      </c>
      <c r="C4523" s="677" t="s">
        <v>7</v>
      </c>
      <c r="D4523" s="677" t="s">
        <v>1910</v>
      </c>
      <c r="E4523" s="918" t="s">
        <v>13491</v>
      </c>
      <c r="F4523" s="918"/>
      <c r="G4523" s="676" t="s">
        <v>19</v>
      </c>
      <c r="H4523" s="675">
        <v>1</v>
      </c>
      <c r="I4523" s="674">
        <v>0.85</v>
      </c>
      <c r="J4523" s="674">
        <v>0.85</v>
      </c>
    </row>
    <row r="4524" spans="1:10" ht="36" customHeight="1">
      <c r="A4524" s="677" t="s">
        <v>13472</v>
      </c>
      <c r="B4524" s="678" t="s">
        <v>14013</v>
      </c>
      <c r="C4524" s="677" t="s">
        <v>7</v>
      </c>
      <c r="D4524" s="677" t="s">
        <v>1911</v>
      </c>
      <c r="E4524" s="918" t="s">
        <v>13491</v>
      </c>
      <c r="F4524" s="918"/>
      <c r="G4524" s="676" t="s">
        <v>19</v>
      </c>
      <c r="H4524" s="675">
        <v>1</v>
      </c>
      <c r="I4524" s="674">
        <v>6.08</v>
      </c>
      <c r="J4524" s="674">
        <v>6.08</v>
      </c>
    </row>
    <row r="4525" spans="1:10" ht="36" customHeight="1">
      <c r="A4525" s="677" t="s">
        <v>13472</v>
      </c>
      <c r="B4525" s="678" t="s">
        <v>14018</v>
      </c>
      <c r="C4525" s="677" t="s">
        <v>7</v>
      </c>
      <c r="D4525" s="677" t="s">
        <v>1908</v>
      </c>
      <c r="E4525" s="918" t="s">
        <v>13491</v>
      </c>
      <c r="F4525" s="918"/>
      <c r="G4525" s="676" t="s">
        <v>19</v>
      </c>
      <c r="H4525" s="675">
        <v>1</v>
      </c>
      <c r="I4525" s="674">
        <v>0.68</v>
      </c>
      <c r="J4525" s="674">
        <v>0.68</v>
      </c>
    </row>
    <row r="4526" spans="1:10" ht="36" customHeight="1">
      <c r="A4526" s="677" t="s">
        <v>13472</v>
      </c>
      <c r="B4526" s="678" t="s">
        <v>14017</v>
      </c>
      <c r="C4526" s="677" t="s">
        <v>7</v>
      </c>
      <c r="D4526" s="677" t="s">
        <v>1909</v>
      </c>
      <c r="E4526" s="918" t="s">
        <v>13491</v>
      </c>
      <c r="F4526" s="918"/>
      <c r="G4526" s="676" t="s">
        <v>19</v>
      </c>
      <c r="H4526" s="675">
        <v>1</v>
      </c>
      <c r="I4526" s="674">
        <v>0.09</v>
      </c>
      <c r="J4526" s="674">
        <v>0.09</v>
      </c>
    </row>
    <row r="4527" spans="1:10" ht="24" customHeight="1">
      <c r="A4527" s="677" t="s">
        <v>13472</v>
      </c>
      <c r="B4527" s="678" t="s">
        <v>13576</v>
      </c>
      <c r="C4527" s="677" t="s">
        <v>7</v>
      </c>
      <c r="D4527" s="677" t="s">
        <v>159</v>
      </c>
      <c r="E4527" s="918" t="s">
        <v>13470</v>
      </c>
      <c r="F4527" s="918"/>
      <c r="G4527" s="676" t="s">
        <v>19</v>
      </c>
      <c r="H4527" s="675">
        <v>1</v>
      </c>
      <c r="I4527" s="674">
        <v>13.4</v>
      </c>
      <c r="J4527" s="674">
        <v>13.4</v>
      </c>
    </row>
    <row r="4528" spans="1:10" ht="25.5">
      <c r="A4528" s="668"/>
      <c r="B4528" s="668"/>
      <c r="C4528" s="668"/>
      <c r="D4528" s="668"/>
      <c r="E4528" s="668" t="s">
        <v>13463</v>
      </c>
      <c r="F4528" s="667">
        <v>5.6937955000000002</v>
      </c>
      <c r="G4528" s="668" t="s">
        <v>13462</v>
      </c>
      <c r="H4528" s="667">
        <v>4.79</v>
      </c>
      <c r="I4528" s="668" t="s">
        <v>13461</v>
      </c>
      <c r="J4528" s="667">
        <v>10.48</v>
      </c>
    </row>
    <row r="4529" spans="1:10" ht="15" thickBot="1">
      <c r="A4529" s="668"/>
      <c r="B4529" s="668"/>
      <c r="C4529" s="668"/>
      <c r="D4529" s="668"/>
      <c r="E4529" s="668" t="s">
        <v>13460</v>
      </c>
      <c r="F4529" s="667">
        <v>5.95</v>
      </c>
      <c r="G4529" s="668"/>
      <c r="H4529" s="925" t="s">
        <v>13459</v>
      </c>
      <c r="I4529" s="925"/>
      <c r="J4529" s="667">
        <v>27.05</v>
      </c>
    </row>
    <row r="4530" spans="1:10" ht="0.95" customHeight="1" thickTop="1">
      <c r="A4530" s="666"/>
      <c r="B4530" s="666"/>
      <c r="C4530" s="666"/>
      <c r="D4530" s="666"/>
      <c r="E4530" s="666"/>
      <c r="F4530" s="666"/>
      <c r="G4530" s="666"/>
      <c r="H4530" s="666"/>
      <c r="I4530" s="666"/>
      <c r="J4530" s="666"/>
    </row>
    <row r="4531" spans="1:10" ht="18" customHeight="1">
      <c r="A4531" s="686"/>
      <c r="B4531" s="684" t="s">
        <v>13484</v>
      </c>
      <c r="C4531" s="686" t="s">
        <v>13483</v>
      </c>
      <c r="D4531" s="686" t="s">
        <v>13482</v>
      </c>
      <c r="E4531" s="924" t="s">
        <v>13481</v>
      </c>
      <c r="F4531" s="924"/>
      <c r="G4531" s="685" t="s">
        <v>13480</v>
      </c>
      <c r="H4531" s="684" t="s">
        <v>13479</v>
      </c>
      <c r="I4531" s="684" t="s">
        <v>13478</v>
      </c>
      <c r="J4531" s="684" t="s">
        <v>13477</v>
      </c>
    </row>
    <row r="4532" spans="1:10" ht="36" customHeight="1">
      <c r="A4532" s="682" t="s">
        <v>13476</v>
      </c>
      <c r="B4532" s="683" t="s">
        <v>14018</v>
      </c>
      <c r="C4532" s="682" t="s">
        <v>7</v>
      </c>
      <c r="D4532" s="682" t="s">
        <v>1908</v>
      </c>
      <c r="E4532" s="917" t="s">
        <v>13491</v>
      </c>
      <c r="F4532" s="917"/>
      <c r="G4532" s="681" t="s">
        <v>19</v>
      </c>
      <c r="H4532" s="680">
        <v>1</v>
      </c>
      <c r="I4532" s="679">
        <v>0.68</v>
      </c>
      <c r="J4532" s="679">
        <v>0.68</v>
      </c>
    </row>
    <row r="4533" spans="1:10" ht="24" customHeight="1">
      <c r="A4533" s="672" t="s">
        <v>13467</v>
      </c>
      <c r="B4533" s="673" t="s">
        <v>14015</v>
      </c>
      <c r="C4533" s="672" t="s">
        <v>7</v>
      </c>
      <c r="D4533" s="672" t="s">
        <v>14014</v>
      </c>
      <c r="E4533" s="919" t="s">
        <v>13493</v>
      </c>
      <c r="F4533" s="919"/>
      <c r="G4533" s="671" t="s">
        <v>34</v>
      </c>
      <c r="H4533" s="670">
        <v>5.3300000000000001E-5</v>
      </c>
      <c r="I4533" s="669">
        <v>12886.33</v>
      </c>
      <c r="J4533" s="669">
        <v>0.68</v>
      </c>
    </row>
    <row r="4534" spans="1:10" ht="25.5">
      <c r="A4534" s="668"/>
      <c r="B4534" s="668"/>
      <c r="C4534" s="668"/>
      <c r="D4534" s="668"/>
      <c r="E4534" s="668" t="s">
        <v>13463</v>
      </c>
      <c r="F4534" s="667">
        <v>0</v>
      </c>
      <c r="G4534" s="668" t="s">
        <v>13462</v>
      </c>
      <c r="H4534" s="667">
        <v>0</v>
      </c>
      <c r="I4534" s="668" t="s">
        <v>13461</v>
      </c>
      <c r="J4534" s="667">
        <v>0</v>
      </c>
    </row>
    <row r="4535" spans="1:10" ht="15" thickBot="1">
      <c r="A4535" s="668"/>
      <c r="B4535" s="668"/>
      <c r="C4535" s="668"/>
      <c r="D4535" s="668"/>
      <c r="E4535" s="668" t="s">
        <v>13460</v>
      </c>
      <c r="F4535" s="667">
        <v>0.19</v>
      </c>
      <c r="G4535" s="668"/>
      <c r="H4535" s="925" t="s">
        <v>13459</v>
      </c>
      <c r="I4535" s="925"/>
      <c r="J4535" s="667">
        <v>0.87</v>
      </c>
    </row>
    <row r="4536" spans="1:10" ht="0.95" customHeight="1" thickTop="1">
      <c r="A4536" s="666"/>
      <c r="B4536" s="666"/>
      <c r="C4536" s="666"/>
      <c r="D4536" s="666"/>
      <c r="E4536" s="666"/>
      <c r="F4536" s="666"/>
      <c r="G4536" s="666"/>
      <c r="H4536" s="666"/>
      <c r="I4536" s="666"/>
      <c r="J4536" s="666"/>
    </row>
    <row r="4537" spans="1:10" ht="18" customHeight="1">
      <c r="A4537" s="686"/>
      <c r="B4537" s="684" t="s">
        <v>13484</v>
      </c>
      <c r="C4537" s="686" t="s">
        <v>13483</v>
      </c>
      <c r="D4537" s="686" t="s">
        <v>13482</v>
      </c>
      <c r="E4537" s="924" t="s">
        <v>13481</v>
      </c>
      <c r="F4537" s="924"/>
      <c r="G4537" s="685" t="s">
        <v>13480</v>
      </c>
      <c r="H4537" s="684" t="s">
        <v>13479</v>
      </c>
      <c r="I4537" s="684" t="s">
        <v>13478</v>
      </c>
      <c r="J4537" s="684" t="s">
        <v>13477</v>
      </c>
    </row>
    <row r="4538" spans="1:10" ht="36" customHeight="1">
      <c r="A4538" s="682" t="s">
        <v>13476</v>
      </c>
      <c r="B4538" s="683" t="s">
        <v>14017</v>
      </c>
      <c r="C4538" s="682" t="s">
        <v>7</v>
      </c>
      <c r="D4538" s="682" t="s">
        <v>1909</v>
      </c>
      <c r="E4538" s="917" t="s">
        <v>13491</v>
      </c>
      <c r="F4538" s="917"/>
      <c r="G4538" s="681" t="s">
        <v>19</v>
      </c>
      <c r="H4538" s="680">
        <v>1</v>
      </c>
      <c r="I4538" s="679">
        <v>0.09</v>
      </c>
      <c r="J4538" s="679">
        <v>0.09</v>
      </c>
    </row>
    <row r="4539" spans="1:10" ht="24" customHeight="1">
      <c r="A4539" s="672" t="s">
        <v>13467</v>
      </c>
      <c r="B4539" s="673" t="s">
        <v>14015</v>
      </c>
      <c r="C4539" s="672" t="s">
        <v>7</v>
      </c>
      <c r="D4539" s="672" t="s">
        <v>14014</v>
      </c>
      <c r="E4539" s="919" t="s">
        <v>13493</v>
      </c>
      <c r="F4539" s="919"/>
      <c r="G4539" s="671" t="s">
        <v>34</v>
      </c>
      <c r="H4539" s="670">
        <v>7.4000000000000003E-6</v>
      </c>
      <c r="I4539" s="669">
        <v>12886.33</v>
      </c>
      <c r="J4539" s="669">
        <v>0.09</v>
      </c>
    </row>
    <row r="4540" spans="1:10" ht="25.5">
      <c r="A4540" s="668"/>
      <c r="B4540" s="668"/>
      <c r="C4540" s="668"/>
      <c r="D4540" s="668"/>
      <c r="E4540" s="668" t="s">
        <v>13463</v>
      </c>
      <c r="F4540" s="667">
        <v>0</v>
      </c>
      <c r="G4540" s="668" t="s">
        <v>13462</v>
      </c>
      <c r="H4540" s="667">
        <v>0</v>
      </c>
      <c r="I4540" s="668" t="s">
        <v>13461</v>
      </c>
      <c r="J4540" s="667">
        <v>0</v>
      </c>
    </row>
    <row r="4541" spans="1:10" ht="15" thickBot="1">
      <c r="A4541" s="668"/>
      <c r="B4541" s="668"/>
      <c r="C4541" s="668"/>
      <c r="D4541" s="668"/>
      <c r="E4541" s="668" t="s">
        <v>13460</v>
      </c>
      <c r="F4541" s="667">
        <v>0.02</v>
      </c>
      <c r="G4541" s="668"/>
      <c r="H4541" s="925" t="s">
        <v>13459</v>
      </c>
      <c r="I4541" s="925"/>
      <c r="J4541" s="667">
        <v>0.11</v>
      </c>
    </row>
    <row r="4542" spans="1:10" ht="0.95" customHeight="1" thickTop="1">
      <c r="A4542" s="666"/>
      <c r="B4542" s="666"/>
      <c r="C4542" s="666"/>
      <c r="D4542" s="666"/>
      <c r="E4542" s="666"/>
      <c r="F4542" s="666"/>
      <c r="G4542" s="666"/>
      <c r="H4542" s="666"/>
      <c r="I4542" s="666"/>
      <c r="J4542" s="666"/>
    </row>
    <row r="4543" spans="1:10" ht="18" customHeight="1">
      <c r="A4543" s="686"/>
      <c r="B4543" s="684" t="s">
        <v>13484</v>
      </c>
      <c r="C4543" s="686" t="s">
        <v>13483</v>
      </c>
      <c r="D4543" s="686" t="s">
        <v>13482</v>
      </c>
      <c r="E4543" s="924" t="s">
        <v>13481</v>
      </c>
      <c r="F4543" s="924"/>
      <c r="G4543" s="685" t="s">
        <v>13480</v>
      </c>
      <c r="H4543" s="684" t="s">
        <v>13479</v>
      </c>
      <c r="I4543" s="684" t="s">
        <v>13478</v>
      </c>
      <c r="J4543" s="684" t="s">
        <v>13477</v>
      </c>
    </row>
    <row r="4544" spans="1:10" ht="36" customHeight="1">
      <c r="A4544" s="682" t="s">
        <v>13476</v>
      </c>
      <c r="B4544" s="683" t="s">
        <v>14016</v>
      </c>
      <c r="C4544" s="682" t="s">
        <v>7</v>
      </c>
      <c r="D4544" s="682" t="s">
        <v>1910</v>
      </c>
      <c r="E4544" s="917" t="s">
        <v>13491</v>
      </c>
      <c r="F4544" s="917"/>
      <c r="G4544" s="681" t="s">
        <v>19</v>
      </c>
      <c r="H4544" s="680">
        <v>1</v>
      </c>
      <c r="I4544" s="679">
        <v>0.85</v>
      </c>
      <c r="J4544" s="679">
        <v>0.85</v>
      </c>
    </row>
    <row r="4545" spans="1:10" ht="24" customHeight="1">
      <c r="A4545" s="672" t="s">
        <v>13467</v>
      </c>
      <c r="B4545" s="673" t="s">
        <v>14015</v>
      </c>
      <c r="C4545" s="672" t="s">
        <v>7</v>
      </c>
      <c r="D4545" s="672" t="s">
        <v>14014</v>
      </c>
      <c r="E4545" s="919" t="s">
        <v>13493</v>
      </c>
      <c r="F4545" s="919"/>
      <c r="G4545" s="671" t="s">
        <v>34</v>
      </c>
      <c r="H4545" s="670">
        <v>6.6699999999999995E-5</v>
      </c>
      <c r="I4545" s="669">
        <v>12886.33</v>
      </c>
      <c r="J4545" s="669">
        <v>0.85</v>
      </c>
    </row>
    <row r="4546" spans="1:10" ht="25.5">
      <c r="A4546" s="668"/>
      <c r="B4546" s="668"/>
      <c r="C4546" s="668"/>
      <c r="D4546" s="668"/>
      <c r="E4546" s="668" t="s">
        <v>13463</v>
      </c>
      <c r="F4546" s="667">
        <v>0</v>
      </c>
      <c r="G4546" s="668" t="s">
        <v>13462</v>
      </c>
      <c r="H4546" s="667">
        <v>0</v>
      </c>
      <c r="I4546" s="668" t="s">
        <v>13461</v>
      </c>
      <c r="J4546" s="667">
        <v>0</v>
      </c>
    </row>
    <row r="4547" spans="1:10" ht="15" thickBot="1">
      <c r="A4547" s="668"/>
      <c r="B4547" s="668"/>
      <c r="C4547" s="668"/>
      <c r="D4547" s="668"/>
      <c r="E4547" s="668" t="s">
        <v>13460</v>
      </c>
      <c r="F4547" s="667">
        <v>0.24</v>
      </c>
      <c r="G4547" s="668"/>
      <c r="H4547" s="925" t="s">
        <v>13459</v>
      </c>
      <c r="I4547" s="925"/>
      <c r="J4547" s="667">
        <v>1.0900000000000001</v>
      </c>
    </row>
    <row r="4548" spans="1:10" ht="0.95" customHeight="1" thickTop="1">
      <c r="A4548" s="666"/>
      <c r="B4548" s="666"/>
      <c r="C4548" s="666"/>
      <c r="D4548" s="666"/>
      <c r="E4548" s="666"/>
      <c r="F4548" s="666"/>
      <c r="G4548" s="666"/>
      <c r="H4548" s="666"/>
      <c r="I4548" s="666"/>
      <c r="J4548" s="666"/>
    </row>
    <row r="4549" spans="1:10" ht="18" customHeight="1">
      <c r="A4549" s="686"/>
      <c r="B4549" s="684" t="s">
        <v>13484</v>
      </c>
      <c r="C4549" s="686" t="s">
        <v>13483</v>
      </c>
      <c r="D4549" s="686" t="s">
        <v>13482</v>
      </c>
      <c r="E4549" s="924" t="s">
        <v>13481</v>
      </c>
      <c r="F4549" s="924"/>
      <c r="G4549" s="685" t="s">
        <v>13480</v>
      </c>
      <c r="H4549" s="684" t="s">
        <v>13479</v>
      </c>
      <c r="I4549" s="684" t="s">
        <v>13478</v>
      </c>
      <c r="J4549" s="684" t="s">
        <v>13477</v>
      </c>
    </row>
    <row r="4550" spans="1:10" ht="36" customHeight="1">
      <c r="A4550" s="682" t="s">
        <v>13476</v>
      </c>
      <c r="B4550" s="683" t="s">
        <v>14013</v>
      </c>
      <c r="C4550" s="682" t="s">
        <v>7</v>
      </c>
      <c r="D4550" s="682" t="s">
        <v>1911</v>
      </c>
      <c r="E4550" s="917" t="s">
        <v>13491</v>
      </c>
      <c r="F4550" s="917"/>
      <c r="G4550" s="681" t="s">
        <v>19</v>
      </c>
      <c r="H4550" s="680">
        <v>1</v>
      </c>
      <c r="I4550" s="679">
        <v>6.08</v>
      </c>
      <c r="J4550" s="679">
        <v>6.08</v>
      </c>
    </row>
    <row r="4551" spans="1:10" ht="24" customHeight="1">
      <c r="A4551" s="672" t="s">
        <v>13467</v>
      </c>
      <c r="B4551" s="673" t="s">
        <v>13621</v>
      </c>
      <c r="C4551" s="672" t="s">
        <v>7</v>
      </c>
      <c r="D4551" s="672" t="s">
        <v>13620</v>
      </c>
      <c r="E4551" s="919" t="s">
        <v>13464</v>
      </c>
      <c r="F4551" s="919"/>
      <c r="G4551" s="671" t="s">
        <v>50</v>
      </c>
      <c r="H4551" s="670">
        <v>1.03</v>
      </c>
      <c r="I4551" s="669">
        <v>5.91</v>
      </c>
      <c r="J4551" s="669">
        <v>6.08</v>
      </c>
    </row>
    <row r="4552" spans="1:10" ht="25.5">
      <c r="A4552" s="668"/>
      <c r="B4552" s="668"/>
      <c r="C4552" s="668"/>
      <c r="D4552" s="668"/>
      <c r="E4552" s="668" t="s">
        <v>13463</v>
      </c>
      <c r="F4552" s="667">
        <v>0</v>
      </c>
      <c r="G4552" s="668" t="s">
        <v>13462</v>
      </c>
      <c r="H4552" s="667">
        <v>0</v>
      </c>
      <c r="I4552" s="668" t="s">
        <v>13461</v>
      </c>
      <c r="J4552" s="667">
        <v>0</v>
      </c>
    </row>
    <row r="4553" spans="1:10" ht="15" thickBot="1">
      <c r="A4553" s="668"/>
      <c r="B4553" s="668"/>
      <c r="C4553" s="668"/>
      <c r="D4553" s="668"/>
      <c r="E4553" s="668" t="s">
        <v>13460</v>
      </c>
      <c r="F4553" s="667">
        <v>1.71</v>
      </c>
      <c r="G4553" s="668"/>
      <c r="H4553" s="925" t="s">
        <v>13459</v>
      </c>
      <c r="I4553" s="925"/>
      <c r="J4553" s="667">
        <v>7.79</v>
      </c>
    </row>
    <row r="4554" spans="1:10" ht="0.95" customHeight="1" thickTop="1">
      <c r="A4554" s="666"/>
      <c r="B4554" s="666"/>
      <c r="C4554" s="666"/>
      <c r="D4554" s="666"/>
      <c r="E4554" s="666"/>
      <c r="F4554" s="666"/>
      <c r="G4554" s="666"/>
      <c r="H4554" s="666"/>
      <c r="I4554" s="666"/>
      <c r="J4554" s="666"/>
    </row>
    <row r="4555" spans="1:10" ht="18" customHeight="1">
      <c r="A4555" s="686"/>
      <c r="B4555" s="684" t="s">
        <v>13484</v>
      </c>
      <c r="C4555" s="686" t="s">
        <v>13483</v>
      </c>
      <c r="D4555" s="686" t="s">
        <v>13482</v>
      </c>
      <c r="E4555" s="924" t="s">
        <v>13481</v>
      </c>
      <c r="F4555" s="924"/>
      <c r="G4555" s="685" t="s">
        <v>13480</v>
      </c>
      <c r="H4555" s="684" t="s">
        <v>13479</v>
      </c>
      <c r="I4555" s="684" t="s">
        <v>13478</v>
      </c>
      <c r="J4555" s="684" t="s">
        <v>13477</v>
      </c>
    </row>
    <row r="4556" spans="1:10" ht="36" customHeight="1">
      <c r="A4556" s="682" t="s">
        <v>13476</v>
      </c>
      <c r="B4556" s="683" t="s">
        <v>14012</v>
      </c>
      <c r="C4556" s="682" t="s">
        <v>7</v>
      </c>
      <c r="D4556" s="682" t="s">
        <v>2705</v>
      </c>
      <c r="E4556" s="917" t="s">
        <v>13491</v>
      </c>
      <c r="F4556" s="917"/>
      <c r="G4556" s="681" t="s">
        <v>53</v>
      </c>
      <c r="H4556" s="680">
        <v>1</v>
      </c>
      <c r="I4556" s="679">
        <v>0.71</v>
      </c>
      <c r="J4556" s="679">
        <v>0.71</v>
      </c>
    </row>
    <row r="4557" spans="1:10" ht="24" customHeight="1">
      <c r="A4557" s="677" t="s">
        <v>13472</v>
      </c>
      <c r="B4557" s="678" t="s">
        <v>14007</v>
      </c>
      <c r="C4557" s="677" t="s">
        <v>7</v>
      </c>
      <c r="D4557" s="677" t="s">
        <v>2701</v>
      </c>
      <c r="E4557" s="918" t="s">
        <v>13491</v>
      </c>
      <c r="F4557" s="918"/>
      <c r="G4557" s="676" t="s">
        <v>19</v>
      </c>
      <c r="H4557" s="675">
        <v>1</v>
      </c>
      <c r="I4557" s="674">
        <v>0.16</v>
      </c>
      <c r="J4557" s="674">
        <v>0.16</v>
      </c>
    </row>
    <row r="4558" spans="1:10" ht="36" customHeight="1">
      <c r="A4558" s="677" t="s">
        <v>13472</v>
      </c>
      <c r="B4558" s="678" t="s">
        <v>14010</v>
      </c>
      <c r="C4558" s="677" t="s">
        <v>7</v>
      </c>
      <c r="D4558" s="677" t="s">
        <v>2700</v>
      </c>
      <c r="E4558" s="918" t="s">
        <v>13491</v>
      </c>
      <c r="F4558" s="918"/>
      <c r="G4558" s="676" t="s">
        <v>19</v>
      </c>
      <c r="H4558" s="675">
        <v>1</v>
      </c>
      <c r="I4558" s="674">
        <v>0.55000000000000004</v>
      </c>
      <c r="J4558" s="674">
        <v>0.55000000000000004</v>
      </c>
    </row>
    <row r="4559" spans="1:10" ht="25.5">
      <c r="A4559" s="668"/>
      <c r="B4559" s="668"/>
      <c r="C4559" s="668"/>
      <c r="D4559" s="668"/>
      <c r="E4559" s="668" t="s">
        <v>13463</v>
      </c>
      <c r="F4559" s="667">
        <v>0</v>
      </c>
      <c r="G4559" s="668" t="s">
        <v>13462</v>
      </c>
      <c r="H4559" s="667">
        <v>0</v>
      </c>
      <c r="I4559" s="668" t="s">
        <v>13461</v>
      </c>
      <c r="J4559" s="667">
        <v>0</v>
      </c>
    </row>
    <row r="4560" spans="1:10" ht="15" thickBot="1">
      <c r="A4560" s="668"/>
      <c r="B4560" s="668"/>
      <c r="C4560" s="668"/>
      <c r="D4560" s="668"/>
      <c r="E4560" s="668" t="s">
        <v>13460</v>
      </c>
      <c r="F4560" s="667">
        <v>0.2</v>
      </c>
      <c r="G4560" s="668"/>
      <c r="H4560" s="925" t="s">
        <v>13459</v>
      </c>
      <c r="I4560" s="925"/>
      <c r="J4560" s="667">
        <v>0.91</v>
      </c>
    </row>
    <row r="4561" spans="1:10" ht="0.95" customHeight="1" thickTop="1">
      <c r="A4561" s="666"/>
      <c r="B4561" s="666"/>
      <c r="C4561" s="666"/>
      <c r="D4561" s="666"/>
      <c r="E4561" s="666"/>
      <c r="F4561" s="666"/>
      <c r="G4561" s="666"/>
      <c r="H4561" s="666"/>
      <c r="I4561" s="666"/>
      <c r="J4561" s="666"/>
    </row>
    <row r="4562" spans="1:10" ht="18" customHeight="1">
      <c r="A4562" s="686"/>
      <c r="B4562" s="684" t="s">
        <v>13484</v>
      </c>
      <c r="C4562" s="686" t="s">
        <v>13483</v>
      </c>
      <c r="D4562" s="686" t="s">
        <v>13482</v>
      </c>
      <c r="E4562" s="924" t="s">
        <v>13481</v>
      </c>
      <c r="F4562" s="924"/>
      <c r="G4562" s="685" t="s">
        <v>13480</v>
      </c>
      <c r="H4562" s="684" t="s">
        <v>13479</v>
      </c>
      <c r="I4562" s="684" t="s">
        <v>13478</v>
      </c>
      <c r="J4562" s="684" t="s">
        <v>13477</v>
      </c>
    </row>
    <row r="4563" spans="1:10" ht="36" customHeight="1">
      <c r="A4563" s="682" t="s">
        <v>13476</v>
      </c>
      <c r="B4563" s="683" t="s">
        <v>14011</v>
      </c>
      <c r="C4563" s="682" t="s">
        <v>7</v>
      </c>
      <c r="D4563" s="682" t="s">
        <v>2704</v>
      </c>
      <c r="E4563" s="917" t="s">
        <v>13491</v>
      </c>
      <c r="F4563" s="917"/>
      <c r="G4563" s="681" t="s">
        <v>38</v>
      </c>
      <c r="H4563" s="680">
        <v>1</v>
      </c>
      <c r="I4563" s="679">
        <v>6.71</v>
      </c>
      <c r="J4563" s="679">
        <v>6.71</v>
      </c>
    </row>
    <row r="4564" spans="1:10" ht="36" customHeight="1">
      <c r="A4564" s="677" t="s">
        <v>13472</v>
      </c>
      <c r="B4564" s="678" t="s">
        <v>14003</v>
      </c>
      <c r="C4564" s="677" t="s">
        <v>7</v>
      </c>
      <c r="D4564" s="677" t="s">
        <v>2703</v>
      </c>
      <c r="E4564" s="918" t="s">
        <v>13491</v>
      </c>
      <c r="F4564" s="918"/>
      <c r="G4564" s="676" t="s">
        <v>19</v>
      </c>
      <c r="H4564" s="675">
        <v>1</v>
      </c>
      <c r="I4564" s="674">
        <v>4.55</v>
      </c>
      <c r="J4564" s="674">
        <v>4.55</v>
      </c>
    </row>
    <row r="4565" spans="1:10" ht="36" customHeight="1">
      <c r="A4565" s="677" t="s">
        <v>13472</v>
      </c>
      <c r="B4565" s="678" t="s">
        <v>14006</v>
      </c>
      <c r="C4565" s="677" t="s">
        <v>7</v>
      </c>
      <c r="D4565" s="677" t="s">
        <v>2702</v>
      </c>
      <c r="E4565" s="918" t="s">
        <v>13491</v>
      </c>
      <c r="F4565" s="918"/>
      <c r="G4565" s="676" t="s">
        <v>19</v>
      </c>
      <c r="H4565" s="675">
        <v>1</v>
      </c>
      <c r="I4565" s="674">
        <v>1.45</v>
      </c>
      <c r="J4565" s="674">
        <v>1.45</v>
      </c>
    </row>
    <row r="4566" spans="1:10" ht="24" customHeight="1">
      <c r="A4566" s="677" t="s">
        <v>13472</v>
      </c>
      <c r="B4566" s="678" t="s">
        <v>14007</v>
      </c>
      <c r="C4566" s="677" t="s">
        <v>7</v>
      </c>
      <c r="D4566" s="677" t="s">
        <v>2701</v>
      </c>
      <c r="E4566" s="918" t="s">
        <v>13491</v>
      </c>
      <c r="F4566" s="918"/>
      <c r="G4566" s="676" t="s">
        <v>19</v>
      </c>
      <c r="H4566" s="675">
        <v>1</v>
      </c>
      <c r="I4566" s="674">
        <v>0.16</v>
      </c>
      <c r="J4566" s="674">
        <v>0.16</v>
      </c>
    </row>
    <row r="4567" spans="1:10" ht="36" customHeight="1">
      <c r="A4567" s="677" t="s">
        <v>13472</v>
      </c>
      <c r="B4567" s="678" t="s">
        <v>14010</v>
      </c>
      <c r="C4567" s="677" t="s">
        <v>7</v>
      </c>
      <c r="D4567" s="677" t="s">
        <v>2700</v>
      </c>
      <c r="E4567" s="918" t="s">
        <v>13491</v>
      </c>
      <c r="F4567" s="918"/>
      <c r="G4567" s="676" t="s">
        <v>19</v>
      </c>
      <c r="H4567" s="675">
        <v>1</v>
      </c>
      <c r="I4567" s="674">
        <v>0.55000000000000004</v>
      </c>
      <c r="J4567" s="674">
        <v>0.55000000000000004</v>
      </c>
    </row>
    <row r="4568" spans="1:10" ht="25.5">
      <c r="A4568" s="668"/>
      <c r="B4568" s="668"/>
      <c r="C4568" s="668"/>
      <c r="D4568" s="668"/>
      <c r="E4568" s="668" t="s">
        <v>13463</v>
      </c>
      <c r="F4568" s="667">
        <v>0</v>
      </c>
      <c r="G4568" s="668" t="s">
        <v>13462</v>
      </c>
      <c r="H4568" s="667">
        <v>0</v>
      </c>
      <c r="I4568" s="668" t="s">
        <v>13461</v>
      </c>
      <c r="J4568" s="667">
        <v>0</v>
      </c>
    </row>
    <row r="4569" spans="1:10" ht="15" thickBot="1">
      <c r="A4569" s="668"/>
      <c r="B4569" s="668"/>
      <c r="C4569" s="668"/>
      <c r="D4569" s="668"/>
      <c r="E4569" s="668" t="s">
        <v>13460</v>
      </c>
      <c r="F4569" s="667">
        <v>1.89</v>
      </c>
      <c r="G4569" s="668"/>
      <c r="H4569" s="925" t="s">
        <v>13459</v>
      </c>
      <c r="I4569" s="925"/>
      <c r="J4569" s="667">
        <v>8.6</v>
      </c>
    </row>
    <row r="4570" spans="1:10" ht="0.95" customHeight="1" thickTop="1">
      <c r="A4570" s="666"/>
      <c r="B4570" s="666"/>
      <c r="C4570" s="666"/>
      <c r="D4570" s="666"/>
      <c r="E4570" s="666"/>
      <c r="F4570" s="666"/>
      <c r="G4570" s="666"/>
      <c r="H4570" s="666"/>
      <c r="I4570" s="666"/>
      <c r="J4570" s="666"/>
    </row>
    <row r="4571" spans="1:10" ht="18" customHeight="1">
      <c r="A4571" s="686"/>
      <c r="B4571" s="684" t="s">
        <v>13484</v>
      </c>
      <c r="C4571" s="686" t="s">
        <v>13483</v>
      </c>
      <c r="D4571" s="686" t="s">
        <v>13482</v>
      </c>
      <c r="E4571" s="924" t="s">
        <v>13481</v>
      </c>
      <c r="F4571" s="924"/>
      <c r="G4571" s="685" t="s">
        <v>13480</v>
      </c>
      <c r="H4571" s="684" t="s">
        <v>13479</v>
      </c>
      <c r="I4571" s="684" t="s">
        <v>13478</v>
      </c>
      <c r="J4571" s="684" t="s">
        <v>13477</v>
      </c>
    </row>
    <row r="4572" spans="1:10" ht="36" customHeight="1">
      <c r="A4572" s="682" t="s">
        <v>13476</v>
      </c>
      <c r="B4572" s="683" t="s">
        <v>14010</v>
      </c>
      <c r="C4572" s="682" t="s">
        <v>7</v>
      </c>
      <c r="D4572" s="682" t="s">
        <v>2700</v>
      </c>
      <c r="E4572" s="917" t="s">
        <v>13491</v>
      </c>
      <c r="F4572" s="917"/>
      <c r="G4572" s="681" t="s">
        <v>19</v>
      </c>
      <c r="H4572" s="680">
        <v>1</v>
      </c>
      <c r="I4572" s="679">
        <v>0.55000000000000004</v>
      </c>
      <c r="J4572" s="679">
        <v>0.55000000000000004</v>
      </c>
    </row>
    <row r="4573" spans="1:10" ht="72" customHeight="1">
      <c r="A4573" s="672" t="s">
        <v>13467</v>
      </c>
      <c r="B4573" s="673" t="s">
        <v>14009</v>
      </c>
      <c r="C4573" s="672" t="s">
        <v>7</v>
      </c>
      <c r="D4573" s="672" t="s">
        <v>14008</v>
      </c>
      <c r="E4573" s="919" t="s">
        <v>13493</v>
      </c>
      <c r="F4573" s="919"/>
      <c r="G4573" s="671" t="s">
        <v>34</v>
      </c>
      <c r="H4573" s="670">
        <v>5.3300000000000001E-5</v>
      </c>
      <c r="I4573" s="669">
        <v>10399.5</v>
      </c>
      <c r="J4573" s="669">
        <v>0.55000000000000004</v>
      </c>
    </row>
    <row r="4574" spans="1:10" ht="25.5">
      <c r="A4574" s="668"/>
      <c r="B4574" s="668"/>
      <c r="C4574" s="668"/>
      <c r="D4574" s="668"/>
      <c r="E4574" s="668" t="s">
        <v>13463</v>
      </c>
      <c r="F4574" s="667">
        <v>0</v>
      </c>
      <c r="G4574" s="668" t="s">
        <v>13462</v>
      </c>
      <c r="H4574" s="667">
        <v>0</v>
      </c>
      <c r="I4574" s="668" t="s">
        <v>13461</v>
      </c>
      <c r="J4574" s="667">
        <v>0</v>
      </c>
    </row>
    <row r="4575" spans="1:10" ht="15" thickBot="1">
      <c r="A4575" s="668"/>
      <c r="B4575" s="668"/>
      <c r="C4575" s="668"/>
      <c r="D4575" s="668"/>
      <c r="E4575" s="668" t="s">
        <v>13460</v>
      </c>
      <c r="F4575" s="667">
        <v>0.15</v>
      </c>
      <c r="G4575" s="668"/>
      <c r="H4575" s="925" t="s">
        <v>13459</v>
      </c>
      <c r="I4575" s="925"/>
      <c r="J4575" s="667">
        <v>0.7</v>
      </c>
    </row>
    <row r="4576" spans="1:10" ht="0.95" customHeight="1" thickTop="1">
      <c r="A4576" s="666"/>
      <c r="B4576" s="666"/>
      <c r="C4576" s="666"/>
      <c r="D4576" s="666"/>
      <c r="E4576" s="666"/>
      <c r="F4576" s="666"/>
      <c r="G4576" s="666"/>
      <c r="H4576" s="666"/>
      <c r="I4576" s="666"/>
      <c r="J4576" s="666"/>
    </row>
    <row r="4577" spans="1:10" ht="18" customHeight="1">
      <c r="A4577" s="686"/>
      <c r="B4577" s="684" t="s">
        <v>13484</v>
      </c>
      <c r="C4577" s="686" t="s">
        <v>13483</v>
      </c>
      <c r="D4577" s="686" t="s">
        <v>13482</v>
      </c>
      <c r="E4577" s="924" t="s">
        <v>13481</v>
      </c>
      <c r="F4577" s="924"/>
      <c r="G4577" s="685" t="s">
        <v>13480</v>
      </c>
      <c r="H4577" s="684" t="s">
        <v>13479</v>
      </c>
      <c r="I4577" s="684" t="s">
        <v>13478</v>
      </c>
      <c r="J4577" s="684" t="s">
        <v>13477</v>
      </c>
    </row>
    <row r="4578" spans="1:10" ht="24" customHeight="1">
      <c r="A4578" s="682" t="s">
        <v>13476</v>
      </c>
      <c r="B4578" s="683" t="s">
        <v>14007</v>
      </c>
      <c r="C4578" s="682" t="s">
        <v>7</v>
      </c>
      <c r="D4578" s="682" t="s">
        <v>2701</v>
      </c>
      <c r="E4578" s="917" t="s">
        <v>13491</v>
      </c>
      <c r="F4578" s="917"/>
      <c r="G4578" s="681" t="s">
        <v>19</v>
      </c>
      <c r="H4578" s="680">
        <v>1</v>
      </c>
      <c r="I4578" s="679">
        <v>0.16</v>
      </c>
      <c r="J4578" s="679">
        <v>0.16</v>
      </c>
    </row>
    <row r="4579" spans="1:10" ht="24" customHeight="1">
      <c r="A4579" s="672" t="s">
        <v>13467</v>
      </c>
      <c r="B4579" s="673" t="s">
        <v>14005</v>
      </c>
      <c r="C4579" s="672" t="s">
        <v>7</v>
      </c>
      <c r="D4579" s="672" t="s">
        <v>14004</v>
      </c>
      <c r="E4579" s="919" t="s">
        <v>13493</v>
      </c>
      <c r="F4579" s="919"/>
      <c r="G4579" s="671" t="s">
        <v>34</v>
      </c>
      <c r="H4579" s="670">
        <v>7.4000000000000003E-6</v>
      </c>
      <c r="I4579" s="669">
        <v>21823.45</v>
      </c>
      <c r="J4579" s="669">
        <v>0.16</v>
      </c>
    </row>
    <row r="4580" spans="1:10" ht="25.5">
      <c r="A4580" s="668"/>
      <c r="B4580" s="668"/>
      <c r="C4580" s="668"/>
      <c r="D4580" s="668"/>
      <c r="E4580" s="668" t="s">
        <v>13463</v>
      </c>
      <c r="F4580" s="667">
        <v>0</v>
      </c>
      <c r="G4580" s="668" t="s">
        <v>13462</v>
      </c>
      <c r="H4580" s="667">
        <v>0</v>
      </c>
      <c r="I4580" s="668" t="s">
        <v>13461</v>
      </c>
      <c r="J4580" s="667">
        <v>0</v>
      </c>
    </row>
    <row r="4581" spans="1:10" ht="15" thickBot="1">
      <c r="A4581" s="668"/>
      <c r="B4581" s="668"/>
      <c r="C4581" s="668"/>
      <c r="D4581" s="668"/>
      <c r="E4581" s="668" t="s">
        <v>13460</v>
      </c>
      <c r="F4581" s="667">
        <v>0.04</v>
      </c>
      <c r="G4581" s="668"/>
      <c r="H4581" s="925" t="s">
        <v>13459</v>
      </c>
      <c r="I4581" s="925"/>
      <c r="J4581" s="667">
        <v>0.2</v>
      </c>
    </row>
    <row r="4582" spans="1:10" ht="0.95" customHeight="1" thickTop="1">
      <c r="A4582" s="666"/>
      <c r="B4582" s="666"/>
      <c r="C4582" s="666"/>
      <c r="D4582" s="666"/>
      <c r="E4582" s="666"/>
      <c r="F4582" s="666"/>
      <c r="G4582" s="666"/>
      <c r="H4582" s="666"/>
      <c r="I4582" s="666"/>
      <c r="J4582" s="666"/>
    </row>
    <row r="4583" spans="1:10" ht="18" customHeight="1">
      <c r="A4583" s="686"/>
      <c r="B4583" s="684" t="s">
        <v>13484</v>
      </c>
      <c r="C4583" s="686" t="s">
        <v>13483</v>
      </c>
      <c r="D4583" s="686" t="s">
        <v>13482</v>
      </c>
      <c r="E4583" s="924" t="s">
        <v>13481</v>
      </c>
      <c r="F4583" s="924"/>
      <c r="G4583" s="685" t="s">
        <v>13480</v>
      </c>
      <c r="H4583" s="684" t="s">
        <v>13479</v>
      </c>
      <c r="I4583" s="684" t="s">
        <v>13478</v>
      </c>
      <c r="J4583" s="684" t="s">
        <v>13477</v>
      </c>
    </row>
    <row r="4584" spans="1:10" ht="36" customHeight="1">
      <c r="A4584" s="682" t="s">
        <v>13476</v>
      </c>
      <c r="B4584" s="683" t="s">
        <v>14006</v>
      </c>
      <c r="C4584" s="682" t="s">
        <v>7</v>
      </c>
      <c r="D4584" s="682" t="s">
        <v>2702</v>
      </c>
      <c r="E4584" s="917" t="s">
        <v>13491</v>
      </c>
      <c r="F4584" s="917"/>
      <c r="G4584" s="681" t="s">
        <v>19</v>
      </c>
      <c r="H4584" s="680">
        <v>1</v>
      </c>
      <c r="I4584" s="679">
        <v>1.45</v>
      </c>
      <c r="J4584" s="679">
        <v>1.45</v>
      </c>
    </row>
    <row r="4585" spans="1:10" ht="24" customHeight="1">
      <c r="A4585" s="672" t="s">
        <v>13467</v>
      </c>
      <c r="B4585" s="673" t="s">
        <v>14005</v>
      </c>
      <c r="C4585" s="672" t="s">
        <v>7</v>
      </c>
      <c r="D4585" s="672" t="s">
        <v>14004</v>
      </c>
      <c r="E4585" s="919" t="s">
        <v>13493</v>
      </c>
      <c r="F4585" s="919"/>
      <c r="G4585" s="671" t="s">
        <v>34</v>
      </c>
      <c r="H4585" s="670">
        <v>6.6699999999999995E-5</v>
      </c>
      <c r="I4585" s="669">
        <v>21823.45</v>
      </c>
      <c r="J4585" s="669">
        <v>1.45</v>
      </c>
    </row>
    <row r="4586" spans="1:10" ht="25.5">
      <c r="A4586" s="668"/>
      <c r="B4586" s="668"/>
      <c r="C4586" s="668"/>
      <c r="D4586" s="668"/>
      <c r="E4586" s="668" t="s">
        <v>13463</v>
      </c>
      <c r="F4586" s="667">
        <v>0</v>
      </c>
      <c r="G4586" s="668" t="s">
        <v>13462</v>
      </c>
      <c r="H4586" s="667">
        <v>0</v>
      </c>
      <c r="I4586" s="668" t="s">
        <v>13461</v>
      </c>
      <c r="J4586" s="667">
        <v>0</v>
      </c>
    </row>
    <row r="4587" spans="1:10" ht="15" thickBot="1">
      <c r="A4587" s="668"/>
      <c r="B4587" s="668"/>
      <c r="C4587" s="668"/>
      <c r="D4587" s="668"/>
      <c r="E4587" s="668" t="s">
        <v>13460</v>
      </c>
      <c r="F4587" s="667">
        <v>0.4</v>
      </c>
      <c r="G4587" s="668"/>
      <c r="H4587" s="925" t="s">
        <v>13459</v>
      </c>
      <c r="I4587" s="925"/>
      <c r="J4587" s="667">
        <v>1.85</v>
      </c>
    </row>
    <row r="4588" spans="1:10" ht="0.95" customHeight="1" thickTop="1">
      <c r="A4588" s="666"/>
      <c r="B4588" s="666"/>
      <c r="C4588" s="666"/>
      <c r="D4588" s="666"/>
      <c r="E4588" s="666"/>
      <c r="F4588" s="666"/>
      <c r="G4588" s="666"/>
      <c r="H4588" s="666"/>
      <c r="I4588" s="666"/>
      <c r="J4588" s="666"/>
    </row>
    <row r="4589" spans="1:10" ht="18" customHeight="1">
      <c r="A4589" s="686"/>
      <c r="B4589" s="684" t="s">
        <v>13484</v>
      </c>
      <c r="C4589" s="686" t="s">
        <v>13483</v>
      </c>
      <c r="D4589" s="686" t="s">
        <v>13482</v>
      </c>
      <c r="E4589" s="924" t="s">
        <v>13481</v>
      </c>
      <c r="F4589" s="924"/>
      <c r="G4589" s="685" t="s">
        <v>13480</v>
      </c>
      <c r="H4589" s="684" t="s">
        <v>13479</v>
      </c>
      <c r="I4589" s="684" t="s">
        <v>13478</v>
      </c>
      <c r="J4589" s="684" t="s">
        <v>13477</v>
      </c>
    </row>
    <row r="4590" spans="1:10" ht="36" customHeight="1">
      <c r="A4590" s="682" t="s">
        <v>13476</v>
      </c>
      <c r="B4590" s="683" t="s">
        <v>14003</v>
      </c>
      <c r="C4590" s="682" t="s">
        <v>7</v>
      </c>
      <c r="D4590" s="682" t="s">
        <v>2703</v>
      </c>
      <c r="E4590" s="917" t="s">
        <v>13491</v>
      </c>
      <c r="F4590" s="917"/>
      <c r="G4590" s="681" t="s">
        <v>19</v>
      </c>
      <c r="H4590" s="680">
        <v>1</v>
      </c>
      <c r="I4590" s="679">
        <v>4.55</v>
      </c>
      <c r="J4590" s="679">
        <v>4.55</v>
      </c>
    </row>
    <row r="4591" spans="1:10" ht="24" customHeight="1">
      <c r="A4591" s="672" t="s">
        <v>13467</v>
      </c>
      <c r="B4591" s="673" t="s">
        <v>13621</v>
      </c>
      <c r="C4591" s="672" t="s">
        <v>7</v>
      </c>
      <c r="D4591" s="672" t="s">
        <v>13620</v>
      </c>
      <c r="E4591" s="919" t="s">
        <v>13464</v>
      </c>
      <c r="F4591" s="919"/>
      <c r="G4591" s="671" t="s">
        <v>50</v>
      </c>
      <c r="H4591" s="670">
        <v>0.77</v>
      </c>
      <c r="I4591" s="669">
        <v>5.91</v>
      </c>
      <c r="J4591" s="669">
        <v>4.55</v>
      </c>
    </row>
    <row r="4592" spans="1:10" ht="25.5">
      <c r="A4592" s="668"/>
      <c r="B4592" s="668"/>
      <c r="C4592" s="668"/>
      <c r="D4592" s="668"/>
      <c r="E4592" s="668" t="s">
        <v>13463</v>
      </c>
      <c r="F4592" s="667">
        <v>0</v>
      </c>
      <c r="G4592" s="668" t="s">
        <v>13462</v>
      </c>
      <c r="H4592" s="667">
        <v>0</v>
      </c>
      <c r="I4592" s="668" t="s">
        <v>13461</v>
      </c>
      <c r="J4592" s="667">
        <v>0</v>
      </c>
    </row>
    <row r="4593" spans="1:10" ht="15" thickBot="1">
      <c r="A4593" s="668"/>
      <c r="B4593" s="668"/>
      <c r="C4593" s="668"/>
      <c r="D4593" s="668"/>
      <c r="E4593" s="668" t="s">
        <v>13460</v>
      </c>
      <c r="F4593" s="667">
        <v>1.28</v>
      </c>
      <c r="G4593" s="668"/>
      <c r="H4593" s="925" t="s">
        <v>13459</v>
      </c>
      <c r="I4593" s="925"/>
      <c r="J4593" s="667">
        <v>5.83</v>
      </c>
    </row>
    <row r="4594" spans="1:10" ht="0.95" customHeight="1" thickTop="1">
      <c r="A4594" s="666"/>
      <c r="B4594" s="666"/>
      <c r="C4594" s="666"/>
      <c r="D4594" s="666"/>
      <c r="E4594" s="666"/>
      <c r="F4594" s="666"/>
      <c r="G4594" s="666"/>
      <c r="H4594" s="666"/>
      <c r="I4594" s="666"/>
      <c r="J4594" s="666"/>
    </row>
    <row r="4595" spans="1:10" ht="18" customHeight="1">
      <c r="A4595" s="686"/>
      <c r="B4595" s="684" t="s">
        <v>13484</v>
      </c>
      <c r="C4595" s="686" t="s">
        <v>13483</v>
      </c>
      <c r="D4595" s="686" t="s">
        <v>13482</v>
      </c>
      <c r="E4595" s="924" t="s">
        <v>13481</v>
      </c>
      <c r="F4595" s="924"/>
      <c r="G4595" s="685" t="s">
        <v>13480</v>
      </c>
      <c r="H4595" s="684" t="s">
        <v>13479</v>
      </c>
      <c r="I4595" s="684" t="s">
        <v>13478</v>
      </c>
      <c r="J4595" s="684" t="s">
        <v>13477</v>
      </c>
    </row>
    <row r="4596" spans="1:10" ht="36" customHeight="1">
      <c r="A4596" s="682" t="s">
        <v>13476</v>
      </c>
      <c r="B4596" s="683" t="s">
        <v>14002</v>
      </c>
      <c r="C4596" s="682" t="s">
        <v>7</v>
      </c>
      <c r="D4596" s="682" t="s">
        <v>7010</v>
      </c>
      <c r="E4596" s="917" t="s">
        <v>13646</v>
      </c>
      <c r="F4596" s="917"/>
      <c r="G4596" s="681" t="s">
        <v>13515</v>
      </c>
      <c r="H4596" s="680">
        <v>1</v>
      </c>
      <c r="I4596" s="679">
        <v>360.42</v>
      </c>
      <c r="J4596" s="679">
        <v>360.42</v>
      </c>
    </row>
    <row r="4597" spans="1:10" ht="48" customHeight="1">
      <c r="A4597" s="677" t="s">
        <v>13472</v>
      </c>
      <c r="B4597" s="678" t="s">
        <v>13999</v>
      </c>
      <c r="C4597" s="677" t="s">
        <v>7</v>
      </c>
      <c r="D4597" s="677" t="s">
        <v>1213</v>
      </c>
      <c r="E4597" s="918" t="s">
        <v>13491</v>
      </c>
      <c r="F4597" s="918"/>
      <c r="G4597" s="676" t="s">
        <v>38</v>
      </c>
      <c r="H4597" s="675">
        <v>0.65720000000000001</v>
      </c>
      <c r="I4597" s="674">
        <v>4.71</v>
      </c>
      <c r="J4597" s="674">
        <v>3.09</v>
      </c>
    </row>
    <row r="4598" spans="1:10" ht="48" customHeight="1">
      <c r="A4598" s="677" t="s">
        <v>13472</v>
      </c>
      <c r="B4598" s="678" t="s">
        <v>13998</v>
      </c>
      <c r="C4598" s="677" t="s">
        <v>7</v>
      </c>
      <c r="D4598" s="677" t="s">
        <v>1214</v>
      </c>
      <c r="E4598" s="918" t="s">
        <v>13491</v>
      </c>
      <c r="F4598" s="918"/>
      <c r="G4598" s="676" t="s">
        <v>53</v>
      </c>
      <c r="H4598" s="675">
        <v>0.61970000000000003</v>
      </c>
      <c r="I4598" s="674">
        <v>1.42</v>
      </c>
      <c r="J4598" s="674">
        <v>0.87</v>
      </c>
    </row>
    <row r="4599" spans="1:10" ht="24" customHeight="1">
      <c r="A4599" s="677" t="s">
        <v>13472</v>
      </c>
      <c r="B4599" s="678" t="s">
        <v>13690</v>
      </c>
      <c r="C4599" s="677" t="s">
        <v>7</v>
      </c>
      <c r="D4599" s="677" t="s">
        <v>1097</v>
      </c>
      <c r="E4599" s="918" t="s">
        <v>13470</v>
      </c>
      <c r="F4599" s="918"/>
      <c r="G4599" s="676" t="s">
        <v>19</v>
      </c>
      <c r="H4599" s="675">
        <v>1.2767999999999999</v>
      </c>
      <c r="I4599" s="674">
        <v>12.73</v>
      </c>
      <c r="J4599" s="674">
        <v>16.25</v>
      </c>
    </row>
    <row r="4600" spans="1:10" ht="24" customHeight="1">
      <c r="A4600" s="677" t="s">
        <v>13472</v>
      </c>
      <c r="B4600" s="678" t="s">
        <v>13471</v>
      </c>
      <c r="C4600" s="677" t="s">
        <v>7</v>
      </c>
      <c r="D4600" s="677" t="s">
        <v>21</v>
      </c>
      <c r="E4600" s="918" t="s">
        <v>13470</v>
      </c>
      <c r="F4600" s="918"/>
      <c r="G4600" s="676" t="s">
        <v>19</v>
      </c>
      <c r="H4600" s="675">
        <v>2.0266999999999999</v>
      </c>
      <c r="I4600" s="674">
        <v>14.02</v>
      </c>
      <c r="J4600" s="674">
        <v>28.41</v>
      </c>
    </row>
    <row r="4601" spans="1:10" ht="24" customHeight="1">
      <c r="A4601" s="672" t="s">
        <v>13467</v>
      </c>
      <c r="B4601" s="673" t="s">
        <v>13608</v>
      </c>
      <c r="C4601" s="672" t="s">
        <v>7</v>
      </c>
      <c r="D4601" s="672" t="s">
        <v>13607</v>
      </c>
      <c r="E4601" s="919" t="s">
        <v>13464</v>
      </c>
      <c r="F4601" s="919"/>
      <c r="G4601" s="671" t="s">
        <v>13515</v>
      </c>
      <c r="H4601" s="670">
        <v>0.76090000000000002</v>
      </c>
      <c r="I4601" s="669">
        <v>74.59</v>
      </c>
      <c r="J4601" s="669">
        <v>56.75</v>
      </c>
    </row>
    <row r="4602" spans="1:10" ht="24" customHeight="1">
      <c r="A4602" s="672" t="s">
        <v>13467</v>
      </c>
      <c r="B4602" s="673" t="s">
        <v>13997</v>
      </c>
      <c r="C4602" s="672" t="s">
        <v>7</v>
      </c>
      <c r="D4602" s="672" t="s">
        <v>13996</v>
      </c>
      <c r="E4602" s="919" t="s">
        <v>13464</v>
      </c>
      <c r="F4602" s="919"/>
      <c r="G4602" s="671" t="s">
        <v>17</v>
      </c>
      <c r="H4602" s="670">
        <v>325.15890000000002</v>
      </c>
      <c r="I4602" s="669">
        <v>0.64</v>
      </c>
      <c r="J4602" s="669">
        <v>208.1</v>
      </c>
    </row>
    <row r="4603" spans="1:10" ht="24" customHeight="1">
      <c r="A4603" s="672" t="s">
        <v>13467</v>
      </c>
      <c r="B4603" s="673" t="s">
        <v>13995</v>
      </c>
      <c r="C4603" s="672" t="s">
        <v>7</v>
      </c>
      <c r="D4603" s="672" t="s">
        <v>13994</v>
      </c>
      <c r="E4603" s="919" t="s">
        <v>13464</v>
      </c>
      <c r="F4603" s="919"/>
      <c r="G4603" s="671" t="s">
        <v>13515</v>
      </c>
      <c r="H4603" s="670">
        <v>0.59119999999999995</v>
      </c>
      <c r="I4603" s="669">
        <v>79.430000000000007</v>
      </c>
      <c r="J4603" s="669">
        <v>46.95</v>
      </c>
    </row>
    <row r="4604" spans="1:10" ht="25.5">
      <c r="A4604" s="668"/>
      <c r="B4604" s="668"/>
      <c r="C4604" s="668"/>
      <c r="D4604" s="668"/>
      <c r="E4604" s="668" t="s">
        <v>13463</v>
      </c>
      <c r="F4604" s="667">
        <v>18.162555688362492</v>
      </c>
      <c r="G4604" s="668" t="s">
        <v>13462</v>
      </c>
      <c r="H4604" s="667">
        <v>15.27</v>
      </c>
      <c r="I4604" s="668" t="s">
        <v>13461</v>
      </c>
      <c r="J4604" s="667">
        <v>33.43</v>
      </c>
    </row>
    <row r="4605" spans="1:10" ht="15" thickBot="1">
      <c r="A4605" s="668"/>
      <c r="B4605" s="668"/>
      <c r="C4605" s="668"/>
      <c r="D4605" s="668"/>
      <c r="E4605" s="668" t="s">
        <v>13460</v>
      </c>
      <c r="F4605" s="667">
        <v>101.78</v>
      </c>
      <c r="G4605" s="668"/>
      <c r="H4605" s="925" t="s">
        <v>13459</v>
      </c>
      <c r="I4605" s="925"/>
      <c r="J4605" s="667">
        <v>462.2</v>
      </c>
    </row>
    <row r="4606" spans="1:10" ht="0.95" customHeight="1" thickTop="1">
      <c r="A4606" s="666"/>
      <c r="B4606" s="666"/>
      <c r="C4606" s="666"/>
      <c r="D4606" s="666"/>
      <c r="E4606" s="666"/>
      <c r="F4606" s="666"/>
      <c r="G4606" s="666"/>
      <c r="H4606" s="666"/>
      <c r="I4606" s="666"/>
      <c r="J4606" s="666"/>
    </row>
    <row r="4607" spans="1:10" ht="18" customHeight="1">
      <c r="A4607" s="686"/>
      <c r="B4607" s="684" t="s">
        <v>13484</v>
      </c>
      <c r="C4607" s="686" t="s">
        <v>13483</v>
      </c>
      <c r="D4607" s="686" t="s">
        <v>13482</v>
      </c>
      <c r="E4607" s="924" t="s">
        <v>13481</v>
      </c>
      <c r="F4607" s="924"/>
      <c r="G4607" s="685" t="s">
        <v>13480</v>
      </c>
      <c r="H4607" s="684" t="s">
        <v>13479</v>
      </c>
      <c r="I4607" s="684" t="s">
        <v>13478</v>
      </c>
      <c r="J4607" s="684" t="s">
        <v>13477</v>
      </c>
    </row>
    <row r="4608" spans="1:10" ht="36" customHeight="1">
      <c r="A4608" s="682" t="s">
        <v>13476</v>
      </c>
      <c r="B4608" s="683" t="s">
        <v>13652</v>
      </c>
      <c r="C4608" s="682" t="s">
        <v>7</v>
      </c>
      <c r="D4608" s="682" t="s">
        <v>7012</v>
      </c>
      <c r="E4608" s="917" t="s">
        <v>13646</v>
      </c>
      <c r="F4608" s="917"/>
      <c r="G4608" s="681" t="s">
        <v>13515</v>
      </c>
      <c r="H4608" s="680">
        <v>1</v>
      </c>
      <c r="I4608" s="679">
        <v>397.66</v>
      </c>
      <c r="J4608" s="679">
        <v>397.66</v>
      </c>
    </row>
    <row r="4609" spans="1:10" ht="48" customHeight="1">
      <c r="A4609" s="677" t="s">
        <v>13472</v>
      </c>
      <c r="B4609" s="678" t="s">
        <v>13999</v>
      </c>
      <c r="C4609" s="677" t="s">
        <v>7</v>
      </c>
      <c r="D4609" s="677" t="s">
        <v>1213</v>
      </c>
      <c r="E4609" s="918" t="s">
        <v>13491</v>
      </c>
      <c r="F4609" s="918"/>
      <c r="G4609" s="676" t="s">
        <v>38</v>
      </c>
      <c r="H4609" s="675">
        <v>0.63819999999999999</v>
      </c>
      <c r="I4609" s="674">
        <v>4.71</v>
      </c>
      <c r="J4609" s="674">
        <v>3</v>
      </c>
    </row>
    <row r="4610" spans="1:10" ht="48" customHeight="1">
      <c r="A4610" s="677" t="s">
        <v>13472</v>
      </c>
      <c r="B4610" s="678" t="s">
        <v>13998</v>
      </c>
      <c r="C4610" s="677" t="s">
        <v>7</v>
      </c>
      <c r="D4610" s="677" t="s">
        <v>1214</v>
      </c>
      <c r="E4610" s="918" t="s">
        <v>13491</v>
      </c>
      <c r="F4610" s="918"/>
      <c r="G4610" s="676" t="s">
        <v>53</v>
      </c>
      <c r="H4610" s="675">
        <v>0.6018</v>
      </c>
      <c r="I4610" s="674">
        <v>1.42</v>
      </c>
      <c r="J4610" s="674">
        <v>0.85</v>
      </c>
    </row>
    <row r="4611" spans="1:10" ht="24" customHeight="1">
      <c r="A4611" s="677" t="s">
        <v>13472</v>
      </c>
      <c r="B4611" s="678" t="s">
        <v>13471</v>
      </c>
      <c r="C4611" s="677" t="s">
        <v>7</v>
      </c>
      <c r="D4611" s="677" t="s">
        <v>21</v>
      </c>
      <c r="E4611" s="918" t="s">
        <v>13470</v>
      </c>
      <c r="F4611" s="918"/>
      <c r="G4611" s="676" t="s">
        <v>19</v>
      </c>
      <c r="H4611" s="675">
        <v>1.9633</v>
      </c>
      <c r="I4611" s="674">
        <v>14.02</v>
      </c>
      <c r="J4611" s="674">
        <v>27.52</v>
      </c>
    </row>
    <row r="4612" spans="1:10" ht="24" customHeight="1">
      <c r="A4612" s="677" t="s">
        <v>13472</v>
      </c>
      <c r="B4612" s="678" t="s">
        <v>13690</v>
      </c>
      <c r="C4612" s="677" t="s">
        <v>7</v>
      </c>
      <c r="D4612" s="677" t="s">
        <v>1097</v>
      </c>
      <c r="E4612" s="918" t="s">
        <v>13470</v>
      </c>
      <c r="F4612" s="918"/>
      <c r="G4612" s="676" t="s">
        <v>19</v>
      </c>
      <c r="H4612" s="675">
        <v>1.24</v>
      </c>
      <c r="I4612" s="674">
        <v>12.73</v>
      </c>
      <c r="J4612" s="674">
        <v>15.78</v>
      </c>
    </row>
    <row r="4613" spans="1:10" ht="24" customHeight="1">
      <c r="A4613" s="672" t="s">
        <v>13467</v>
      </c>
      <c r="B4613" s="673" t="s">
        <v>13608</v>
      </c>
      <c r="C4613" s="672" t="s">
        <v>7</v>
      </c>
      <c r="D4613" s="672" t="s">
        <v>13607</v>
      </c>
      <c r="E4613" s="919" t="s">
        <v>13464</v>
      </c>
      <c r="F4613" s="919"/>
      <c r="G4613" s="671" t="s">
        <v>13515</v>
      </c>
      <c r="H4613" s="670">
        <v>0.71189999999999998</v>
      </c>
      <c r="I4613" s="669">
        <v>74.59</v>
      </c>
      <c r="J4613" s="669">
        <v>53.1</v>
      </c>
    </row>
    <row r="4614" spans="1:10" ht="24" customHeight="1">
      <c r="A4614" s="672" t="s">
        <v>13467</v>
      </c>
      <c r="B4614" s="673" t="s">
        <v>13997</v>
      </c>
      <c r="C4614" s="672" t="s">
        <v>7</v>
      </c>
      <c r="D4614" s="672" t="s">
        <v>13996</v>
      </c>
      <c r="E4614" s="919" t="s">
        <v>13464</v>
      </c>
      <c r="F4614" s="919"/>
      <c r="G4614" s="671" t="s">
        <v>17</v>
      </c>
      <c r="H4614" s="670">
        <v>391.16629999999998</v>
      </c>
      <c r="I4614" s="669">
        <v>0.64</v>
      </c>
      <c r="J4614" s="669">
        <v>250.34</v>
      </c>
    </row>
    <row r="4615" spans="1:10" ht="24" customHeight="1">
      <c r="A4615" s="672" t="s">
        <v>13467</v>
      </c>
      <c r="B4615" s="673" t="s">
        <v>13995</v>
      </c>
      <c r="C4615" s="672" t="s">
        <v>7</v>
      </c>
      <c r="D4615" s="672" t="s">
        <v>13994</v>
      </c>
      <c r="E4615" s="919" t="s">
        <v>13464</v>
      </c>
      <c r="F4615" s="919"/>
      <c r="G4615" s="671" t="s">
        <v>13515</v>
      </c>
      <c r="H4615" s="670">
        <v>0.5927</v>
      </c>
      <c r="I4615" s="669">
        <v>79.430000000000007</v>
      </c>
      <c r="J4615" s="669">
        <v>47.07</v>
      </c>
    </row>
    <row r="4616" spans="1:10" ht="25.5">
      <c r="A4616" s="668"/>
      <c r="B4616" s="668"/>
      <c r="C4616" s="668"/>
      <c r="D4616" s="668"/>
      <c r="E4616" s="668" t="s">
        <v>13463</v>
      </c>
      <c r="F4616" s="667">
        <v>17.613821579919591</v>
      </c>
      <c r="G4616" s="668" t="s">
        <v>13462</v>
      </c>
      <c r="H4616" s="667">
        <v>14.81</v>
      </c>
      <c r="I4616" s="668" t="s">
        <v>13461</v>
      </c>
      <c r="J4616" s="667">
        <v>32.42</v>
      </c>
    </row>
    <row r="4617" spans="1:10" ht="15" thickBot="1">
      <c r="A4617" s="668"/>
      <c r="B4617" s="668"/>
      <c r="C4617" s="668"/>
      <c r="D4617" s="668"/>
      <c r="E4617" s="668" t="s">
        <v>13460</v>
      </c>
      <c r="F4617" s="667">
        <v>112.29</v>
      </c>
      <c r="G4617" s="668"/>
      <c r="H4617" s="925" t="s">
        <v>13459</v>
      </c>
      <c r="I4617" s="925"/>
      <c r="J4617" s="667">
        <v>509.95</v>
      </c>
    </row>
    <row r="4618" spans="1:10" ht="0.95" customHeight="1" thickTop="1">
      <c r="A4618" s="666"/>
      <c r="B4618" s="666"/>
      <c r="C4618" s="666"/>
      <c r="D4618" s="666"/>
      <c r="E4618" s="666"/>
      <c r="F4618" s="666"/>
      <c r="G4618" s="666"/>
      <c r="H4618" s="666"/>
      <c r="I4618" s="666"/>
      <c r="J4618" s="666"/>
    </row>
    <row r="4619" spans="1:10" ht="18" customHeight="1">
      <c r="A4619" s="686"/>
      <c r="B4619" s="684" t="s">
        <v>13484</v>
      </c>
      <c r="C4619" s="686" t="s">
        <v>13483</v>
      </c>
      <c r="D4619" s="686" t="s">
        <v>13482</v>
      </c>
      <c r="E4619" s="924" t="s">
        <v>13481</v>
      </c>
      <c r="F4619" s="924"/>
      <c r="G4619" s="685" t="s">
        <v>13480</v>
      </c>
      <c r="H4619" s="684" t="s">
        <v>13479</v>
      </c>
      <c r="I4619" s="684" t="s">
        <v>13478</v>
      </c>
      <c r="J4619" s="684" t="s">
        <v>13477</v>
      </c>
    </row>
    <row r="4620" spans="1:10" ht="36" customHeight="1">
      <c r="A4620" s="682" t="s">
        <v>13476</v>
      </c>
      <c r="B4620" s="683" t="s">
        <v>14001</v>
      </c>
      <c r="C4620" s="682" t="s">
        <v>7</v>
      </c>
      <c r="D4620" s="682" t="s">
        <v>7014</v>
      </c>
      <c r="E4620" s="917" t="s">
        <v>13646</v>
      </c>
      <c r="F4620" s="917"/>
      <c r="G4620" s="681" t="s">
        <v>13515</v>
      </c>
      <c r="H4620" s="680">
        <v>1</v>
      </c>
      <c r="I4620" s="679">
        <v>339.33</v>
      </c>
      <c r="J4620" s="679">
        <v>339.33</v>
      </c>
    </row>
    <row r="4621" spans="1:10" ht="24" customHeight="1">
      <c r="A4621" s="677" t="s">
        <v>13472</v>
      </c>
      <c r="B4621" s="678" t="s">
        <v>13471</v>
      </c>
      <c r="C4621" s="677" t="s">
        <v>7</v>
      </c>
      <c r="D4621" s="677" t="s">
        <v>21</v>
      </c>
      <c r="E4621" s="918" t="s">
        <v>13470</v>
      </c>
      <c r="F4621" s="918"/>
      <c r="G4621" s="676" t="s">
        <v>19</v>
      </c>
      <c r="H4621" s="675">
        <v>6.2858000000000001</v>
      </c>
      <c r="I4621" s="674">
        <v>14.02</v>
      </c>
      <c r="J4621" s="674">
        <v>88.12</v>
      </c>
    </row>
    <row r="4622" spans="1:10" ht="24" customHeight="1">
      <c r="A4622" s="672" t="s">
        <v>13467</v>
      </c>
      <c r="B4622" s="673" t="s">
        <v>13608</v>
      </c>
      <c r="C4622" s="672" t="s">
        <v>7</v>
      </c>
      <c r="D4622" s="672" t="s">
        <v>13607</v>
      </c>
      <c r="E4622" s="919" t="s">
        <v>13464</v>
      </c>
      <c r="F4622" s="919"/>
      <c r="G4622" s="671" t="s">
        <v>13515</v>
      </c>
      <c r="H4622" s="670">
        <v>0.8538</v>
      </c>
      <c r="I4622" s="669">
        <v>74.59</v>
      </c>
      <c r="J4622" s="669">
        <v>63.68</v>
      </c>
    </row>
    <row r="4623" spans="1:10" ht="24" customHeight="1">
      <c r="A4623" s="672" t="s">
        <v>13467</v>
      </c>
      <c r="B4623" s="673" t="s">
        <v>13997</v>
      </c>
      <c r="C4623" s="672" t="s">
        <v>7</v>
      </c>
      <c r="D4623" s="672" t="s">
        <v>13996</v>
      </c>
      <c r="E4623" s="919" t="s">
        <v>13464</v>
      </c>
      <c r="F4623" s="919"/>
      <c r="G4623" s="671" t="s">
        <v>17</v>
      </c>
      <c r="H4623" s="670">
        <v>218.93</v>
      </c>
      <c r="I4623" s="669">
        <v>0.64</v>
      </c>
      <c r="J4623" s="669">
        <v>140.11000000000001</v>
      </c>
    </row>
    <row r="4624" spans="1:10" ht="24" customHeight="1">
      <c r="A4624" s="672" t="s">
        <v>13467</v>
      </c>
      <c r="B4624" s="673" t="s">
        <v>13995</v>
      </c>
      <c r="C4624" s="672" t="s">
        <v>7</v>
      </c>
      <c r="D4624" s="672" t="s">
        <v>13994</v>
      </c>
      <c r="E4624" s="919" t="s">
        <v>13464</v>
      </c>
      <c r="F4624" s="919"/>
      <c r="G4624" s="671" t="s">
        <v>13515</v>
      </c>
      <c r="H4624" s="670">
        <v>0.59709999999999996</v>
      </c>
      <c r="I4624" s="669">
        <v>79.430000000000007</v>
      </c>
      <c r="J4624" s="669">
        <v>47.42</v>
      </c>
    </row>
    <row r="4625" spans="1:10" ht="25.5">
      <c r="A4625" s="668"/>
      <c r="B4625" s="668"/>
      <c r="C4625" s="668"/>
      <c r="D4625" s="668"/>
      <c r="E4625" s="668" t="s">
        <v>13463</v>
      </c>
      <c r="F4625" s="667">
        <v>35.238509181788544</v>
      </c>
      <c r="G4625" s="668" t="s">
        <v>13462</v>
      </c>
      <c r="H4625" s="667">
        <v>29.62</v>
      </c>
      <c r="I4625" s="668" t="s">
        <v>13461</v>
      </c>
      <c r="J4625" s="667">
        <v>64.86</v>
      </c>
    </row>
    <row r="4626" spans="1:10" ht="15" thickBot="1">
      <c r="A4626" s="668"/>
      <c r="B4626" s="668"/>
      <c r="C4626" s="668"/>
      <c r="D4626" s="668"/>
      <c r="E4626" s="668" t="s">
        <v>13460</v>
      </c>
      <c r="F4626" s="667">
        <v>95.82</v>
      </c>
      <c r="G4626" s="668"/>
      <c r="H4626" s="925" t="s">
        <v>13459</v>
      </c>
      <c r="I4626" s="925"/>
      <c r="J4626" s="667">
        <v>435.15</v>
      </c>
    </row>
    <row r="4627" spans="1:10" ht="0.95" customHeight="1" thickTop="1">
      <c r="A4627" s="666"/>
      <c r="B4627" s="666"/>
      <c r="C4627" s="666"/>
      <c r="D4627" s="666"/>
      <c r="E4627" s="666"/>
      <c r="F4627" s="666"/>
      <c r="G4627" s="666"/>
      <c r="H4627" s="666"/>
      <c r="I4627" s="666"/>
      <c r="J4627" s="666"/>
    </row>
    <row r="4628" spans="1:10" ht="18" customHeight="1">
      <c r="A4628" s="686"/>
      <c r="B4628" s="684" t="s">
        <v>13484</v>
      </c>
      <c r="C4628" s="686" t="s">
        <v>13483</v>
      </c>
      <c r="D4628" s="686" t="s">
        <v>13482</v>
      </c>
      <c r="E4628" s="924" t="s">
        <v>13481</v>
      </c>
      <c r="F4628" s="924"/>
      <c r="G4628" s="685" t="s">
        <v>13480</v>
      </c>
      <c r="H4628" s="684" t="s">
        <v>13479</v>
      </c>
      <c r="I4628" s="684" t="s">
        <v>13478</v>
      </c>
      <c r="J4628" s="684" t="s">
        <v>13477</v>
      </c>
    </row>
    <row r="4629" spans="1:10" ht="36" customHeight="1">
      <c r="A4629" s="682" t="s">
        <v>13476</v>
      </c>
      <c r="B4629" s="683" t="s">
        <v>14000</v>
      </c>
      <c r="C4629" s="682" t="s">
        <v>7</v>
      </c>
      <c r="D4629" s="682" t="s">
        <v>7008</v>
      </c>
      <c r="E4629" s="917" t="s">
        <v>13646</v>
      </c>
      <c r="F4629" s="917"/>
      <c r="G4629" s="681" t="s">
        <v>13515</v>
      </c>
      <c r="H4629" s="680">
        <v>1</v>
      </c>
      <c r="I4629" s="679">
        <v>295.51</v>
      </c>
      <c r="J4629" s="679">
        <v>295.51</v>
      </c>
    </row>
    <row r="4630" spans="1:10" ht="48" customHeight="1">
      <c r="A4630" s="677" t="s">
        <v>13472</v>
      </c>
      <c r="B4630" s="678" t="s">
        <v>13999</v>
      </c>
      <c r="C4630" s="677" t="s">
        <v>7</v>
      </c>
      <c r="D4630" s="677" t="s">
        <v>1213</v>
      </c>
      <c r="E4630" s="918" t="s">
        <v>13491</v>
      </c>
      <c r="F4630" s="918"/>
      <c r="G4630" s="676" t="s">
        <v>38</v>
      </c>
      <c r="H4630" s="675">
        <v>0.68530000000000002</v>
      </c>
      <c r="I4630" s="674">
        <v>4.71</v>
      </c>
      <c r="J4630" s="674">
        <v>3.22</v>
      </c>
    </row>
    <row r="4631" spans="1:10" ht="48" customHeight="1">
      <c r="A4631" s="677" t="s">
        <v>13472</v>
      </c>
      <c r="B4631" s="678" t="s">
        <v>13998</v>
      </c>
      <c r="C4631" s="677" t="s">
        <v>7</v>
      </c>
      <c r="D4631" s="677" t="s">
        <v>1214</v>
      </c>
      <c r="E4631" s="918" t="s">
        <v>13491</v>
      </c>
      <c r="F4631" s="918"/>
      <c r="G4631" s="676" t="s">
        <v>53</v>
      </c>
      <c r="H4631" s="675">
        <v>0.6462</v>
      </c>
      <c r="I4631" s="674">
        <v>1.42</v>
      </c>
      <c r="J4631" s="674">
        <v>0.91</v>
      </c>
    </row>
    <row r="4632" spans="1:10" ht="24" customHeight="1">
      <c r="A4632" s="677" t="s">
        <v>13472</v>
      </c>
      <c r="B4632" s="678" t="s">
        <v>13690</v>
      </c>
      <c r="C4632" s="677" t="s">
        <v>7</v>
      </c>
      <c r="D4632" s="677" t="s">
        <v>1097</v>
      </c>
      <c r="E4632" s="918" t="s">
        <v>13470</v>
      </c>
      <c r="F4632" s="918"/>
      <c r="G4632" s="676" t="s">
        <v>19</v>
      </c>
      <c r="H4632" s="675">
        <v>1.3314999999999999</v>
      </c>
      <c r="I4632" s="674">
        <v>12.73</v>
      </c>
      <c r="J4632" s="674">
        <v>16.940000000000001</v>
      </c>
    </row>
    <row r="4633" spans="1:10" ht="24" customHeight="1">
      <c r="A4633" s="677" t="s">
        <v>13472</v>
      </c>
      <c r="B4633" s="678" t="s">
        <v>13471</v>
      </c>
      <c r="C4633" s="677" t="s">
        <v>7</v>
      </c>
      <c r="D4633" s="677" t="s">
        <v>21</v>
      </c>
      <c r="E4633" s="918" t="s">
        <v>13470</v>
      </c>
      <c r="F4633" s="918"/>
      <c r="G4633" s="676" t="s">
        <v>19</v>
      </c>
      <c r="H4633" s="675">
        <v>2.1057999999999999</v>
      </c>
      <c r="I4633" s="674">
        <v>14.02</v>
      </c>
      <c r="J4633" s="674">
        <v>29.52</v>
      </c>
    </row>
    <row r="4634" spans="1:10" ht="24" customHeight="1">
      <c r="A4634" s="672" t="s">
        <v>13467</v>
      </c>
      <c r="B4634" s="673" t="s">
        <v>13608</v>
      </c>
      <c r="C4634" s="672" t="s">
        <v>7</v>
      </c>
      <c r="D4634" s="672" t="s">
        <v>13607</v>
      </c>
      <c r="E4634" s="919" t="s">
        <v>13464</v>
      </c>
      <c r="F4634" s="919"/>
      <c r="G4634" s="671" t="s">
        <v>13515</v>
      </c>
      <c r="H4634" s="670">
        <v>0.83250000000000002</v>
      </c>
      <c r="I4634" s="669">
        <v>74.59</v>
      </c>
      <c r="J4634" s="669">
        <v>62.09</v>
      </c>
    </row>
    <row r="4635" spans="1:10" ht="24" customHeight="1">
      <c r="A4635" s="672" t="s">
        <v>13467</v>
      </c>
      <c r="B4635" s="673" t="s">
        <v>13997</v>
      </c>
      <c r="C4635" s="672" t="s">
        <v>7</v>
      </c>
      <c r="D4635" s="672" t="s">
        <v>13996</v>
      </c>
      <c r="E4635" s="919" t="s">
        <v>13464</v>
      </c>
      <c r="F4635" s="919"/>
      <c r="G4635" s="671" t="s">
        <v>17</v>
      </c>
      <c r="H4635" s="670">
        <v>213.45310000000001</v>
      </c>
      <c r="I4635" s="669">
        <v>0.64</v>
      </c>
      <c r="J4635" s="669">
        <v>136.6</v>
      </c>
    </row>
    <row r="4636" spans="1:10" ht="24" customHeight="1">
      <c r="A4636" s="672" t="s">
        <v>13467</v>
      </c>
      <c r="B4636" s="673" t="s">
        <v>13995</v>
      </c>
      <c r="C4636" s="672" t="s">
        <v>7</v>
      </c>
      <c r="D4636" s="672" t="s">
        <v>13994</v>
      </c>
      <c r="E4636" s="919" t="s">
        <v>13464</v>
      </c>
      <c r="F4636" s="919"/>
      <c r="G4636" s="671" t="s">
        <v>13515</v>
      </c>
      <c r="H4636" s="670">
        <v>0.58209999999999995</v>
      </c>
      <c r="I4636" s="669">
        <v>79.430000000000007</v>
      </c>
      <c r="J4636" s="669">
        <v>46.23</v>
      </c>
    </row>
    <row r="4637" spans="1:10" ht="25.5">
      <c r="A4637" s="668"/>
      <c r="B4637" s="668"/>
      <c r="C4637" s="668"/>
      <c r="D4637" s="668"/>
      <c r="E4637" s="668" t="s">
        <v>13463</v>
      </c>
      <c r="F4637" s="667">
        <v>18.901445180919264</v>
      </c>
      <c r="G4637" s="668" t="s">
        <v>13462</v>
      </c>
      <c r="H4637" s="667">
        <v>15.89</v>
      </c>
      <c r="I4637" s="668" t="s">
        <v>13461</v>
      </c>
      <c r="J4637" s="667">
        <v>34.79</v>
      </c>
    </row>
    <row r="4638" spans="1:10" ht="15" thickBot="1">
      <c r="A4638" s="668"/>
      <c r="B4638" s="668"/>
      <c r="C4638" s="668"/>
      <c r="D4638" s="668"/>
      <c r="E4638" s="668" t="s">
        <v>13460</v>
      </c>
      <c r="F4638" s="667">
        <v>83.45</v>
      </c>
      <c r="G4638" s="668"/>
      <c r="H4638" s="925" t="s">
        <v>13459</v>
      </c>
      <c r="I4638" s="925"/>
      <c r="J4638" s="667">
        <v>378.96</v>
      </c>
    </row>
    <row r="4639" spans="1:10" ht="0.95" customHeight="1" thickTop="1">
      <c r="A4639" s="666"/>
      <c r="B4639" s="666"/>
      <c r="C4639" s="666"/>
      <c r="D4639" s="666"/>
      <c r="E4639" s="666"/>
      <c r="F4639" s="666"/>
      <c r="G4639" s="666"/>
      <c r="H4639" s="666"/>
      <c r="I4639" s="666"/>
      <c r="J4639" s="666"/>
    </row>
    <row r="4640" spans="1:10" ht="18" customHeight="1">
      <c r="A4640" s="686"/>
      <c r="B4640" s="684" t="s">
        <v>13484</v>
      </c>
      <c r="C4640" s="686" t="s">
        <v>13483</v>
      </c>
      <c r="D4640" s="686" t="s">
        <v>13482</v>
      </c>
      <c r="E4640" s="924" t="s">
        <v>13481</v>
      </c>
      <c r="F4640" s="924"/>
      <c r="G4640" s="685" t="s">
        <v>13480</v>
      </c>
      <c r="H4640" s="684" t="s">
        <v>13479</v>
      </c>
      <c r="I4640" s="684" t="s">
        <v>13478</v>
      </c>
      <c r="J4640" s="684" t="s">
        <v>13477</v>
      </c>
    </row>
    <row r="4641" spans="1:10" ht="48" customHeight="1">
      <c r="A4641" s="682" t="s">
        <v>13476</v>
      </c>
      <c r="B4641" s="683" t="s">
        <v>13993</v>
      </c>
      <c r="C4641" s="682" t="s">
        <v>7</v>
      </c>
      <c r="D4641" s="682" t="s">
        <v>1870</v>
      </c>
      <c r="E4641" s="917" t="s">
        <v>13491</v>
      </c>
      <c r="F4641" s="917"/>
      <c r="G4641" s="681" t="s">
        <v>53</v>
      </c>
      <c r="H4641" s="680">
        <v>1</v>
      </c>
      <c r="I4641" s="679">
        <v>1.04</v>
      </c>
      <c r="J4641" s="679">
        <v>1.04</v>
      </c>
    </row>
    <row r="4642" spans="1:10" ht="48" customHeight="1">
      <c r="A4642" s="677" t="s">
        <v>13472</v>
      </c>
      <c r="B4642" s="678" t="s">
        <v>13991</v>
      </c>
      <c r="C4642" s="677" t="s">
        <v>7</v>
      </c>
      <c r="D4642" s="677" t="s">
        <v>1865</v>
      </c>
      <c r="E4642" s="918" t="s">
        <v>13491</v>
      </c>
      <c r="F4642" s="918"/>
      <c r="G4642" s="676" t="s">
        <v>19</v>
      </c>
      <c r="H4642" s="675">
        <v>1</v>
      </c>
      <c r="I4642" s="674">
        <v>0.94</v>
      </c>
      <c r="J4642" s="674">
        <v>0.94</v>
      </c>
    </row>
    <row r="4643" spans="1:10" ht="48" customHeight="1">
      <c r="A4643" s="677" t="s">
        <v>13472</v>
      </c>
      <c r="B4643" s="678" t="s">
        <v>13990</v>
      </c>
      <c r="C4643" s="677" t="s">
        <v>7</v>
      </c>
      <c r="D4643" s="677" t="s">
        <v>1866</v>
      </c>
      <c r="E4643" s="918" t="s">
        <v>13491</v>
      </c>
      <c r="F4643" s="918"/>
      <c r="G4643" s="676" t="s">
        <v>19</v>
      </c>
      <c r="H4643" s="675">
        <v>1</v>
      </c>
      <c r="I4643" s="674">
        <v>0.1</v>
      </c>
      <c r="J4643" s="674">
        <v>0.1</v>
      </c>
    </row>
    <row r="4644" spans="1:10" ht="25.5">
      <c r="A4644" s="668"/>
      <c r="B4644" s="668"/>
      <c r="C4644" s="668"/>
      <c r="D4644" s="668"/>
      <c r="E4644" s="668" t="s">
        <v>13463</v>
      </c>
      <c r="F4644" s="667">
        <v>0</v>
      </c>
      <c r="G4644" s="668" t="s">
        <v>13462</v>
      </c>
      <c r="H4644" s="667">
        <v>0</v>
      </c>
      <c r="I4644" s="668" t="s">
        <v>13461</v>
      </c>
      <c r="J4644" s="667">
        <v>0</v>
      </c>
    </row>
    <row r="4645" spans="1:10" ht="15" thickBot="1">
      <c r="A4645" s="668"/>
      <c r="B4645" s="668"/>
      <c r="C4645" s="668"/>
      <c r="D4645" s="668"/>
      <c r="E4645" s="668" t="s">
        <v>13460</v>
      </c>
      <c r="F4645" s="667">
        <v>0.28999999999999998</v>
      </c>
      <c r="G4645" s="668"/>
      <c r="H4645" s="925" t="s">
        <v>13459</v>
      </c>
      <c r="I4645" s="925"/>
      <c r="J4645" s="667">
        <v>1.33</v>
      </c>
    </row>
    <row r="4646" spans="1:10" ht="0.95" customHeight="1" thickTop="1">
      <c r="A4646" s="666"/>
      <c r="B4646" s="666"/>
      <c r="C4646" s="666"/>
      <c r="D4646" s="666"/>
      <c r="E4646" s="666"/>
      <c r="F4646" s="666"/>
      <c r="G4646" s="666"/>
      <c r="H4646" s="666"/>
      <c r="I4646" s="666"/>
      <c r="J4646" s="666"/>
    </row>
    <row r="4647" spans="1:10" ht="18" customHeight="1">
      <c r="A4647" s="686"/>
      <c r="B4647" s="684" t="s">
        <v>13484</v>
      </c>
      <c r="C4647" s="686" t="s">
        <v>13483</v>
      </c>
      <c r="D4647" s="686" t="s">
        <v>13482</v>
      </c>
      <c r="E4647" s="924" t="s">
        <v>13481</v>
      </c>
      <c r="F4647" s="924"/>
      <c r="G4647" s="685" t="s">
        <v>13480</v>
      </c>
      <c r="H4647" s="684" t="s">
        <v>13479</v>
      </c>
      <c r="I4647" s="684" t="s">
        <v>13478</v>
      </c>
      <c r="J4647" s="684" t="s">
        <v>13477</v>
      </c>
    </row>
    <row r="4648" spans="1:10" ht="48" customHeight="1">
      <c r="A4648" s="682" t="s">
        <v>13476</v>
      </c>
      <c r="B4648" s="683" t="s">
        <v>13992</v>
      </c>
      <c r="C4648" s="682" t="s">
        <v>7</v>
      </c>
      <c r="D4648" s="682" t="s">
        <v>1869</v>
      </c>
      <c r="E4648" s="917" t="s">
        <v>13491</v>
      </c>
      <c r="F4648" s="917"/>
      <c r="G4648" s="681" t="s">
        <v>38</v>
      </c>
      <c r="H4648" s="680">
        <v>1</v>
      </c>
      <c r="I4648" s="679">
        <v>22.27</v>
      </c>
      <c r="J4648" s="679">
        <v>22.27</v>
      </c>
    </row>
    <row r="4649" spans="1:10" ht="48" customHeight="1">
      <c r="A4649" s="677" t="s">
        <v>13472</v>
      </c>
      <c r="B4649" s="678" t="s">
        <v>13991</v>
      </c>
      <c r="C4649" s="677" t="s">
        <v>7</v>
      </c>
      <c r="D4649" s="677" t="s">
        <v>1865</v>
      </c>
      <c r="E4649" s="918" t="s">
        <v>13491</v>
      </c>
      <c r="F4649" s="918"/>
      <c r="G4649" s="676" t="s">
        <v>19</v>
      </c>
      <c r="H4649" s="675">
        <v>1</v>
      </c>
      <c r="I4649" s="674">
        <v>0.94</v>
      </c>
      <c r="J4649" s="674">
        <v>0.94</v>
      </c>
    </row>
    <row r="4650" spans="1:10" ht="60" customHeight="1">
      <c r="A4650" s="677" t="s">
        <v>13472</v>
      </c>
      <c r="B4650" s="678" t="s">
        <v>13984</v>
      </c>
      <c r="C4650" s="677" t="s">
        <v>7</v>
      </c>
      <c r="D4650" s="677" t="s">
        <v>1868</v>
      </c>
      <c r="E4650" s="918" t="s">
        <v>13491</v>
      </c>
      <c r="F4650" s="918"/>
      <c r="G4650" s="676" t="s">
        <v>19</v>
      </c>
      <c r="H4650" s="675">
        <v>1</v>
      </c>
      <c r="I4650" s="674">
        <v>20.059999999999999</v>
      </c>
      <c r="J4650" s="674">
        <v>20.059999999999999</v>
      </c>
    </row>
    <row r="4651" spans="1:10" ht="48" customHeight="1">
      <c r="A4651" s="677" t="s">
        <v>13472</v>
      </c>
      <c r="B4651" s="678" t="s">
        <v>13989</v>
      </c>
      <c r="C4651" s="677" t="s">
        <v>7</v>
      </c>
      <c r="D4651" s="677" t="s">
        <v>1867</v>
      </c>
      <c r="E4651" s="918" t="s">
        <v>13491</v>
      </c>
      <c r="F4651" s="918"/>
      <c r="G4651" s="676" t="s">
        <v>19</v>
      </c>
      <c r="H4651" s="675">
        <v>1</v>
      </c>
      <c r="I4651" s="674">
        <v>1.17</v>
      </c>
      <c r="J4651" s="674">
        <v>1.17</v>
      </c>
    </row>
    <row r="4652" spans="1:10" ht="48" customHeight="1">
      <c r="A4652" s="677" t="s">
        <v>13472</v>
      </c>
      <c r="B4652" s="678" t="s">
        <v>13990</v>
      </c>
      <c r="C4652" s="677" t="s">
        <v>7</v>
      </c>
      <c r="D4652" s="677" t="s">
        <v>1866</v>
      </c>
      <c r="E4652" s="918" t="s">
        <v>13491</v>
      </c>
      <c r="F4652" s="918"/>
      <c r="G4652" s="676" t="s">
        <v>19</v>
      </c>
      <c r="H4652" s="675">
        <v>1</v>
      </c>
      <c r="I4652" s="674">
        <v>0.1</v>
      </c>
      <c r="J4652" s="674">
        <v>0.1</v>
      </c>
    </row>
    <row r="4653" spans="1:10" ht="25.5">
      <c r="A4653" s="668"/>
      <c r="B4653" s="668"/>
      <c r="C4653" s="668"/>
      <c r="D4653" s="668"/>
      <c r="E4653" s="668" t="s">
        <v>13463</v>
      </c>
      <c r="F4653" s="667">
        <v>0</v>
      </c>
      <c r="G4653" s="668" t="s">
        <v>13462</v>
      </c>
      <c r="H4653" s="667">
        <v>0</v>
      </c>
      <c r="I4653" s="668" t="s">
        <v>13461</v>
      </c>
      <c r="J4653" s="667">
        <v>0</v>
      </c>
    </row>
    <row r="4654" spans="1:10" ht="15" thickBot="1">
      <c r="A4654" s="668"/>
      <c r="B4654" s="668"/>
      <c r="C4654" s="668"/>
      <c r="D4654" s="668"/>
      <c r="E4654" s="668" t="s">
        <v>13460</v>
      </c>
      <c r="F4654" s="667">
        <v>6.28</v>
      </c>
      <c r="G4654" s="668"/>
      <c r="H4654" s="925" t="s">
        <v>13459</v>
      </c>
      <c r="I4654" s="925"/>
      <c r="J4654" s="667">
        <v>28.55</v>
      </c>
    </row>
    <row r="4655" spans="1:10" ht="0.95" customHeight="1" thickTop="1">
      <c r="A4655" s="666"/>
      <c r="B4655" s="666"/>
      <c r="C4655" s="666"/>
      <c r="D4655" s="666"/>
      <c r="E4655" s="666"/>
      <c r="F4655" s="666"/>
      <c r="G4655" s="666"/>
      <c r="H4655" s="666"/>
      <c r="I4655" s="666"/>
      <c r="J4655" s="666"/>
    </row>
    <row r="4656" spans="1:10" ht="18" customHeight="1">
      <c r="A4656" s="686"/>
      <c r="B4656" s="684" t="s">
        <v>13484</v>
      </c>
      <c r="C4656" s="686" t="s">
        <v>13483</v>
      </c>
      <c r="D4656" s="686" t="s">
        <v>13482</v>
      </c>
      <c r="E4656" s="924" t="s">
        <v>13481</v>
      </c>
      <c r="F4656" s="924"/>
      <c r="G4656" s="685" t="s">
        <v>13480</v>
      </c>
      <c r="H4656" s="684" t="s">
        <v>13479</v>
      </c>
      <c r="I4656" s="684" t="s">
        <v>13478</v>
      </c>
      <c r="J4656" s="684" t="s">
        <v>13477</v>
      </c>
    </row>
    <row r="4657" spans="1:10" ht="48" customHeight="1">
      <c r="A4657" s="682" t="s">
        <v>13476</v>
      </c>
      <c r="B4657" s="683" t="s">
        <v>13991</v>
      </c>
      <c r="C4657" s="682" t="s">
        <v>7</v>
      </c>
      <c r="D4657" s="682" t="s">
        <v>1865</v>
      </c>
      <c r="E4657" s="917" t="s">
        <v>13491</v>
      </c>
      <c r="F4657" s="917"/>
      <c r="G4657" s="681" t="s">
        <v>19</v>
      </c>
      <c r="H4657" s="680">
        <v>1</v>
      </c>
      <c r="I4657" s="679">
        <v>0.94</v>
      </c>
      <c r="J4657" s="679">
        <v>0.94</v>
      </c>
    </row>
    <row r="4658" spans="1:10" ht="36" customHeight="1">
      <c r="A4658" s="672" t="s">
        <v>13467</v>
      </c>
      <c r="B4658" s="673" t="s">
        <v>13988</v>
      </c>
      <c r="C4658" s="672" t="s">
        <v>7</v>
      </c>
      <c r="D4658" s="672" t="s">
        <v>13987</v>
      </c>
      <c r="E4658" s="919" t="s">
        <v>13493</v>
      </c>
      <c r="F4658" s="919"/>
      <c r="G4658" s="671" t="s">
        <v>34</v>
      </c>
      <c r="H4658" s="670">
        <v>6.3999999999999997E-5</v>
      </c>
      <c r="I4658" s="669">
        <v>14104.3</v>
      </c>
      <c r="J4658" s="669">
        <v>0.9</v>
      </c>
    </row>
    <row r="4659" spans="1:10" ht="24" customHeight="1">
      <c r="A4659" s="672" t="s">
        <v>13467</v>
      </c>
      <c r="B4659" s="673" t="s">
        <v>13986</v>
      </c>
      <c r="C4659" s="672" t="s">
        <v>7</v>
      </c>
      <c r="D4659" s="672" t="s">
        <v>13985</v>
      </c>
      <c r="E4659" s="919" t="s">
        <v>13493</v>
      </c>
      <c r="F4659" s="919"/>
      <c r="G4659" s="671" t="s">
        <v>34</v>
      </c>
      <c r="H4659" s="670">
        <v>6.3999999999999997E-5</v>
      </c>
      <c r="I4659" s="669">
        <v>678.31</v>
      </c>
      <c r="J4659" s="669">
        <v>0.04</v>
      </c>
    </row>
    <row r="4660" spans="1:10" ht="25.5">
      <c r="A4660" s="668"/>
      <c r="B4660" s="668"/>
      <c r="C4660" s="668"/>
      <c r="D4660" s="668"/>
      <c r="E4660" s="668" t="s">
        <v>13463</v>
      </c>
      <c r="F4660" s="667">
        <v>0</v>
      </c>
      <c r="G4660" s="668" t="s">
        <v>13462</v>
      </c>
      <c r="H4660" s="667">
        <v>0</v>
      </c>
      <c r="I4660" s="668" t="s">
        <v>13461</v>
      </c>
      <c r="J4660" s="667">
        <v>0</v>
      </c>
    </row>
    <row r="4661" spans="1:10" ht="15" thickBot="1">
      <c r="A4661" s="668"/>
      <c r="B4661" s="668"/>
      <c r="C4661" s="668"/>
      <c r="D4661" s="668"/>
      <c r="E4661" s="668" t="s">
        <v>13460</v>
      </c>
      <c r="F4661" s="667">
        <v>0.26</v>
      </c>
      <c r="G4661" s="668"/>
      <c r="H4661" s="925" t="s">
        <v>13459</v>
      </c>
      <c r="I4661" s="925"/>
      <c r="J4661" s="667">
        <v>1.2</v>
      </c>
    </row>
    <row r="4662" spans="1:10" ht="0.95" customHeight="1" thickTop="1">
      <c r="A4662" s="666"/>
      <c r="B4662" s="666"/>
      <c r="C4662" s="666"/>
      <c r="D4662" s="666"/>
      <c r="E4662" s="666"/>
      <c r="F4662" s="666"/>
      <c r="G4662" s="666"/>
      <c r="H4662" s="666"/>
      <c r="I4662" s="666"/>
      <c r="J4662" s="666"/>
    </row>
    <row r="4663" spans="1:10" ht="18" customHeight="1">
      <c r="A4663" s="686"/>
      <c r="B4663" s="684" t="s">
        <v>13484</v>
      </c>
      <c r="C4663" s="686" t="s">
        <v>13483</v>
      </c>
      <c r="D4663" s="686" t="s">
        <v>13482</v>
      </c>
      <c r="E4663" s="924" t="s">
        <v>13481</v>
      </c>
      <c r="F4663" s="924"/>
      <c r="G4663" s="685" t="s">
        <v>13480</v>
      </c>
      <c r="H4663" s="684" t="s">
        <v>13479</v>
      </c>
      <c r="I4663" s="684" t="s">
        <v>13478</v>
      </c>
      <c r="J4663" s="684" t="s">
        <v>13477</v>
      </c>
    </row>
    <row r="4664" spans="1:10" ht="48" customHeight="1">
      <c r="A4664" s="682" t="s">
        <v>13476</v>
      </c>
      <c r="B4664" s="683" t="s">
        <v>13990</v>
      </c>
      <c r="C4664" s="682" t="s">
        <v>7</v>
      </c>
      <c r="D4664" s="682" t="s">
        <v>1866</v>
      </c>
      <c r="E4664" s="917" t="s">
        <v>13491</v>
      </c>
      <c r="F4664" s="917"/>
      <c r="G4664" s="681" t="s">
        <v>19</v>
      </c>
      <c r="H4664" s="680">
        <v>1</v>
      </c>
      <c r="I4664" s="679">
        <v>0.1</v>
      </c>
      <c r="J4664" s="679">
        <v>0.1</v>
      </c>
    </row>
    <row r="4665" spans="1:10" ht="36" customHeight="1">
      <c r="A4665" s="672" t="s">
        <v>13467</v>
      </c>
      <c r="B4665" s="673" t="s">
        <v>13988</v>
      </c>
      <c r="C4665" s="672" t="s">
        <v>7</v>
      </c>
      <c r="D4665" s="672" t="s">
        <v>13987</v>
      </c>
      <c r="E4665" s="919" t="s">
        <v>13493</v>
      </c>
      <c r="F4665" s="919"/>
      <c r="G4665" s="671" t="s">
        <v>34</v>
      </c>
      <c r="H4665" s="670">
        <v>7.6000000000000001E-6</v>
      </c>
      <c r="I4665" s="669">
        <v>14104.3</v>
      </c>
      <c r="J4665" s="669">
        <v>0.1</v>
      </c>
    </row>
    <row r="4666" spans="1:10" ht="25.5">
      <c r="A4666" s="668"/>
      <c r="B4666" s="668"/>
      <c r="C4666" s="668"/>
      <c r="D4666" s="668"/>
      <c r="E4666" s="668" t="s">
        <v>13463</v>
      </c>
      <c r="F4666" s="667">
        <v>0</v>
      </c>
      <c r="G4666" s="668" t="s">
        <v>13462</v>
      </c>
      <c r="H4666" s="667">
        <v>0</v>
      </c>
      <c r="I4666" s="668" t="s">
        <v>13461</v>
      </c>
      <c r="J4666" s="667">
        <v>0</v>
      </c>
    </row>
    <row r="4667" spans="1:10" ht="15" thickBot="1">
      <c r="A4667" s="668"/>
      <c r="B4667" s="668"/>
      <c r="C4667" s="668"/>
      <c r="D4667" s="668"/>
      <c r="E4667" s="668" t="s">
        <v>13460</v>
      </c>
      <c r="F4667" s="667">
        <v>0.02</v>
      </c>
      <c r="G4667" s="668"/>
      <c r="H4667" s="925" t="s">
        <v>13459</v>
      </c>
      <c r="I4667" s="925"/>
      <c r="J4667" s="667">
        <v>0.12</v>
      </c>
    </row>
    <row r="4668" spans="1:10" ht="0.95" customHeight="1" thickTop="1">
      <c r="A4668" s="666"/>
      <c r="B4668" s="666"/>
      <c r="C4668" s="666"/>
      <c r="D4668" s="666"/>
      <c r="E4668" s="666"/>
      <c r="F4668" s="666"/>
      <c r="G4668" s="666"/>
      <c r="H4668" s="666"/>
      <c r="I4668" s="666"/>
      <c r="J4668" s="666"/>
    </row>
    <row r="4669" spans="1:10" ht="18" customHeight="1">
      <c r="A4669" s="686"/>
      <c r="B4669" s="684" t="s">
        <v>13484</v>
      </c>
      <c r="C4669" s="686" t="s">
        <v>13483</v>
      </c>
      <c r="D4669" s="686" t="s">
        <v>13482</v>
      </c>
      <c r="E4669" s="924" t="s">
        <v>13481</v>
      </c>
      <c r="F4669" s="924"/>
      <c r="G4669" s="685" t="s">
        <v>13480</v>
      </c>
      <c r="H4669" s="684" t="s">
        <v>13479</v>
      </c>
      <c r="I4669" s="684" t="s">
        <v>13478</v>
      </c>
      <c r="J4669" s="684" t="s">
        <v>13477</v>
      </c>
    </row>
    <row r="4670" spans="1:10" ht="48" customHeight="1">
      <c r="A4670" s="682" t="s">
        <v>13476</v>
      </c>
      <c r="B4670" s="683" t="s">
        <v>13989</v>
      </c>
      <c r="C4670" s="682" t="s">
        <v>7</v>
      </c>
      <c r="D4670" s="682" t="s">
        <v>1867</v>
      </c>
      <c r="E4670" s="917" t="s">
        <v>13491</v>
      </c>
      <c r="F4670" s="917"/>
      <c r="G4670" s="681" t="s">
        <v>19</v>
      </c>
      <c r="H4670" s="680">
        <v>1</v>
      </c>
      <c r="I4670" s="679">
        <v>1.17</v>
      </c>
      <c r="J4670" s="679">
        <v>1.17</v>
      </c>
    </row>
    <row r="4671" spans="1:10" ht="36" customHeight="1">
      <c r="A4671" s="672" t="s">
        <v>13467</v>
      </c>
      <c r="B4671" s="673" t="s">
        <v>13988</v>
      </c>
      <c r="C4671" s="672" t="s">
        <v>7</v>
      </c>
      <c r="D4671" s="672" t="s">
        <v>13987</v>
      </c>
      <c r="E4671" s="919" t="s">
        <v>13493</v>
      </c>
      <c r="F4671" s="919"/>
      <c r="G4671" s="671" t="s">
        <v>34</v>
      </c>
      <c r="H4671" s="670">
        <v>8.0000000000000007E-5</v>
      </c>
      <c r="I4671" s="669">
        <v>14104.3</v>
      </c>
      <c r="J4671" s="669">
        <v>1.1200000000000001</v>
      </c>
    </row>
    <row r="4672" spans="1:10" ht="24" customHeight="1">
      <c r="A4672" s="672" t="s">
        <v>13467</v>
      </c>
      <c r="B4672" s="673" t="s">
        <v>13986</v>
      </c>
      <c r="C4672" s="672" t="s">
        <v>7</v>
      </c>
      <c r="D4672" s="672" t="s">
        <v>13985</v>
      </c>
      <c r="E4672" s="919" t="s">
        <v>13493</v>
      </c>
      <c r="F4672" s="919"/>
      <c r="G4672" s="671" t="s">
        <v>34</v>
      </c>
      <c r="H4672" s="670">
        <v>8.0000000000000007E-5</v>
      </c>
      <c r="I4672" s="669">
        <v>678.31</v>
      </c>
      <c r="J4672" s="669">
        <v>0.05</v>
      </c>
    </row>
    <row r="4673" spans="1:10" ht="25.5">
      <c r="A4673" s="668"/>
      <c r="B4673" s="668"/>
      <c r="C4673" s="668"/>
      <c r="D4673" s="668"/>
      <c r="E4673" s="668" t="s">
        <v>13463</v>
      </c>
      <c r="F4673" s="667">
        <v>0</v>
      </c>
      <c r="G4673" s="668" t="s">
        <v>13462</v>
      </c>
      <c r="H4673" s="667">
        <v>0</v>
      </c>
      <c r="I4673" s="668" t="s">
        <v>13461</v>
      </c>
      <c r="J4673" s="667">
        <v>0</v>
      </c>
    </row>
    <row r="4674" spans="1:10" ht="15" thickBot="1">
      <c r="A4674" s="668"/>
      <c r="B4674" s="668"/>
      <c r="C4674" s="668"/>
      <c r="D4674" s="668"/>
      <c r="E4674" s="668" t="s">
        <v>13460</v>
      </c>
      <c r="F4674" s="667">
        <v>0.33</v>
      </c>
      <c r="G4674" s="668"/>
      <c r="H4674" s="925" t="s">
        <v>13459</v>
      </c>
      <c r="I4674" s="925"/>
      <c r="J4674" s="667">
        <v>1.5</v>
      </c>
    </row>
    <row r="4675" spans="1:10" ht="0.95" customHeight="1" thickTop="1">
      <c r="A4675" s="666"/>
      <c r="B4675" s="666"/>
      <c r="C4675" s="666"/>
      <c r="D4675" s="666"/>
      <c r="E4675" s="666"/>
      <c r="F4675" s="666"/>
      <c r="G4675" s="666"/>
      <c r="H4675" s="666"/>
      <c r="I4675" s="666"/>
      <c r="J4675" s="666"/>
    </row>
    <row r="4676" spans="1:10" ht="18" customHeight="1">
      <c r="A4676" s="686"/>
      <c r="B4676" s="684" t="s">
        <v>13484</v>
      </c>
      <c r="C4676" s="686" t="s">
        <v>13483</v>
      </c>
      <c r="D4676" s="686" t="s">
        <v>13482</v>
      </c>
      <c r="E4676" s="924" t="s">
        <v>13481</v>
      </c>
      <c r="F4676" s="924"/>
      <c r="G4676" s="685" t="s">
        <v>13480</v>
      </c>
      <c r="H4676" s="684" t="s">
        <v>13479</v>
      </c>
      <c r="I4676" s="684" t="s">
        <v>13478</v>
      </c>
      <c r="J4676" s="684" t="s">
        <v>13477</v>
      </c>
    </row>
    <row r="4677" spans="1:10" ht="60" customHeight="1">
      <c r="A4677" s="682" t="s">
        <v>13476</v>
      </c>
      <c r="B4677" s="683" t="s">
        <v>13984</v>
      </c>
      <c r="C4677" s="682" t="s">
        <v>7</v>
      </c>
      <c r="D4677" s="682" t="s">
        <v>1868</v>
      </c>
      <c r="E4677" s="917" t="s">
        <v>13491</v>
      </c>
      <c r="F4677" s="917"/>
      <c r="G4677" s="681" t="s">
        <v>19</v>
      </c>
      <c r="H4677" s="680">
        <v>1</v>
      </c>
      <c r="I4677" s="679">
        <v>20.059999999999999</v>
      </c>
      <c r="J4677" s="679">
        <v>20.059999999999999</v>
      </c>
    </row>
    <row r="4678" spans="1:10" ht="24" customHeight="1">
      <c r="A4678" s="672" t="s">
        <v>13467</v>
      </c>
      <c r="B4678" s="673" t="s">
        <v>13621</v>
      </c>
      <c r="C4678" s="672" t="s">
        <v>7</v>
      </c>
      <c r="D4678" s="672" t="s">
        <v>13620</v>
      </c>
      <c r="E4678" s="919" t="s">
        <v>13464</v>
      </c>
      <c r="F4678" s="919"/>
      <c r="G4678" s="671" t="s">
        <v>50</v>
      </c>
      <c r="H4678" s="670">
        <v>3.395</v>
      </c>
      <c r="I4678" s="669">
        <v>5.91</v>
      </c>
      <c r="J4678" s="669">
        <v>20.059999999999999</v>
      </c>
    </row>
    <row r="4679" spans="1:10" ht="25.5">
      <c r="A4679" s="668"/>
      <c r="B4679" s="668"/>
      <c r="C4679" s="668"/>
      <c r="D4679" s="668"/>
      <c r="E4679" s="668" t="s">
        <v>13463</v>
      </c>
      <c r="F4679" s="667">
        <v>0</v>
      </c>
      <c r="G4679" s="668" t="s">
        <v>13462</v>
      </c>
      <c r="H4679" s="667">
        <v>0</v>
      </c>
      <c r="I4679" s="668" t="s">
        <v>13461</v>
      </c>
      <c r="J4679" s="667">
        <v>0</v>
      </c>
    </row>
    <row r="4680" spans="1:10" ht="15" thickBot="1">
      <c r="A4680" s="668"/>
      <c r="B4680" s="668"/>
      <c r="C4680" s="668"/>
      <c r="D4680" s="668"/>
      <c r="E4680" s="668" t="s">
        <v>13460</v>
      </c>
      <c r="F4680" s="667">
        <v>5.66</v>
      </c>
      <c r="G4680" s="668"/>
      <c r="H4680" s="925" t="s">
        <v>13459</v>
      </c>
      <c r="I4680" s="925"/>
      <c r="J4680" s="667">
        <v>25.72</v>
      </c>
    </row>
    <row r="4681" spans="1:10" ht="0.95" customHeight="1" thickTop="1">
      <c r="A4681" s="666"/>
      <c r="B4681" s="666"/>
      <c r="C4681" s="666"/>
      <c r="D4681" s="666"/>
      <c r="E4681" s="666"/>
      <c r="F4681" s="666"/>
      <c r="G4681" s="666"/>
      <c r="H4681" s="666"/>
      <c r="I4681" s="666"/>
      <c r="J4681" s="666"/>
    </row>
    <row r="4682" spans="1:10" ht="18" customHeight="1">
      <c r="A4682" s="686"/>
      <c r="B4682" s="684" t="s">
        <v>13484</v>
      </c>
      <c r="C4682" s="686" t="s">
        <v>13483</v>
      </c>
      <c r="D4682" s="686" t="s">
        <v>13482</v>
      </c>
      <c r="E4682" s="924" t="s">
        <v>13481</v>
      </c>
      <c r="F4682" s="924"/>
      <c r="G4682" s="685" t="s">
        <v>13480</v>
      </c>
      <c r="H4682" s="684" t="s">
        <v>13479</v>
      </c>
      <c r="I4682" s="684" t="s">
        <v>13478</v>
      </c>
      <c r="J4682" s="684" t="s">
        <v>13477</v>
      </c>
    </row>
    <row r="4683" spans="1:10" ht="36" customHeight="1">
      <c r="A4683" s="682" t="s">
        <v>13476</v>
      </c>
      <c r="B4683" s="683" t="s">
        <v>13983</v>
      </c>
      <c r="C4683" s="682" t="s">
        <v>7</v>
      </c>
      <c r="D4683" s="682" t="s">
        <v>2208</v>
      </c>
      <c r="E4683" s="917" t="s">
        <v>13646</v>
      </c>
      <c r="F4683" s="917"/>
      <c r="G4683" s="681" t="s">
        <v>17</v>
      </c>
      <c r="H4683" s="680">
        <v>1</v>
      </c>
      <c r="I4683" s="679">
        <v>15.43</v>
      </c>
      <c r="J4683" s="679">
        <v>15.43</v>
      </c>
    </row>
    <row r="4684" spans="1:10" ht="24" customHeight="1">
      <c r="A4684" s="677" t="s">
        <v>13472</v>
      </c>
      <c r="B4684" s="678" t="s">
        <v>13724</v>
      </c>
      <c r="C4684" s="677" t="s">
        <v>7</v>
      </c>
      <c r="D4684" s="677" t="s">
        <v>125</v>
      </c>
      <c r="E4684" s="918" t="s">
        <v>13470</v>
      </c>
      <c r="F4684" s="918"/>
      <c r="G4684" s="676" t="s">
        <v>19</v>
      </c>
      <c r="H4684" s="675">
        <v>1.2500000000000001E-2</v>
      </c>
      <c r="I4684" s="674">
        <v>17.579999999999998</v>
      </c>
      <c r="J4684" s="674">
        <v>0.21</v>
      </c>
    </row>
    <row r="4685" spans="1:10" ht="24" customHeight="1">
      <c r="A4685" s="677" t="s">
        <v>13472</v>
      </c>
      <c r="B4685" s="678" t="s">
        <v>13723</v>
      </c>
      <c r="C4685" s="677" t="s">
        <v>7</v>
      </c>
      <c r="D4685" s="677" t="s">
        <v>120</v>
      </c>
      <c r="E4685" s="918" t="s">
        <v>13470</v>
      </c>
      <c r="F4685" s="918"/>
      <c r="G4685" s="676" t="s">
        <v>19</v>
      </c>
      <c r="H4685" s="675">
        <v>1.8E-3</v>
      </c>
      <c r="I4685" s="674">
        <v>13.4</v>
      </c>
      <c r="J4685" s="674">
        <v>0.02</v>
      </c>
    </row>
    <row r="4686" spans="1:10" ht="24" customHeight="1">
      <c r="A4686" s="672" t="s">
        <v>13467</v>
      </c>
      <c r="B4686" s="673" t="s">
        <v>13982</v>
      </c>
      <c r="C4686" s="672" t="s">
        <v>7</v>
      </c>
      <c r="D4686" s="672" t="s">
        <v>13981</v>
      </c>
      <c r="E4686" s="919" t="s">
        <v>13464</v>
      </c>
      <c r="F4686" s="919"/>
      <c r="G4686" s="671" t="s">
        <v>17</v>
      </c>
      <c r="H4686" s="670">
        <v>1.1100000000000001</v>
      </c>
      <c r="I4686" s="669">
        <v>13.7</v>
      </c>
      <c r="J4686" s="669">
        <v>15.2</v>
      </c>
    </row>
    <row r="4687" spans="1:10" ht="25.5">
      <c r="A4687" s="668"/>
      <c r="B4687" s="668"/>
      <c r="C4687" s="668"/>
      <c r="D4687" s="668"/>
      <c r="E4687" s="668" t="s">
        <v>13463</v>
      </c>
      <c r="F4687" s="667">
        <v>9.7794197544279038E-2</v>
      </c>
      <c r="G4687" s="668" t="s">
        <v>13462</v>
      </c>
      <c r="H4687" s="667">
        <v>0.08</v>
      </c>
      <c r="I4687" s="668" t="s">
        <v>13461</v>
      </c>
      <c r="J4687" s="667">
        <v>0.18</v>
      </c>
    </row>
    <row r="4688" spans="1:10" ht="15" thickBot="1">
      <c r="A4688" s="668"/>
      <c r="B4688" s="668"/>
      <c r="C4688" s="668"/>
      <c r="D4688" s="668"/>
      <c r="E4688" s="668" t="s">
        <v>13460</v>
      </c>
      <c r="F4688" s="667">
        <v>4.3499999999999996</v>
      </c>
      <c r="G4688" s="668"/>
      <c r="H4688" s="925" t="s">
        <v>13459</v>
      </c>
      <c r="I4688" s="925"/>
      <c r="J4688" s="667">
        <v>19.78</v>
      </c>
    </row>
    <row r="4689" spans="1:10" ht="0.95" customHeight="1" thickTop="1">
      <c r="A4689" s="666"/>
      <c r="B4689" s="666"/>
      <c r="C4689" s="666"/>
      <c r="D4689" s="666"/>
      <c r="E4689" s="666"/>
      <c r="F4689" s="666"/>
      <c r="G4689" s="666"/>
      <c r="H4689" s="666"/>
      <c r="I4689" s="666"/>
      <c r="J4689" s="666"/>
    </row>
    <row r="4690" spans="1:10" ht="18" customHeight="1">
      <c r="A4690" s="686"/>
      <c r="B4690" s="684" t="s">
        <v>13484</v>
      </c>
      <c r="C4690" s="686" t="s">
        <v>13483</v>
      </c>
      <c r="D4690" s="686" t="s">
        <v>13482</v>
      </c>
      <c r="E4690" s="924" t="s">
        <v>13481</v>
      </c>
      <c r="F4690" s="924"/>
      <c r="G4690" s="685" t="s">
        <v>13480</v>
      </c>
      <c r="H4690" s="684" t="s">
        <v>13479</v>
      </c>
      <c r="I4690" s="684" t="s">
        <v>13478</v>
      </c>
      <c r="J4690" s="684" t="s">
        <v>13477</v>
      </c>
    </row>
    <row r="4691" spans="1:10" ht="36" customHeight="1">
      <c r="A4691" s="682" t="s">
        <v>13476</v>
      </c>
      <c r="B4691" s="683" t="s">
        <v>13980</v>
      </c>
      <c r="C4691" s="682" t="s">
        <v>7</v>
      </c>
      <c r="D4691" s="682" t="s">
        <v>2210</v>
      </c>
      <c r="E4691" s="917" t="s">
        <v>13646</v>
      </c>
      <c r="F4691" s="917"/>
      <c r="G4691" s="681" t="s">
        <v>17</v>
      </c>
      <c r="H4691" s="680">
        <v>1</v>
      </c>
      <c r="I4691" s="679">
        <v>13.23</v>
      </c>
      <c r="J4691" s="679">
        <v>13.23</v>
      </c>
    </row>
    <row r="4692" spans="1:10" ht="24" customHeight="1">
      <c r="A4692" s="677" t="s">
        <v>13472</v>
      </c>
      <c r="B4692" s="678" t="s">
        <v>13724</v>
      </c>
      <c r="C4692" s="677" t="s">
        <v>7</v>
      </c>
      <c r="D4692" s="677" t="s">
        <v>125</v>
      </c>
      <c r="E4692" s="918" t="s">
        <v>13470</v>
      </c>
      <c r="F4692" s="918"/>
      <c r="G4692" s="676" t="s">
        <v>19</v>
      </c>
      <c r="H4692" s="675">
        <v>3.7000000000000002E-3</v>
      </c>
      <c r="I4692" s="674">
        <v>17.579999999999998</v>
      </c>
      <c r="J4692" s="674">
        <v>0.06</v>
      </c>
    </row>
    <row r="4693" spans="1:10" ht="24" customHeight="1">
      <c r="A4693" s="672" t="s">
        <v>13467</v>
      </c>
      <c r="B4693" s="673" t="s">
        <v>13979</v>
      </c>
      <c r="C4693" s="672" t="s">
        <v>7</v>
      </c>
      <c r="D4693" s="672" t="s">
        <v>13978</v>
      </c>
      <c r="E4693" s="919" t="s">
        <v>13464</v>
      </c>
      <c r="F4693" s="919"/>
      <c r="G4693" s="671" t="s">
        <v>17</v>
      </c>
      <c r="H4693" s="670">
        <v>1.1100000000000001</v>
      </c>
      <c r="I4693" s="669">
        <v>11.87</v>
      </c>
      <c r="J4693" s="669">
        <v>13.17</v>
      </c>
    </row>
    <row r="4694" spans="1:10" ht="25.5">
      <c r="A4694" s="668"/>
      <c r="B4694" s="668"/>
      <c r="C4694" s="668"/>
      <c r="D4694" s="668"/>
      <c r="E4694" s="668" t="s">
        <v>13463</v>
      </c>
      <c r="F4694" s="667">
        <v>2.7165054873410845E-2</v>
      </c>
      <c r="G4694" s="668" t="s">
        <v>13462</v>
      </c>
      <c r="H4694" s="667">
        <v>0.02</v>
      </c>
      <c r="I4694" s="668" t="s">
        <v>13461</v>
      </c>
      <c r="J4694" s="667">
        <v>0.05</v>
      </c>
    </row>
    <row r="4695" spans="1:10" ht="15" thickBot="1">
      <c r="A4695" s="668"/>
      <c r="B4695" s="668"/>
      <c r="C4695" s="668"/>
      <c r="D4695" s="668"/>
      <c r="E4695" s="668" t="s">
        <v>13460</v>
      </c>
      <c r="F4695" s="667">
        <v>3.73</v>
      </c>
      <c r="G4695" s="668"/>
      <c r="H4695" s="925" t="s">
        <v>13459</v>
      </c>
      <c r="I4695" s="925"/>
      <c r="J4695" s="667">
        <v>16.96</v>
      </c>
    </row>
    <row r="4696" spans="1:10" ht="0.95" customHeight="1" thickTop="1">
      <c r="A4696" s="666"/>
      <c r="B4696" s="666"/>
      <c r="C4696" s="666"/>
      <c r="D4696" s="666"/>
      <c r="E4696" s="666"/>
      <c r="F4696" s="666"/>
      <c r="G4696" s="666"/>
      <c r="H4696" s="666"/>
      <c r="I4696" s="666"/>
      <c r="J4696" s="666"/>
    </row>
    <row r="4697" spans="1:10" ht="18" customHeight="1">
      <c r="A4697" s="686"/>
      <c r="B4697" s="684" t="s">
        <v>13484</v>
      </c>
      <c r="C4697" s="686" t="s">
        <v>13483</v>
      </c>
      <c r="D4697" s="686" t="s">
        <v>13482</v>
      </c>
      <c r="E4697" s="924" t="s">
        <v>13481</v>
      </c>
      <c r="F4697" s="924"/>
      <c r="G4697" s="685" t="s">
        <v>13480</v>
      </c>
      <c r="H4697" s="684" t="s">
        <v>13479</v>
      </c>
      <c r="I4697" s="684" t="s">
        <v>13478</v>
      </c>
      <c r="J4697" s="684" t="s">
        <v>13477</v>
      </c>
    </row>
    <row r="4698" spans="1:10" ht="36" customHeight="1">
      <c r="A4698" s="682" t="s">
        <v>13476</v>
      </c>
      <c r="B4698" s="683" t="s">
        <v>13977</v>
      </c>
      <c r="C4698" s="682" t="s">
        <v>7</v>
      </c>
      <c r="D4698" s="682" t="s">
        <v>2207</v>
      </c>
      <c r="E4698" s="917" t="s">
        <v>13646</v>
      </c>
      <c r="F4698" s="917"/>
      <c r="G4698" s="681" t="s">
        <v>17</v>
      </c>
      <c r="H4698" s="680">
        <v>1</v>
      </c>
      <c r="I4698" s="679">
        <v>16.559999999999999</v>
      </c>
      <c r="J4698" s="679">
        <v>16.559999999999999</v>
      </c>
    </row>
    <row r="4699" spans="1:10" ht="24" customHeight="1">
      <c r="A4699" s="677" t="s">
        <v>13472</v>
      </c>
      <c r="B4699" s="678" t="s">
        <v>13724</v>
      </c>
      <c r="C4699" s="677" t="s">
        <v>7</v>
      </c>
      <c r="D4699" s="677" t="s">
        <v>125</v>
      </c>
      <c r="E4699" s="918" t="s">
        <v>13470</v>
      </c>
      <c r="F4699" s="918"/>
      <c r="G4699" s="676" t="s">
        <v>19</v>
      </c>
      <c r="H4699" s="675">
        <v>2.24E-2</v>
      </c>
      <c r="I4699" s="674">
        <v>17.579999999999998</v>
      </c>
      <c r="J4699" s="674">
        <v>0.39</v>
      </c>
    </row>
    <row r="4700" spans="1:10" ht="24" customHeight="1">
      <c r="A4700" s="677" t="s">
        <v>13472</v>
      </c>
      <c r="B4700" s="678" t="s">
        <v>13723</v>
      </c>
      <c r="C4700" s="677" t="s">
        <v>7</v>
      </c>
      <c r="D4700" s="677" t="s">
        <v>120</v>
      </c>
      <c r="E4700" s="918" t="s">
        <v>13470</v>
      </c>
      <c r="F4700" s="918"/>
      <c r="G4700" s="676" t="s">
        <v>19</v>
      </c>
      <c r="H4700" s="675">
        <v>3.2000000000000002E-3</v>
      </c>
      <c r="I4700" s="674">
        <v>13.4</v>
      </c>
      <c r="J4700" s="674">
        <v>0.04</v>
      </c>
    </row>
    <row r="4701" spans="1:10" ht="24" customHeight="1">
      <c r="A4701" s="672" t="s">
        <v>13467</v>
      </c>
      <c r="B4701" s="673" t="s">
        <v>13976</v>
      </c>
      <c r="C4701" s="672" t="s">
        <v>7</v>
      </c>
      <c r="D4701" s="672" t="s">
        <v>13975</v>
      </c>
      <c r="E4701" s="919" t="s">
        <v>13464</v>
      </c>
      <c r="F4701" s="919"/>
      <c r="G4701" s="671" t="s">
        <v>17</v>
      </c>
      <c r="H4701" s="670">
        <v>1.1100000000000001</v>
      </c>
      <c r="I4701" s="669">
        <v>14.54</v>
      </c>
      <c r="J4701" s="669">
        <v>16.13</v>
      </c>
    </row>
    <row r="4702" spans="1:10" ht="25.5">
      <c r="A4702" s="668"/>
      <c r="B4702" s="668"/>
      <c r="C4702" s="668"/>
      <c r="D4702" s="668"/>
      <c r="E4702" s="668" t="s">
        <v>13463</v>
      </c>
      <c r="F4702" s="667">
        <v>0.17928936216451158</v>
      </c>
      <c r="G4702" s="668" t="s">
        <v>13462</v>
      </c>
      <c r="H4702" s="667">
        <v>0.15</v>
      </c>
      <c r="I4702" s="668" t="s">
        <v>13461</v>
      </c>
      <c r="J4702" s="667">
        <v>0.33</v>
      </c>
    </row>
    <row r="4703" spans="1:10" ht="15" thickBot="1">
      <c r="A4703" s="668"/>
      <c r="B4703" s="668"/>
      <c r="C4703" s="668"/>
      <c r="D4703" s="668"/>
      <c r="E4703" s="668" t="s">
        <v>13460</v>
      </c>
      <c r="F4703" s="667">
        <v>4.67</v>
      </c>
      <c r="G4703" s="668"/>
      <c r="H4703" s="925" t="s">
        <v>13459</v>
      </c>
      <c r="I4703" s="925"/>
      <c r="J4703" s="667">
        <v>21.23</v>
      </c>
    </row>
    <row r="4704" spans="1:10" ht="0.95" customHeight="1" thickTop="1">
      <c r="A4704" s="666"/>
      <c r="B4704" s="666"/>
      <c r="C4704" s="666"/>
      <c r="D4704" s="666"/>
      <c r="E4704" s="666"/>
      <c r="F4704" s="666"/>
      <c r="G4704" s="666"/>
      <c r="H4704" s="666"/>
      <c r="I4704" s="666"/>
      <c r="J4704" s="666"/>
    </row>
    <row r="4705" spans="1:10" ht="18" customHeight="1">
      <c r="A4705" s="686"/>
      <c r="B4705" s="684" t="s">
        <v>13484</v>
      </c>
      <c r="C4705" s="686" t="s">
        <v>13483</v>
      </c>
      <c r="D4705" s="686" t="s">
        <v>13482</v>
      </c>
      <c r="E4705" s="924" t="s">
        <v>13481</v>
      </c>
      <c r="F4705" s="924"/>
      <c r="G4705" s="685" t="s">
        <v>13480</v>
      </c>
      <c r="H4705" s="684" t="s">
        <v>13479</v>
      </c>
      <c r="I4705" s="684" t="s">
        <v>13478</v>
      </c>
      <c r="J4705" s="684" t="s">
        <v>13477</v>
      </c>
    </row>
    <row r="4706" spans="1:10" ht="24" customHeight="1">
      <c r="A4706" s="682" t="s">
        <v>13476</v>
      </c>
      <c r="B4706" s="683" t="s">
        <v>13974</v>
      </c>
      <c r="C4706" s="682" t="s">
        <v>7</v>
      </c>
      <c r="D4706" s="682" t="s">
        <v>2213</v>
      </c>
      <c r="E4706" s="917" t="s">
        <v>13646</v>
      </c>
      <c r="F4706" s="917"/>
      <c r="G4706" s="681" t="s">
        <v>17</v>
      </c>
      <c r="H4706" s="680">
        <v>1</v>
      </c>
      <c r="I4706" s="679">
        <v>15.68</v>
      </c>
      <c r="J4706" s="679">
        <v>15.68</v>
      </c>
    </row>
    <row r="4707" spans="1:10" ht="24" customHeight="1">
      <c r="A4707" s="677" t="s">
        <v>13472</v>
      </c>
      <c r="B4707" s="678" t="s">
        <v>13724</v>
      </c>
      <c r="C4707" s="677" t="s">
        <v>7</v>
      </c>
      <c r="D4707" s="677" t="s">
        <v>125</v>
      </c>
      <c r="E4707" s="918" t="s">
        <v>13470</v>
      </c>
      <c r="F4707" s="918"/>
      <c r="G4707" s="676" t="s">
        <v>19</v>
      </c>
      <c r="H4707" s="675">
        <v>9.3299999999999994E-2</v>
      </c>
      <c r="I4707" s="674">
        <v>17.579999999999998</v>
      </c>
      <c r="J4707" s="674">
        <v>1.64</v>
      </c>
    </row>
    <row r="4708" spans="1:10" ht="24" customHeight="1">
      <c r="A4708" s="677" t="s">
        <v>13472</v>
      </c>
      <c r="B4708" s="678" t="s">
        <v>13723</v>
      </c>
      <c r="C4708" s="677" t="s">
        <v>7</v>
      </c>
      <c r="D4708" s="677" t="s">
        <v>120</v>
      </c>
      <c r="E4708" s="918" t="s">
        <v>13470</v>
      </c>
      <c r="F4708" s="918"/>
      <c r="G4708" s="676" t="s">
        <v>19</v>
      </c>
      <c r="H4708" s="675">
        <v>1.3100000000000001E-2</v>
      </c>
      <c r="I4708" s="674">
        <v>13.4</v>
      </c>
      <c r="J4708" s="674">
        <v>0.17</v>
      </c>
    </row>
    <row r="4709" spans="1:10" ht="24" customHeight="1">
      <c r="A4709" s="672" t="s">
        <v>13467</v>
      </c>
      <c r="B4709" s="673" t="s">
        <v>13971</v>
      </c>
      <c r="C4709" s="672" t="s">
        <v>7</v>
      </c>
      <c r="D4709" s="672" t="s">
        <v>13970</v>
      </c>
      <c r="E4709" s="919" t="s">
        <v>13464</v>
      </c>
      <c r="F4709" s="919"/>
      <c r="G4709" s="671" t="s">
        <v>17</v>
      </c>
      <c r="H4709" s="670">
        <v>1.07</v>
      </c>
      <c r="I4709" s="669">
        <v>12.97</v>
      </c>
      <c r="J4709" s="669">
        <v>13.87</v>
      </c>
    </row>
    <row r="4710" spans="1:10" ht="25.5">
      <c r="A4710" s="668"/>
      <c r="B4710" s="668"/>
      <c r="C4710" s="668"/>
      <c r="D4710" s="668"/>
      <c r="E4710" s="668" t="s">
        <v>13463</v>
      </c>
      <c r="F4710" s="667">
        <v>0.76062153645550368</v>
      </c>
      <c r="G4710" s="668" t="s">
        <v>13462</v>
      </c>
      <c r="H4710" s="667">
        <v>0.64</v>
      </c>
      <c r="I4710" s="668" t="s">
        <v>13461</v>
      </c>
      <c r="J4710" s="667">
        <v>1.4</v>
      </c>
    </row>
    <row r="4711" spans="1:10" ht="15" thickBot="1">
      <c r="A4711" s="668"/>
      <c r="B4711" s="668"/>
      <c r="C4711" s="668"/>
      <c r="D4711" s="668"/>
      <c r="E4711" s="668" t="s">
        <v>13460</v>
      </c>
      <c r="F4711" s="667">
        <v>4.42</v>
      </c>
      <c r="G4711" s="668"/>
      <c r="H4711" s="925" t="s">
        <v>13459</v>
      </c>
      <c r="I4711" s="925"/>
      <c r="J4711" s="667">
        <v>20.100000000000001</v>
      </c>
    </row>
    <row r="4712" spans="1:10" ht="0.95" customHeight="1" thickTop="1">
      <c r="A4712" s="666"/>
      <c r="B4712" s="666"/>
      <c r="C4712" s="666"/>
      <c r="D4712" s="666"/>
      <c r="E4712" s="666"/>
      <c r="F4712" s="666"/>
      <c r="G4712" s="666"/>
      <c r="H4712" s="666"/>
      <c r="I4712" s="666"/>
      <c r="J4712" s="666"/>
    </row>
    <row r="4713" spans="1:10" ht="18" customHeight="1">
      <c r="A4713" s="686"/>
      <c r="B4713" s="684" t="s">
        <v>13484</v>
      </c>
      <c r="C4713" s="686" t="s">
        <v>13483</v>
      </c>
      <c r="D4713" s="686" t="s">
        <v>13482</v>
      </c>
      <c r="E4713" s="924" t="s">
        <v>13481</v>
      </c>
      <c r="F4713" s="924"/>
      <c r="G4713" s="685" t="s">
        <v>13480</v>
      </c>
      <c r="H4713" s="684" t="s">
        <v>13479</v>
      </c>
      <c r="I4713" s="684" t="s">
        <v>13478</v>
      </c>
      <c r="J4713" s="684" t="s">
        <v>13477</v>
      </c>
    </row>
    <row r="4714" spans="1:10" ht="36" customHeight="1">
      <c r="A4714" s="682" t="s">
        <v>13476</v>
      </c>
      <c r="B4714" s="683" t="s">
        <v>13725</v>
      </c>
      <c r="C4714" s="682" t="s">
        <v>7</v>
      </c>
      <c r="D4714" s="682" t="s">
        <v>2830</v>
      </c>
      <c r="E4714" s="917" t="s">
        <v>13646</v>
      </c>
      <c r="F4714" s="917"/>
      <c r="G4714" s="681" t="s">
        <v>17</v>
      </c>
      <c r="H4714" s="680">
        <v>1</v>
      </c>
      <c r="I4714" s="679">
        <v>13.46</v>
      </c>
      <c r="J4714" s="679">
        <v>13.46</v>
      </c>
    </row>
    <row r="4715" spans="1:10" ht="24" customHeight="1">
      <c r="A4715" s="677" t="s">
        <v>13472</v>
      </c>
      <c r="B4715" s="678" t="s">
        <v>13724</v>
      </c>
      <c r="C4715" s="677" t="s">
        <v>7</v>
      </c>
      <c r="D4715" s="677" t="s">
        <v>125</v>
      </c>
      <c r="E4715" s="918" t="s">
        <v>13470</v>
      </c>
      <c r="F4715" s="918"/>
      <c r="G4715" s="676" t="s">
        <v>19</v>
      </c>
      <c r="H4715" s="675">
        <v>2.6100000000000002E-2</v>
      </c>
      <c r="I4715" s="674">
        <v>17.579999999999998</v>
      </c>
      <c r="J4715" s="674">
        <v>0.45</v>
      </c>
    </row>
    <row r="4716" spans="1:10" ht="24" customHeight="1">
      <c r="A4716" s="677" t="s">
        <v>13472</v>
      </c>
      <c r="B4716" s="678" t="s">
        <v>13723</v>
      </c>
      <c r="C4716" s="677" t="s">
        <v>7</v>
      </c>
      <c r="D4716" s="677" t="s">
        <v>120</v>
      </c>
      <c r="E4716" s="918" t="s">
        <v>13470</v>
      </c>
      <c r="F4716" s="918"/>
      <c r="G4716" s="676" t="s">
        <v>19</v>
      </c>
      <c r="H4716" s="675">
        <v>3.0000000000000001E-3</v>
      </c>
      <c r="I4716" s="674">
        <v>13.4</v>
      </c>
      <c r="J4716" s="674">
        <v>0.04</v>
      </c>
    </row>
    <row r="4717" spans="1:10" ht="24" customHeight="1">
      <c r="A4717" s="672" t="s">
        <v>13467</v>
      </c>
      <c r="B4717" s="673" t="s">
        <v>13971</v>
      </c>
      <c r="C4717" s="672" t="s">
        <v>7</v>
      </c>
      <c r="D4717" s="672" t="s">
        <v>13970</v>
      </c>
      <c r="E4717" s="919" t="s">
        <v>13464</v>
      </c>
      <c r="F4717" s="919"/>
      <c r="G4717" s="671" t="s">
        <v>17</v>
      </c>
      <c r="H4717" s="670">
        <v>1</v>
      </c>
      <c r="I4717" s="669">
        <v>12.97</v>
      </c>
      <c r="J4717" s="669">
        <v>12.97</v>
      </c>
    </row>
    <row r="4718" spans="1:10" ht="25.5">
      <c r="A4718" s="668"/>
      <c r="B4718" s="668"/>
      <c r="C4718" s="668"/>
      <c r="D4718" s="668"/>
      <c r="E4718" s="668" t="s">
        <v>13463</v>
      </c>
      <c r="F4718" s="667">
        <v>0.20102140606324026</v>
      </c>
      <c r="G4718" s="668" t="s">
        <v>13462</v>
      </c>
      <c r="H4718" s="667">
        <v>0.17</v>
      </c>
      <c r="I4718" s="668" t="s">
        <v>13461</v>
      </c>
      <c r="J4718" s="667">
        <v>0.37</v>
      </c>
    </row>
    <row r="4719" spans="1:10" ht="15" thickBot="1">
      <c r="A4719" s="668"/>
      <c r="B4719" s="668"/>
      <c r="C4719" s="668"/>
      <c r="D4719" s="668"/>
      <c r="E4719" s="668" t="s">
        <v>13460</v>
      </c>
      <c r="F4719" s="667">
        <v>3.8</v>
      </c>
      <c r="G4719" s="668"/>
      <c r="H4719" s="925" t="s">
        <v>13459</v>
      </c>
      <c r="I4719" s="925"/>
      <c r="J4719" s="667">
        <v>17.260000000000002</v>
      </c>
    </row>
    <row r="4720" spans="1:10" ht="0.95" customHeight="1" thickTop="1">
      <c r="A4720" s="666"/>
      <c r="B4720" s="666"/>
      <c r="C4720" s="666"/>
      <c r="D4720" s="666"/>
      <c r="E4720" s="666"/>
      <c r="F4720" s="666"/>
      <c r="G4720" s="666"/>
      <c r="H4720" s="666"/>
      <c r="I4720" s="666"/>
      <c r="J4720" s="666"/>
    </row>
    <row r="4721" spans="1:10" ht="18" customHeight="1">
      <c r="A4721" s="686"/>
      <c r="B4721" s="684" t="s">
        <v>13484</v>
      </c>
      <c r="C4721" s="686" t="s">
        <v>13483</v>
      </c>
      <c r="D4721" s="686" t="s">
        <v>13482</v>
      </c>
      <c r="E4721" s="924" t="s">
        <v>13481</v>
      </c>
      <c r="F4721" s="924"/>
      <c r="G4721" s="685" t="s">
        <v>13480</v>
      </c>
      <c r="H4721" s="684" t="s">
        <v>13479</v>
      </c>
      <c r="I4721" s="684" t="s">
        <v>13478</v>
      </c>
      <c r="J4721" s="684" t="s">
        <v>13477</v>
      </c>
    </row>
    <row r="4722" spans="1:10" ht="36" customHeight="1">
      <c r="A4722" s="682" t="s">
        <v>13476</v>
      </c>
      <c r="B4722" s="683" t="s">
        <v>13973</v>
      </c>
      <c r="C4722" s="682" t="s">
        <v>7</v>
      </c>
      <c r="D4722" s="682" t="s">
        <v>2205</v>
      </c>
      <c r="E4722" s="917" t="s">
        <v>13646</v>
      </c>
      <c r="F4722" s="917"/>
      <c r="G4722" s="681" t="s">
        <v>17</v>
      </c>
      <c r="H4722" s="680">
        <v>1</v>
      </c>
      <c r="I4722" s="679">
        <v>15.36</v>
      </c>
      <c r="J4722" s="679">
        <v>15.36</v>
      </c>
    </row>
    <row r="4723" spans="1:10" ht="24" customHeight="1">
      <c r="A4723" s="677" t="s">
        <v>13472</v>
      </c>
      <c r="B4723" s="678" t="s">
        <v>13724</v>
      </c>
      <c r="C4723" s="677" t="s">
        <v>7</v>
      </c>
      <c r="D4723" s="677" t="s">
        <v>125</v>
      </c>
      <c r="E4723" s="918" t="s">
        <v>13470</v>
      </c>
      <c r="F4723" s="918"/>
      <c r="G4723" s="676" t="s">
        <v>19</v>
      </c>
      <c r="H4723" s="675">
        <v>7.6899999999999996E-2</v>
      </c>
      <c r="I4723" s="674">
        <v>17.579999999999998</v>
      </c>
      <c r="J4723" s="674">
        <v>1.35</v>
      </c>
    </row>
    <row r="4724" spans="1:10" ht="24" customHeight="1">
      <c r="A4724" s="677" t="s">
        <v>13472</v>
      </c>
      <c r="B4724" s="678" t="s">
        <v>13723</v>
      </c>
      <c r="C4724" s="677" t="s">
        <v>7</v>
      </c>
      <c r="D4724" s="677" t="s">
        <v>120</v>
      </c>
      <c r="E4724" s="918" t="s">
        <v>13470</v>
      </c>
      <c r="F4724" s="918"/>
      <c r="G4724" s="676" t="s">
        <v>19</v>
      </c>
      <c r="H4724" s="675">
        <v>1.0800000000000001E-2</v>
      </c>
      <c r="I4724" s="674">
        <v>13.4</v>
      </c>
      <c r="J4724" s="674">
        <v>0.14000000000000001</v>
      </c>
    </row>
    <row r="4725" spans="1:10" ht="24" customHeight="1">
      <c r="A4725" s="672" t="s">
        <v>13467</v>
      </c>
      <c r="B4725" s="673" t="s">
        <v>13971</v>
      </c>
      <c r="C4725" s="672" t="s">
        <v>7</v>
      </c>
      <c r="D4725" s="672" t="s">
        <v>13970</v>
      </c>
      <c r="E4725" s="919" t="s">
        <v>13464</v>
      </c>
      <c r="F4725" s="919"/>
      <c r="G4725" s="671" t="s">
        <v>17</v>
      </c>
      <c r="H4725" s="670">
        <v>1.07</v>
      </c>
      <c r="I4725" s="669">
        <v>12.97</v>
      </c>
      <c r="J4725" s="669">
        <v>13.87</v>
      </c>
    </row>
    <row r="4726" spans="1:10" ht="25.5">
      <c r="A4726" s="668"/>
      <c r="B4726" s="668"/>
      <c r="C4726" s="668"/>
      <c r="D4726" s="668"/>
      <c r="E4726" s="668" t="s">
        <v>13463</v>
      </c>
      <c r="F4726" s="667">
        <v>0.62479626208844941</v>
      </c>
      <c r="G4726" s="668" t="s">
        <v>13462</v>
      </c>
      <c r="H4726" s="667">
        <v>0.53</v>
      </c>
      <c r="I4726" s="668" t="s">
        <v>13461</v>
      </c>
      <c r="J4726" s="667">
        <v>1.1499999999999999</v>
      </c>
    </row>
    <row r="4727" spans="1:10" ht="15" thickBot="1">
      <c r="A4727" s="668"/>
      <c r="B4727" s="668"/>
      <c r="C4727" s="668"/>
      <c r="D4727" s="668"/>
      <c r="E4727" s="668" t="s">
        <v>13460</v>
      </c>
      <c r="F4727" s="667">
        <v>4.33</v>
      </c>
      <c r="G4727" s="668"/>
      <c r="H4727" s="925" t="s">
        <v>13459</v>
      </c>
      <c r="I4727" s="925"/>
      <c r="J4727" s="667">
        <v>19.690000000000001</v>
      </c>
    </row>
    <row r="4728" spans="1:10" ht="0.95" customHeight="1" thickTop="1">
      <c r="A4728" s="666"/>
      <c r="B4728" s="666"/>
      <c r="C4728" s="666"/>
      <c r="D4728" s="666"/>
      <c r="E4728" s="666"/>
      <c r="F4728" s="666"/>
      <c r="G4728" s="666"/>
      <c r="H4728" s="666"/>
      <c r="I4728" s="666"/>
      <c r="J4728" s="666"/>
    </row>
    <row r="4729" spans="1:10" ht="18" customHeight="1">
      <c r="A4729" s="686"/>
      <c r="B4729" s="684" t="s">
        <v>13484</v>
      </c>
      <c r="C4729" s="686" t="s">
        <v>13483</v>
      </c>
      <c r="D4729" s="686" t="s">
        <v>13482</v>
      </c>
      <c r="E4729" s="924" t="s">
        <v>13481</v>
      </c>
      <c r="F4729" s="924"/>
      <c r="G4729" s="685" t="s">
        <v>13480</v>
      </c>
      <c r="H4729" s="684" t="s">
        <v>13479</v>
      </c>
      <c r="I4729" s="684" t="s">
        <v>13478</v>
      </c>
      <c r="J4729" s="684" t="s">
        <v>13477</v>
      </c>
    </row>
    <row r="4730" spans="1:10" ht="24" customHeight="1">
      <c r="A4730" s="682" t="s">
        <v>13476</v>
      </c>
      <c r="B4730" s="683" t="s">
        <v>13972</v>
      </c>
      <c r="C4730" s="682" t="s">
        <v>7</v>
      </c>
      <c r="D4730" s="682" t="s">
        <v>2214</v>
      </c>
      <c r="E4730" s="917" t="s">
        <v>13646</v>
      </c>
      <c r="F4730" s="917"/>
      <c r="G4730" s="681" t="s">
        <v>17</v>
      </c>
      <c r="H4730" s="680">
        <v>1</v>
      </c>
      <c r="I4730" s="679">
        <v>14.99</v>
      </c>
      <c r="J4730" s="679">
        <v>14.99</v>
      </c>
    </row>
    <row r="4731" spans="1:10" ht="24" customHeight="1">
      <c r="A4731" s="677" t="s">
        <v>13472</v>
      </c>
      <c r="B4731" s="678" t="s">
        <v>13724</v>
      </c>
      <c r="C4731" s="677" t="s">
        <v>7</v>
      </c>
      <c r="D4731" s="677" t="s">
        <v>125</v>
      </c>
      <c r="E4731" s="918" t="s">
        <v>13470</v>
      </c>
      <c r="F4731" s="918"/>
      <c r="G4731" s="676" t="s">
        <v>19</v>
      </c>
      <c r="H4731" s="675">
        <v>5.8099999999999999E-2</v>
      </c>
      <c r="I4731" s="674">
        <v>17.579999999999998</v>
      </c>
      <c r="J4731" s="674">
        <v>1.02</v>
      </c>
    </row>
    <row r="4732" spans="1:10" ht="24" customHeight="1">
      <c r="A4732" s="677" t="s">
        <v>13472</v>
      </c>
      <c r="B4732" s="678" t="s">
        <v>13723</v>
      </c>
      <c r="C4732" s="677" t="s">
        <v>7</v>
      </c>
      <c r="D4732" s="677" t="s">
        <v>120</v>
      </c>
      <c r="E4732" s="918" t="s">
        <v>13470</v>
      </c>
      <c r="F4732" s="918"/>
      <c r="G4732" s="676" t="s">
        <v>19</v>
      </c>
      <c r="H4732" s="675">
        <v>8.2000000000000007E-3</v>
      </c>
      <c r="I4732" s="674">
        <v>13.4</v>
      </c>
      <c r="J4732" s="674">
        <v>0.1</v>
      </c>
    </row>
    <row r="4733" spans="1:10" ht="24" customHeight="1">
      <c r="A4733" s="672" t="s">
        <v>13467</v>
      </c>
      <c r="B4733" s="673" t="s">
        <v>13971</v>
      </c>
      <c r="C4733" s="672" t="s">
        <v>7</v>
      </c>
      <c r="D4733" s="672" t="s">
        <v>13970</v>
      </c>
      <c r="E4733" s="919" t="s">
        <v>13464</v>
      </c>
      <c r="F4733" s="919"/>
      <c r="G4733" s="671" t="s">
        <v>17</v>
      </c>
      <c r="H4733" s="670">
        <v>1.07</v>
      </c>
      <c r="I4733" s="669">
        <v>12.97</v>
      </c>
      <c r="J4733" s="669">
        <v>13.87</v>
      </c>
    </row>
    <row r="4734" spans="1:10" ht="25.5">
      <c r="A4734" s="668"/>
      <c r="B4734" s="668"/>
      <c r="C4734" s="668"/>
      <c r="D4734" s="668"/>
      <c r="E4734" s="668" t="s">
        <v>13463</v>
      </c>
      <c r="F4734" s="667">
        <v>0.47267195479734869</v>
      </c>
      <c r="G4734" s="668" t="s">
        <v>13462</v>
      </c>
      <c r="H4734" s="667">
        <v>0.4</v>
      </c>
      <c r="I4734" s="668" t="s">
        <v>13461</v>
      </c>
      <c r="J4734" s="667">
        <v>0.87</v>
      </c>
    </row>
    <row r="4735" spans="1:10" ht="15" thickBot="1">
      <c r="A4735" s="668"/>
      <c r="B4735" s="668"/>
      <c r="C4735" s="668"/>
      <c r="D4735" s="668"/>
      <c r="E4735" s="668" t="s">
        <v>13460</v>
      </c>
      <c r="F4735" s="667">
        <v>4.2300000000000004</v>
      </c>
      <c r="G4735" s="668"/>
      <c r="H4735" s="925" t="s">
        <v>13459</v>
      </c>
      <c r="I4735" s="925"/>
      <c r="J4735" s="667">
        <v>19.22</v>
      </c>
    </row>
    <row r="4736" spans="1:10" ht="0.95" customHeight="1" thickTop="1">
      <c r="A4736" s="666"/>
      <c r="B4736" s="666"/>
      <c r="C4736" s="666"/>
      <c r="D4736" s="666"/>
      <c r="E4736" s="666"/>
      <c r="F4736" s="666"/>
      <c r="G4736" s="666"/>
      <c r="H4736" s="666"/>
      <c r="I4736" s="666"/>
      <c r="J4736" s="666"/>
    </row>
    <row r="4737" spans="1:10" ht="18" customHeight="1">
      <c r="A4737" s="686"/>
      <c r="B4737" s="684" t="s">
        <v>13484</v>
      </c>
      <c r="C4737" s="686" t="s">
        <v>13483</v>
      </c>
      <c r="D4737" s="686" t="s">
        <v>13482</v>
      </c>
      <c r="E4737" s="924" t="s">
        <v>13481</v>
      </c>
      <c r="F4737" s="924"/>
      <c r="G4737" s="685" t="s">
        <v>13480</v>
      </c>
      <c r="H4737" s="684" t="s">
        <v>13479</v>
      </c>
      <c r="I4737" s="684" t="s">
        <v>13478</v>
      </c>
      <c r="J4737" s="684" t="s">
        <v>13477</v>
      </c>
    </row>
    <row r="4738" spans="1:10" ht="36" customHeight="1">
      <c r="A4738" s="682" t="s">
        <v>13476</v>
      </c>
      <c r="B4738" s="683" t="s">
        <v>13969</v>
      </c>
      <c r="C4738" s="682" t="s">
        <v>7</v>
      </c>
      <c r="D4738" s="682" t="s">
        <v>5111</v>
      </c>
      <c r="E4738" s="917" t="s">
        <v>13474</v>
      </c>
      <c r="F4738" s="917"/>
      <c r="G4738" s="681" t="s">
        <v>34</v>
      </c>
      <c r="H4738" s="680">
        <v>1</v>
      </c>
      <c r="I4738" s="679">
        <v>116.87</v>
      </c>
      <c r="J4738" s="679">
        <v>116.87</v>
      </c>
    </row>
    <row r="4739" spans="1:10" ht="24" customHeight="1">
      <c r="A4739" s="677" t="s">
        <v>13472</v>
      </c>
      <c r="B4739" s="678" t="s">
        <v>13965</v>
      </c>
      <c r="C4739" s="677" t="s">
        <v>7</v>
      </c>
      <c r="D4739" s="677" t="s">
        <v>141</v>
      </c>
      <c r="E4739" s="918" t="s">
        <v>13470</v>
      </c>
      <c r="F4739" s="918"/>
      <c r="G4739" s="676" t="s">
        <v>19</v>
      </c>
      <c r="H4739" s="675">
        <v>0.8458</v>
      </c>
      <c r="I4739" s="674">
        <v>17.899999999999999</v>
      </c>
      <c r="J4739" s="674">
        <v>15.13</v>
      </c>
    </row>
    <row r="4740" spans="1:10" ht="24" customHeight="1">
      <c r="A4740" s="677" t="s">
        <v>13472</v>
      </c>
      <c r="B4740" s="678" t="s">
        <v>13471</v>
      </c>
      <c r="C4740" s="677" t="s">
        <v>7</v>
      </c>
      <c r="D4740" s="677" t="s">
        <v>21</v>
      </c>
      <c r="E4740" s="918" t="s">
        <v>13470</v>
      </c>
      <c r="F4740" s="918"/>
      <c r="G4740" s="676" t="s">
        <v>19</v>
      </c>
      <c r="H4740" s="675">
        <v>0.26650000000000001</v>
      </c>
      <c r="I4740" s="674">
        <v>14.02</v>
      </c>
      <c r="J4740" s="674">
        <v>3.73</v>
      </c>
    </row>
    <row r="4741" spans="1:10" ht="24" customHeight="1">
      <c r="A4741" s="672" t="s">
        <v>13467</v>
      </c>
      <c r="B4741" s="673" t="s">
        <v>13968</v>
      </c>
      <c r="C4741" s="672" t="s">
        <v>7</v>
      </c>
      <c r="D4741" s="672" t="s">
        <v>13967</v>
      </c>
      <c r="E4741" s="919" t="s">
        <v>13464</v>
      </c>
      <c r="F4741" s="919"/>
      <c r="G4741" s="671" t="s">
        <v>34</v>
      </c>
      <c r="H4741" s="670">
        <v>1</v>
      </c>
      <c r="I4741" s="669">
        <v>77.83</v>
      </c>
      <c r="J4741" s="669">
        <v>77.83</v>
      </c>
    </row>
    <row r="4742" spans="1:10" ht="24" customHeight="1">
      <c r="A4742" s="672" t="s">
        <v>13467</v>
      </c>
      <c r="B4742" s="673" t="s">
        <v>13962</v>
      </c>
      <c r="C4742" s="672" t="s">
        <v>7</v>
      </c>
      <c r="D4742" s="672" t="s">
        <v>13961</v>
      </c>
      <c r="E4742" s="919" t="s">
        <v>13464</v>
      </c>
      <c r="F4742" s="919"/>
      <c r="G4742" s="671" t="s">
        <v>17</v>
      </c>
      <c r="H4742" s="670">
        <v>0.52710000000000001</v>
      </c>
      <c r="I4742" s="669">
        <v>38.299999999999997</v>
      </c>
      <c r="J4742" s="669">
        <v>20.18</v>
      </c>
    </row>
    <row r="4743" spans="1:10" ht="25.5">
      <c r="A4743" s="668"/>
      <c r="B4743" s="668"/>
      <c r="C4743" s="668"/>
      <c r="D4743" s="668"/>
      <c r="E4743" s="668" t="s">
        <v>13463</v>
      </c>
      <c r="F4743" s="667">
        <v>7.9647940888840596</v>
      </c>
      <c r="G4743" s="668" t="s">
        <v>13462</v>
      </c>
      <c r="H4743" s="667">
        <v>6.7</v>
      </c>
      <c r="I4743" s="668" t="s">
        <v>13461</v>
      </c>
      <c r="J4743" s="667">
        <v>14.66</v>
      </c>
    </row>
    <row r="4744" spans="1:10" ht="15" thickBot="1">
      <c r="A4744" s="668"/>
      <c r="B4744" s="668"/>
      <c r="C4744" s="668"/>
      <c r="D4744" s="668"/>
      <c r="E4744" s="668" t="s">
        <v>13460</v>
      </c>
      <c r="F4744" s="667">
        <v>33</v>
      </c>
      <c r="G4744" s="668"/>
      <c r="H4744" s="925" t="s">
        <v>13459</v>
      </c>
      <c r="I4744" s="925"/>
      <c r="J4744" s="667">
        <v>149.87</v>
      </c>
    </row>
    <row r="4745" spans="1:10" ht="0.95" customHeight="1" thickTop="1">
      <c r="A4745" s="666"/>
      <c r="B4745" s="666"/>
      <c r="C4745" s="666"/>
      <c r="D4745" s="666"/>
      <c r="E4745" s="666"/>
      <c r="F4745" s="666"/>
      <c r="G4745" s="666"/>
      <c r="H4745" s="666"/>
      <c r="I4745" s="666"/>
      <c r="J4745" s="666"/>
    </row>
    <row r="4746" spans="1:10" ht="18" customHeight="1">
      <c r="A4746" s="686"/>
      <c r="B4746" s="684" t="s">
        <v>13484</v>
      </c>
      <c r="C4746" s="686" t="s">
        <v>13483</v>
      </c>
      <c r="D4746" s="686" t="s">
        <v>13482</v>
      </c>
      <c r="E4746" s="924" t="s">
        <v>13481</v>
      </c>
      <c r="F4746" s="924"/>
      <c r="G4746" s="685" t="s">
        <v>13480</v>
      </c>
      <c r="H4746" s="684" t="s">
        <v>13479</v>
      </c>
      <c r="I4746" s="684" t="s">
        <v>13478</v>
      </c>
      <c r="J4746" s="684" t="s">
        <v>13477</v>
      </c>
    </row>
    <row r="4747" spans="1:10" ht="36" customHeight="1">
      <c r="A4747" s="682" t="s">
        <v>13476</v>
      </c>
      <c r="B4747" s="683" t="s">
        <v>13966</v>
      </c>
      <c r="C4747" s="682" t="s">
        <v>7</v>
      </c>
      <c r="D4747" s="682" t="s">
        <v>5110</v>
      </c>
      <c r="E4747" s="917" t="s">
        <v>13474</v>
      </c>
      <c r="F4747" s="917"/>
      <c r="G4747" s="681" t="s">
        <v>34</v>
      </c>
      <c r="H4747" s="680">
        <v>1</v>
      </c>
      <c r="I4747" s="679">
        <v>194.2</v>
      </c>
      <c r="J4747" s="679">
        <v>194.2</v>
      </c>
    </row>
    <row r="4748" spans="1:10" ht="24" customHeight="1">
      <c r="A4748" s="677" t="s">
        <v>13472</v>
      </c>
      <c r="B4748" s="678" t="s">
        <v>13965</v>
      </c>
      <c r="C4748" s="677" t="s">
        <v>7</v>
      </c>
      <c r="D4748" s="677" t="s">
        <v>141</v>
      </c>
      <c r="E4748" s="918" t="s">
        <v>13470</v>
      </c>
      <c r="F4748" s="918"/>
      <c r="G4748" s="676" t="s">
        <v>19</v>
      </c>
      <c r="H4748" s="675">
        <v>0.47739999999999999</v>
      </c>
      <c r="I4748" s="674">
        <v>17.899999999999999</v>
      </c>
      <c r="J4748" s="674">
        <v>8.5399999999999991</v>
      </c>
    </row>
    <row r="4749" spans="1:10" ht="24" customHeight="1">
      <c r="A4749" s="677" t="s">
        <v>13472</v>
      </c>
      <c r="B4749" s="678" t="s">
        <v>13471</v>
      </c>
      <c r="C4749" s="677" t="s">
        <v>7</v>
      </c>
      <c r="D4749" s="677" t="s">
        <v>21</v>
      </c>
      <c r="E4749" s="918" t="s">
        <v>13470</v>
      </c>
      <c r="F4749" s="918"/>
      <c r="G4749" s="676" t="s">
        <v>19</v>
      </c>
      <c r="H4749" s="675">
        <v>0.15040000000000001</v>
      </c>
      <c r="I4749" s="674">
        <v>14.02</v>
      </c>
      <c r="J4749" s="674">
        <v>2.1</v>
      </c>
    </row>
    <row r="4750" spans="1:10" ht="24" customHeight="1">
      <c r="A4750" s="672" t="s">
        <v>13467</v>
      </c>
      <c r="B4750" s="673" t="s">
        <v>13964</v>
      </c>
      <c r="C4750" s="672" t="s">
        <v>7</v>
      </c>
      <c r="D4750" s="672" t="s">
        <v>13963</v>
      </c>
      <c r="E4750" s="919" t="s">
        <v>13464</v>
      </c>
      <c r="F4750" s="919"/>
      <c r="G4750" s="671" t="s">
        <v>34</v>
      </c>
      <c r="H4750" s="670">
        <v>1</v>
      </c>
      <c r="I4750" s="669">
        <v>172.17</v>
      </c>
      <c r="J4750" s="669">
        <v>172.17</v>
      </c>
    </row>
    <row r="4751" spans="1:10" ht="24" customHeight="1">
      <c r="A4751" s="672" t="s">
        <v>13467</v>
      </c>
      <c r="B4751" s="673" t="s">
        <v>13962</v>
      </c>
      <c r="C4751" s="672" t="s">
        <v>7</v>
      </c>
      <c r="D4751" s="672" t="s">
        <v>13961</v>
      </c>
      <c r="E4751" s="919" t="s">
        <v>13464</v>
      </c>
      <c r="F4751" s="919"/>
      <c r="G4751" s="671" t="s">
        <v>17</v>
      </c>
      <c r="H4751" s="670">
        <v>0.2974</v>
      </c>
      <c r="I4751" s="669">
        <v>38.299999999999997</v>
      </c>
      <c r="J4751" s="669">
        <v>11.39</v>
      </c>
    </row>
    <row r="4752" spans="1:10" ht="25.5">
      <c r="A4752" s="668"/>
      <c r="B4752" s="668"/>
      <c r="C4752" s="668"/>
      <c r="D4752" s="668"/>
      <c r="E4752" s="668" t="s">
        <v>13463</v>
      </c>
      <c r="F4752" s="667">
        <v>4.493100076062154</v>
      </c>
      <c r="G4752" s="668" t="s">
        <v>13462</v>
      </c>
      <c r="H4752" s="667">
        <v>3.78</v>
      </c>
      <c r="I4752" s="668" t="s">
        <v>13461</v>
      </c>
      <c r="J4752" s="667">
        <v>8.27</v>
      </c>
    </row>
    <row r="4753" spans="1:10" ht="15" thickBot="1">
      <c r="A4753" s="668"/>
      <c r="B4753" s="668"/>
      <c r="C4753" s="668"/>
      <c r="D4753" s="668"/>
      <c r="E4753" s="668" t="s">
        <v>13460</v>
      </c>
      <c r="F4753" s="667">
        <v>54.84</v>
      </c>
      <c r="G4753" s="668"/>
      <c r="H4753" s="925" t="s">
        <v>13459</v>
      </c>
      <c r="I4753" s="925"/>
      <c r="J4753" s="667">
        <v>249.04</v>
      </c>
    </row>
    <row r="4754" spans="1:10" ht="0.95" customHeight="1" thickTop="1">
      <c r="A4754" s="666"/>
      <c r="B4754" s="666"/>
      <c r="C4754" s="666"/>
      <c r="D4754" s="666"/>
      <c r="E4754" s="666"/>
      <c r="F4754" s="666"/>
      <c r="G4754" s="666"/>
      <c r="H4754" s="666"/>
      <c r="I4754" s="666"/>
      <c r="J4754" s="666"/>
    </row>
    <row r="4755" spans="1:10" ht="18" customHeight="1">
      <c r="A4755" s="686"/>
      <c r="B4755" s="684" t="s">
        <v>13484</v>
      </c>
      <c r="C4755" s="686" t="s">
        <v>13483</v>
      </c>
      <c r="D4755" s="686" t="s">
        <v>13482</v>
      </c>
      <c r="E4755" s="924" t="s">
        <v>13481</v>
      </c>
      <c r="F4755" s="924"/>
      <c r="G4755" s="685" t="s">
        <v>13480</v>
      </c>
      <c r="H4755" s="684" t="s">
        <v>13479</v>
      </c>
      <c r="I4755" s="684" t="s">
        <v>13478</v>
      </c>
      <c r="J4755" s="684" t="s">
        <v>13477</v>
      </c>
    </row>
    <row r="4756" spans="1:10" ht="24" customHeight="1">
      <c r="A4756" s="682" t="s">
        <v>13476</v>
      </c>
      <c r="B4756" s="683" t="s">
        <v>13960</v>
      </c>
      <c r="C4756" s="682" t="s">
        <v>7</v>
      </c>
      <c r="D4756" s="682" t="s">
        <v>2724</v>
      </c>
      <c r="E4756" s="917" t="s">
        <v>13470</v>
      </c>
      <c r="F4756" s="917"/>
      <c r="G4756" s="681" t="s">
        <v>19</v>
      </c>
      <c r="H4756" s="680">
        <v>1</v>
      </c>
      <c r="I4756" s="679">
        <v>7.0000000000000007E-2</v>
      </c>
      <c r="J4756" s="679">
        <v>7.0000000000000007E-2</v>
      </c>
    </row>
    <row r="4757" spans="1:10" ht="24" customHeight="1">
      <c r="A4757" s="672" t="s">
        <v>13467</v>
      </c>
      <c r="B4757" s="673" t="s">
        <v>13959</v>
      </c>
      <c r="C4757" s="672" t="s">
        <v>7</v>
      </c>
      <c r="D4757" s="672" t="s">
        <v>13958</v>
      </c>
      <c r="E4757" s="919" t="s">
        <v>13548</v>
      </c>
      <c r="F4757" s="919"/>
      <c r="G4757" s="671" t="s">
        <v>19</v>
      </c>
      <c r="H4757" s="670">
        <v>8.2000000000000007E-3</v>
      </c>
      <c r="I4757" s="669">
        <v>9.52</v>
      </c>
      <c r="J4757" s="669">
        <v>7.0000000000000007E-2</v>
      </c>
    </row>
    <row r="4758" spans="1:10" ht="25.5">
      <c r="A4758" s="668"/>
      <c r="B4758" s="668"/>
      <c r="C4758" s="668"/>
      <c r="D4758" s="668"/>
      <c r="E4758" s="668" t="s">
        <v>13463</v>
      </c>
      <c r="F4758" s="667">
        <v>3.8031099999999998E-2</v>
      </c>
      <c r="G4758" s="668" t="s">
        <v>13462</v>
      </c>
      <c r="H4758" s="667">
        <v>0.03</v>
      </c>
      <c r="I4758" s="668" t="s">
        <v>13461</v>
      </c>
      <c r="J4758" s="667">
        <v>7.0000000000000007E-2</v>
      </c>
    </row>
    <row r="4759" spans="1:10" ht="15" thickBot="1">
      <c r="A4759" s="668"/>
      <c r="B4759" s="668"/>
      <c r="C4759" s="668"/>
      <c r="D4759" s="668"/>
      <c r="E4759" s="668" t="s">
        <v>13460</v>
      </c>
      <c r="F4759" s="667">
        <v>0.01</v>
      </c>
      <c r="G4759" s="668"/>
      <c r="H4759" s="925" t="s">
        <v>13459</v>
      </c>
      <c r="I4759" s="925"/>
      <c r="J4759" s="667">
        <v>0.08</v>
      </c>
    </row>
    <row r="4760" spans="1:10" ht="0.95" customHeight="1" thickTop="1">
      <c r="A4760" s="666"/>
      <c r="B4760" s="666"/>
      <c r="C4760" s="666"/>
      <c r="D4760" s="666"/>
      <c r="E4760" s="666"/>
      <c r="F4760" s="666"/>
      <c r="G4760" s="666"/>
      <c r="H4760" s="666"/>
      <c r="I4760" s="666"/>
      <c r="J4760" s="666"/>
    </row>
    <row r="4761" spans="1:10" ht="18" customHeight="1">
      <c r="A4761" s="686"/>
      <c r="B4761" s="684" t="s">
        <v>13484</v>
      </c>
      <c r="C4761" s="686" t="s">
        <v>13483</v>
      </c>
      <c r="D4761" s="686" t="s">
        <v>13482</v>
      </c>
      <c r="E4761" s="924" t="s">
        <v>13481</v>
      </c>
      <c r="F4761" s="924"/>
      <c r="G4761" s="685" t="s">
        <v>13480</v>
      </c>
      <c r="H4761" s="684" t="s">
        <v>13479</v>
      </c>
      <c r="I4761" s="684" t="s">
        <v>13478</v>
      </c>
      <c r="J4761" s="684" t="s">
        <v>13477</v>
      </c>
    </row>
    <row r="4762" spans="1:10" ht="24" customHeight="1">
      <c r="A4762" s="682" t="s">
        <v>13476</v>
      </c>
      <c r="B4762" s="683" t="s">
        <v>13957</v>
      </c>
      <c r="C4762" s="682" t="s">
        <v>7</v>
      </c>
      <c r="D4762" s="682" t="s">
        <v>2725</v>
      </c>
      <c r="E4762" s="917" t="s">
        <v>13470</v>
      </c>
      <c r="F4762" s="917"/>
      <c r="G4762" s="681" t="s">
        <v>19</v>
      </c>
      <c r="H4762" s="680">
        <v>1</v>
      </c>
      <c r="I4762" s="679">
        <v>0.11</v>
      </c>
      <c r="J4762" s="679">
        <v>0.11</v>
      </c>
    </row>
    <row r="4763" spans="1:10" ht="24" customHeight="1">
      <c r="A4763" s="672" t="s">
        <v>13467</v>
      </c>
      <c r="B4763" s="673" t="s">
        <v>13956</v>
      </c>
      <c r="C4763" s="672" t="s">
        <v>7</v>
      </c>
      <c r="D4763" s="672" t="s">
        <v>13955</v>
      </c>
      <c r="E4763" s="919" t="s">
        <v>13548</v>
      </c>
      <c r="F4763" s="919"/>
      <c r="G4763" s="671" t="s">
        <v>19</v>
      </c>
      <c r="H4763" s="670">
        <v>1.0500000000000001E-2</v>
      </c>
      <c r="I4763" s="669">
        <v>10.75</v>
      </c>
      <c r="J4763" s="669">
        <v>0.11</v>
      </c>
    </row>
    <row r="4764" spans="1:10" ht="25.5">
      <c r="A4764" s="668"/>
      <c r="B4764" s="668"/>
      <c r="C4764" s="668"/>
      <c r="D4764" s="668"/>
      <c r="E4764" s="668" t="s">
        <v>13463</v>
      </c>
      <c r="F4764" s="667">
        <v>5.97631E-2</v>
      </c>
      <c r="G4764" s="668" t="s">
        <v>13462</v>
      </c>
      <c r="H4764" s="667">
        <v>0.05</v>
      </c>
      <c r="I4764" s="668" t="s">
        <v>13461</v>
      </c>
      <c r="J4764" s="667">
        <v>0.11</v>
      </c>
    </row>
    <row r="4765" spans="1:10" ht="15" thickBot="1">
      <c r="A4765" s="668"/>
      <c r="B4765" s="668"/>
      <c r="C4765" s="668"/>
      <c r="D4765" s="668"/>
      <c r="E4765" s="668" t="s">
        <v>13460</v>
      </c>
      <c r="F4765" s="667">
        <v>0.03</v>
      </c>
      <c r="G4765" s="668"/>
      <c r="H4765" s="925" t="s">
        <v>13459</v>
      </c>
      <c r="I4765" s="925"/>
      <c r="J4765" s="667">
        <v>0.14000000000000001</v>
      </c>
    </row>
    <row r="4766" spans="1:10" ht="0.95" customHeight="1" thickTop="1">
      <c r="A4766" s="666"/>
      <c r="B4766" s="666"/>
      <c r="C4766" s="666"/>
      <c r="D4766" s="666"/>
      <c r="E4766" s="666"/>
      <c r="F4766" s="666"/>
      <c r="G4766" s="666"/>
      <c r="H4766" s="666"/>
      <c r="I4766" s="666"/>
      <c r="J4766" s="666"/>
    </row>
    <row r="4767" spans="1:10" ht="18" customHeight="1">
      <c r="A4767" s="686"/>
      <c r="B4767" s="684" t="s">
        <v>13484</v>
      </c>
      <c r="C4767" s="686" t="s">
        <v>13483</v>
      </c>
      <c r="D4767" s="686" t="s">
        <v>13482</v>
      </c>
      <c r="E4767" s="924" t="s">
        <v>13481</v>
      </c>
      <c r="F4767" s="924"/>
      <c r="G4767" s="685" t="s">
        <v>13480</v>
      </c>
      <c r="H4767" s="684" t="s">
        <v>13479</v>
      </c>
      <c r="I4767" s="684" t="s">
        <v>13478</v>
      </c>
      <c r="J4767" s="684" t="s">
        <v>13477</v>
      </c>
    </row>
    <row r="4768" spans="1:10" ht="24" customHeight="1">
      <c r="A4768" s="682" t="s">
        <v>13476</v>
      </c>
      <c r="B4768" s="683" t="s">
        <v>13954</v>
      </c>
      <c r="C4768" s="682" t="s">
        <v>7</v>
      </c>
      <c r="D4768" s="682" t="s">
        <v>2729</v>
      </c>
      <c r="E4768" s="917" t="s">
        <v>13470</v>
      </c>
      <c r="F4768" s="917"/>
      <c r="G4768" s="681" t="s">
        <v>19</v>
      </c>
      <c r="H4768" s="680">
        <v>1</v>
      </c>
      <c r="I4768" s="679">
        <v>0.1</v>
      </c>
      <c r="J4768" s="679">
        <v>0.1</v>
      </c>
    </row>
    <row r="4769" spans="1:10" ht="24" customHeight="1">
      <c r="A4769" s="672" t="s">
        <v>13467</v>
      </c>
      <c r="B4769" s="673" t="s">
        <v>13953</v>
      </c>
      <c r="C4769" s="672" t="s">
        <v>7</v>
      </c>
      <c r="D4769" s="672" t="s">
        <v>13952</v>
      </c>
      <c r="E4769" s="919" t="s">
        <v>13548</v>
      </c>
      <c r="F4769" s="919"/>
      <c r="G4769" s="671" t="s">
        <v>19</v>
      </c>
      <c r="H4769" s="670">
        <v>8.2000000000000007E-3</v>
      </c>
      <c r="I4769" s="669">
        <v>13.18</v>
      </c>
      <c r="J4769" s="669">
        <v>0.1</v>
      </c>
    </row>
    <row r="4770" spans="1:10" ht="25.5">
      <c r="A4770" s="668"/>
      <c r="B4770" s="668"/>
      <c r="C4770" s="668"/>
      <c r="D4770" s="668"/>
      <c r="E4770" s="668" t="s">
        <v>13463</v>
      </c>
      <c r="F4770" s="667">
        <v>5.4330099999999999E-2</v>
      </c>
      <c r="G4770" s="668" t="s">
        <v>13462</v>
      </c>
      <c r="H4770" s="667">
        <v>0.05</v>
      </c>
      <c r="I4770" s="668" t="s">
        <v>13461</v>
      </c>
      <c r="J4770" s="667">
        <v>0.1</v>
      </c>
    </row>
    <row r="4771" spans="1:10" ht="15" thickBot="1">
      <c r="A4771" s="668"/>
      <c r="B4771" s="668"/>
      <c r="C4771" s="668"/>
      <c r="D4771" s="668"/>
      <c r="E4771" s="668" t="s">
        <v>13460</v>
      </c>
      <c r="F4771" s="667">
        <v>0.02</v>
      </c>
      <c r="G4771" s="668"/>
      <c r="H4771" s="925" t="s">
        <v>13459</v>
      </c>
      <c r="I4771" s="925"/>
      <c r="J4771" s="667">
        <v>0.12</v>
      </c>
    </row>
    <row r="4772" spans="1:10" ht="0.95" customHeight="1" thickTop="1">
      <c r="A4772" s="666"/>
      <c r="B4772" s="666"/>
      <c r="C4772" s="666"/>
      <c r="D4772" s="666"/>
      <c r="E4772" s="666"/>
      <c r="F4772" s="666"/>
      <c r="G4772" s="666"/>
      <c r="H4772" s="666"/>
      <c r="I4772" s="666"/>
      <c r="J4772" s="666"/>
    </row>
    <row r="4773" spans="1:10" ht="18" customHeight="1">
      <c r="A4773" s="686"/>
      <c r="B4773" s="684" t="s">
        <v>13484</v>
      </c>
      <c r="C4773" s="686" t="s">
        <v>13483</v>
      </c>
      <c r="D4773" s="686" t="s">
        <v>13482</v>
      </c>
      <c r="E4773" s="924" t="s">
        <v>13481</v>
      </c>
      <c r="F4773" s="924"/>
      <c r="G4773" s="685" t="s">
        <v>13480</v>
      </c>
      <c r="H4773" s="684" t="s">
        <v>13479</v>
      </c>
      <c r="I4773" s="684" t="s">
        <v>13478</v>
      </c>
      <c r="J4773" s="684" t="s">
        <v>13477</v>
      </c>
    </row>
    <row r="4774" spans="1:10" ht="24" customHeight="1">
      <c r="A4774" s="682" t="s">
        <v>13476</v>
      </c>
      <c r="B4774" s="683" t="s">
        <v>13951</v>
      </c>
      <c r="C4774" s="682" t="s">
        <v>7</v>
      </c>
      <c r="D4774" s="682" t="s">
        <v>555</v>
      </c>
      <c r="E4774" s="917" t="s">
        <v>13470</v>
      </c>
      <c r="F4774" s="917"/>
      <c r="G4774" s="681" t="s">
        <v>19</v>
      </c>
      <c r="H4774" s="680">
        <v>1</v>
      </c>
      <c r="I4774" s="679">
        <v>0.11</v>
      </c>
      <c r="J4774" s="679">
        <v>0.11</v>
      </c>
    </row>
    <row r="4775" spans="1:10" ht="24" customHeight="1">
      <c r="A4775" s="672" t="s">
        <v>13467</v>
      </c>
      <c r="B4775" s="673" t="s">
        <v>13950</v>
      </c>
      <c r="C4775" s="672" t="s">
        <v>7</v>
      </c>
      <c r="D4775" s="672" t="s">
        <v>13949</v>
      </c>
      <c r="E4775" s="919" t="s">
        <v>13548</v>
      </c>
      <c r="F4775" s="919"/>
      <c r="G4775" s="671" t="s">
        <v>19</v>
      </c>
      <c r="H4775" s="670">
        <v>8.2000000000000007E-3</v>
      </c>
      <c r="I4775" s="669">
        <v>13.66</v>
      </c>
      <c r="J4775" s="669">
        <v>0.11</v>
      </c>
    </row>
    <row r="4776" spans="1:10" ht="25.5">
      <c r="A4776" s="668"/>
      <c r="B4776" s="668"/>
      <c r="C4776" s="668"/>
      <c r="D4776" s="668"/>
      <c r="E4776" s="668" t="s">
        <v>13463</v>
      </c>
      <c r="F4776" s="667">
        <v>5.97631E-2</v>
      </c>
      <c r="G4776" s="668" t="s">
        <v>13462</v>
      </c>
      <c r="H4776" s="667">
        <v>0.05</v>
      </c>
      <c r="I4776" s="668" t="s">
        <v>13461</v>
      </c>
      <c r="J4776" s="667">
        <v>0.11</v>
      </c>
    </row>
    <row r="4777" spans="1:10" ht="15" thickBot="1">
      <c r="A4777" s="668"/>
      <c r="B4777" s="668"/>
      <c r="C4777" s="668"/>
      <c r="D4777" s="668"/>
      <c r="E4777" s="668" t="s">
        <v>13460</v>
      </c>
      <c r="F4777" s="667">
        <v>0.03</v>
      </c>
      <c r="G4777" s="668"/>
      <c r="H4777" s="925" t="s">
        <v>13459</v>
      </c>
      <c r="I4777" s="925"/>
      <c r="J4777" s="667">
        <v>0.14000000000000001</v>
      </c>
    </row>
    <row r="4778" spans="1:10" ht="0.95" customHeight="1" thickTop="1">
      <c r="A4778" s="666"/>
      <c r="B4778" s="666"/>
      <c r="C4778" s="666"/>
      <c r="D4778" s="666"/>
      <c r="E4778" s="666"/>
      <c r="F4778" s="666"/>
      <c r="G4778" s="666"/>
      <c r="H4778" s="666"/>
      <c r="I4778" s="666"/>
      <c r="J4778" s="666"/>
    </row>
    <row r="4779" spans="1:10" ht="18" customHeight="1">
      <c r="A4779" s="686"/>
      <c r="B4779" s="684" t="s">
        <v>13484</v>
      </c>
      <c r="C4779" s="686" t="s">
        <v>13483</v>
      </c>
      <c r="D4779" s="686" t="s">
        <v>13482</v>
      </c>
      <c r="E4779" s="924" t="s">
        <v>13481</v>
      </c>
      <c r="F4779" s="924"/>
      <c r="G4779" s="685" t="s">
        <v>13480</v>
      </c>
      <c r="H4779" s="684" t="s">
        <v>13479</v>
      </c>
      <c r="I4779" s="684" t="s">
        <v>13478</v>
      </c>
      <c r="J4779" s="684" t="s">
        <v>13477</v>
      </c>
    </row>
    <row r="4780" spans="1:10" ht="24" customHeight="1">
      <c r="A4780" s="682" t="s">
        <v>13476</v>
      </c>
      <c r="B4780" s="683" t="s">
        <v>13948</v>
      </c>
      <c r="C4780" s="682" t="s">
        <v>7</v>
      </c>
      <c r="D4780" s="682" t="s">
        <v>2730</v>
      </c>
      <c r="E4780" s="917" t="s">
        <v>13470</v>
      </c>
      <c r="F4780" s="917"/>
      <c r="G4780" s="681" t="s">
        <v>19</v>
      </c>
      <c r="H4780" s="680">
        <v>1</v>
      </c>
      <c r="I4780" s="679">
        <v>0.12</v>
      </c>
      <c r="J4780" s="679">
        <v>0.12</v>
      </c>
    </row>
    <row r="4781" spans="1:10" ht="24" customHeight="1">
      <c r="A4781" s="672" t="s">
        <v>13467</v>
      </c>
      <c r="B4781" s="673" t="s">
        <v>13947</v>
      </c>
      <c r="C4781" s="672" t="s">
        <v>7</v>
      </c>
      <c r="D4781" s="672" t="s">
        <v>13946</v>
      </c>
      <c r="E4781" s="919" t="s">
        <v>13548</v>
      </c>
      <c r="F4781" s="919"/>
      <c r="G4781" s="671" t="s">
        <v>19</v>
      </c>
      <c r="H4781" s="670">
        <v>1.0500000000000001E-2</v>
      </c>
      <c r="I4781" s="669">
        <v>11.86</v>
      </c>
      <c r="J4781" s="669">
        <v>0.12</v>
      </c>
    </row>
    <row r="4782" spans="1:10" ht="25.5">
      <c r="A4782" s="668"/>
      <c r="B4782" s="668"/>
      <c r="C4782" s="668"/>
      <c r="D4782" s="668"/>
      <c r="E4782" s="668" t="s">
        <v>13463</v>
      </c>
      <c r="F4782" s="667">
        <v>6.5196100000000007E-2</v>
      </c>
      <c r="G4782" s="668" t="s">
        <v>13462</v>
      </c>
      <c r="H4782" s="667">
        <v>0.05</v>
      </c>
      <c r="I4782" s="668" t="s">
        <v>13461</v>
      </c>
      <c r="J4782" s="667">
        <v>0.12</v>
      </c>
    </row>
    <row r="4783" spans="1:10" ht="15" thickBot="1">
      <c r="A4783" s="668"/>
      <c r="B4783" s="668"/>
      <c r="C4783" s="668"/>
      <c r="D4783" s="668"/>
      <c r="E4783" s="668" t="s">
        <v>13460</v>
      </c>
      <c r="F4783" s="667">
        <v>0.03</v>
      </c>
      <c r="G4783" s="668"/>
      <c r="H4783" s="925" t="s">
        <v>13459</v>
      </c>
      <c r="I4783" s="925"/>
      <c r="J4783" s="667">
        <v>0.15</v>
      </c>
    </row>
    <row r="4784" spans="1:10" ht="0.95" customHeight="1" thickTop="1">
      <c r="A4784" s="666"/>
      <c r="B4784" s="666"/>
      <c r="C4784" s="666"/>
      <c r="D4784" s="666"/>
      <c r="E4784" s="666"/>
      <c r="F4784" s="666"/>
      <c r="G4784" s="666"/>
      <c r="H4784" s="666"/>
      <c r="I4784" s="666"/>
      <c r="J4784" s="666"/>
    </row>
    <row r="4785" spans="1:10" ht="18" customHeight="1">
      <c r="A4785" s="686"/>
      <c r="B4785" s="684" t="s">
        <v>13484</v>
      </c>
      <c r="C4785" s="686" t="s">
        <v>13483</v>
      </c>
      <c r="D4785" s="686" t="s">
        <v>13482</v>
      </c>
      <c r="E4785" s="924" t="s">
        <v>13481</v>
      </c>
      <c r="F4785" s="924"/>
      <c r="G4785" s="685" t="s">
        <v>13480</v>
      </c>
      <c r="H4785" s="684" t="s">
        <v>13479</v>
      </c>
      <c r="I4785" s="684" t="s">
        <v>13478</v>
      </c>
      <c r="J4785" s="684" t="s">
        <v>13477</v>
      </c>
    </row>
    <row r="4786" spans="1:10" ht="24" customHeight="1">
      <c r="A4786" s="682" t="s">
        <v>13476</v>
      </c>
      <c r="B4786" s="683" t="s">
        <v>13945</v>
      </c>
      <c r="C4786" s="682" t="s">
        <v>7</v>
      </c>
      <c r="D4786" s="682" t="s">
        <v>2731</v>
      </c>
      <c r="E4786" s="917" t="s">
        <v>13470</v>
      </c>
      <c r="F4786" s="917"/>
      <c r="G4786" s="681" t="s">
        <v>19</v>
      </c>
      <c r="H4786" s="680">
        <v>1</v>
      </c>
      <c r="I4786" s="679">
        <v>0.26</v>
      </c>
      <c r="J4786" s="679">
        <v>0.26</v>
      </c>
    </row>
    <row r="4787" spans="1:10" ht="24" customHeight="1">
      <c r="A4787" s="672" t="s">
        <v>13467</v>
      </c>
      <c r="B4787" s="673" t="s">
        <v>13944</v>
      </c>
      <c r="C4787" s="672" t="s">
        <v>7</v>
      </c>
      <c r="D4787" s="672" t="s">
        <v>13943</v>
      </c>
      <c r="E4787" s="919" t="s">
        <v>13548</v>
      </c>
      <c r="F4787" s="919"/>
      <c r="G4787" s="671" t="s">
        <v>19</v>
      </c>
      <c r="H4787" s="670">
        <v>2.6599999999999999E-2</v>
      </c>
      <c r="I4787" s="669">
        <v>9.93</v>
      </c>
      <c r="J4787" s="669">
        <v>0.26</v>
      </c>
    </row>
    <row r="4788" spans="1:10" ht="25.5">
      <c r="A4788" s="668"/>
      <c r="B4788" s="668"/>
      <c r="C4788" s="668"/>
      <c r="D4788" s="668"/>
      <c r="E4788" s="668" t="s">
        <v>13463</v>
      </c>
      <c r="F4788" s="667">
        <v>0.1412583</v>
      </c>
      <c r="G4788" s="668" t="s">
        <v>13462</v>
      </c>
      <c r="H4788" s="667">
        <v>0.12</v>
      </c>
      <c r="I4788" s="668" t="s">
        <v>13461</v>
      </c>
      <c r="J4788" s="667">
        <v>0.26</v>
      </c>
    </row>
    <row r="4789" spans="1:10" ht="15" thickBot="1">
      <c r="A4789" s="668"/>
      <c r="B4789" s="668"/>
      <c r="C4789" s="668"/>
      <c r="D4789" s="668"/>
      <c r="E4789" s="668" t="s">
        <v>13460</v>
      </c>
      <c r="F4789" s="667">
        <v>7.0000000000000007E-2</v>
      </c>
      <c r="G4789" s="668"/>
      <c r="H4789" s="925" t="s">
        <v>13459</v>
      </c>
      <c r="I4789" s="925"/>
      <c r="J4789" s="667">
        <v>0.33</v>
      </c>
    </row>
    <row r="4790" spans="1:10" ht="0.95" customHeight="1" thickTop="1">
      <c r="A4790" s="666"/>
      <c r="B4790" s="666"/>
      <c r="C4790" s="666"/>
      <c r="D4790" s="666"/>
      <c r="E4790" s="666"/>
      <c r="F4790" s="666"/>
      <c r="G4790" s="666"/>
      <c r="H4790" s="666"/>
      <c r="I4790" s="666"/>
      <c r="J4790" s="666"/>
    </row>
    <row r="4791" spans="1:10" ht="18" customHeight="1">
      <c r="A4791" s="686"/>
      <c r="B4791" s="684" t="s">
        <v>13484</v>
      </c>
      <c r="C4791" s="686" t="s">
        <v>13483</v>
      </c>
      <c r="D4791" s="686" t="s">
        <v>13482</v>
      </c>
      <c r="E4791" s="924" t="s">
        <v>13481</v>
      </c>
      <c r="F4791" s="924"/>
      <c r="G4791" s="685" t="s">
        <v>13480</v>
      </c>
      <c r="H4791" s="684" t="s">
        <v>13479</v>
      </c>
      <c r="I4791" s="684" t="s">
        <v>13478</v>
      </c>
      <c r="J4791" s="684" t="s">
        <v>13477</v>
      </c>
    </row>
    <row r="4792" spans="1:10" ht="36" customHeight="1">
      <c r="A4792" s="682" t="s">
        <v>13476</v>
      </c>
      <c r="B4792" s="683" t="s">
        <v>13942</v>
      </c>
      <c r="C4792" s="682" t="s">
        <v>7</v>
      </c>
      <c r="D4792" s="682" t="s">
        <v>2732</v>
      </c>
      <c r="E4792" s="917" t="s">
        <v>13470</v>
      </c>
      <c r="F4792" s="917"/>
      <c r="G4792" s="681" t="s">
        <v>19</v>
      </c>
      <c r="H4792" s="680">
        <v>1</v>
      </c>
      <c r="I4792" s="679">
        <v>0.12</v>
      </c>
      <c r="J4792" s="679">
        <v>0.12</v>
      </c>
    </row>
    <row r="4793" spans="1:10" ht="24" customHeight="1">
      <c r="A4793" s="672" t="s">
        <v>13467</v>
      </c>
      <c r="B4793" s="673" t="s">
        <v>13941</v>
      </c>
      <c r="C4793" s="672" t="s">
        <v>7</v>
      </c>
      <c r="D4793" s="672" t="s">
        <v>13940</v>
      </c>
      <c r="E4793" s="919" t="s">
        <v>13548</v>
      </c>
      <c r="F4793" s="919"/>
      <c r="G4793" s="671" t="s">
        <v>19</v>
      </c>
      <c r="H4793" s="670">
        <v>1.2800000000000001E-2</v>
      </c>
      <c r="I4793" s="669">
        <v>10</v>
      </c>
      <c r="J4793" s="669">
        <v>0.12</v>
      </c>
    </row>
    <row r="4794" spans="1:10" ht="25.5">
      <c r="A4794" s="668"/>
      <c r="B4794" s="668"/>
      <c r="C4794" s="668"/>
      <c r="D4794" s="668"/>
      <c r="E4794" s="668" t="s">
        <v>13463</v>
      </c>
      <c r="F4794" s="667">
        <v>6.5196100000000007E-2</v>
      </c>
      <c r="G4794" s="668" t="s">
        <v>13462</v>
      </c>
      <c r="H4794" s="667">
        <v>0.05</v>
      </c>
      <c r="I4794" s="668" t="s">
        <v>13461</v>
      </c>
      <c r="J4794" s="667">
        <v>0.12</v>
      </c>
    </row>
    <row r="4795" spans="1:10" ht="15" thickBot="1">
      <c r="A4795" s="668"/>
      <c r="B4795" s="668"/>
      <c r="C4795" s="668"/>
      <c r="D4795" s="668"/>
      <c r="E4795" s="668" t="s">
        <v>13460</v>
      </c>
      <c r="F4795" s="667">
        <v>0.03</v>
      </c>
      <c r="G4795" s="668"/>
      <c r="H4795" s="925" t="s">
        <v>13459</v>
      </c>
      <c r="I4795" s="925"/>
      <c r="J4795" s="667">
        <v>0.15</v>
      </c>
    </row>
    <row r="4796" spans="1:10" ht="0.95" customHeight="1" thickTop="1">
      <c r="A4796" s="666"/>
      <c r="B4796" s="666"/>
      <c r="C4796" s="666"/>
      <c r="D4796" s="666"/>
      <c r="E4796" s="666"/>
      <c r="F4796" s="666"/>
      <c r="G4796" s="666"/>
      <c r="H4796" s="666"/>
      <c r="I4796" s="666"/>
      <c r="J4796" s="666"/>
    </row>
    <row r="4797" spans="1:10" ht="18" customHeight="1">
      <c r="A4797" s="686"/>
      <c r="B4797" s="684" t="s">
        <v>13484</v>
      </c>
      <c r="C4797" s="686" t="s">
        <v>13483</v>
      </c>
      <c r="D4797" s="686" t="s">
        <v>13482</v>
      </c>
      <c r="E4797" s="924" t="s">
        <v>13481</v>
      </c>
      <c r="F4797" s="924"/>
      <c r="G4797" s="685" t="s">
        <v>13480</v>
      </c>
      <c r="H4797" s="684" t="s">
        <v>13479</v>
      </c>
      <c r="I4797" s="684" t="s">
        <v>13478</v>
      </c>
      <c r="J4797" s="684" t="s">
        <v>13477</v>
      </c>
    </row>
    <row r="4798" spans="1:10" ht="24" customHeight="1">
      <c r="A4798" s="682" t="s">
        <v>13476</v>
      </c>
      <c r="B4798" s="683" t="s">
        <v>13939</v>
      </c>
      <c r="C4798" s="682" t="s">
        <v>7</v>
      </c>
      <c r="D4798" s="682" t="s">
        <v>2735</v>
      </c>
      <c r="E4798" s="917" t="s">
        <v>13470</v>
      </c>
      <c r="F4798" s="917"/>
      <c r="G4798" s="681" t="s">
        <v>19</v>
      </c>
      <c r="H4798" s="680">
        <v>1</v>
      </c>
      <c r="I4798" s="679">
        <v>0.08</v>
      </c>
      <c r="J4798" s="679">
        <v>0.08</v>
      </c>
    </row>
    <row r="4799" spans="1:10" ht="24" customHeight="1">
      <c r="A4799" s="672" t="s">
        <v>13467</v>
      </c>
      <c r="B4799" s="673" t="s">
        <v>13938</v>
      </c>
      <c r="C4799" s="672" t="s">
        <v>7</v>
      </c>
      <c r="D4799" s="672" t="s">
        <v>13937</v>
      </c>
      <c r="E4799" s="919" t="s">
        <v>13548</v>
      </c>
      <c r="F4799" s="919"/>
      <c r="G4799" s="671" t="s">
        <v>19</v>
      </c>
      <c r="H4799" s="670">
        <v>8.2000000000000007E-3</v>
      </c>
      <c r="I4799" s="669">
        <v>10.199999999999999</v>
      </c>
      <c r="J4799" s="669">
        <v>0.08</v>
      </c>
    </row>
    <row r="4800" spans="1:10" ht="25.5">
      <c r="A4800" s="668"/>
      <c r="B4800" s="668"/>
      <c r="C4800" s="668"/>
      <c r="D4800" s="668"/>
      <c r="E4800" s="668" t="s">
        <v>13463</v>
      </c>
      <c r="F4800" s="667">
        <v>4.3464099999999999E-2</v>
      </c>
      <c r="G4800" s="668" t="s">
        <v>13462</v>
      </c>
      <c r="H4800" s="667">
        <v>0.04</v>
      </c>
      <c r="I4800" s="668" t="s">
        <v>13461</v>
      </c>
      <c r="J4800" s="667">
        <v>0.08</v>
      </c>
    </row>
    <row r="4801" spans="1:10" ht="15" thickBot="1">
      <c r="A4801" s="668"/>
      <c r="B4801" s="668"/>
      <c r="C4801" s="668"/>
      <c r="D4801" s="668"/>
      <c r="E4801" s="668" t="s">
        <v>13460</v>
      </c>
      <c r="F4801" s="667">
        <v>0.02</v>
      </c>
      <c r="G4801" s="668"/>
      <c r="H4801" s="925" t="s">
        <v>13459</v>
      </c>
      <c r="I4801" s="925"/>
      <c r="J4801" s="667">
        <v>0.1</v>
      </c>
    </row>
    <row r="4802" spans="1:10" ht="0.95" customHeight="1" thickTop="1">
      <c r="A4802" s="666"/>
      <c r="B4802" s="666"/>
      <c r="C4802" s="666"/>
      <c r="D4802" s="666"/>
      <c r="E4802" s="666"/>
      <c r="F4802" s="666"/>
      <c r="G4802" s="666"/>
      <c r="H4802" s="666"/>
      <c r="I4802" s="666"/>
      <c r="J4802" s="666"/>
    </row>
    <row r="4803" spans="1:10" ht="18" customHeight="1">
      <c r="A4803" s="686"/>
      <c r="B4803" s="684" t="s">
        <v>13484</v>
      </c>
      <c r="C4803" s="686" t="s">
        <v>13483</v>
      </c>
      <c r="D4803" s="686" t="s">
        <v>13482</v>
      </c>
      <c r="E4803" s="924" t="s">
        <v>13481</v>
      </c>
      <c r="F4803" s="924"/>
      <c r="G4803" s="685" t="s">
        <v>13480</v>
      </c>
      <c r="H4803" s="684" t="s">
        <v>13479</v>
      </c>
      <c r="I4803" s="684" t="s">
        <v>13478</v>
      </c>
      <c r="J4803" s="684" t="s">
        <v>13477</v>
      </c>
    </row>
    <row r="4804" spans="1:10" ht="24" customHeight="1">
      <c r="A4804" s="682" t="s">
        <v>13476</v>
      </c>
      <c r="B4804" s="683" t="s">
        <v>13936</v>
      </c>
      <c r="C4804" s="682" t="s">
        <v>7</v>
      </c>
      <c r="D4804" s="682" t="s">
        <v>2739</v>
      </c>
      <c r="E4804" s="917" t="s">
        <v>13470</v>
      </c>
      <c r="F4804" s="917"/>
      <c r="G4804" s="681" t="s">
        <v>19</v>
      </c>
      <c r="H4804" s="680">
        <v>1</v>
      </c>
      <c r="I4804" s="679">
        <v>0.14000000000000001</v>
      </c>
      <c r="J4804" s="679">
        <v>0.14000000000000001</v>
      </c>
    </row>
    <row r="4805" spans="1:10" ht="24" customHeight="1">
      <c r="A4805" s="672" t="s">
        <v>13467</v>
      </c>
      <c r="B4805" s="673" t="s">
        <v>13935</v>
      </c>
      <c r="C4805" s="672" t="s">
        <v>7</v>
      </c>
      <c r="D4805" s="672" t="s">
        <v>13934</v>
      </c>
      <c r="E4805" s="919" t="s">
        <v>13548</v>
      </c>
      <c r="F4805" s="919"/>
      <c r="G4805" s="671" t="s">
        <v>19</v>
      </c>
      <c r="H4805" s="670">
        <v>1.0500000000000001E-2</v>
      </c>
      <c r="I4805" s="669">
        <v>13.66</v>
      </c>
      <c r="J4805" s="669">
        <v>0.14000000000000001</v>
      </c>
    </row>
    <row r="4806" spans="1:10" ht="25.5">
      <c r="A4806" s="668"/>
      <c r="B4806" s="668"/>
      <c r="C4806" s="668"/>
      <c r="D4806" s="668"/>
      <c r="E4806" s="668" t="s">
        <v>13463</v>
      </c>
      <c r="F4806" s="667">
        <v>7.6062199999999996E-2</v>
      </c>
      <c r="G4806" s="668" t="s">
        <v>13462</v>
      </c>
      <c r="H4806" s="667">
        <v>0.06</v>
      </c>
      <c r="I4806" s="668" t="s">
        <v>13461</v>
      </c>
      <c r="J4806" s="667">
        <v>0.14000000000000001</v>
      </c>
    </row>
    <row r="4807" spans="1:10" ht="15" thickBot="1">
      <c r="A4807" s="668"/>
      <c r="B4807" s="668"/>
      <c r="C4807" s="668"/>
      <c r="D4807" s="668"/>
      <c r="E4807" s="668" t="s">
        <v>13460</v>
      </c>
      <c r="F4807" s="667">
        <v>0.03</v>
      </c>
      <c r="G4807" s="668"/>
      <c r="H4807" s="925" t="s">
        <v>13459</v>
      </c>
      <c r="I4807" s="925"/>
      <c r="J4807" s="667">
        <v>0.17</v>
      </c>
    </row>
    <row r="4808" spans="1:10" ht="0.95" customHeight="1" thickTop="1">
      <c r="A4808" s="666"/>
      <c r="B4808" s="666"/>
      <c r="C4808" s="666"/>
      <c r="D4808" s="666"/>
      <c r="E4808" s="666"/>
      <c r="F4808" s="666"/>
      <c r="G4808" s="666"/>
      <c r="H4808" s="666"/>
      <c r="I4808" s="666"/>
      <c r="J4808" s="666"/>
    </row>
    <row r="4809" spans="1:10" ht="18" customHeight="1">
      <c r="A4809" s="686"/>
      <c r="B4809" s="684" t="s">
        <v>13484</v>
      </c>
      <c r="C4809" s="686" t="s">
        <v>13483</v>
      </c>
      <c r="D4809" s="686" t="s">
        <v>13482</v>
      </c>
      <c r="E4809" s="924" t="s">
        <v>13481</v>
      </c>
      <c r="F4809" s="924"/>
      <c r="G4809" s="685" t="s">
        <v>13480</v>
      </c>
      <c r="H4809" s="684" t="s">
        <v>13479</v>
      </c>
      <c r="I4809" s="684" t="s">
        <v>13478</v>
      </c>
      <c r="J4809" s="684" t="s">
        <v>13477</v>
      </c>
    </row>
    <row r="4810" spans="1:10" ht="24" customHeight="1">
      <c r="A4810" s="682" t="s">
        <v>13476</v>
      </c>
      <c r="B4810" s="683" t="s">
        <v>13933</v>
      </c>
      <c r="C4810" s="682" t="s">
        <v>7</v>
      </c>
      <c r="D4810" s="682" t="s">
        <v>2742</v>
      </c>
      <c r="E4810" s="917" t="s">
        <v>13470</v>
      </c>
      <c r="F4810" s="917"/>
      <c r="G4810" s="681" t="s">
        <v>19</v>
      </c>
      <c r="H4810" s="680">
        <v>1</v>
      </c>
      <c r="I4810" s="679">
        <v>0.11</v>
      </c>
      <c r="J4810" s="679">
        <v>0.11</v>
      </c>
    </row>
    <row r="4811" spans="1:10" ht="24" customHeight="1">
      <c r="A4811" s="672" t="s">
        <v>13467</v>
      </c>
      <c r="B4811" s="673" t="s">
        <v>13932</v>
      </c>
      <c r="C4811" s="672" t="s">
        <v>7</v>
      </c>
      <c r="D4811" s="672" t="s">
        <v>13931</v>
      </c>
      <c r="E4811" s="919" t="s">
        <v>13548</v>
      </c>
      <c r="F4811" s="919"/>
      <c r="G4811" s="671" t="s">
        <v>19</v>
      </c>
      <c r="H4811" s="670">
        <v>8.2000000000000007E-3</v>
      </c>
      <c r="I4811" s="669">
        <v>13.49</v>
      </c>
      <c r="J4811" s="669">
        <v>0.11</v>
      </c>
    </row>
    <row r="4812" spans="1:10" ht="25.5">
      <c r="A4812" s="668"/>
      <c r="B4812" s="668"/>
      <c r="C4812" s="668"/>
      <c r="D4812" s="668"/>
      <c r="E4812" s="668" t="s">
        <v>13463</v>
      </c>
      <c r="F4812" s="667">
        <v>5.97631E-2</v>
      </c>
      <c r="G4812" s="668" t="s">
        <v>13462</v>
      </c>
      <c r="H4812" s="667">
        <v>0.05</v>
      </c>
      <c r="I4812" s="668" t="s">
        <v>13461</v>
      </c>
      <c r="J4812" s="667">
        <v>0.11</v>
      </c>
    </row>
    <row r="4813" spans="1:10" ht="15" thickBot="1">
      <c r="A4813" s="668"/>
      <c r="B4813" s="668"/>
      <c r="C4813" s="668"/>
      <c r="D4813" s="668"/>
      <c r="E4813" s="668" t="s">
        <v>13460</v>
      </c>
      <c r="F4813" s="667">
        <v>0.03</v>
      </c>
      <c r="G4813" s="668"/>
      <c r="H4813" s="925" t="s">
        <v>13459</v>
      </c>
      <c r="I4813" s="925"/>
      <c r="J4813" s="667">
        <v>0.14000000000000001</v>
      </c>
    </row>
    <row r="4814" spans="1:10" ht="0.95" customHeight="1" thickTop="1">
      <c r="A4814" s="666"/>
      <c r="B4814" s="666"/>
      <c r="C4814" s="666"/>
      <c r="D4814" s="666"/>
      <c r="E4814" s="666"/>
      <c r="F4814" s="666"/>
      <c r="G4814" s="666"/>
      <c r="H4814" s="666"/>
      <c r="I4814" s="666"/>
      <c r="J4814" s="666"/>
    </row>
    <row r="4815" spans="1:10" ht="18" customHeight="1">
      <c r="A4815" s="686"/>
      <c r="B4815" s="684" t="s">
        <v>13484</v>
      </c>
      <c r="C4815" s="686" t="s">
        <v>13483</v>
      </c>
      <c r="D4815" s="686" t="s">
        <v>13482</v>
      </c>
      <c r="E4815" s="924" t="s">
        <v>13481</v>
      </c>
      <c r="F4815" s="924"/>
      <c r="G4815" s="685" t="s">
        <v>13480</v>
      </c>
      <c r="H4815" s="684" t="s">
        <v>13479</v>
      </c>
      <c r="I4815" s="684" t="s">
        <v>13478</v>
      </c>
      <c r="J4815" s="684" t="s">
        <v>13477</v>
      </c>
    </row>
    <row r="4816" spans="1:10" ht="24" customHeight="1">
      <c r="A4816" s="682" t="s">
        <v>13476</v>
      </c>
      <c r="B4816" s="683" t="s">
        <v>13930</v>
      </c>
      <c r="C4816" s="682" t="s">
        <v>7</v>
      </c>
      <c r="D4816" s="682" t="s">
        <v>2743</v>
      </c>
      <c r="E4816" s="917" t="s">
        <v>13470</v>
      </c>
      <c r="F4816" s="917"/>
      <c r="G4816" s="681" t="s">
        <v>19</v>
      </c>
      <c r="H4816" s="680">
        <v>1</v>
      </c>
      <c r="I4816" s="679">
        <v>0.15</v>
      </c>
      <c r="J4816" s="679">
        <v>0.15</v>
      </c>
    </row>
    <row r="4817" spans="1:10" ht="24" customHeight="1">
      <c r="A4817" s="672" t="s">
        <v>13467</v>
      </c>
      <c r="B4817" s="673" t="s">
        <v>13929</v>
      </c>
      <c r="C4817" s="672" t="s">
        <v>7</v>
      </c>
      <c r="D4817" s="672" t="s">
        <v>13928</v>
      </c>
      <c r="E4817" s="919" t="s">
        <v>13548</v>
      </c>
      <c r="F4817" s="919"/>
      <c r="G4817" s="671" t="s">
        <v>19</v>
      </c>
      <c r="H4817" s="670">
        <v>1.0500000000000001E-2</v>
      </c>
      <c r="I4817" s="669">
        <v>14.91</v>
      </c>
      <c r="J4817" s="669">
        <v>0.15</v>
      </c>
    </row>
    <row r="4818" spans="1:10" ht="25.5">
      <c r="A4818" s="668"/>
      <c r="B4818" s="668"/>
      <c r="C4818" s="668"/>
      <c r="D4818" s="668"/>
      <c r="E4818" s="668" t="s">
        <v>13463</v>
      </c>
      <c r="F4818" s="667">
        <v>8.1495200000000004E-2</v>
      </c>
      <c r="G4818" s="668" t="s">
        <v>13462</v>
      </c>
      <c r="H4818" s="667">
        <v>7.0000000000000007E-2</v>
      </c>
      <c r="I4818" s="668" t="s">
        <v>13461</v>
      </c>
      <c r="J4818" s="667">
        <v>0.15</v>
      </c>
    </row>
    <row r="4819" spans="1:10" ht="15" thickBot="1">
      <c r="A4819" s="668"/>
      <c r="B4819" s="668"/>
      <c r="C4819" s="668"/>
      <c r="D4819" s="668"/>
      <c r="E4819" s="668" t="s">
        <v>13460</v>
      </c>
      <c r="F4819" s="667">
        <v>0.04</v>
      </c>
      <c r="G4819" s="668"/>
      <c r="H4819" s="925" t="s">
        <v>13459</v>
      </c>
      <c r="I4819" s="925"/>
      <c r="J4819" s="667">
        <v>0.19</v>
      </c>
    </row>
    <row r="4820" spans="1:10" ht="0.95" customHeight="1" thickTop="1">
      <c r="A4820" s="666"/>
      <c r="B4820" s="666"/>
      <c r="C4820" s="666"/>
      <c r="D4820" s="666"/>
      <c r="E4820" s="666"/>
      <c r="F4820" s="666"/>
      <c r="G4820" s="666"/>
      <c r="H4820" s="666"/>
      <c r="I4820" s="666"/>
      <c r="J4820" s="666"/>
    </row>
    <row r="4821" spans="1:10" ht="18" customHeight="1">
      <c r="A4821" s="686"/>
      <c r="B4821" s="684" t="s">
        <v>13484</v>
      </c>
      <c r="C4821" s="686" t="s">
        <v>13483</v>
      </c>
      <c r="D4821" s="686" t="s">
        <v>13482</v>
      </c>
      <c r="E4821" s="924" t="s">
        <v>13481</v>
      </c>
      <c r="F4821" s="924"/>
      <c r="G4821" s="685" t="s">
        <v>13480</v>
      </c>
      <c r="H4821" s="684" t="s">
        <v>13479</v>
      </c>
      <c r="I4821" s="684" t="s">
        <v>13478</v>
      </c>
      <c r="J4821" s="684" t="s">
        <v>13477</v>
      </c>
    </row>
    <row r="4822" spans="1:10" ht="24" customHeight="1">
      <c r="A4822" s="682" t="s">
        <v>13476</v>
      </c>
      <c r="B4822" s="683" t="s">
        <v>13927</v>
      </c>
      <c r="C4822" s="682" t="s">
        <v>7</v>
      </c>
      <c r="D4822" s="682" t="s">
        <v>2744</v>
      </c>
      <c r="E4822" s="917" t="s">
        <v>13470</v>
      </c>
      <c r="F4822" s="917"/>
      <c r="G4822" s="681" t="s">
        <v>19</v>
      </c>
      <c r="H4822" s="680">
        <v>1</v>
      </c>
      <c r="I4822" s="679">
        <v>0.11</v>
      </c>
      <c r="J4822" s="679">
        <v>0.11</v>
      </c>
    </row>
    <row r="4823" spans="1:10" ht="24" customHeight="1">
      <c r="A4823" s="672" t="s">
        <v>13467</v>
      </c>
      <c r="B4823" s="673" t="s">
        <v>13926</v>
      </c>
      <c r="C4823" s="672" t="s">
        <v>7</v>
      </c>
      <c r="D4823" s="672" t="s">
        <v>13925</v>
      </c>
      <c r="E4823" s="919" t="s">
        <v>13548</v>
      </c>
      <c r="F4823" s="919"/>
      <c r="G4823" s="671" t="s">
        <v>19</v>
      </c>
      <c r="H4823" s="670">
        <v>8.2000000000000007E-3</v>
      </c>
      <c r="I4823" s="669">
        <v>13.66</v>
      </c>
      <c r="J4823" s="669">
        <v>0.11</v>
      </c>
    </row>
    <row r="4824" spans="1:10" ht="25.5">
      <c r="A4824" s="668"/>
      <c r="B4824" s="668"/>
      <c r="C4824" s="668"/>
      <c r="D4824" s="668"/>
      <c r="E4824" s="668" t="s">
        <v>13463</v>
      </c>
      <c r="F4824" s="667">
        <v>5.97631E-2</v>
      </c>
      <c r="G4824" s="668" t="s">
        <v>13462</v>
      </c>
      <c r="H4824" s="667">
        <v>0.05</v>
      </c>
      <c r="I4824" s="668" t="s">
        <v>13461</v>
      </c>
      <c r="J4824" s="667">
        <v>0.11</v>
      </c>
    </row>
    <row r="4825" spans="1:10" ht="15" thickBot="1">
      <c r="A4825" s="668"/>
      <c r="B4825" s="668"/>
      <c r="C4825" s="668"/>
      <c r="D4825" s="668"/>
      <c r="E4825" s="668" t="s">
        <v>13460</v>
      </c>
      <c r="F4825" s="667">
        <v>0.03</v>
      </c>
      <c r="G4825" s="668"/>
      <c r="H4825" s="925" t="s">
        <v>13459</v>
      </c>
      <c r="I4825" s="925"/>
      <c r="J4825" s="667">
        <v>0.14000000000000001</v>
      </c>
    </row>
    <row r="4826" spans="1:10" ht="0.95" customHeight="1" thickTop="1">
      <c r="A4826" s="666"/>
      <c r="B4826" s="666"/>
      <c r="C4826" s="666"/>
      <c r="D4826" s="666"/>
      <c r="E4826" s="666"/>
      <c r="F4826" s="666"/>
      <c r="G4826" s="666"/>
      <c r="H4826" s="666"/>
      <c r="I4826" s="666"/>
      <c r="J4826" s="666"/>
    </row>
    <row r="4827" spans="1:10" ht="18" customHeight="1">
      <c r="A4827" s="686"/>
      <c r="B4827" s="684" t="s">
        <v>13484</v>
      </c>
      <c r="C4827" s="686" t="s">
        <v>13483</v>
      </c>
      <c r="D4827" s="686" t="s">
        <v>13482</v>
      </c>
      <c r="E4827" s="924" t="s">
        <v>13481</v>
      </c>
      <c r="F4827" s="924"/>
      <c r="G4827" s="685" t="s">
        <v>13480</v>
      </c>
      <c r="H4827" s="684" t="s">
        <v>13479</v>
      </c>
      <c r="I4827" s="684" t="s">
        <v>13478</v>
      </c>
      <c r="J4827" s="684" t="s">
        <v>13477</v>
      </c>
    </row>
    <row r="4828" spans="1:10" ht="24" customHeight="1">
      <c r="A4828" s="682" t="s">
        <v>13476</v>
      </c>
      <c r="B4828" s="683" t="s">
        <v>13924</v>
      </c>
      <c r="C4828" s="682" t="s">
        <v>7</v>
      </c>
      <c r="D4828" s="682" t="s">
        <v>2746</v>
      </c>
      <c r="E4828" s="917" t="s">
        <v>13470</v>
      </c>
      <c r="F4828" s="917"/>
      <c r="G4828" s="681" t="s">
        <v>19</v>
      </c>
      <c r="H4828" s="680">
        <v>1</v>
      </c>
      <c r="I4828" s="679">
        <v>0.37</v>
      </c>
      <c r="J4828" s="679">
        <v>0.37</v>
      </c>
    </row>
    <row r="4829" spans="1:10" ht="24" customHeight="1">
      <c r="A4829" s="672" t="s">
        <v>13467</v>
      </c>
      <c r="B4829" s="673" t="s">
        <v>13923</v>
      </c>
      <c r="C4829" s="672" t="s">
        <v>7</v>
      </c>
      <c r="D4829" s="672" t="s">
        <v>13922</v>
      </c>
      <c r="E4829" s="919" t="s">
        <v>13548</v>
      </c>
      <c r="F4829" s="919"/>
      <c r="G4829" s="671" t="s">
        <v>19</v>
      </c>
      <c r="H4829" s="670">
        <v>2.6599999999999999E-2</v>
      </c>
      <c r="I4829" s="669">
        <v>14.12</v>
      </c>
      <c r="J4829" s="669">
        <v>0.37</v>
      </c>
    </row>
    <row r="4830" spans="1:10" ht="25.5">
      <c r="A4830" s="668"/>
      <c r="B4830" s="668"/>
      <c r="C4830" s="668"/>
      <c r="D4830" s="668"/>
      <c r="E4830" s="668" t="s">
        <v>13463</v>
      </c>
      <c r="F4830" s="667">
        <v>0.20102139999999999</v>
      </c>
      <c r="G4830" s="668" t="s">
        <v>13462</v>
      </c>
      <c r="H4830" s="667">
        <v>0.17</v>
      </c>
      <c r="I4830" s="668" t="s">
        <v>13461</v>
      </c>
      <c r="J4830" s="667">
        <v>0.37</v>
      </c>
    </row>
    <row r="4831" spans="1:10" ht="15" thickBot="1">
      <c r="A4831" s="668"/>
      <c r="B4831" s="668"/>
      <c r="C4831" s="668"/>
      <c r="D4831" s="668"/>
      <c r="E4831" s="668" t="s">
        <v>13460</v>
      </c>
      <c r="F4831" s="667">
        <v>0.1</v>
      </c>
      <c r="G4831" s="668"/>
      <c r="H4831" s="925" t="s">
        <v>13459</v>
      </c>
      <c r="I4831" s="925"/>
      <c r="J4831" s="667">
        <v>0.47</v>
      </c>
    </row>
    <row r="4832" spans="1:10" ht="0.95" customHeight="1" thickTop="1">
      <c r="A4832" s="666"/>
      <c r="B4832" s="666"/>
      <c r="C4832" s="666"/>
      <c r="D4832" s="666"/>
      <c r="E4832" s="666"/>
      <c r="F4832" s="666"/>
      <c r="G4832" s="666"/>
      <c r="H4832" s="666"/>
      <c r="I4832" s="666"/>
      <c r="J4832" s="666"/>
    </row>
    <row r="4833" spans="1:10" ht="18" customHeight="1">
      <c r="A4833" s="686"/>
      <c r="B4833" s="684" t="s">
        <v>13484</v>
      </c>
      <c r="C4833" s="686" t="s">
        <v>13483</v>
      </c>
      <c r="D4833" s="686" t="s">
        <v>13482</v>
      </c>
      <c r="E4833" s="924" t="s">
        <v>13481</v>
      </c>
      <c r="F4833" s="924"/>
      <c r="G4833" s="685" t="s">
        <v>13480</v>
      </c>
      <c r="H4833" s="684" t="s">
        <v>13479</v>
      </c>
      <c r="I4833" s="684" t="s">
        <v>13478</v>
      </c>
      <c r="J4833" s="684" t="s">
        <v>13477</v>
      </c>
    </row>
    <row r="4834" spans="1:10" ht="24" customHeight="1">
      <c r="A4834" s="682" t="s">
        <v>13476</v>
      </c>
      <c r="B4834" s="683" t="s">
        <v>13921</v>
      </c>
      <c r="C4834" s="682" t="s">
        <v>7</v>
      </c>
      <c r="D4834" s="682" t="s">
        <v>2749</v>
      </c>
      <c r="E4834" s="917" t="s">
        <v>13470</v>
      </c>
      <c r="F4834" s="917"/>
      <c r="G4834" s="681" t="s">
        <v>19</v>
      </c>
      <c r="H4834" s="680">
        <v>1</v>
      </c>
      <c r="I4834" s="679">
        <v>0.18</v>
      </c>
      <c r="J4834" s="679">
        <v>0.18</v>
      </c>
    </row>
    <row r="4835" spans="1:10" ht="24" customHeight="1">
      <c r="A4835" s="672" t="s">
        <v>13467</v>
      </c>
      <c r="B4835" s="673" t="s">
        <v>13920</v>
      </c>
      <c r="C4835" s="672" t="s">
        <v>7</v>
      </c>
      <c r="D4835" s="672" t="s">
        <v>13919</v>
      </c>
      <c r="E4835" s="919" t="s">
        <v>13548</v>
      </c>
      <c r="F4835" s="919"/>
      <c r="G4835" s="671" t="s">
        <v>19</v>
      </c>
      <c r="H4835" s="670">
        <v>1.2800000000000001E-2</v>
      </c>
      <c r="I4835" s="669">
        <v>14.12</v>
      </c>
      <c r="J4835" s="669">
        <v>0.18</v>
      </c>
    </row>
    <row r="4836" spans="1:10" ht="25.5">
      <c r="A4836" s="668"/>
      <c r="B4836" s="668"/>
      <c r="C4836" s="668"/>
      <c r="D4836" s="668"/>
      <c r="E4836" s="668" t="s">
        <v>13463</v>
      </c>
      <c r="F4836" s="667">
        <v>9.7794199999999998E-2</v>
      </c>
      <c r="G4836" s="668" t="s">
        <v>13462</v>
      </c>
      <c r="H4836" s="667">
        <v>0.08</v>
      </c>
      <c r="I4836" s="668" t="s">
        <v>13461</v>
      </c>
      <c r="J4836" s="667">
        <v>0.18</v>
      </c>
    </row>
    <row r="4837" spans="1:10" ht="15" thickBot="1">
      <c r="A4837" s="668"/>
      <c r="B4837" s="668"/>
      <c r="C4837" s="668"/>
      <c r="D4837" s="668"/>
      <c r="E4837" s="668" t="s">
        <v>13460</v>
      </c>
      <c r="F4837" s="667">
        <v>0.05</v>
      </c>
      <c r="G4837" s="668"/>
      <c r="H4837" s="925" t="s">
        <v>13459</v>
      </c>
      <c r="I4837" s="925"/>
      <c r="J4837" s="667">
        <v>0.23</v>
      </c>
    </row>
    <row r="4838" spans="1:10" ht="0.95" customHeight="1" thickTop="1">
      <c r="A4838" s="666"/>
      <c r="B4838" s="666"/>
      <c r="C4838" s="666"/>
      <c r="D4838" s="666"/>
      <c r="E4838" s="666"/>
      <c r="F4838" s="666"/>
      <c r="G4838" s="666"/>
      <c r="H4838" s="666"/>
      <c r="I4838" s="666"/>
      <c r="J4838" s="666"/>
    </row>
    <row r="4839" spans="1:10" ht="18" customHeight="1">
      <c r="A4839" s="686"/>
      <c r="B4839" s="684" t="s">
        <v>13484</v>
      </c>
      <c r="C4839" s="686" t="s">
        <v>13483</v>
      </c>
      <c r="D4839" s="686" t="s">
        <v>13482</v>
      </c>
      <c r="E4839" s="924" t="s">
        <v>13481</v>
      </c>
      <c r="F4839" s="924"/>
      <c r="G4839" s="685" t="s">
        <v>13480</v>
      </c>
      <c r="H4839" s="684" t="s">
        <v>13479</v>
      </c>
      <c r="I4839" s="684" t="s">
        <v>13478</v>
      </c>
      <c r="J4839" s="684" t="s">
        <v>13477</v>
      </c>
    </row>
    <row r="4840" spans="1:10" ht="24" customHeight="1">
      <c r="A4840" s="682" t="s">
        <v>13476</v>
      </c>
      <c r="B4840" s="683" t="s">
        <v>13918</v>
      </c>
      <c r="C4840" s="682" t="s">
        <v>7</v>
      </c>
      <c r="D4840" s="682" t="s">
        <v>2806</v>
      </c>
      <c r="E4840" s="917" t="s">
        <v>13470</v>
      </c>
      <c r="F4840" s="917"/>
      <c r="G4840" s="681" t="s">
        <v>19</v>
      </c>
      <c r="H4840" s="680">
        <v>1</v>
      </c>
      <c r="I4840" s="679">
        <v>0.27</v>
      </c>
      <c r="J4840" s="679">
        <v>0.27</v>
      </c>
    </row>
    <row r="4841" spans="1:10" ht="24" customHeight="1">
      <c r="A4841" s="672" t="s">
        <v>13467</v>
      </c>
      <c r="B4841" s="673" t="s">
        <v>13917</v>
      </c>
      <c r="C4841" s="672" t="s">
        <v>7</v>
      </c>
      <c r="D4841" s="672" t="s">
        <v>13916</v>
      </c>
      <c r="E4841" s="919" t="s">
        <v>13548</v>
      </c>
      <c r="F4841" s="919"/>
      <c r="G4841" s="671" t="s">
        <v>19</v>
      </c>
      <c r="H4841" s="670">
        <v>1.5100000000000001E-2</v>
      </c>
      <c r="I4841" s="669">
        <v>18.28</v>
      </c>
      <c r="J4841" s="669">
        <v>0.27</v>
      </c>
    </row>
    <row r="4842" spans="1:10" ht="25.5">
      <c r="A4842" s="668"/>
      <c r="B4842" s="668"/>
      <c r="C4842" s="668"/>
      <c r="D4842" s="668"/>
      <c r="E4842" s="668" t="s">
        <v>13463</v>
      </c>
      <c r="F4842" s="667">
        <v>0.1466913</v>
      </c>
      <c r="G4842" s="668" t="s">
        <v>13462</v>
      </c>
      <c r="H4842" s="667">
        <v>0.12</v>
      </c>
      <c r="I4842" s="668" t="s">
        <v>13461</v>
      </c>
      <c r="J4842" s="667">
        <v>0.27</v>
      </c>
    </row>
    <row r="4843" spans="1:10" ht="15" thickBot="1">
      <c r="A4843" s="668"/>
      <c r="B4843" s="668"/>
      <c r="C4843" s="668"/>
      <c r="D4843" s="668"/>
      <c r="E4843" s="668" t="s">
        <v>13460</v>
      </c>
      <c r="F4843" s="667">
        <v>7.0000000000000007E-2</v>
      </c>
      <c r="G4843" s="668"/>
      <c r="H4843" s="925" t="s">
        <v>13459</v>
      </c>
      <c r="I4843" s="925"/>
      <c r="J4843" s="667">
        <v>0.34</v>
      </c>
    </row>
    <row r="4844" spans="1:10" ht="0.95" customHeight="1" thickTop="1">
      <c r="A4844" s="666"/>
      <c r="B4844" s="666"/>
      <c r="C4844" s="666"/>
      <c r="D4844" s="666"/>
      <c r="E4844" s="666"/>
      <c r="F4844" s="666"/>
      <c r="G4844" s="666"/>
      <c r="H4844" s="666"/>
      <c r="I4844" s="666"/>
      <c r="J4844" s="666"/>
    </row>
    <row r="4845" spans="1:10" ht="18" customHeight="1">
      <c r="A4845" s="686"/>
      <c r="B4845" s="684" t="s">
        <v>13484</v>
      </c>
      <c r="C4845" s="686" t="s">
        <v>13483</v>
      </c>
      <c r="D4845" s="686" t="s">
        <v>13482</v>
      </c>
      <c r="E4845" s="924" t="s">
        <v>13481</v>
      </c>
      <c r="F4845" s="924"/>
      <c r="G4845" s="685" t="s">
        <v>13480</v>
      </c>
      <c r="H4845" s="684" t="s">
        <v>13479</v>
      </c>
      <c r="I4845" s="684" t="s">
        <v>13478</v>
      </c>
      <c r="J4845" s="684" t="s">
        <v>13477</v>
      </c>
    </row>
    <row r="4846" spans="1:10" ht="24" customHeight="1">
      <c r="A4846" s="682" t="s">
        <v>13476</v>
      </c>
      <c r="B4846" s="683" t="s">
        <v>13915</v>
      </c>
      <c r="C4846" s="682" t="s">
        <v>7</v>
      </c>
      <c r="D4846" s="682" t="s">
        <v>2807</v>
      </c>
      <c r="E4846" s="917" t="s">
        <v>13470</v>
      </c>
      <c r="F4846" s="917"/>
      <c r="G4846" s="681" t="s">
        <v>19</v>
      </c>
      <c r="H4846" s="680">
        <v>1</v>
      </c>
      <c r="I4846" s="679">
        <v>0.82</v>
      </c>
      <c r="J4846" s="679">
        <v>0.82</v>
      </c>
    </row>
    <row r="4847" spans="1:10" ht="24" customHeight="1">
      <c r="A4847" s="672" t="s">
        <v>13467</v>
      </c>
      <c r="B4847" s="673" t="s">
        <v>13914</v>
      </c>
      <c r="C4847" s="672" t="s">
        <v>7</v>
      </c>
      <c r="D4847" s="672" t="s">
        <v>13913</v>
      </c>
      <c r="E4847" s="919" t="s">
        <v>13548</v>
      </c>
      <c r="F4847" s="919"/>
      <c r="G4847" s="671" t="s">
        <v>19</v>
      </c>
      <c r="H4847" s="670">
        <v>1.0500000000000001E-2</v>
      </c>
      <c r="I4847" s="669">
        <v>78.16</v>
      </c>
      <c r="J4847" s="669">
        <v>0.82</v>
      </c>
    </row>
    <row r="4848" spans="1:10" ht="25.5">
      <c r="A4848" s="668"/>
      <c r="B4848" s="668"/>
      <c r="C4848" s="668"/>
      <c r="D4848" s="668"/>
      <c r="E4848" s="668" t="s">
        <v>13463</v>
      </c>
      <c r="F4848" s="667">
        <v>0.44550689999999998</v>
      </c>
      <c r="G4848" s="668" t="s">
        <v>13462</v>
      </c>
      <c r="H4848" s="667">
        <v>0.37</v>
      </c>
      <c r="I4848" s="668" t="s">
        <v>13461</v>
      </c>
      <c r="J4848" s="667">
        <v>0.82</v>
      </c>
    </row>
    <row r="4849" spans="1:10" ht="15" thickBot="1">
      <c r="A4849" s="668"/>
      <c r="B4849" s="668"/>
      <c r="C4849" s="668"/>
      <c r="D4849" s="668"/>
      <c r="E4849" s="668" t="s">
        <v>13460</v>
      </c>
      <c r="F4849" s="667">
        <v>0.23</v>
      </c>
      <c r="G4849" s="668"/>
      <c r="H4849" s="925" t="s">
        <v>13459</v>
      </c>
      <c r="I4849" s="925"/>
      <c r="J4849" s="667">
        <v>1.05</v>
      </c>
    </row>
    <row r="4850" spans="1:10" ht="0.95" customHeight="1" thickTop="1">
      <c r="A4850" s="666"/>
      <c r="B4850" s="666"/>
      <c r="C4850" s="666"/>
      <c r="D4850" s="666"/>
      <c r="E4850" s="666"/>
      <c r="F4850" s="666"/>
      <c r="G4850" s="666"/>
      <c r="H4850" s="666"/>
      <c r="I4850" s="666"/>
      <c r="J4850" s="666"/>
    </row>
    <row r="4851" spans="1:10" ht="18" customHeight="1">
      <c r="A4851" s="686"/>
      <c r="B4851" s="684" t="s">
        <v>13484</v>
      </c>
      <c r="C4851" s="686" t="s">
        <v>13483</v>
      </c>
      <c r="D4851" s="686" t="s">
        <v>13482</v>
      </c>
      <c r="E4851" s="924" t="s">
        <v>13481</v>
      </c>
      <c r="F4851" s="924"/>
      <c r="G4851" s="685" t="s">
        <v>13480</v>
      </c>
      <c r="H4851" s="684" t="s">
        <v>13479</v>
      </c>
      <c r="I4851" s="684" t="s">
        <v>13478</v>
      </c>
      <c r="J4851" s="684" t="s">
        <v>13477</v>
      </c>
    </row>
    <row r="4852" spans="1:10" ht="24" customHeight="1">
      <c r="A4852" s="682" t="s">
        <v>13476</v>
      </c>
      <c r="B4852" s="683" t="s">
        <v>13777</v>
      </c>
      <c r="C4852" s="682" t="s">
        <v>7</v>
      </c>
      <c r="D4852" s="682" t="s">
        <v>2750</v>
      </c>
      <c r="E4852" s="917" t="s">
        <v>13470</v>
      </c>
      <c r="F4852" s="917"/>
      <c r="G4852" s="681" t="s">
        <v>19</v>
      </c>
      <c r="H4852" s="680">
        <v>1</v>
      </c>
      <c r="I4852" s="679">
        <v>0.21</v>
      </c>
      <c r="J4852" s="679">
        <v>0.21</v>
      </c>
    </row>
    <row r="4853" spans="1:10" ht="24" customHeight="1">
      <c r="A4853" s="672" t="s">
        <v>13467</v>
      </c>
      <c r="B4853" s="673" t="s">
        <v>13776</v>
      </c>
      <c r="C4853" s="672" t="s">
        <v>7</v>
      </c>
      <c r="D4853" s="672" t="s">
        <v>13775</v>
      </c>
      <c r="E4853" s="919" t="s">
        <v>13548</v>
      </c>
      <c r="F4853" s="919"/>
      <c r="G4853" s="671" t="s">
        <v>19</v>
      </c>
      <c r="H4853" s="670">
        <v>1.5100000000000001E-2</v>
      </c>
      <c r="I4853" s="669">
        <v>14.47</v>
      </c>
      <c r="J4853" s="669">
        <v>0.21</v>
      </c>
    </row>
    <row r="4854" spans="1:10" ht="25.5">
      <c r="A4854" s="668"/>
      <c r="B4854" s="668"/>
      <c r="C4854" s="668"/>
      <c r="D4854" s="668"/>
      <c r="E4854" s="668" t="s">
        <v>13463</v>
      </c>
      <c r="F4854" s="667">
        <v>0.11409320000000001</v>
      </c>
      <c r="G4854" s="668" t="s">
        <v>13462</v>
      </c>
      <c r="H4854" s="667">
        <v>0.1</v>
      </c>
      <c r="I4854" s="668" t="s">
        <v>13461</v>
      </c>
      <c r="J4854" s="667">
        <v>0.21</v>
      </c>
    </row>
    <row r="4855" spans="1:10" ht="15" thickBot="1">
      <c r="A4855" s="668"/>
      <c r="B4855" s="668"/>
      <c r="C4855" s="668"/>
      <c r="D4855" s="668"/>
      <c r="E4855" s="668" t="s">
        <v>13460</v>
      </c>
      <c r="F4855" s="667">
        <v>0.05</v>
      </c>
      <c r="G4855" s="668"/>
      <c r="H4855" s="925" t="s">
        <v>13459</v>
      </c>
      <c r="I4855" s="925"/>
      <c r="J4855" s="667">
        <v>0.26</v>
      </c>
    </row>
    <row r="4856" spans="1:10" ht="0.95" customHeight="1" thickTop="1">
      <c r="A4856" s="666"/>
      <c r="B4856" s="666"/>
      <c r="C4856" s="666"/>
      <c r="D4856" s="666"/>
      <c r="E4856" s="666"/>
      <c r="F4856" s="666"/>
      <c r="G4856" s="666"/>
      <c r="H4856" s="666"/>
      <c r="I4856" s="666"/>
      <c r="J4856" s="666"/>
    </row>
    <row r="4857" spans="1:10" ht="18" customHeight="1">
      <c r="A4857" s="686"/>
      <c r="B4857" s="684" t="s">
        <v>13484</v>
      </c>
      <c r="C4857" s="686" t="s">
        <v>13483</v>
      </c>
      <c r="D4857" s="686" t="s">
        <v>13482</v>
      </c>
      <c r="E4857" s="924" t="s">
        <v>13481</v>
      </c>
      <c r="F4857" s="924"/>
      <c r="G4857" s="685" t="s">
        <v>13480</v>
      </c>
      <c r="H4857" s="684" t="s">
        <v>13479</v>
      </c>
      <c r="I4857" s="684" t="s">
        <v>13478</v>
      </c>
      <c r="J4857" s="684" t="s">
        <v>13477</v>
      </c>
    </row>
    <row r="4858" spans="1:10" ht="24" customHeight="1">
      <c r="A4858" s="682" t="s">
        <v>13476</v>
      </c>
      <c r="B4858" s="683" t="s">
        <v>13753</v>
      </c>
      <c r="C4858" s="682" t="s">
        <v>7</v>
      </c>
      <c r="D4858" s="682" t="s">
        <v>2795</v>
      </c>
      <c r="E4858" s="917" t="s">
        <v>13470</v>
      </c>
      <c r="F4858" s="917"/>
      <c r="G4858" s="681" t="s">
        <v>19</v>
      </c>
      <c r="H4858" s="680">
        <v>1</v>
      </c>
      <c r="I4858" s="679">
        <v>0.04</v>
      </c>
      <c r="J4858" s="679">
        <v>0.04</v>
      </c>
    </row>
    <row r="4859" spans="1:10" ht="24" customHeight="1">
      <c r="A4859" s="672" t="s">
        <v>13467</v>
      </c>
      <c r="B4859" s="673" t="s">
        <v>13748</v>
      </c>
      <c r="C4859" s="672" t="s">
        <v>7</v>
      </c>
      <c r="D4859" s="672" t="s">
        <v>13747</v>
      </c>
      <c r="E4859" s="919" t="s">
        <v>13548</v>
      </c>
      <c r="F4859" s="919"/>
      <c r="G4859" s="671" t="s">
        <v>19</v>
      </c>
      <c r="H4859" s="670">
        <v>3.5999999999999999E-3</v>
      </c>
      <c r="I4859" s="669">
        <v>13.22</v>
      </c>
      <c r="J4859" s="669">
        <v>0.04</v>
      </c>
    </row>
    <row r="4860" spans="1:10" ht="25.5">
      <c r="A4860" s="668"/>
      <c r="B4860" s="668"/>
      <c r="C4860" s="668"/>
      <c r="D4860" s="668"/>
      <c r="E4860" s="668" t="s">
        <v>13463</v>
      </c>
      <c r="F4860" s="667">
        <v>2.1732000000000001E-2</v>
      </c>
      <c r="G4860" s="668" t="s">
        <v>13462</v>
      </c>
      <c r="H4860" s="667">
        <v>0.02</v>
      </c>
      <c r="I4860" s="668" t="s">
        <v>13461</v>
      </c>
      <c r="J4860" s="667">
        <v>0.04</v>
      </c>
    </row>
    <row r="4861" spans="1:10" ht="15" thickBot="1">
      <c r="A4861" s="668"/>
      <c r="B4861" s="668"/>
      <c r="C4861" s="668"/>
      <c r="D4861" s="668"/>
      <c r="E4861" s="668" t="s">
        <v>13460</v>
      </c>
      <c r="F4861" s="667">
        <v>0.01</v>
      </c>
      <c r="G4861" s="668"/>
      <c r="H4861" s="925" t="s">
        <v>13459</v>
      </c>
      <c r="I4861" s="925"/>
      <c r="J4861" s="667">
        <v>0.05</v>
      </c>
    </row>
    <row r="4862" spans="1:10" ht="0.95" customHeight="1" thickTop="1">
      <c r="A4862" s="666"/>
      <c r="B4862" s="666"/>
      <c r="C4862" s="666"/>
      <c r="D4862" s="666"/>
      <c r="E4862" s="666"/>
      <c r="F4862" s="666"/>
      <c r="G4862" s="666"/>
      <c r="H4862" s="666"/>
      <c r="I4862" s="666"/>
      <c r="J4862" s="666"/>
    </row>
    <row r="4863" spans="1:10" ht="18" customHeight="1">
      <c r="A4863" s="686"/>
      <c r="B4863" s="684" t="s">
        <v>13484</v>
      </c>
      <c r="C4863" s="686" t="s">
        <v>13483</v>
      </c>
      <c r="D4863" s="686" t="s">
        <v>13482</v>
      </c>
      <c r="E4863" s="924" t="s">
        <v>13481</v>
      </c>
      <c r="F4863" s="924"/>
      <c r="G4863" s="685" t="s">
        <v>13480</v>
      </c>
      <c r="H4863" s="684" t="s">
        <v>13479</v>
      </c>
      <c r="I4863" s="684" t="s">
        <v>13478</v>
      </c>
      <c r="J4863" s="684" t="s">
        <v>13477</v>
      </c>
    </row>
    <row r="4864" spans="1:10" ht="24" customHeight="1">
      <c r="A4864" s="682" t="s">
        <v>13476</v>
      </c>
      <c r="B4864" s="683" t="s">
        <v>13912</v>
      </c>
      <c r="C4864" s="682" t="s">
        <v>7</v>
      </c>
      <c r="D4864" s="682" t="s">
        <v>2753</v>
      </c>
      <c r="E4864" s="917" t="s">
        <v>13470</v>
      </c>
      <c r="F4864" s="917"/>
      <c r="G4864" s="681" t="s">
        <v>19</v>
      </c>
      <c r="H4864" s="680">
        <v>1</v>
      </c>
      <c r="I4864" s="679">
        <v>0.14000000000000001</v>
      </c>
      <c r="J4864" s="679">
        <v>0.14000000000000001</v>
      </c>
    </row>
    <row r="4865" spans="1:10" ht="24" customHeight="1">
      <c r="A4865" s="672" t="s">
        <v>13467</v>
      </c>
      <c r="B4865" s="673" t="s">
        <v>13911</v>
      </c>
      <c r="C4865" s="672" t="s">
        <v>7</v>
      </c>
      <c r="D4865" s="672" t="s">
        <v>13910</v>
      </c>
      <c r="E4865" s="919" t="s">
        <v>13548</v>
      </c>
      <c r="F4865" s="919"/>
      <c r="G4865" s="671" t="s">
        <v>19</v>
      </c>
      <c r="H4865" s="670">
        <v>1.0500000000000001E-2</v>
      </c>
      <c r="I4865" s="669">
        <v>13.95</v>
      </c>
      <c r="J4865" s="669">
        <v>0.14000000000000001</v>
      </c>
    </row>
    <row r="4866" spans="1:10" ht="25.5">
      <c r="A4866" s="668"/>
      <c r="B4866" s="668"/>
      <c r="C4866" s="668"/>
      <c r="D4866" s="668"/>
      <c r="E4866" s="668" t="s">
        <v>13463</v>
      </c>
      <c r="F4866" s="667">
        <v>7.6062199999999996E-2</v>
      </c>
      <c r="G4866" s="668" t="s">
        <v>13462</v>
      </c>
      <c r="H4866" s="667">
        <v>0.06</v>
      </c>
      <c r="I4866" s="668" t="s">
        <v>13461</v>
      </c>
      <c r="J4866" s="667">
        <v>0.14000000000000001</v>
      </c>
    </row>
    <row r="4867" spans="1:10" ht="15" thickBot="1">
      <c r="A4867" s="668"/>
      <c r="B4867" s="668"/>
      <c r="C4867" s="668"/>
      <c r="D4867" s="668"/>
      <c r="E4867" s="668" t="s">
        <v>13460</v>
      </c>
      <c r="F4867" s="667">
        <v>0.03</v>
      </c>
      <c r="G4867" s="668"/>
      <c r="H4867" s="925" t="s">
        <v>13459</v>
      </c>
      <c r="I4867" s="925"/>
      <c r="J4867" s="667">
        <v>0.17</v>
      </c>
    </row>
    <row r="4868" spans="1:10" ht="0.95" customHeight="1" thickTop="1">
      <c r="A4868" s="666"/>
      <c r="B4868" s="666"/>
      <c r="C4868" s="666"/>
      <c r="D4868" s="666"/>
      <c r="E4868" s="666"/>
      <c r="F4868" s="666"/>
      <c r="G4868" s="666"/>
      <c r="H4868" s="666"/>
      <c r="I4868" s="666"/>
      <c r="J4868" s="666"/>
    </row>
    <row r="4869" spans="1:10" ht="18" customHeight="1">
      <c r="A4869" s="686"/>
      <c r="B4869" s="684" t="s">
        <v>13484</v>
      </c>
      <c r="C4869" s="686" t="s">
        <v>13483</v>
      </c>
      <c r="D4869" s="686" t="s">
        <v>13482</v>
      </c>
      <c r="E4869" s="924" t="s">
        <v>13481</v>
      </c>
      <c r="F4869" s="924"/>
      <c r="G4869" s="685" t="s">
        <v>13480</v>
      </c>
      <c r="H4869" s="684" t="s">
        <v>13479</v>
      </c>
      <c r="I4869" s="684" t="s">
        <v>13478</v>
      </c>
      <c r="J4869" s="684" t="s">
        <v>13477</v>
      </c>
    </row>
    <row r="4870" spans="1:10" ht="24" customHeight="1">
      <c r="A4870" s="682" t="s">
        <v>13476</v>
      </c>
      <c r="B4870" s="683" t="s">
        <v>13909</v>
      </c>
      <c r="C4870" s="682" t="s">
        <v>7</v>
      </c>
      <c r="D4870" s="682" t="s">
        <v>2756</v>
      </c>
      <c r="E4870" s="917" t="s">
        <v>13470</v>
      </c>
      <c r="F4870" s="917"/>
      <c r="G4870" s="681" t="s">
        <v>19</v>
      </c>
      <c r="H4870" s="680">
        <v>1</v>
      </c>
      <c r="I4870" s="679">
        <v>7.0000000000000007E-2</v>
      </c>
      <c r="J4870" s="679">
        <v>7.0000000000000007E-2</v>
      </c>
    </row>
    <row r="4871" spans="1:10" ht="24" customHeight="1">
      <c r="A4871" s="672" t="s">
        <v>13467</v>
      </c>
      <c r="B4871" s="673" t="s">
        <v>13908</v>
      </c>
      <c r="C4871" s="672" t="s">
        <v>7</v>
      </c>
      <c r="D4871" s="672" t="s">
        <v>13907</v>
      </c>
      <c r="E4871" s="919" t="s">
        <v>13548</v>
      </c>
      <c r="F4871" s="919"/>
      <c r="G4871" s="671" t="s">
        <v>19</v>
      </c>
      <c r="H4871" s="670">
        <v>8.2000000000000007E-3</v>
      </c>
      <c r="I4871" s="669">
        <v>9.67</v>
      </c>
      <c r="J4871" s="669">
        <v>7.0000000000000007E-2</v>
      </c>
    </row>
    <row r="4872" spans="1:10" ht="25.5">
      <c r="A4872" s="668"/>
      <c r="B4872" s="668"/>
      <c r="C4872" s="668"/>
      <c r="D4872" s="668"/>
      <c r="E4872" s="668" t="s">
        <v>13463</v>
      </c>
      <c r="F4872" s="667">
        <v>3.8031099999999998E-2</v>
      </c>
      <c r="G4872" s="668" t="s">
        <v>13462</v>
      </c>
      <c r="H4872" s="667">
        <v>0.03</v>
      </c>
      <c r="I4872" s="668" t="s">
        <v>13461</v>
      </c>
      <c r="J4872" s="667">
        <v>7.0000000000000007E-2</v>
      </c>
    </row>
    <row r="4873" spans="1:10" ht="15" thickBot="1">
      <c r="A4873" s="668"/>
      <c r="B4873" s="668"/>
      <c r="C4873" s="668"/>
      <c r="D4873" s="668"/>
      <c r="E4873" s="668" t="s">
        <v>13460</v>
      </c>
      <c r="F4873" s="667">
        <v>0.01</v>
      </c>
      <c r="G4873" s="668"/>
      <c r="H4873" s="925" t="s">
        <v>13459</v>
      </c>
      <c r="I4873" s="925"/>
      <c r="J4873" s="667">
        <v>0.08</v>
      </c>
    </row>
    <row r="4874" spans="1:10" ht="0.95" customHeight="1" thickTop="1">
      <c r="A4874" s="666"/>
      <c r="B4874" s="666"/>
      <c r="C4874" s="666"/>
      <c r="D4874" s="666"/>
      <c r="E4874" s="666"/>
      <c r="F4874" s="666"/>
      <c r="G4874" s="666"/>
      <c r="H4874" s="666"/>
      <c r="I4874" s="666"/>
      <c r="J4874" s="666"/>
    </row>
    <row r="4875" spans="1:10" ht="18" customHeight="1">
      <c r="A4875" s="686"/>
      <c r="B4875" s="684" t="s">
        <v>13484</v>
      </c>
      <c r="C4875" s="686" t="s">
        <v>13483</v>
      </c>
      <c r="D4875" s="686" t="s">
        <v>13482</v>
      </c>
      <c r="E4875" s="924" t="s">
        <v>13481</v>
      </c>
      <c r="F4875" s="924"/>
      <c r="G4875" s="685" t="s">
        <v>13480</v>
      </c>
      <c r="H4875" s="684" t="s">
        <v>13479</v>
      </c>
      <c r="I4875" s="684" t="s">
        <v>13478</v>
      </c>
      <c r="J4875" s="684" t="s">
        <v>13477</v>
      </c>
    </row>
    <row r="4876" spans="1:10" ht="24" customHeight="1">
      <c r="A4876" s="682" t="s">
        <v>13476</v>
      </c>
      <c r="B4876" s="683" t="s">
        <v>13719</v>
      </c>
      <c r="C4876" s="682" t="s">
        <v>7</v>
      </c>
      <c r="D4876" s="682" t="s">
        <v>2758</v>
      </c>
      <c r="E4876" s="917" t="s">
        <v>13470</v>
      </c>
      <c r="F4876" s="917"/>
      <c r="G4876" s="681" t="s">
        <v>19</v>
      </c>
      <c r="H4876" s="680">
        <v>1</v>
      </c>
      <c r="I4876" s="679">
        <v>0.03</v>
      </c>
      <c r="J4876" s="679">
        <v>0.03</v>
      </c>
    </row>
    <row r="4877" spans="1:10" ht="24" customHeight="1">
      <c r="A4877" s="672" t="s">
        <v>13467</v>
      </c>
      <c r="B4877" s="673" t="s">
        <v>13718</v>
      </c>
      <c r="C4877" s="672" t="s">
        <v>7</v>
      </c>
      <c r="D4877" s="672" t="s">
        <v>13717</v>
      </c>
      <c r="E4877" s="919" t="s">
        <v>13548</v>
      </c>
      <c r="F4877" s="919"/>
      <c r="G4877" s="671" t="s">
        <v>19</v>
      </c>
      <c r="H4877" s="670">
        <v>3.5999999999999999E-3</v>
      </c>
      <c r="I4877" s="669">
        <v>10.59</v>
      </c>
      <c r="J4877" s="669">
        <v>0.03</v>
      </c>
    </row>
    <row r="4878" spans="1:10" ht="25.5">
      <c r="A4878" s="668"/>
      <c r="B4878" s="668"/>
      <c r="C4878" s="668"/>
      <c r="D4878" s="668"/>
      <c r="E4878" s="668" t="s">
        <v>13463</v>
      </c>
      <c r="F4878" s="667">
        <v>1.6299000000000001E-2</v>
      </c>
      <c r="G4878" s="668" t="s">
        <v>13462</v>
      </c>
      <c r="H4878" s="667">
        <v>0.01</v>
      </c>
      <c r="I4878" s="668" t="s">
        <v>13461</v>
      </c>
      <c r="J4878" s="667">
        <v>0.03</v>
      </c>
    </row>
    <row r="4879" spans="1:10" ht="15" thickBot="1">
      <c r="A4879" s="668"/>
      <c r="B4879" s="668"/>
      <c r="C4879" s="668"/>
      <c r="D4879" s="668"/>
      <c r="E4879" s="668" t="s">
        <v>13460</v>
      </c>
      <c r="F4879" s="667">
        <v>0</v>
      </c>
      <c r="G4879" s="668"/>
      <c r="H4879" s="925" t="s">
        <v>13459</v>
      </c>
      <c r="I4879" s="925"/>
      <c r="J4879" s="667">
        <v>0.03</v>
      </c>
    </row>
    <row r="4880" spans="1:10" ht="0.95" customHeight="1" thickTop="1">
      <c r="A4880" s="666"/>
      <c r="B4880" s="666"/>
      <c r="C4880" s="666"/>
      <c r="D4880" s="666"/>
      <c r="E4880" s="666"/>
      <c r="F4880" s="666"/>
      <c r="G4880" s="666"/>
      <c r="H4880" s="666"/>
      <c r="I4880" s="666"/>
      <c r="J4880" s="666"/>
    </row>
    <row r="4881" spans="1:10" ht="18" customHeight="1">
      <c r="A4881" s="686"/>
      <c r="B4881" s="684" t="s">
        <v>13484</v>
      </c>
      <c r="C4881" s="686" t="s">
        <v>13483</v>
      </c>
      <c r="D4881" s="686" t="s">
        <v>13482</v>
      </c>
      <c r="E4881" s="924" t="s">
        <v>13481</v>
      </c>
      <c r="F4881" s="924"/>
      <c r="G4881" s="685" t="s">
        <v>13480</v>
      </c>
      <c r="H4881" s="684" t="s">
        <v>13479</v>
      </c>
      <c r="I4881" s="684" t="s">
        <v>13478</v>
      </c>
      <c r="J4881" s="684" t="s">
        <v>13477</v>
      </c>
    </row>
    <row r="4882" spans="1:10" ht="24" customHeight="1">
      <c r="A4882" s="682" t="s">
        <v>13476</v>
      </c>
      <c r="B4882" s="683" t="s">
        <v>13715</v>
      </c>
      <c r="C4882" s="682" t="s">
        <v>7</v>
      </c>
      <c r="D4882" s="682" t="s">
        <v>2759</v>
      </c>
      <c r="E4882" s="917" t="s">
        <v>13470</v>
      </c>
      <c r="F4882" s="917"/>
      <c r="G4882" s="681" t="s">
        <v>19</v>
      </c>
      <c r="H4882" s="680">
        <v>1</v>
      </c>
      <c r="I4882" s="679">
        <v>0.04</v>
      </c>
      <c r="J4882" s="679">
        <v>0.04</v>
      </c>
    </row>
    <row r="4883" spans="1:10" ht="24" customHeight="1">
      <c r="A4883" s="672" t="s">
        <v>13467</v>
      </c>
      <c r="B4883" s="673" t="s">
        <v>13714</v>
      </c>
      <c r="C4883" s="672" t="s">
        <v>7</v>
      </c>
      <c r="D4883" s="672" t="s">
        <v>13713</v>
      </c>
      <c r="E4883" s="919" t="s">
        <v>13548</v>
      </c>
      <c r="F4883" s="919"/>
      <c r="G4883" s="671" t="s">
        <v>19</v>
      </c>
      <c r="H4883" s="670">
        <v>3.5999999999999999E-3</v>
      </c>
      <c r="I4883" s="669">
        <v>11.23</v>
      </c>
      <c r="J4883" s="669">
        <v>0.04</v>
      </c>
    </row>
    <row r="4884" spans="1:10" ht="25.5">
      <c r="A4884" s="668"/>
      <c r="B4884" s="668"/>
      <c r="C4884" s="668"/>
      <c r="D4884" s="668"/>
      <c r="E4884" s="668" t="s">
        <v>13463</v>
      </c>
      <c r="F4884" s="667">
        <v>2.1732000000000001E-2</v>
      </c>
      <c r="G4884" s="668" t="s">
        <v>13462</v>
      </c>
      <c r="H4884" s="667">
        <v>0.02</v>
      </c>
      <c r="I4884" s="668" t="s">
        <v>13461</v>
      </c>
      <c r="J4884" s="667">
        <v>0.04</v>
      </c>
    </row>
    <row r="4885" spans="1:10" ht="15" thickBot="1">
      <c r="A4885" s="668"/>
      <c r="B4885" s="668"/>
      <c r="C4885" s="668"/>
      <c r="D4885" s="668"/>
      <c r="E4885" s="668" t="s">
        <v>13460</v>
      </c>
      <c r="F4885" s="667">
        <v>0.01</v>
      </c>
      <c r="G4885" s="668"/>
      <c r="H4885" s="925" t="s">
        <v>13459</v>
      </c>
      <c r="I4885" s="925"/>
      <c r="J4885" s="667">
        <v>0.05</v>
      </c>
    </row>
    <row r="4886" spans="1:10" ht="0.95" customHeight="1" thickTop="1">
      <c r="A4886" s="666"/>
      <c r="B4886" s="666"/>
      <c r="C4886" s="666"/>
      <c r="D4886" s="666"/>
      <c r="E4886" s="666"/>
      <c r="F4886" s="666"/>
      <c r="G4886" s="666"/>
      <c r="H4886" s="666"/>
      <c r="I4886" s="666"/>
      <c r="J4886" s="666"/>
    </row>
    <row r="4887" spans="1:10" ht="18" customHeight="1">
      <c r="A4887" s="686"/>
      <c r="B4887" s="684" t="s">
        <v>13484</v>
      </c>
      <c r="C4887" s="686" t="s">
        <v>13483</v>
      </c>
      <c r="D4887" s="686" t="s">
        <v>13482</v>
      </c>
      <c r="E4887" s="924" t="s">
        <v>13481</v>
      </c>
      <c r="F4887" s="924"/>
      <c r="G4887" s="685" t="s">
        <v>13480</v>
      </c>
      <c r="H4887" s="684" t="s">
        <v>13479</v>
      </c>
      <c r="I4887" s="684" t="s">
        <v>13478</v>
      </c>
      <c r="J4887" s="684" t="s">
        <v>13477</v>
      </c>
    </row>
    <row r="4888" spans="1:10" ht="24" customHeight="1">
      <c r="A4888" s="682" t="s">
        <v>13476</v>
      </c>
      <c r="B4888" s="683" t="s">
        <v>13711</v>
      </c>
      <c r="C4888" s="682" t="s">
        <v>7</v>
      </c>
      <c r="D4888" s="682" t="s">
        <v>2763</v>
      </c>
      <c r="E4888" s="917" t="s">
        <v>13470</v>
      </c>
      <c r="F4888" s="917"/>
      <c r="G4888" s="681" t="s">
        <v>19</v>
      </c>
      <c r="H4888" s="680">
        <v>1</v>
      </c>
      <c r="I4888" s="679">
        <v>0.15</v>
      </c>
      <c r="J4888" s="679">
        <v>0.15</v>
      </c>
    </row>
    <row r="4889" spans="1:10" ht="24" customHeight="1">
      <c r="A4889" s="672" t="s">
        <v>13467</v>
      </c>
      <c r="B4889" s="673" t="s">
        <v>13710</v>
      </c>
      <c r="C4889" s="672" t="s">
        <v>7</v>
      </c>
      <c r="D4889" s="672" t="s">
        <v>13709</v>
      </c>
      <c r="E4889" s="919" t="s">
        <v>13548</v>
      </c>
      <c r="F4889" s="919"/>
      <c r="G4889" s="671" t="s">
        <v>19</v>
      </c>
      <c r="H4889" s="670">
        <v>1.17E-2</v>
      </c>
      <c r="I4889" s="669">
        <v>13.15</v>
      </c>
      <c r="J4889" s="669">
        <v>0.15</v>
      </c>
    </row>
    <row r="4890" spans="1:10" ht="25.5">
      <c r="A4890" s="668"/>
      <c r="B4890" s="668"/>
      <c r="C4890" s="668"/>
      <c r="D4890" s="668"/>
      <c r="E4890" s="668" t="s">
        <v>13463</v>
      </c>
      <c r="F4890" s="667">
        <v>8.1495200000000004E-2</v>
      </c>
      <c r="G4890" s="668" t="s">
        <v>13462</v>
      </c>
      <c r="H4890" s="667">
        <v>7.0000000000000007E-2</v>
      </c>
      <c r="I4890" s="668" t="s">
        <v>13461</v>
      </c>
      <c r="J4890" s="667">
        <v>0.15</v>
      </c>
    </row>
    <row r="4891" spans="1:10" ht="15" thickBot="1">
      <c r="A4891" s="668"/>
      <c r="B4891" s="668"/>
      <c r="C4891" s="668"/>
      <c r="D4891" s="668"/>
      <c r="E4891" s="668" t="s">
        <v>13460</v>
      </c>
      <c r="F4891" s="667">
        <v>0.04</v>
      </c>
      <c r="G4891" s="668"/>
      <c r="H4891" s="925" t="s">
        <v>13459</v>
      </c>
      <c r="I4891" s="925"/>
      <c r="J4891" s="667">
        <v>0.19</v>
      </c>
    </row>
    <row r="4892" spans="1:10" ht="0.95" customHeight="1" thickTop="1">
      <c r="A4892" s="666"/>
      <c r="B4892" s="666"/>
      <c r="C4892" s="666"/>
      <c r="D4892" s="666"/>
      <c r="E4892" s="666"/>
      <c r="F4892" s="666"/>
      <c r="G4892" s="666"/>
      <c r="H4892" s="666"/>
      <c r="I4892" s="666"/>
      <c r="J4892" s="666"/>
    </row>
    <row r="4893" spans="1:10" ht="18" customHeight="1">
      <c r="A4893" s="686"/>
      <c r="B4893" s="684" t="s">
        <v>13484</v>
      </c>
      <c r="C4893" s="686" t="s">
        <v>13483</v>
      </c>
      <c r="D4893" s="686" t="s">
        <v>13482</v>
      </c>
      <c r="E4893" s="924" t="s">
        <v>13481</v>
      </c>
      <c r="F4893" s="924"/>
      <c r="G4893" s="685" t="s">
        <v>13480</v>
      </c>
      <c r="H4893" s="684" t="s">
        <v>13479</v>
      </c>
      <c r="I4893" s="684" t="s">
        <v>13478</v>
      </c>
      <c r="J4893" s="684" t="s">
        <v>13477</v>
      </c>
    </row>
    <row r="4894" spans="1:10" ht="36" customHeight="1">
      <c r="A4894" s="682" t="s">
        <v>13476</v>
      </c>
      <c r="B4894" s="683" t="s">
        <v>13689</v>
      </c>
      <c r="C4894" s="682" t="s">
        <v>7</v>
      </c>
      <c r="D4894" s="682" t="s">
        <v>2794</v>
      </c>
      <c r="E4894" s="917" t="s">
        <v>13470</v>
      </c>
      <c r="F4894" s="917"/>
      <c r="G4894" s="681" t="s">
        <v>19</v>
      </c>
      <c r="H4894" s="680">
        <v>1</v>
      </c>
      <c r="I4894" s="679">
        <v>0.05</v>
      </c>
      <c r="J4894" s="679">
        <v>0.05</v>
      </c>
    </row>
    <row r="4895" spans="1:10" ht="24" customHeight="1">
      <c r="A4895" s="672" t="s">
        <v>13467</v>
      </c>
      <c r="B4895" s="673" t="s">
        <v>13688</v>
      </c>
      <c r="C4895" s="672" t="s">
        <v>7</v>
      </c>
      <c r="D4895" s="672" t="s">
        <v>13687</v>
      </c>
      <c r="E4895" s="919" t="s">
        <v>13548</v>
      </c>
      <c r="F4895" s="919"/>
      <c r="G4895" s="671" t="s">
        <v>19</v>
      </c>
      <c r="H4895" s="670">
        <v>5.8999999999999999E-3</v>
      </c>
      <c r="I4895" s="669">
        <v>9.76</v>
      </c>
      <c r="J4895" s="669">
        <v>0.05</v>
      </c>
    </row>
    <row r="4896" spans="1:10" ht="25.5">
      <c r="A4896" s="668"/>
      <c r="B4896" s="668"/>
      <c r="C4896" s="668"/>
      <c r="D4896" s="668"/>
      <c r="E4896" s="668" t="s">
        <v>13463</v>
      </c>
      <c r="F4896" s="667">
        <v>2.7165100000000001E-2</v>
      </c>
      <c r="G4896" s="668" t="s">
        <v>13462</v>
      </c>
      <c r="H4896" s="667">
        <v>0.02</v>
      </c>
      <c r="I4896" s="668" t="s">
        <v>13461</v>
      </c>
      <c r="J4896" s="667">
        <v>0.05</v>
      </c>
    </row>
    <row r="4897" spans="1:10" ht="15" thickBot="1">
      <c r="A4897" s="668"/>
      <c r="B4897" s="668"/>
      <c r="C4897" s="668"/>
      <c r="D4897" s="668"/>
      <c r="E4897" s="668" t="s">
        <v>13460</v>
      </c>
      <c r="F4897" s="667">
        <v>0.01</v>
      </c>
      <c r="G4897" s="668"/>
      <c r="H4897" s="925" t="s">
        <v>13459</v>
      </c>
      <c r="I4897" s="925"/>
      <c r="J4897" s="667">
        <v>0.06</v>
      </c>
    </row>
    <row r="4898" spans="1:10" ht="0.95" customHeight="1" thickTop="1">
      <c r="A4898" s="666"/>
      <c r="B4898" s="666"/>
      <c r="C4898" s="666"/>
      <c r="D4898" s="666"/>
      <c r="E4898" s="666"/>
      <c r="F4898" s="666"/>
      <c r="G4898" s="666"/>
      <c r="H4898" s="666"/>
      <c r="I4898" s="666"/>
      <c r="J4898" s="666"/>
    </row>
    <row r="4899" spans="1:10" ht="18" customHeight="1">
      <c r="A4899" s="686"/>
      <c r="B4899" s="684" t="s">
        <v>13484</v>
      </c>
      <c r="C4899" s="686" t="s">
        <v>13483</v>
      </c>
      <c r="D4899" s="686" t="s">
        <v>13482</v>
      </c>
      <c r="E4899" s="924" t="s">
        <v>13481</v>
      </c>
      <c r="F4899" s="924"/>
      <c r="G4899" s="685" t="s">
        <v>13480</v>
      </c>
      <c r="H4899" s="684" t="s">
        <v>13479</v>
      </c>
      <c r="I4899" s="684" t="s">
        <v>13478</v>
      </c>
      <c r="J4899" s="684" t="s">
        <v>13477</v>
      </c>
    </row>
    <row r="4900" spans="1:10" ht="24" customHeight="1">
      <c r="A4900" s="682" t="s">
        <v>13476</v>
      </c>
      <c r="B4900" s="683" t="s">
        <v>13685</v>
      </c>
      <c r="C4900" s="682" t="s">
        <v>7</v>
      </c>
      <c r="D4900" s="682" t="s">
        <v>2768</v>
      </c>
      <c r="E4900" s="917" t="s">
        <v>13470</v>
      </c>
      <c r="F4900" s="917"/>
      <c r="G4900" s="681" t="s">
        <v>19</v>
      </c>
      <c r="H4900" s="680">
        <v>1</v>
      </c>
      <c r="I4900" s="679">
        <v>0.11</v>
      </c>
      <c r="J4900" s="679">
        <v>0.11</v>
      </c>
    </row>
    <row r="4901" spans="1:10" ht="24" customHeight="1">
      <c r="A4901" s="672" t="s">
        <v>13467</v>
      </c>
      <c r="B4901" s="673" t="s">
        <v>13684</v>
      </c>
      <c r="C4901" s="672" t="s">
        <v>7</v>
      </c>
      <c r="D4901" s="672" t="s">
        <v>13683</v>
      </c>
      <c r="E4901" s="919" t="s">
        <v>13548</v>
      </c>
      <c r="F4901" s="919"/>
      <c r="G4901" s="671" t="s">
        <v>19</v>
      </c>
      <c r="H4901" s="670">
        <v>8.2000000000000007E-3</v>
      </c>
      <c r="I4901" s="669">
        <v>13.66</v>
      </c>
      <c r="J4901" s="669">
        <v>0.11</v>
      </c>
    </row>
    <row r="4902" spans="1:10" ht="25.5">
      <c r="A4902" s="668"/>
      <c r="B4902" s="668"/>
      <c r="C4902" s="668"/>
      <c r="D4902" s="668"/>
      <c r="E4902" s="668" t="s">
        <v>13463</v>
      </c>
      <c r="F4902" s="667">
        <v>5.97631E-2</v>
      </c>
      <c r="G4902" s="668" t="s">
        <v>13462</v>
      </c>
      <c r="H4902" s="667">
        <v>0.05</v>
      </c>
      <c r="I4902" s="668" t="s">
        <v>13461</v>
      </c>
      <c r="J4902" s="667">
        <v>0.11</v>
      </c>
    </row>
    <row r="4903" spans="1:10" ht="15" thickBot="1">
      <c r="A4903" s="668"/>
      <c r="B4903" s="668"/>
      <c r="C4903" s="668"/>
      <c r="D4903" s="668"/>
      <c r="E4903" s="668" t="s">
        <v>13460</v>
      </c>
      <c r="F4903" s="667">
        <v>0.03</v>
      </c>
      <c r="G4903" s="668"/>
      <c r="H4903" s="925" t="s">
        <v>13459</v>
      </c>
      <c r="I4903" s="925"/>
      <c r="J4903" s="667">
        <v>0.14000000000000001</v>
      </c>
    </row>
    <row r="4904" spans="1:10" ht="0.95" customHeight="1" thickTop="1">
      <c r="A4904" s="666"/>
      <c r="B4904" s="666"/>
      <c r="C4904" s="666"/>
      <c r="D4904" s="666"/>
      <c r="E4904" s="666"/>
      <c r="F4904" s="666"/>
      <c r="G4904" s="666"/>
      <c r="H4904" s="666"/>
      <c r="I4904" s="666"/>
      <c r="J4904" s="666"/>
    </row>
    <row r="4905" spans="1:10" ht="18" customHeight="1">
      <c r="A4905" s="686"/>
      <c r="B4905" s="684" t="s">
        <v>13484</v>
      </c>
      <c r="C4905" s="686" t="s">
        <v>13483</v>
      </c>
      <c r="D4905" s="686" t="s">
        <v>13482</v>
      </c>
      <c r="E4905" s="924" t="s">
        <v>13481</v>
      </c>
      <c r="F4905" s="924"/>
      <c r="G4905" s="685" t="s">
        <v>13480</v>
      </c>
      <c r="H4905" s="684" t="s">
        <v>13479</v>
      </c>
      <c r="I4905" s="684" t="s">
        <v>13478</v>
      </c>
      <c r="J4905" s="684" t="s">
        <v>13477</v>
      </c>
    </row>
    <row r="4906" spans="1:10" ht="24" customHeight="1">
      <c r="A4906" s="682" t="s">
        <v>13476</v>
      </c>
      <c r="B4906" s="683" t="s">
        <v>13681</v>
      </c>
      <c r="C4906" s="682" t="s">
        <v>7</v>
      </c>
      <c r="D4906" s="682" t="s">
        <v>2769</v>
      </c>
      <c r="E4906" s="917" t="s">
        <v>13470</v>
      </c>
      <c r="F4906" s="917"/>
      <c r="G4906" s="681" t="s">
        <v>19</v>
      </c>
      <c r="H4906" s="680">
        <v>1</v>
      </c>
      <c r="I4906" s="679">
        <v>0.11</v>
      </c>
      <c r="J4906" s="679">
        <v>0.11</v>
      </c>
    </row>
    <row r="4907" spans="1:10" ht="24" customHeight="1">
      <c r="A4907" s="672" t="s">
        <v>13467</v>
      </c>
      <c r="B4907" s="673" t="s">
        <v>13680</v>
      </c>
      <c r="C4907" s="672" t="s">
        <v>7</v>
      </c>
      <c r="D4907" s="672" t="s">
        <v>13679</v>
      </c>
      <c r="E4907" s="919" t="s">
        <v>13548</v>
      </c>
      <c r="F4907" s="919"/>
      <c r="G4907" s="671" t="s">
        <v>19</v>
      </c>
      <c r="H4907" s="670">
        <v>1.17E-2</v>
      </c>
      <c r="I4907" s="669">
        <v>9.82</v>
      </c>
      <c r="J4907" s="669">
        <v>0.11</v>
      </c>
    </row>
    <row r="4908" spans="1:10" ht="25.5">
      <c r="A4908" s="668"/>
      <c r="B4908" s="668"/>
      <c r="C4908" s="668"/>
      <c r="D4908" s="668"/>
      <c r="E4908" s="668" t="s">
        <v>13463</v>
      </c>
      <c r="F4908" s="667">
        <v>5.97631E-2</v>
      </c>
      <c r="G4908" s="668" t="s">
        <v>13462</v>
      </c>
      <c r="H4908" s="667">
        <v>0.05</v>
      </c>
      <c r="I4908" s="668" t="s">
        <v>13461</v>
      </c>
      <c r="J4908" s="667">
        <v>0.11</v>
      </c>
    </row>
    <row r="4909" spans="1:10" ht="15" thickBot="1">
      <c r="A4909" s="668"/>
      <c r="B4909" s="668"/>
      <c r="C4909" s="668"/>
      <c r="D4909" s="668"/>
      <c r="E4909" s="668" t="s">
        <v>13460</v>
      </c>
      <c r="F4909" s="667">
        <v>0.03</v>
      </c>
      <c r="G4909" s="668"/>
      <c r="H4909" s="925" t="s">
        <v>13459</v>
      </c>
      <c r="I4909" s="925"/>
      <c r="J4909" s="667">
        <v>0.14000000000000001</v>
      </c>
    </row>
    <row r="4910" spans="1:10" ht="0.95" customHeight="1" thickTop="1">
      <c r="A4910" s="666"/>
      <c r="B4910" s="666"/>
      <c r="C4910" s="666"/>
      <c r="D4910" s="666"/>
      <c r="E4910" s="666"/>
      <c r="F4910" s="666"/>
      <c r="G4910" s="666"/>
      <c r="H4910" s="666"/>
      <c r="I4910" s="666"/>
      <c r="J4910" s="666"/>
    </row>
    <row r="4911" spans="1:10" ht="18" customHeight="1">
      <c r="A4911" s="686"/>
      <c r="B4911" s="684" t="s">
        <v>13484</v>
      </c>
      <c r="C4911" s="686" t="s">
        <v>13483</v>
      </c>
      <c r="D4911" s="686" t="s">
        <v>13482</v>
      </c>
      <c r="E4911" s="924" t="s">
        <v>13481</v>
      </c>
      <c r="F4911" s="924"/>
      <c r="G4911" s="685" t="s">
        <v>13480</v>
      </c>
      <c r="H4911" s="684" t="s">
        <v>13479</v>
      </c>
      <c r="I4911" s="684" t="s">
        <v>13478</v>
      </c>
      <c r="J4911" s="684" t="s">
        <v>13477</v>
      </c>
    </row>
    <row r="4912" spans="1:10" ht="24" customHeight="1">
      <c r="A4912" s="682" t="s">
        <v>13476</v>
      </c>
      <c r="B4912" s="683" t="s">
        <v>13677</v>
      </c>
      <c r="C4912" s="682" t="s">
        <v>7</v>
      </c>
      <c r="D4912" s="682" t="s">
        <v>2770</v>
      </c>
      <c r="E4912" s="917" t="s">
        <v>13470</v>
      </c>
      <c r="F4912" s="917"/>
      <c r="G4912" s="681" t="s">
        <v>19</v>
      </c>
      <c r="H4912" s="680">
        <v>1</v>
      </c>
      <c r="I4912" s="679">
        <v>0.11</v>
      </c>
      <c r="J4912" s="679">
        <v>0.11</v>
      </c>
    </row>
    <row r="4913" spans="1:10" ht="24" customHeight="1">
      <c r="A4913" s="672" t="s">
        <v>13467</v>
      </c>
      <c r="B4913" s="673" t="s">
        <v>13676</v>
      </c>
      <c r="C4913" s="672" t="s">
        <v>7</v>
      </c>
      <c r="D4913" s="672" t="s">
        <v>13675</v>
      </c>
      <c r="E4913" s="919" t="s">
        <v>13548</v>
      </c>
      <c r="F4913" s="919"/>
      <c r="G4913" s="671" t="s">
        <v>19</v>
      </c>
      <c r="H4913" s="670">
        <v>1.17E-2</v>
      </c>
      <c r="I4913" s="669">
        <v>9.8699999999999992</v>
      </c>
      <c r="J4913" s="669">
        <v>0.11</v>
      </c>
    </row>
    <row r="4914" spans="1:10" ht="25.5">
      <c r="A4914" s="668"/>
      <c r="B4914" s="668"/>
      <c r="C4914" s="668"/>
      <c r="D4914" s="668"/>
      <c r="E4914" s="668" t="s">
        <v>13463</v>
      </c>
      <c r="F4914" s="667">
        <v>5.97631E-2</v>
      </c>
      <c r="G4914" s="668" t="s">
        <v>13462</v>
      </c>
      <c r="H4914" s="667">
        <v>0.05</v>
      </c>
      <c r="I4914" s="668" t="s">
        <v>13461</v>
      </c>
      <c r="J4914" s="667">
        <v>0.11</v>
      </c>
    </row>
    <row r="4915" spans="1:10" ht="15" thickBot="1">
      <c r="A4915" s="668"/>
      <c r="B4915" s="668"/>
      <c r="C4915" s="668"/>
      <c r="D4915" s="668"/>
      <c r="E4915" s="668" t="s">
        <v>13460</v>
      </c>
      <c r="F4915" s="667">
        <v>0.03</v>
      </c>
      <c r="G4915" s="668"/>
      <c r="H4915" s="925" t="s">
        <v>13459</v>
      </c>
      <c r="I4915" s="925"/>
      <c r="J4915" s="667">
        <v>0.14000000000000001</v>
      </c>
    </row>
    <row r="4916" spans="1:10" ht="0.95" customHeight="1" thickTop="1">
      <c r="A4916" s="666"/>
      <c r="B4916" s="666"/>
      <c r="C4916" s="666"/>
      <c r="D4916" s="666"/>
      <c r="E4916" s="666"/>
      <c r="F4916" s="666"/>
      <c r="G4916" s="666"/>
      <c r="H4916" s="666"/>
      <c r="I4916" s="666"/>
      <c r="J4916" s="666"/>
    </row>
    <row r="4917" spans="1:10" ht="18" customHeight="1">
      <c r="A4917" s="686"/>
      <c r="B4917" s="684" t="s">
        <v>13484</v>
      </c>
      <c r="C4917" s="686" t="s">
        <v>13483</v>
      </c>
      <c r="D4917" s="686" t="s">
        <v>13482</v>
      </c>
      <c r="E4917" s="924" t="s">
        <v>13481</v>
      </c>
      <c r="F4917" s="924"/>
      <c r="G4917" s="685" t="s">
        <v>13480</v>
      </c>
      <c r="H4917" s="684" t="s">
        <v>13479</v>
      </c>
      <c r="I4917" s="684" t="s">
        <v>13478</v>
      </c>
      <c r="J4917" s="684" t="s">
        <v>13477</v>
      </c>
    </row>
    <row r="4918" spans="1:10" ht="24" customHeight="1">
      <c r="A4918" s="682" t="s">
        <v>13476</v>
      </c>
      <c r="B4918" s="683" t="s">
        <v>13673</v>
      </c>
      <c r="C4918" s="682" t="s">
        <v>7</v>
      </c>
      <c r="D4918" s="682" t="s">
        <v>2772</v>
      </c>
      <c r="E4918" s="917" t="s">
        <v>13470</v>
      </c>
      <c r="F4918" s="917"/>
      <c r="G4918" s="681" t="s">
        <v>19</v>
      </c>
      <c r="H4918" s="680">
        <v>1</v>
      </c>
      <c r="I4918" s="679">
        <v>0.04</v>
      </c>
      <c r="J4918" s="679">
        <v>0.04</v>
      </c>
    </row>
    <row r="4919" spans="1:10" ht="24" customHeight="1">
      <c r="A4919" s="672" t="s">
        <v>13467</v>
      </c>
      <c r="B4919" s="673" t="s">
        <v>13672</v>
      </c>
      <c r="C4919" s="672" t="s">
        <v>7</v>
      </c>
      <c r="D4919" s="672" t="s">
        <v>13671</v>
      </c>
      <c r="E4919" s="919" t="s">
        <v>13548</v>
      </c>
      <c r="F4919" s="919"/>
      <c r="G4919" s="671" t="s">
        <v>19</v>
      </c>
      <c r="H4919" s="670">
        <v>5.8999999999999999E-3</v>
      </c>
      <c r="I4919" s="669">
        <v>8.1999999999999993</v>
      </c>
      <c r="J4919" s="669">
        <v>0.04</v>
      </c>
    </row>
    <row r="4920" spans="1:10" ht="25.5">
      <c r="A4920" s="668"/>
      <c r="B4920" s="668"/>
      <c r="C4920" s="668"/>
      <c r="D4920" s="668"/>
      <c r="E4920" s="668" t="s">
        <v>13463</v>
      </c>
      <c r="F4920" s="667">
        <v>2.1732000000000001E-2</v>
      </c>
      <c r="G4920" s="668" t="s">
        <v>13462</v>
      </c>
      <c r="H4920" s="667">
        <v>0.02</v>
      </c>
      <c r="I4920" s="668" t="s">
        <v>13461</v>
      </c>
      <c r="J4920" s="667">
        <v>0.04</v>
      </c>
    </row>
    <row r="4921" spans="1:10" ht="15" thickBot="1">
      <c r="A4921" s="668"/>
      <c r="B4921" s="668"/>
      <c r="C4921" s="668"/>
      <c r="D4921" s="668"/>
      <c r="E4921" s="668" t="s">
        <v>13460</v>
      </c>
      <c r="F4921" s="667">
        <v>0.01</v>
      </c>
      <c r="G4921" s="668"/>
      <c r="H4921" s="925" t="s">
        <v>13459</v>
      </c>
      <c r="I4921" s="925"/>
      <c r="J4921" s="667">
        <v>0.05</v>
      </c>
    </row>
    <row r="4922" spans="1:10" ht="0.95" customHeight="1" thickTop="1">
      <c r="A4922" s="666"/>
      <c r="B4922" s="666"/>
      <c r="C4922" s="666"/>
      <c r="D4922" s="666"/>
      <c r="E4922" s="666"/>
      <c r="F4922" s="666"/>
      <c r="G4922" s="666"/>
      <c r="H4922" s="666"/>
      <c r="I4922" s="666"/>
      <c r="J4922" s="666"/>
    </row>
    <row r="4923" spans="1:10" ht="18" customHeight="1">
      <c r="A4923" s="686"/>
      <c r="B4923" s="684" t="s">
        <v>13484</v>
      </c>
      <c r="C4923" s="686" t="s">
        <v>13483</v>
      </c>
      <c r="D4923" s="686" t="s">
        <v>13482</v>
      </c>
      <c r="E4923" s="924" t="s">
        <v>13481</v>
      </c>
      <c r="F4923" s="924"/>
      <c r="G4923" s="685" t="s">
        <v>13480</v>
      </c>
      <c r="H4923" s="684" t="s">
        <v>13479</v>
      </c>
      <c r="I4923" s="684" t="s">
        <v>13478</v>
      </c>
      <c r="J4923" s="684" t="s">
        <v>13477</v>
      </c>
    </row>
    <row r="4924" spans="1:10" ht="24" customHeight="1">
      <c r="A4924" s="682" t="s">
        <v>13476</v>
      </c>
      <c r="B4924" s="683" t="s">
        <v>13670</v>
      </c>
      <c r="C4924" s="682" t="s">
        <v>7</v>
      </c>
      <c r="D4924" s="682" t="s">
        <v>2771</v>
      </c>
      <c r="E4924" s="917" t="s">
        <v>13470</v>
      </c>
      <c r="F4924" s="917"/>
      <c r="G4924" s="681" t="s">
        <v>19</v>
      </c>
      <c r="H4924" s="680">
        <v>1</v>
      </c>
      <c r="I4924" s="679">
        <v>0.08</v>
      </c>
      <c r="J4924" s="679">
        <v>0.08</v>
      </c>
    </row>
    <row r="4925" spans="1:10" ht="24" customHeight="1">
      <c r="A4925" s="672" t="s">
        <v>13467</v>
      </c>
      <c r="B4925" s="673" t="s">
        <v>13669</v>
      </c>
      <c r="C4925" s="672" t="s">
        <v>7</v>
      </c>
      <c r="D4925" s="672" t="s">
        <v>13668</v>
      </c>
      <c r="E4925" s="919" t="s">
        <v>13548</v>
      </c>
      <c r="F4925" s="919"/>
      <c r="G4925" s="671" t="s">
        <v>19</v>
      </c>
      <c r="H4925" s="670">
        <v>8.2000000000000007E-3</v>
      </c>
      <c r="I4925" s="669">
        <v>10.4</v>
      </c>
      <c r="J4925" s="669">
        <v>0.08</v>
      </c>
    </row>
    <row r="4926" spans="1:10" ht="25.5">
      <c r="A4926" s="668"/>
      <c r="B4926" s="668"/>
      <c r="C4926" s="668"/>
      <c r="D4926" s="668"/>
      <c r="E4926" s="668" t="s">
        <v>13463</v>
      </c>
      <c r="F4926" s="667">
        <v>4.3464099999999999E-2</v>
      </c>
      <c r="G4926" s="668" t="s">
        <v>13462</v>
      </c>
      <c r="H4926" s="667">
        <v>0.04</v>
      </c>
      <c r="I4926" s="668" t="s">
        <v>13461</v>
      </c>
      <c r="J4926" s="667">
        <v>0.08</v>
      </c>
    </row>
    <row r="4927" spans="1:10" ht="15" thickBot="1">
      <c r="A4927" s="668"/>
      <c r="B4927" s="668"/>
      <c r="C4927" s="668"/>
      <c r="D4927" s="668"/>
      <c r="E4927" s="668" t="s">
        <v>13460</v>
      </c>
      <c r="F4927" s="667">
        <v>0.02</v>
      </c>
      <c r="G4927" s="668"/>
      <c r="H4927" s="925" t="s">
        <v>13459</v>
      </c>
      <c r="I4927" s="925"/>
      <c r="J4927" s="667">
        <v>0.1</v>
      </c>
    </row>
    <row r="4928" spans="1:10" ht="0.95" customHeight="1" thickTop="1">
      <c r="A4928" s="666"/>
      <c r="B4928" s="666"/>
      <c r="C4928" s="666"/>
      <c r="D4928" s="666"/>
      <c r="E4928" s="666"/>
      <c r="F4928" s="666"/>
      <c r="G4928" s="666"/>
      <c r="H4928" s="666"/>
      <c r="I4928" s="666"/>
      <c r="J4928" s="666"/>
    </row>
    <row r="4929" spans="1:10" ht="18" customHeight="1">
      <c r="A4929" s="686"/>
      <c r="B4929" s="684" t="s">
        <v>13484</v>
      </c>
      <c r="C4929" s="686" t="s">
        <v>13483</v>
      </c>
      <c r="D4929" s="686" t="s">
        <v>13482</v>
      </c>
      <c r="E4929" s="924" t="s">
        <v>13481</v>
      </c>
      <c r="F4929" s="924"/>
      <c r="G4929" s="685" t="s">
        <v>13480</v>
      </c>
      <c r="H4929" s="684" t="s">
        <v>13479</v>
      </c>
      <c r="I4929" s="684" t="s">
        <v>13478</v>
      </c>
      <c r="J4929" s="684" t="s">
        <v>13477</v>
      </c>
    </row>
    <row r="4930" spans="1:10" ht="24" customHeight="1">
      <c r="A4930" s="682" t="s">
        <v>13476</v>
      </c>
      <c r="B4930" s="683" t="s">
        <v>13666</v>
      </c>
      <c r="C4930" s="682" t="s">
        <v>7</v>
      </c>
      <c r="D4930" s="682" t="s">
        <v>2779</v>
      </c>
      <c r="E4930" s="917" t="s">
        <v>13470</v>
      </c>
      <c r="F4930" s="917"/>
      <c r="G4930" s="681" t="s">
        <v>19</v>
      </c>
      <c r="H4930" s="680">
        <v>1</v>
      </c>
      <c r="I4930" s="679">
        <v>0.1</v>
      </c>
      <c r="J4930" s="679">
        <v>0.1</v>
      </c>
    </row>
    <row r="4931" spans="1:10" ht="24" customHeight="1">
      <c r="A4931" s="672" t="s">
        <v>13467</v>
      </c>
      <c r="B4931" s="673" t="s">
        <v>13661</v>
      </c>
      <c r="C4931" s="672" t="s">
        <v>7</v>
      </c>
      <c r="D4931" s="672" t="s">
        <v>13660</v>
      </c>
      <c r="E4931" s="919" t="s">
        <v>13548</v>
      </c>
      <c r="F4931" s="919"/>
      <c r="G4931" s="671" t="s">
        <v>19</v>
      </c>
      <c r="H4931" s="670">
        <v>8.2000000000000007E-3</v>
      </c>
      <c r="I4931" s="669">
        <v>12.23</v>
      </c>
      <c r="J4931" s="669">
        <v>0.1</v>
      </c>
    </row>
    <row r="4932" spans="1:10" ht="25.5">
      <c r="A4932" s="668"/>
      <c r="B4932" s="668"/>
      <c r="C4932" s="668"/>
      <c r="D4932" s="668"/>
      <c r="E4932" s="668" t="s">
        <v>13463</v>
      </c>
      <c r="F4932" s="667">
        <v>5.4330099999999999E-2</v>
      </c>
      <c r="G4932" s="668" t="s">
        <v>13462</v>
      </c>
      <c r="H4932" s="667">
        <v>0.05</v>
      </c>
      <c r="I4932" s="668" t="s">
        <v>13461</v>
      </c>
      <c r="J4932" s="667">
        <v>0.1</v>
      </c>
    </row>
    <row r="4933" spans="1:10" ht="15" thickBot="1">
      <c r="A4933" s="668"/>
      <c r="B4933" s="668"/>
      <c r="C4933" s="668"/>
      <c r="D4933" s="668"/>
      <c r="E4933" s="668" t="s">
        <v>13460</v>
      </c>
      <c r="F4933" s="667">
        <v>0.02</v>
      </c>
      <c r="G4933" s="668"/>
      <c r="H4933" s="925" t="s">
        <v>13459</v>
      </c>
      <c r="I4933" s="925"/>
      <c r="J4933" s="667">
        <v>0.12</v>
      </c>
    </row>
    <row r="4934" spans="1:10" ht="0.95" customHeight="1" thickTop="1">
      <c r="A4934" s="666"/>
      <c r="B4934" s="666"/>
      <c r="C4934" s="666"/>
      <c r="D4934" s="666"/>
      <c r="E4934" s="666"/>
      <c r="F4934" s="666"/>
      <c r="G4934" s="666"/>
      <c r="H4934" s="666"/>
      <c r="I4934" s="666"/>
      <c r="J4934" s="666"/>
    </row>
    <row r="4935" spans="1:10" ht="18" customHeight="1">
      <c r="A4935" s="686"/>
      <c r="B4935" s="684" t="s">
        <v>13484</v>
      </c>
      <c r="C4935" s="686" t="s">
        <v>13483</v>
      </c>
      <c r="D4935" s="686" t="s">
        <v>13482</v>
      </c>
      <c r="E4935" s="924" t="s">
        <v>13481</v>
      </c>
      <c r="F4935" s="924"/>
      <c r="G4935" s="685" t="s">
        <v>13480</v>
      </c>
      <c r="H4935" s="684" t="s">
        <v>13479</v>
      </c>
      <c r="I4935" s="684" t="s">
        <v>13478</v>
      </c>
      <c r="J4935" s="684" t="s">
        <v>13477</v>
      </c>
    </row>
    <row r="4936" spans="1:10" ht="24" customHeight="1">
      <c r="A4936" s="682" t="s">
        <v>13476</v>
      </c>
      <c r="B4936" s="683" t="s">
        <v>13906</v>
      </c>
      <c r="C4936" s="682" t="s">
        <v>7</v>
      </c>
      <c r="D4936" s="682" t="s">
        <v>557</v>
      </c>
      <c r="E4936" s="917" t="s">
        <v>13470</v>
      </c>
      <c r="F4936" s="917"/>
      <c r="G4936" s="681" t="s">
        <v>19</v>
      </c>
      <c r="H4936" s="680">
        <v>1</v>
      </c>
      <c r="I4936" s="679">
        <v>0.2</v>
      </c>
      <c r="J4936" s="679">
        <v>0.2</v>
      </c>
    </row>
    <row r="4937" spans="1:10" ht="24" customHeight="1">
      <c r="A4937" s="672" t="s">
        <v>13467</v>
      </c>
      <c r="B4937" s="673" t="s">
        <v>13905</v>
      </c>
      <c r="C4937" s="672" t="s">
        <v>7</v>
      </c>
      <c r="D4937" s="672" t="s">
        <v>13904</v>
      </c>
      <c r="E4937" s="919" t="s">
        <v>13548</v>
      </c>
      <c r="F4937" s="919"/>
      <c r="G4937" s="671" t="s">
        <v>19</v>
      </c>
      <c r="H4937" s="670">
        <v>1.5100000000000001E-2</v>
      </c>
      <c r="I4937" s="669">
        <v>13.66</v>
      </c>
      <c r="J4937" s="669">
        <v>0.2</v>
      </c>
    </row>
    <row r="4938" spans="1:10" ht="25.5">
      <c r="A4938" s="668"/>
      <c r="B4938" s="668"/>
      <c r="C4938" s="668"/>
      <c r="D4938" s="668"/>
      <c r="E4938" s="668" t="s">
        <v>13463</v>
      </c>
      <c r="F4938" s="667">
        <v>0.1086602</v>
      </c>
      <c r="G4938" s="668" t="s">
        <v>13462</v>
      </c>
      <c r="H4938" s="667">
        <v>0.09</v>
      </c>
      <c r="I4938" s="668" t="s">
        <v>13461</v>
      </c>
      <c r="J4938" s="667">
        <v>0.2</v>
      </c>
    </row>
    <row r="4939" spans="1:10" ht="15" thickBot="1">
      <c r="A4939" s="668"/>
      <c r="B4939" s="668"/>
      <c r="C4939" s="668"/>
      <c r="D4939" s="668"/>
      <c r="E4939" s="668" t="s">
        <v>13460</v>
      </c>
      <c r="F4939" s="667">
        <v>0.05</v>
      </c>
      <c r="G4939" s="668"/>
      <c r="H4939" s="925" t="s">
        <v>13459</v>
      </c>
      <c r="I4939" s="925"/>
      <c r="J4939" s="667">
        <v>0.25</v>
      </c>
    </row>
    <row r="4940" spans="1:10" ht="0.95" customHeight="1" thickTop="1">
      <c r="A4940" s="666"/>
      <c r="B4940" s="666"/>
      <c r="C4940" s="666"/>
      <c r="D4940" s="666"/>
      <c r="E4940" s="666"/>
      <c r="F4940" s="666"/>
      <c r="G4940" s="666"/>
      <c r="H4940" s="666"/>
      <c r="I4940" s="666"/>
      <c r="J4940" s="666"/>
    </row>
    <row r="4941" spans="1:10" ht="18" customHeight="1">
      <c r="A4941" s="686"/>
      <c r="B4941" s="684" t="s">
        <v>13484</v>
      </c>
      <c r="C4941" s="686" t="s">
        <v>13483</v>
      </c>
      <c r="D4941" s="686" t="s">
        <v>13482</v>
      </c>
      <c r="E4941" s="924" t="s">
        <v>13481</v>
      </c>
      <c r="F4941" s="924"/>
      <c r="G4941" s="685" t="s">
        <v>13480</v>
      </c>
      <c r="H4941" s="684" t="s">
        <v>13479</v>
      </c>
      <c r="I4941" s="684" t="s">
        <v>13478</v>
      </c>
      <c r="J4941" s="684" t="s">
        <v>13477</v>
      </c>
    </row>
    <row r="4942" spans="1:10" ht="24" customHeight="1">
      <c r="A4942" s="682" t="s">
        <v>13476</v>
      </c>
      <c r="B4942" s="683" t="s">
        <v>13903</v>
      </c>
      <c r="C4942" s="682" t="s">
        <v>7</v>
      </c>
      <c r="D4942" s="682" t="s">
        <v>558</v>
      </c>
      <c r="E4942" s="917" t="s">
        <v>13470</v>
      </c>
      <c r="F4942" s="917"/>
      <c r="G4942" s="681" t="s">
        <v>19</v>
      </c>
      <c r="H4942" s="680">
        <v>1</v>
      </c>
      <c r="I4942" s="679">
        <v>0.14000000000000001</v>
      </c>
      <c r="J4942" s="679">
        <v>0.14000000000000001</v>
      </c>
    </row>
    <row r="4943" spans="1:10" ht="24" customHeight="1">
      <c r="A4943" s="672" t="s">
        <v>13467</v>
      </c>
      <c r="B4943" s="673" t="s">
        <v>13902</v>
      </c>
      <c r="C4943" s="672" t="s">
        <v>7</v>
      </c>
      <c r="D4943" s="672" t="s">
        <v>13901</v>
      </c>
      <c r="E4943" s="919" t="s">
        <v>13548</v>
      </c>
      <c r="F4943" s="919"/>
      <c r="G4943" s="671" t="s">
        <v>19</v>
      </c>
      <c r="H4943" s="670">
        <v>1.0500000000000001E-2</v>
      </c>
      <c r="I4943" s="669">
        <v>13.66</v>
      </c>
      <c r="J4943" s="669">
        <v>0.14000000000000001</v>
      </c>
    </row>
    <row r="4944" spans="1:10" ht="25.5">
      <c r="A4944" s="668"/>
      <c r="B4944" s="668"/>
      <c r="C4944" s="668"/>
      <c r="D4944" s="668"/>
      <c r="E4944" s="668" t="s">
        <v>13463</v>
      </c>
      <c r="F4944" s="667">
        <v>7.6062199999999996E-2</v>
      </c>
      <c r="G4944" s="668" t="s">
        <v>13462</v>
      </c>
      <c r="H4944" s="667">
        <v>0.06</v>
      </c>
      <c r="I4944" s="668" t="s">
        <v>13461</v>
      </c>
      <c r="J4944" s="667">
        <v>0.14000000000000001</v>
      </c>
    </row>
    <row r="4945" spans="1:10" ht="15" thickBot="1">
      <c r="A4945" s="668"/>
      <c r="B4945" s="668"/>
      <c r="C4945" s="668"/>
      <c r="D4945" s="668"/>
      <c r="E4945" s="668" t="s">
        <v>13460</v>
      </c>
      <c r="F4945" s="667">
        <v>0.03</v>
      </c>
      <c r="G4945" s="668"/>
      <c r="H4945" s="925" t="s">
        <v>13459</v>
      </c>
      <c r="I4945" s="925"/>
      <c r="J4945" s="667">
        <v>0.17</v>
      </c>
    </row>
    <row r="4946" spans="1:10" ht="0.95" customHeight="1" thickTop="1">
      <c r="A4946" s="666"/>
      <c r="B4946" s="666"/>
      <c r="C4946" s="666"/>
      <c r="D4946" s="666"/>
      <c r="E4946" s="666"/>
      <c r="F4946" s="666"/>
      <c r="G4946" s="666"/>
      <c r="H4946" s="666"/>
      <c r="I4946" s="666"/>
      <c r="J4946" s="666"/>
    </row>
    <row r="4947" spans="1:10" ht="18" customHeight="1">
      <c r="A4947" s="686"/>
      <c r="B4947" s="684" t="s">
        <v>13484</v>
      </c>
      <c r="C4947" s="686" t="s">
        <v>13483</v>
      </c>
      <c r="D4947" s="686" t="s">
        <v>13482</v>
      </c>
      <c r="E4947" s="924" t="s">
        <v>13481</v>
      </c>
      <c r="F4947" s="924"/>
      <c r="G4947" s="685" t="s">
        <v>13480</v>
      </c>
      <c r="H4947" s="684" t="s">
        <v>13479</v>
      </c>
      <c r="I4947" s="684" t="s">
        <v>13478</v>
      </c>
      <c r="J4947" s="684" t="s">
        <v>13477</v>
      </c>
    </row>
    <row r="4948" spans="1:10" ht="24" customHeight="1">
      <c r="A4948" s="682" t="s">
        <v>13476</v>
      </c>
      <c r="B4948" s="683" t="s">
        <v>13636</v>
      </c>
      <c r="C4948" s="682" t="s">
        <v>7</v>
      </c>
      <c r="D4948" s="682" t="s">
        <v>2783</v>
      </c>
      <c r="E4948" s="917" t="s">
        <v>13470</v>
      </c>
      <c r="F4948" s="917"/>
      <c r="G4948" s="681" t="s">
        <v>19</v>
      </c>
      <c r="H4948" s="680">
        <v>1</v>
      </c>
      <c r="I4948" s="679">
        <v>0.15</v>
      </c>
      <c r="J4948" s="679">
        <v>0.15</v>
      </c>
    </row>
    <row r="4949" spans="1:10" ht="24" customHeight="1">
      <c r="A4949" s="672" t="s">
        <v>13467</v>
      </c>
      <c r="B4949" s="673" t="s">
        <v>13631</v>
      </c>
      <c r="C4949" s="672" t="s">
        <v>7</v>
      </c>
      <c r="D4949" s="672" t="s">
        <v>13630</v>
      </c>
      <c r="E4949" s="919" t="s">
        <v>13548</v>
      </c>
      <c r="F4949" s="919"/>
      <c r="G4949" s="671" t="s">
        <v>19</v>
      </c>
      <c r="H4949" s="670">
        <v>1.0500000000000001E-2</v>
      </c>
      <c r="I4949" s="669">
        <v>14.69</v>
      </c>
      <c r="J4949" s="669">
        <v>0.15</v>
      </c>
    </row>
    <row r="4950" spans="1:10" ht="25.5">
      <c r="A4950" s="668"/>
      <c r="B4950" s="668"/>
      <c r="C4950" s="668"/>
      <c r="D4950" s="668"/>
      <c r="E4950" s="668" t="s">
        <v>13463</v>
      </c>
      <c r="F4950" s="667">
        <v>8.1495200000000004E-2</v>
      </c>
      <c r="G4950" s="668" t="s">
        <v>13462</v>
      </c>
      <c r="H4950" s="667">
        <v>7.0000000000000007E-2</v>
      </c>
      <c r="I4950" s="668" t="s">
        <v>13461</v>
      </c>
      <c r="J4950" s="667">
        <v>0.15</v>
      </c>
    </row>
    <row r="4951" spans="1:10" ht="15" thickBot="1">
      <c r="A4951" s="668"/>
      <c r="B4951" s="668"/>
      <c r="C4951" s="668"/>
      <c r="D4951" s="668"/>
      <c r="E4951" s="668" t="s">
        <v>13460</v>
      </c>
      <c r="F4951" s="667">
        <v>0.04</v>
      </c>
      <c r="G4951" s="668"/>
      <c r="H4951" s="925" t="s">
        <v>13459</v>
      </c>
      <c r="I4951" s="925"/>
      <c r="J4951" s="667">
        <v>0.19</v>
      </c>
    </row>
    <row r="4952" spans="1:10" ht="0.95" customHeight="1" thickTop="1">
      <c r="A4952" s="666"/>
      <c r="B4952" s="666"/>
      <c r="C4952" s="666"/>
      <c r="D4952" s="666"/>
      <c r="E4952" s="666"/>
      <c r="F4952" s="666"/>
      <c r="G4952" s="666"/>
      <c r="H4952" s="666"/>
      <c r="I4952" s="666"/>
      <c r="J4952" s="666"/>
    </row>
    <row r="4953" spans="1:10" ht="18" customHeight="1">
      <c r="A4953" s="686"/>
      <c r="B4953" s="684" t="s">
        <v>13484</v>
      </c>
      <c r="C4953" s="686" t="s">
        <v>13483</v>
      </c>
      <c r="D4953" s="686" t="s">
        <v>13482</v>
      </c>
      <c r="E4953" s="924" t="s">
        <v>13481</v>
      </c>
      <c r="F4953" s="924"/>
      <c r="G4953" s="685" t="s">
        <v>13480</v>
      </c>
      <c r="H4953" s="684" t="s">
        <v>13479</v>
      </c>
      <c r="I4953" s="684" t="s">
        <v>13478</v>
      </c>
      <c r="J4953" s="684" t="s">
        <v>13477</v>
      </c>
    </row>
    <row r="4954" spans="1:10" ht="24" customHeight="1">
      <c r="A4954" s="682" t="s">
        <v>13476</v>
      </c>
      <c r="B4954" s="683" t="s">
        <v>13900</v>
      </c>
      <c r="C4954" s="682" t="s">
        <v>7</v>
      </c>
      <c r="D4954" s="682" t="s">
        <v>2785</v>
      </c>
      <c r="E4954" s="917" t="s">
        <v>13470</v>
      </c>
      <c r="F4954" s="917"/>
      <c r="G4954" s="681" t="s">
        <v>19</v>
      </c>
      <c r="H4954" s="680">
        <v>1</v>
      </c>
      <c r="I4954" s="679">
        <v>0.11</v>
      </c>
      <c r="J4954" s="679">
        <v>0.11</v>
      </c>
    </row>
    <row r="4955" spans="1:10" ht="24" customHeight="1">
      <c r="A4955" s="672" t="s">
        <v>13467</v>
      </c>
      <c r="B4955" s="673" t="s">
        <v>13899</v>
      </c>
      <c r="C4955" s="672" t="s">
        <v>7</v>
      </c>
      <c r="D4955" s="672" t="s">
        <v>13898</v>
      </c>
      <c r="E4955" s="919" t="s">
        <v>13548</v>
      </c>
      <c r="F4955" s="919"/>
      <c r="G4955" s="671" t="s">
        <v>19</v>
      </c>
      <c r="H4955" s="670">
        <v>8.2000000000000007E-3</v>
      </c>
      <c r="I4955" s="669">
        <v>13.66</v>
      </c>
      <c r="J4955" s="669">
        <v>0.11</v>
      </c>
    </row>
    <row r="4956" spans="1:10" ht="25.5">
      <c r="A4956" s="668"/>
      <c r="B4956" s="668"/>
      <c r="C4956" s="668"/>
      <c r="D4956" s="668"/>
      <c r="E4956" s="668" t="s">
        <v>13463</v>
      </c>
      <c r="F4956" s="667">
        <v>5.97631E-2</v>
      </c>
      <c r="G4956" s="668" t="s">
        <v>13462</v>
      </c>
      <c r="H4956" s="667">
        <v>0.05</v>
      </c>
      <c r="I4956" s="668" t="s">
        <v>13461</v>
      </c>
      <c r="J4956" s="667">
        <v>0.11</v>
      </c>
    </row>
    <row r="4957" spans="1:10" ht="15" thickBot="1">
      <c r="A4957" s="668"/>
      <c r="B4957" s="668"/>
      <c r="C4957" s="668"/>
      <c r="D4957" s="668"/>
      <c r="E4957" s="668" t="s">
        <v>13460</v>
      </c>
      <c r="F4957" s="667">
        <v>0.03</v>
      </c>
      <c r="G4957" s="668"/>
      <c r="H4957" s="925" t="s">
        <v>13459</v>
      </c>
      <c r="I4957" s="925"/>
      <c r="J4957" s="667">
        <v>0.14000000000000001</v>
      </c>
    </row>
    <row r="4958" spans="1:10" ht="0.95" customHeight="1" thickTop="1">
      <c r="A4958" s="666"/>
      <c r="B4958" s="666"/>
      <c r="C4958" s="666"/>
      <c r="D4958" s="666"/>
      <c r="E4958" s="666"/>
      <c r="F4958" s="666"/>
      <c r="G4958" s="666"/>
      <c r="H4958" s="666"/>
      <c r="I4958" s="666"/>
      <c r="J4958" s="666"/>
    </row>
    <row r="4959" spans="1:10" ht="18" customHeight="1">
      <c r="A4959" s="686"/>
      <c r="B4959" s="684" t="s">
        <v>13484</v>
      </c>
      <c r="C4959" s="686" t="s">
        <v>13483</v>
      </c>
      <c r="D4959" s="686" t="s">
        <v>13482</v>
      </c>
      <c r="E4959" s="924" t="s">
        <v>13481</v>
      </c>
      <c r="F4959" s="924"/>
      <c r="G4959" s="685" t="s">
        <v>13480</v>
      </c>
      <c r="H4959" s="684" t="s">
        <v>13479</v>
      </c>
      <c r="I4959" s="684" t="s">
        <v>13478</v>
      </c>
      <c r="J4959" s="684" t="s">
        <v>13477</v>
      </c>
    </row>
    <row r="4960" spans="1:10" ht="24" customHeight="1">
      <c r="A4960" s="682" t="s">
        <v>13476</v>
      </c>
      <c r="B4960" s="683" t="s">
        <v>13897</v>
      </c>
      <c r="C4960" s="682" t="s">
        <v>7</v>
      </c>
      <c r="D4960" s="682" t="s">
        <v>560</v>
      </c>
      <c r="E4960" s="917" t="s">
        <v>13470</v>
      </c>
      <c r="F4960" s="917"/>
      <c r="G4960" s="681" t="s">
        <v>19</v>
      </c>
      <c r="H4960" s="680">
        <v>1</v>
      </c>
      <c r="I4960" s="679">
        <v>0.15</v>
      </c>
      <c r="J4960" s="679">
        <v>0.15</v>
      </c>
    </row>
    <row r="4961" spans="1:10" ht="24" customHeight="1">
      <c r="A4961" s="672" t="s">
        <v>13467</v>
      </c>
      <c r="B4961" s="673" t="s">
        <v>13896</v>
      </c>
      <c r="C4961" s="672" t="s">
        <v>7</v>
      </c>
      <c r="D4961" s="672" t="s">
        <v>13895</v>
      </c>
      <c r="E4961" s="919" t="s">
        <v>13548</v>
      </c>
      <c r="F4961" s="919"/>
      <c r="G4961" s="671" t="s">
        <v>19</v>
      </c>
      <c r="H4961" s="670">
        <v>1.5100000000000001E-2</v>
      </c>
      <c r="I4961" s="669">
        <v>10.17</v>
      </c>
      <c r="J4961" s="669">
        <v>0.15</v>
      </c>
    </row>
    <row r="4962" spans="1:10" ht="25.5">
      <c r="A4962" s="668"/>
      <c r="B4962" s="668"/>
      <c r="C4962" s="668"/>
      <c r="D4962" s="668"/>
      <c r="E4962" s="668" t="s">
        <v>13463</v>
      </c>
      <c r="F4962" s="667">
        <v>8.1495200000000004E-2</v>
      </c>
      <c r="G4962" s="668" t="s">
        <v>13462</v>
      </c>
      <c r="H4962" s="667">
        <v>7.0000000000000007E-2</v>
      </c>
      <c r="I4962" s="668" t="s">
        <v>13461</v>
      </c>
      <c r="J4962" s="667">
        <v>0.15</v>
      </c>
    </row>
    <row r="4963" spans="1:10" ht="15" thickBot="1">
      <c r="A4963" s="668"/>
      <c r="B4963" s="668"/>
      <c r="C4963" s="668"/>
      <c r="D4963" s="668"/>
      <c r="E4963" s="668" t="s">
        <v>13460</v>
      </c>
      <c r="F4963" s="667">
        <v>0.04</v>
      </c>
      <c r="G4963" s="668"/>
      <c r="H4963" s="925" t="s">
        <v>13459</v>
      </c>
      <c r="I4963" s="925"/>
      <c r="J4963" s="667">
        <v>0.19</v>
      </c>
    </row>
    <row r="4964" spans="1:10" ht="0.95" customHeight="1" thickTop="1">
      <c r="A4964" s="666"/>
      <c r="B4964" s="666"/>
      <c r="C4964" s="666"/>
      <c r="D4964" s="666"/>
      <c r="E4964" s="666"/>
      <c r="F4964" s="666"/>
      <c r="G4964" s="666"/>
      <c r="H4964" s="666"/>
      <c r="I4964" s="666"/>
      <c r="J4964" s="666"/>
    </row>
    <row r="4965" spans="1:10" ht="18" customHeight="1">
      <c r="A4965" s="686"/>
      <c r="B4965" s="684" t="s">
        <v>13484</v>
      </c>
      <c r="C4965" s="686" t="s">
        <v>13483</v>
      </c>
      <c r="D4965" s="686" t="s">
        <v>13482</v>
      </c>
      <c r="E4965" s="924" t="s">
        <v>13481</v>
      </c>
      <c r="F4965" s="924"/>
      <c r="G4965" s="685" t="s">
        <v>13480</v>
      </c>
      <c r="H4965" s="684" t="s">
        <v>13479</v>
      </c>
      <c r="I4965" s="684" t="s">
        <v>13478</v>
      </c>
      <c r="J4965" s="684" t="s">
        <v>13477</v>
      </c>
    </row>
    <row r="4966" spans="1:10" ht="24" customHeight="1">
      <c r="A4966" s="682" t="s">
        <v>13476</v>
      </c>
      <c r="B4966" s="683" t="s">
        <v>13894</v>
      </c>
      <c r="C4966" s="682" t="s">
        <v>7</v>
      </c>
      <c r="D4966" s="682" t="s">
        <v>561</v>
      </c>
      <c r="E4966" s="917" t="s">
        <v>13470</v>
      </c>
      <c r="F4966" s="917"/>
      <c r="G4966" s="681" t="s">
        <v>19</v>
      </c>
      <c r="H4966" s="680">
        <v>1</v>
      </c>
      <c r="I4966" s="679">
        <v>0.11</v>
      </c>
      <c r="J4966" s="679">
        <v>0.11</v>
      </c>
    </row>
    <row r="4967" spans="1:10" ht="24" customHeight="1">
      <c r="A4967" s="672" t="s">
        <v>13467</v>
      </c>
      <c r="B4967" s="673" t="s">
        <v>13893</v>
      </c>
      <c r="C4967" s="672" t="s">
        <v>7</v>
      </c>
      <c r="D4967" s="672" t="s">
        <v>13892</v>
      </c>
      <c r="E4967" s="919" t="s">
        <v>13548</v>
      </c>
      <c r="F4967" s="919"/>
      <c r="G4967" s="671" t="s">
        <v>19</v>
      </c>
      <c r="H4967" s="670">
        <v>8.2000000000000007E-3</v>
      </c>
      <c r="I4967" s="669">
        <v>13.66</v>
      </c>
      <c r="J4967" s="669">
        <v>0.11</v>
      </c>
    </row>
    <row r="4968" spans="1:10" ht="25.5">
      <c r="A4968" s="668"/>
      <c r="B4968" s="668"/>
      <c r="C4968" s="668"/>
      <c r="D4968" s="668"/>
      <c r="E4968" s="668" t="s">
        <v>13463</v>
      </c>
      <c r="F4968" s="667">
        <v>5.97631E-2</v>
      </c>
      <c r="G4968" s="668" t="s">
        <v>13462</v>
      </c>
      <c r="H4968" s="667">
        <v>0.05</v>
      </c>
      <c r="I4968" s="668" t="s">
        <v>13461</v>
      </c>
      <c r="J4968" s="667">
        <v>0.11</v>
      </c>
    </row>
    <row r="4969" spans="1:10" ht="15" thickBot="1">
      <c r="A4969" s="668"/>
      <c r="B4969" s="668"/>
      <c r="C4969" s="668"/>
      <c r="D4969" s="668"/>
      <c r="E4969" s="668" t="s">
        <v>13460</v>
      </c>
      <c r="F4969" s="667">
        <v>0.03</v>
      </c>
      <c r="G4969" s="668"/>
      <c r="H4969" s="925" t="s">
        <v>13459</v>
      </c>
      <c r="I4969" s="925"/>
      <c r="J4969" s="667">
        <v>0.14000000000000001</v>
      </c>
    </row>
    <row r="4970" spans="1:10" ht="0.95" customHeight="1" thickTop="1">
      <c r="A4970" s="666"/>
      <c r="B4970" s="666"/>
      <c r="C4970" s="666"/>
      <c r="D4970" s="666"/>
      <c r="E4970" s="666"/>
      <c r="F4970" s="666"/>
      <c r="G4970" s="666"/>
      <c r="H4970" s="666"/>
      <c r="I4970" s="666"/>
      <c r="J4970" s="666"/>
    </row>
    <row r="4971" spans="1:10" ht="18" customHeight="1">
      <c r="A4971" s="686"/>
      <c r="B4971" s="684" t="s">
        <v>13484</v>
      </c>
      <c r="C4971" s="686" t="s">
        <v>13483</v>
      </c>
      <c r="D4971" s="686" t="s">
        <v>13482</v>
      </c>
      <c r="E4971" s="924" t="s">
        <v>13481</v>
      </c>
      <c r="F4971" s="924"/>
      <c r="G4971" s="685" t="s">
        <v>13480</v>
      </c>
      <c r="H4971" s="684" t="s">
        <v>13479</v>
      </c>
      <c r="I4971" s="684" t="s">
        <v>13478</v>
      </c>
      <c r="J4971" s="684" t="s">
        <v>13477</v>
      </c>
    </row>
    <row r="4972" spans="1:10" ht="24" customHeight="1">
      <c r="A4972" s="682" t="s">
        <v>13476</v>
      </c>
      <c r="B4972" s="683" t="s">
        <v>13563</v>
      </c>
      <c r="C4972" s="682" t="s">
        <v>7</v>
      </c>
      <c r="D4972" s="682" t="s">
        <v>2790</v>
      </c>
      <c r="E4972" s="917" t="s">
        <v>13470</v>
      </c>
      <c r="F4972" s="917"/>
      <c r="G4972" s="681" t="s">
        <v>19</v>
      </c>
      <c r="H4972" s="680">
        <v>1</v>
      </c>
      <c r="I4972" s="679">
        <v>0.12</v>
      </c>
      <c r="J4972" s="679">
        <v>0.12</v>
      </c>
    </row>
    <row r="4973" spans="1:10" ht="24" customHeight="1">
      <c r="A4973" s="672" t="s">
        <v>13467</v>
      </c>
      <c r="B4973" s="673" t="s">
        <v>13550</v>
      </c>
      <c r="C4973" s="672" t="s">
        <v>7</v>
      </c>
      <c r="D4973" s="672" t="s">
        <v>13549</v>
      </c>
      <c r="E4973" s="919" t="s">
        <v>13548</v>
      </c>
      <c r="F4973" s="919"/>
      <c r="G4973" s="671" t="s">
        <v>19</v>
      </c>
      <c r="H4973" s="670">
        <v>8.2000000000000007E-3</v>
      </c>
      <c r="I4973" s="669">
        <v>14.91</v>
      </c>
      <c r="J4973" s="669">
        <v>0.12</v>
      </c>
    </row>
    <row r="4974" spans="1:10" ht="25.5">
      <c r="A4974" s="668"/>
      <c r="B4974" s="668"/>
      <c r="C4974" s="668"/>
      <c r="D4974" s="668"/>
      <c r="E4974" s="668" t="s">
        <v>13463</v>
      </c>
      <c r="F4974" s="667">
        <v>6.5196100000000007E-2</v>
      </c>
      <c r="G4974" s="668" t="s">
        <v>13462</v>
      </c>
      <c r="H4974" s="667">
        <v>0.05</v>
      </c>
      <c r="I4974" s="668" t="s">
        <v>13461</v>
      </c>
      <c r="J4974" s="667">
        <v>0.12</v>
      </c>
    </row>
    <row r="4975" spans="1:10" ht="15" thickBot="1">
      <c r="A4975" s="668"/>
      <c r="B4975" s="668"/>
      <c r="C4975" s="668"/>
      <c r="D4975" s="668"/>
      <c r="E4975" s="668" t="s">
        <v>13460</v>
      </c>
      <c r="F4975" s="667">
        <v>0.03</v>
      </c>
      <c r="G4975" s="668"/>
      <c r="H4975" s="925" t="s">
        <v>13459</v>
      </c>
      <c r="I4975" s="925"/>
      <c r="J4975" s="667">
        <v>0.15</v>
      </c>
    </row>
    <row r="4976" spans="1:10" ht="0.95" customHeight="1" thickTop="1">
      <c r="A4976" s="666"/>
      <c r="B4976" s="666"/>
      <c r="C4976" s="666"/>
      <c r="D4976" s="666"/>
      <c r="E4976" s="666"/>
      <c r="F4976" s="666"/>
      <c r="G4976" s="666"/>
      <c r="H4976" s="666"/>
      <c r="I4976" s="666"/>
      <c r="J4976" s="666"/>
    </row>
    <row r="4977" spans="1:10" ht="18" customHeight="1">
      <c r="A4977" s="686"/>
      <c r="B4977" s="684" t="s">
        <v>13484</v>
      </c>
      <c r="C4977" s="686" t="s">
        <v>13483</v>
      </c>
      <c r="D4977" s="686" t="s">
        <v>13482</v>
      </c>
      <c r="E4977" s="924" t="s">
        <v>13481</v>
      </c>
      <c r="F4977" s="924"/>
      <c r="G4977" s="685" t="s">
        <v>13480</v>
      </c>
      <c r="H4977" s="684" t="s">
        <v>13479</v>
      </c>
      <c r="I4977" s="684" t="s">
        <v>13478</v>
      </c>
      <c r="J4977" s="684" t="s">
        <v>13477</v>
      </c>
    </row>
    <row r="4978" spans="1:10" ht="24" customHeight="1">
      <c r="A4978" s="682" t="s">
        <v>13476</v>
      </c>
      <c r="B4978" s="683" t="s">
        <v>13891</v>
      </c>
      <c r="C4978" s="682" t="s">
        <v>7</v>
      </c>
      <c r="D4978" s="682" t="s">
        <v>5696</v>
      </c>
      <c r="E4978" s="917" t="s">
        <v>13470</v>
      </c>
      <c r="F4978" s="917"/>
      <c r="G4978" s="681" t="s">
        <v>84</v>
      </c>
      <c r="H4978" s="680">
        <v>1</v>
      </c>
      <c r="I4978" s="679">
        <v>5.25</v>
      </c>
      <c r="J4978" s="679">
        <v>5.25</v>
      </c>
    </row>
    <row r="4979" spans="1:10" ht="24" customHeight="1">
      <c r="A4979" s="672" t="s">
        <v>13467</v>
      </c>
      <c r="B4979" s="673" t="s">
        <v>13890</v>
      </c>
      <c r="C4979" s="672" t="s">
        <v>7</v>
      </c>
      <c r="D4979" s="672" t="s">
        <v>13889</v>
      </c>
      <c r="E4979" s="919" t="s">
        <v>13548</v>
      </c>
      <c r="F4979" s="919"/>
      <c r="G4979" s="671" t="s">
        <v>84</v>
      </c>
      <c r="H4979" s="670">
        <v>2.8E-3</v>
      </c>
      <c r="I4979" s="669">
        <v>1878.45</v>
      </c>
      <c r="J4979" s="669">
        <v>5.25</v>
      </c>
    </row>
    <row r="4980" spans="1:10" ht="25.5">
      <c r="A4980" s="668"/>
      <c r="B4980" s="668"/>
      <c r="C4980" s="668"/>
      <c r="D4980" s="668"/>
      <c r="E4980" s="668" t="s">
        <v>13463</v>
      </c>
      <c r="F4980" s="667">
        <v>2.8523307999999998</v>
      </c>
      <c r="G4980" s="668" t="s">
        <v>13462</v>
      </c>
      <c r="H4980" s="667">
        <v>2.4</v>
      </c>
      <c r="I4980" s="668" t="s">
        <v>13461</v>
      </c>
      <c r="J4980" s="667">
        <v>5.25</v>
      </c>
    </row>
    <row r="4981" spans="1:10" ht="15" thickBot="1">
      <c r="A4981" s="668"/>
      <c r="B4981" s="668"/>
      <c r="C4981" s="668"/>
      <c r="D4981" s="668"/>
      <c r="E4981" s="668" t="s">
        <v>13460</v>
      </c>
      <c r="F4981" s="667">
        <v>1.48</v>
      </c>
      <c r="G4981" s="668"/>
      <c r="H4981" s="925" t="s">
        <v>13459</v>
      </c>
      <c r="I4981" s="925"/>
      <c r="J4981" s="667">
        <v>6.73</v>
      </c>
    </row>
    <row r="4982" spans="1:10" ht="0.95" customHeight="1" thickTop="1">
      <c r="A4982" s="666"/>
      <c r="B4982" s="666"/>
      <c r="C4982" s="666"/>
      <c r="D4982" s="666"/>
      <c r="E4982" s="666"/>
      <c r="F4982" s="666"/>
      <c r="G4982" s="666"/>
      <c r="H4982" s="666"/>
      <c r="I4982" s="666"/>
      <c r="J4982" s="666"/>
    </row>
    <row r="4983" spans="1:10" ht="18" customHeight="1">
      <c r="A4983" s="686"/>
      <c r="B4983" s="684" t="s">
        <v>13484</v>
      </c>
      <c r="C4983" s="686" t="s">
        <v>13483</v>
      </c>
      <c r="D4983" s="686" t="s">
        <v>13482</v>
      </c>
      <c r="E4983" s="924" t="s">
        <v>13481</v>
      </c>
      <c r="F4983" s="924"/>
      <c r="G4983" s="685" t="s">
        <v>13480</v>
      </c>
      <c r="H4983" s="684" t="s">
        <v>13479</v>
      </c>
      <c r="I4983" s="684" t="s">
        <v>13478</v>
      </c>
      <c r="J4983" s="684" t="s">
        <v>13477</v>
      </c>
    </row>
    <row r="4984" spans="1:10" ht="24" customHeight="1">
      <c r="A4984" s="682" t="s">
        <v>13476</v>
      </c>
      <c r="B4984" s="683" t="s">
        <v>13888</v>
      </c>
      <c r="C4984" s="682" t="s">
        <v>7</v>
      </c>
      <c r="D4984" s="682" t="s">
        <v>2793</v>
      </c>
      <c r="E4984" s="917" t="s">
        <v>13470</v>
      </c>
      <c r="F4984" s="917"/>
      <c r="G4984" s="681" t="s">
        <v>19</v>
      </c>
      <c r="H4984" s="680">
        <v>1</v>
      </c>
      <c r="I4984" s="679">
        <v>0.05</v>
      </c>
      <c r="J4984" s="679">
        <v>0.05</v>
      </c>
    </row>
    <row r="4985" spans="1:10" ht="24" customHeight="1">
      <c r="A4985" s="672" t="s">
        <v>13467</v>
      </c>
      <c r="B4985" s="673" t="s">
        <v>13887</v>
      </c>
      <c r="C4985" s="672" t="s">
        <v>7</v>
      </c>
      <c r="D4985" s="672" t="s">
        <v>13886</v>
      </c>
      <c r="E4985" s="919" t="s">
        <v>13548</v>
      </c>
      <c r="F4985" s="919"/>
      <c r="G4985" s="671" t="s">
        <v>19</v>
      </c>
      <c r="H4985" s="670">
        <v>3.5999999999999999E-3</v>
      </c>
      <c r="I4985" s="669">
        <v>14.51</v>
      </c>
      <c r="J4985" s="669">
        <v>0.05</v>
      </c>
    </row>
    <row r="4986" spans="1:10" ht="25.5">
      <c r="A4986" s="668"/>
      <c r="B4986" s="668"/>
      <c r="C4986" s="668"/>
      <c r="D4986" s="668"/>
      <c r="E4986" s="668" t="s">
        <v>13463</v>
      </c>
      <c r="F4986" s="667">
        <v>2.7165100000000001E-2</v>
      </c>
      <c r="G4986" s="668" t="s">
        <v>13462</v>
      </c>
      <c r="H4986" s="667">
        <v>0.02</v>
      </c>
      <c r="I4986" s="668" t="s">
        <v>13461</v>
      </c>
      <c r="J4986" s="667">
        <v>0.05</v>
      </c>
    </row>
    <row r="4987" spans="1:10" ht="15" thickBot="1">
      <c r="A4987" s="668"/>
      <c r="B4987" s="668"/>
      <c r="C4987" s="668"/>
      <c r="D4987" s="668"/>
      <c r="E4987" s="668" t="s">
        <v>13460</v>
      </c>
      <c r="F4987" s="667">
        <v>0.01</v>
      </c>
      <c r="G4987" s="668"/>
      <c r="H4987" s="925" t="s">
        <v>13459</v>
      </c>
      <c r="I4987" s="925"/>
      <c r="J4987" s="667">
        <v>0.06</v>
      </c>
    </row>
    <row r="4988" spans="1:10" ht="0.95" customHeight="1" thickTop="1">
      <c r="A4988" s="666"/>
      <c r="B4988" s="666"/>
      <c r="C4988" s="666"/>
      <c r="D4988" s="666"/>
      <c r="E4988" s="666"/>
      <c r="F4988" s="666"/>
      <c r="G4988" s="666"/>
      <c r="H4988" s="666"/>
      <c r="I4988" s="666"/>
      <c r="J4988" s="666"/>
    </row>
    <row r="4989" spans="1:10" ht="18" customHeight="1">
      <c r="A4989" s="686"/>
      <c r="B4989" s="684" t="s">
        <v>13484</v>
      </c>
      <c r="C4989" s="686" t="s">
        <v>13483</v>
      </c>
      <c r="D4989" s="686" t="s">
        <v>13482</v>
      </c>
      <c r="E4989" s="924" t="s">
        <v>13481</v>
      </c>
      <c r="F4989" s="924"/>
      <c r="G4989" s="685" t="s">
        <v>13480</v>
      </c>
      <c r="H4989" s="684" t="s">
        <v>13479</v>
      </c>
      <c r="I4989" s="684" t="s">
        <v>13478</v>
      </c>
      <c r="J4989" s="684" t="s">
        <v>13477</v>
      </c>
    </row>
    <row r="4990" spans="1:10" ht="48" customHeight="1">
      <c r="A4990" s="682" t="s">
        <v>13476</v>
      </c>
      <c r="B4990" s="683" t="s">
        <v>13885</v>
      </c>
      <c r="C4990" s="682" t="s">
        <v>7</v>
      </c>
      <c r="D4990" s="682" t="s">
        <v>1992</v>
      </c>
      <c r="E4990" s="917" t="s">
        <v>13540</v>
      </c>
      <c r="F4990" s="917"/>
      <c r="G4990" s="681" t="s">
        <v>34</v>
      </c>
      <c r="H4990" s="680">
        <v>1</v>
      </c>
      <c r="I4990" s="679">
        <v>15.07</v>
      </c>
      <c r="J4990" s="679">
        <v>15.07</v>
      </c>
    </row>
    <row r="4991" spans="1:10" ht="24" customHeight="1">
      <c r="A4991" s="677" t="s">
        <v>13472</v>
      </c>
      <c r="B4991" s="678" t="s">
        <v>13539</v>
      </c>
      <c r="C4991" s="677" t="s">
        <v>7</v>
      </c>
      <c r="D4991" s="677" t="s">
        <v>45</v>
      </c>
      <c r="E4991" s="918" t="s">
        <v>13470</v>
      </c>
      <c r="F4991" s="918"/>
      <c r="G4991" s="676" t="s">
        <v>19</v>
      </c>
      <c r="H4991" s="675">
        <v>0.312</v>
      </c>
      <c r="I4991" s="674">
        <v>18.3</v>
      </c>
      <c r="J4991" s="674">
        <v>5.7</v>
      </c>
    </row>
    <row r="4992" spans="1:10" ht="24" customHeight="1">
      <c r="A4992" s="677" t="s">
        <v>13472</v>
      </c>
      <c r="B4992" s="678" t="s">
        <v>13538</v>
      </c>
      <c r="C4992" s="677" t="s">
        <v>7</v>
      </c>
      <c r="D4992" s="677" t="s">
        <v>47</v>
      </c>
      <c r="E4992" s="918" t="s">
        <v>13470</v>
      </c>
      <c r="F4992" s="918"/>
      <c r="G4992" s="676" t="s">
        <v>19</v>
      </c>
      <c r="H4992" s="675">
        <v>0.312</v>
      </c>
      <c r="I4992" s="674">
        <v>14</v>
      </c>
      <c r="J4992" s="674">
        <v>4.3600000000000003</v>
      </c>
    </row>
    <row r="4993" spans="1:10" ht="24" customHeight="1">
      <c r="A4993" s="672" t="s">
        <v>13467</v>
      </c>
      <c r="B4993" s="673" t="s">
        <v>13884</v>
      </c>
      <c r="C4993" s="672" t="s">
        <v>7</v>
      </c>
      <c r="D4993" s="672" t="s">
        <v>13883</v>
      </c>
      <c r="E4993" s="919" t="s">
        <v>13464</v>
      </c>
      <c r="F4993" s="919"/>
      <c r="G4993" s="671" t="s">
        <v>34</v>
      </c>
      <c r="H4993" s="670">
        <v>1</v>
      </c>
      <c r="I4993" s="669">
        <v>5.01</v>
      </c>
      <c r="J4993" s="669">
        <v>5.01</v>
      </c>
    </row>
    <row r="4994" spans="1:10" ht="25.5">
      <c r="A4994" s="668"/>
      <c r="B4994" s="668"/>
      <c r="C4994" s="668"/>
      <c r="D4994" s="668"/>
      <c r="E4994" s="668" t="s">
        <v>13463</v>
      </c>
      <c r="F4994" s="667">
        <v>4.1779854395305875</v>
      </c>
      <c r="G4994" s="668" t="s">
        <v>13462</v>
      </c>
      <c r="H4994" s="667">
        <v>3.51</v>
      </c>
      <c r="I4994" s="668" t="s">
        <v>13461</v>
      </c>
      <c r="J4994" s="667">
        <v>7.69</v>
      </c>
    </row>
    <row r="4995" spans="1:10" ht="15" thickBot="1">
      <c r="A4995" s="668"/>
      <c r="B4995" s="668"/>
      <c r="C4995" s="668"/>
      <c r="D4995" s="668"/>
      <c r="E4995" s="668" t="s">
        <v>13460</v>
      </c>
      <c r="F4995" s="667">
        <v>4.25</v>
      </c>
      <c r="G4995" s="668"/>
      <c r="H4995" s="925" t="s">
        <v>13459</v>
      </c>
      <c r="I4995" s="925"/>
      <c r="J4995" s="667">
        <v>19.32</v>
      </c>
    </row>
    <row r="4996" spans="1:10" ht="0.95" customHeight="1" thickTop="1">
      <c r="A4996" s="666"/>
      <c r="B4996" s="666"/>
      <c r="C4996" s="666"/>
      <c r="D4996" s="666"/>
      <c r="E4996" s="666"/>
      <c r="F4996" s="666"/>
      <c r="G4996" s="666"/>
      <c r="H4996" s="666"/>
      <c r="I4996" s="666"/>
      <c r="J4996" s="666"/>
    </row>
    <row r="4997" spans="1:10" ht="18" customHeight="1">
      <c r="A4997" s="686"/>
      <c r="B4997" s="684" t="s">
        <v>13484</v>
      </c>
      <c r="C4997" s="686" t="s">
        <v>13483</v>
      </c>
      <c r="D4997" s="686" t="s">
        <v>13482</v>
      </c>
      <c r="E4997" s="924" t="s">
        <v>13481</v>
      </c>
      <c r="F4997" s="924"/>
      <c r="G4997" s="685" t="s">
        <v>13480</v>
      </c>
      <c r="H4997" s="684" t="s">
        <v>13479</v>
      </c>
      <c r="I4997" s="684" t="s">
        <v>13478</v>
      </c>
      <c r="J4997" s="684" t="s">
        <v>13477</v>
      </c>
    </row>
    <row r="4998" spans="1:10" ht="48" customHeight="1">
      <c r="A4998" s="682" t="s">
        <v>13476</v>
      </c>
      <c r="B4998" s="683" t="s">
        <v>13882</v>
      </c>
      <c r="C4998" s="682" t="s">
        <v>7</v>
      </c>
      <c r="D4998" s="682" t="s">
        <v>432</v>
      </c>
      <c r="E4998" s="917" t="s">
        <v>13540</v>
      </c>
      <c r="F4998" s="917"/>
      <c r="G4998" s="681" t="s">
        <v>34</v>
      </c>
      <c r="H4998" s="680">
        <v>1</v>
      </c>
      <c r="I4998" s="679">
        <v>13.5</v>
      </c>
      <c r="J4998" s="679">
        <v>13.5</v>
      </c>
    </row>
    <row r="4999" spans="1:10" ht="24" customHeight="1">
      <c r="A4999" s="677" t="s">
        <v>13472</v>
      </c>
      <c r="B4999" s="678" t="s">
        <v>13539</v>
      </c>
      <c r="C4999" s="677" t="s">
        <v>7</v>
      </c>
      <c r="D4999" s="677" t="s">
        <v>45</v>
      </c>
      <c r="E4999" s="918" t="s">
        <v>13470</v>
      </c>
      <c r="F4999" s="918"/>
      <c r="G4999" s="676" t="s">
        <v>19</v>
      </c>
      <c r="H4999" s="675">
        <v>0.312</v>
      </c>
      <c r="I4999" s="674">
        <v>18.3</v>
      </c>
      <c r="J4999" s="674">
        <v>5.7</v>
      </c>
    </row>
    <row r="5000" spans="1:10" ht="24" customHeight="1">
      <c r="A5000" s="677" t="s">
        <v>13472</v>
      </c>
      <c r="B5000" s="678" t="s">
        <v>13538</v>
      </c>
      <c r="C5000" s="677" t="s">
        <v>7</v>
      </c>
      <c r="D5000" s="677" t="s">
        <v>47</v>
      </c>
      <c r="E5000" s="918" t="s">
        <v>13470</v>
      </c>
      <c r="F5000" s="918"/>
      <c r="G5000" s="676" t="s">
        <v>19</v>
      </c>
      <c r="H5000" s="675">
        <v>0.312</v>
      </c>
      <c r="I5000" s="674">
        <v>14</v>
      </c>
      <c r="J5000" s="674">
        <v>4.3600000000000003</v>
      </c>
    </row>
    <row r="5001" spans="1:10" ht="24" customHeight="1">
      <c r="A5001" s="672" t="s">
        <v>13467</v>
      </c>
      <c r="B5001" s="673" t="s">
        <v>13881</v>
      </c>
      <c r="C5001" s="672" t="s">
        <v>7</v>
      </c>
      <c r="D5001" s="672" t="s">
        <v>13880</v>
      </c>
      <c r="E5001" s="919" t="s">
        <v>13464</v>
      </c>
      <c r="F5001" s="919"/>
      <c r="G5001" s="671" t="s">
        <v>34</v>
      </c>
      <c r="H5001" s="670">
        <v>1</v>
      </c>
      <c r="I5001" s="669">
        <v>3.44</v>
      </c>
      <c r="J5001" s="669">
        <v>3.44</v>
      </c>
    </row>
    <row r="5002" spans="1:10" ht="25.5">
      <c r="A5002" s="668"/>
      <c r="B5002" s="668"/>
      <c r="C5002" s="668"/>
      <c r="D5002" s="668"/>
      <c r="E5002" s="668" t="s">
        <v>13463</v>
      </c>
      <c r="F5002" s="667">
        <v>4.1779854395305875</v>
      </c>
      <c r="G5002" s="668" t="s">
        <v>13462</v>
      </c>
      <c r="H5002" s="667">
        <v>3.51</v>
      </c>
      <c r="I5002" s="668" t="s">
        <v>13461</v>
      </c>
      <c r="J5002" s="667">
        <v>7.69</v>
      </c>
    </row>
    <row r="5003" spans="1:10" ht="15" thickBot="1">
      <c r="A5003" s="668"/>
      <c r="B5003" s="668"/>
      <c r="C5003" s="668"/>
      <c r="D5003" s="668"/>
      <c r="E5003" s="668" t="s">
        <v>13460</v>
      </c>
      <c r="F5003" s="667">
        <v>3.81</v>
      </c>
      <c r="G5003" s="668"/>
      <c r="H5003" s="925" t="s">
        <v>13459</v>
      </c>
      <c r="I5003" s="925"/>
      <c r="J5003" s="667">
        <v>17.309999999999999</v>
      </c>
    </row>
    <row r="5004" spans="1:10" ht="0.95" customHeight="1" thickTop="1">
      <c r="A5004" s="666"/>
      <c r="B5004" s="666"/>
      <c r="C5004" s="666"/>
      <c r="D5004" s="666"/>
      <c r="E5004" s="666"/>
      <c r="F5004" s="666"/>
      <c r="G5004" s="666"/>
      <c r="H5004" s="666"/>
      <c r="I5004" s="666"/>
      <c r="J5004" s="666"/>
    </row>
    <row r="5005" spans="1:10" ht="18" customHeight="1">
      <c r="A5005" s="686"/>
      <c r="B5005" s="684" t="s">
        <v>13484</v>
      </c>
      <c r="C5005" s="686" t="s">
        <v>13483</v>
      </c>
      <c r="D5005" s="686" t="s">
        <v>13482</v>
      </c>
      <c r="E5005" s="924" t="s">
        <v>13481</v>
      </c>
      <c r="F5005" s="924"/>
      <c r="G5005" s="685" t="s">
        <v>13480</v>
      </c>
      <c r="H5005" s="684" t="s">
        <v>13479</v>
      </c>
      <c r="I5005" s="684" t="s">
        <v>13478</v>
      </c>
      <c r="J5005" s="684" t="s">
        <v>13477</v>
      </c>
    </row>
    <row r="5006" spans="1:10" ht="36" customHeight="1">
      <c r="A5006" s="682" t="s">
        <v>13476</v>
      </c>
      <c r="B5006" s="683" t="s">
        <v>13879</v>
      </c>
      <c r="C5006" s="682" t="s">
        <v>7</v>
      </c>
      <c r="D5006" s="682" t="s">
        <v>2722</v>
      </c>
      <c r="E5006" s="917" t="s">
        <v>13491</v>
      </c>
      <c r="F5006" s="917"/>
      <c r="G5006" s="681" t="s">
        <v>38</v>
      </c>
      <c r="H5006" s="680">
        <v>1</v>
      </c>
      <c r="I5006" s="679">
        <v>9.35</v>
      </c>
      <c r="J5006" s="679">
        <v>9.35</v>
      </c>
    </row>
    <row r="5007" spans="1:10" ht="36" customHeight="1">
      <c r="A5007" s="677" t="s">
        <v>13472</v>
      </c>
      <c r="B5007" s="678" t="s">
        <v>13876</v>
      </c>
      <c r="C5007" s="677" t="s">
        <v>7</v>
      </c>
      <c r="D5007" s="677" t="s">
        <v>2720</v>
      </c>
      <c r="E5007" s="918" t="s">
        <v>13491</v>
      </c>
      <c r="F5007" s="918"/>
      <c r="G5007" s="676" t="s">
        <v>19</v>
      </c>
      <c r="H5007" s="675">
        <v>1</v>
      </c>
      <c r="I5007" s="674">
        <v>0.35</v>
      </c>
      <c r="J5007" s="674">
        <v>0.35</v>
      </c>
    </row>
    <row r="5008" spans="1:10" ht="36" customHeight="1">
      <c r="A5008" s="677" t="s">
        <v>13472</v>
      </c>
      <c r="B5008" s="678" t="s">
        <v>13873</v>
      </c>
      <c r="C5008" s="677" t="s">
        <v>7</v>
      </c>
      <c r="D5008" s="677" t="s">
        <v>2721</v>
      </c>
      <c r="E5008" s="918" t="s">
        <v>13491</v>
      </c>
      <c r="F5008" s="918"/>
      <c r="G5008" s="676" t="s">
        <v>19</v>
      </c>
      <c r="H5008" s="675">
        <v>1</v>
      </c>
      <c r="I5008" s="674">
        <v>8.51</v>
      </c>
      <c r="J5008" s="674">
        <v>8.51</v>
      </c>
    </row>
    <row r="5009" spans="1:10" ht="36" customHeight="1">
      <c r="A5009" s="677" t="s">
        <v>13472</v>
      </c>
      <c r="B5009" s="678" t="s">
        <v>13877</v>
      </c>
      <c r="C5009" s="677" t="s">
        <v>7</v>
      </c>
      <c r="D5009" s="677" t="s">
        <v>2719</v>
      </c>
      <c r="E5009" s="918" t="s">
        <v>13491</v>
      </c>
      <c r="F5009" s="918"/>
      <c r="G5009" s="676" t="s">
        <v>19</v>
      </c>
      <c r="H5009" s="675">
        <v>1</v>
      </c>
      <c r="I5009" s="674">
        <v>0.05</v>
      </c>
      <c r="J5009" s="674">
        <v>0.05</v>
      </c>
    </row>
    <row r="5010" spans="1:10" ht="36" customHeight="1">
      <c r="A5010" s="677" t="s">
        <v>13472</v>
      </c>
      <c r="B5010" s="678" t="s">
        <v>13878</v>
      </c>
      <c r="C5010" s="677" t="s">
        <v>7</v>
      </c>
      <c r="D5010" s="677" t="s">
        <v>2718</v>
      </c>
      <c r="E5010" s="918" t="s">
        <v>13491</v>
      </c>
      <c r="F5010" s="918"/>
      <c r="G5010" s="676" t="s">
        <v>19</v>
      </c>
      <c r="H5010" s="675">
        <v>1</v>
      </c>
      <c r="I5010" s="674">
        <v>0.44</v>
      </c>
      <c r="J5010" s="674">
        <v>0.44</v>
      </c>
    </row>
    <row r="5011" spans="1:10" ht="25.5">
      <c r="A5011" s="668"/>
      <c r="B5011" s="668"/>
      <c r="C5011" s="668"/>
      <c r="D5011" s="668"/>
      <c r="E5011" s="668" t="s">
        <v>13463</v>
      </c>
      <c r="F5011" s="667">
        <v>0</v>
      </c>
      <c r="G5011" s="668" t="s">
        <v>13462</v>
      </c>
      <c r="H5011" s="667">
        <v>0</v>
      </c>
      <c r="I5011" s="668" t="s">
        <v>13461</v>
      </c>
      <c r="J5011" s="667">
        <v>0</v>
      </c>
    </row>
    <row r="5012" spans="1:10" ht="15" thickBot="1">
      <c r="A5012" s="668"/>
      <c r="B5012" s="668"/>
      <c r="C5012" s="668"/>
      <c r="D5012" s="668"/>
      <c r="E5012" s="668" t="s">
        <v>13460</v>
      </c>
      <c r="F5012" s="667">
        <v>2.64</v>
      </c>
      <c r="G5012" s="668"/>
      <c r="H5012" s="925" t="s">
        <v>13459</v>
      </c>
      <c r="I5012" s="925"/>
      <c r="J5012" s="667">
        <v>11.99</v>
      </c>
    </row>
    <row r="5013" spans="1:10" ht="0.95" customHeight="1" thickTop="1">
      <c r="A5013" s="666"/>
      <c r="B5013" s="666"/>
      <c r="C5013" s="666"/>
      <c r="D5013" s="666"/>
      <c r="E5013" s="666"/>
      <c r="F5013" s="666"/>
      <c r="G5013" s="666"/>
      <c r="H5013" s="666"/>
      <c r="I5013" s="666"/>
      <c r="J5013" s="666"/>
    </row>
    <row r="5014" spans="1:10" ht="18" customHeight="1">
      <c r="A5014" s="686"/>
      <c r="B5014" s="684" t="s">
        <v>13484</v>
      </c>
      <c r="C5014" s="686" t="s">
        <v>13483</v>
      </c>
      <c r="D5014" s="686" t="s">
        <v>13482</v>
      </c>
      <c r="E5014" s="924" t="s">
        <v>13481</v>
      </c>
      <c r="F5014" s="924"/>
      <c r="G5014" s="685" t="s">
        <v>13480</v>
      </c>
      <c r="H5014" s="684" t="s">
        <v>13479</v>
      </c>
      <c r="I5014" s="684" t="s">
        <v>13478</v>
      </c>
      <c r="J5014" s="684" t="s">
        <v>13477</v>
      </c>
    </row>
    <row r="5015" spans="1:10" ht="36" customHeight="1">
      <c r="A5015" s="682" t="s">
        <v>13476</v>
      </c>
      <c r="B5015" s="683" t="s">
        <v>13878</v>
      </c>
      <c r="C5015" s="682" t="s">
        <v>7</v>
      </c>
      <c r="D5015" s="682" t="s">
        <v>2718</v>
      </c>
      <c r="E5015" s="917" t="s">
        <v>13491</v>
      </c>
      <c r="F5015" s="917"/>
      <c r="G5015" s="681" t="s">
        <v>19</v>
      </c>
      <c r="H5015" s="680">
        <v>1</v>
      </c>
      <c r="I5015" s="679">
        <v>0.44</v>
      </c>
      <c r="J5015" s="679">
        <v>0.44</v>
      </c>
    </row>
    <row r="5016" spans="1:10" ht="24" customHeight="1">
      <c r="A5016" s="672" t="s">
        <v>13467</v>
      </c>
      <c r="B5016" s="673" t="s">
        <v>13875</v>
      </c>
      <c r="C5016" s="672" t="s">
        <v>7</v>
      </c>
      <c r="D5016" s="672" t="s">
        <v>13874</v>
      </c>
      <c r="E5016" s="919" t="s">
        <v>13493</v>
      </c>
      <c r="F5016" s="919"/>
      <c r="G5016" s="671" t="s">
        <v>34</v>
      </c>
      <c r="H5016" s="670">
        <v>6.3999999999999997E-5</v>
      </c>
      <c r="I5016" s="669">
        <v>7000</v>
      </c>
      <c r="J5016" s="669">
        <v>0.44</v>
      </c>
    </row>
    <row r="5017" spans="1:10" ht="25.5">
      <c r="A5017" s="668"/>
      <c r="B5017" s="668"/>
      <c r="C5017" s="668"/>
      <c r="D5017" s="668"/>
      <c r="E5017" s="668" t="s">
        <v>13463</v>
      </c>
      <c r="F5017" s="667">
        <v>0</v>
      </c>
      <c r="G5017" s="668" t="s">
        <v>13462</v>
      </c>
      <c r="H5017" s="667">
        <v>0</v>
      </c>
      <c r="I5017" s="668" t="s">
        <v>13461</v>
      </c>
      <c r="J5017" s="667">
        <v>0</v>
      </c>
    </row>
    <row r="5018" spans="1:10" ht="15" thickBot="1">
      <c r="A5018" s="668"/>
      <c r="B5018" s="668"/>
      <c r="C5018" s="668"/>
      <c r="D5018" s="668"/>
      <c r="E5018" s="668" t="s">
        <v>13460</v>
      </c>
      <c r="F5018" s="667">
        <v>0.12</v>
      </c>
      <c r="G5018" s="668"/>
      <c r="H5018" s="925" t="s">
        <v>13459</v>
      </c>
      <c r="I5018" s="925"/>
      <c r="J5018" s="667">
        <v>0.56000000000000005</v>
      </c>
    </row>
    <row r="5019" spans="1:10" ht="0.95" customHeight="1" thickTop="1">
      <c r="A5019" s="666"/>
      <c r="B5019" s="666"/>
      <c r="C5019" s="666"/>
      <c r="D5019" s="666"/>
      <c r="E5019" s="666"/>
      <c r="F5019" s="666"/>
      <c r="G5019" s="666"/>
      <c r="H5019" s="666"/>
      <c r="I5019" s="666"/>
      <c r="J5019" s="666"/>
    </row>
    <row r="5020" spans="1:10" ht="18" customHeight="1">
      <c r="A5020" s="686"/>
      <c r="B5020" s="684" t="s">
        <v>13484</v>
      </c>
      <c r="C5020" s="686" t="s">
        <v>13483</v>
      </c>
      <c r="D5020" s="686" t="s">
        <v>13482</v>
      </c>
      <c r="E5020" s="924" t="s">
        <v>13481</v>
      </c>
      <c r="F5020" s="924"/>
      <c r="G5020" s="685" t="s">
        <v>13480</v>
      </c>
      <c r="H5020" s="684" t="s">
        <v>13479</v>
      </c>
      <c r="I5020" s="684" t="s">
        <v>13478</v>
      </c>
      <c r="J5020" s="684" t="s">
        <v>13477</v>
      </c>
    </row>
    <row r="5021" spans="1:10" ht="36" customHeight="1">
      <c r="A5021" s="682" t="s">
        <v>13476</v>
      </c>
      <c r="B5021" s="683" t="s">
        <v>13877</v>
      </c>
      <c r="C5021" s="682" t="s">
        <v>7</v>
      </c>
      <c r="D5021" s="682" t="s">
        <v>2719</v>
      </c>
      <c r="E5021" s="917" t="s">
        <v>13491</v>
      </c>
      <c r="F5021" s="917"/>
      <c r="G5021" s="681" t="s">
        <v>19</v>
      </c>
      <c r="H5021" s="680">
        <v>1</v>
      </c>
      <c r="I5021" s="679">
        <v>0.05</v>
      </c>
      <c r="J5021" s="679">
        <v>0.05</v>
      </c>
    </row>
    <row r="5022" spans="1:10" ht="24" customHeight="1">
      <c r="A5022" s="672" t="s">
        <v>13467</v>
      </c>
      <c r="B5022" s="673" t="s">
        <v>13875</v>
      </c>
      <c r="C5022" s="672" t="s">
        <v>7</v>
      </c>
      <c r="D5022" s="672" t="s">
        <v>13874</v>
      </c>
      <c r="E5022" s="919" t="s">
        <v>13493</v>
      </c>
      <c r="F5022" s="919"/>
      <c r="G5022" s="671" t="s">
        <v>34</v>
      </c>
      <c r="H5022" s="670">
        <v>7.6000000000000001E-6</v>
      </c>
      <c r="I5022" s="669">
        <v>7000</v>
      </c>
      <c r="J5022" s="669">
        <v>0.05</v>
      </c>
    </row>
    <row r="5023" spans="1:10" ht="25.5">
      <c r="A5023" s="668"/>
      <c r="B5023" s="668"/>
      <c r="C5023" s="668"/>
      <c r="D5023" s="668"/>
      <c r="E5023" s="668" t="s">
        <v>13463</v>
      </c>
      <c r="F5023" s="667">
        <v>0</v>
      </c>
      <c r="G5023" s="668" t="s">
        <v>13462</v>
      </c>
      <c r="H5023" s="667">
        <v>0</v>
      </c>
      <c r="I5023" s="668" t="s">
        <v>13461</v>
      </c>
      <c r="J5023" s="667">
        <v>0</v>
      </c>
    </row>
    <row r="5024" spans="1:10" ht="15" thickBot="1">
      <c r="A5024" s="668"/>
      <c r="B5024" s="668"/>
      <c r="C5024" s="668"/>
      <c r="D5024" s="668"/>
      <c r="E5024" s="668" t="s">
        <v>13460</v>
      </c>
      <c r="F5024" s="667">
        <v>0.01</v>
      </c>
      <c r="G5024" s="668"/>
      <c r="H5024" s="925" t="s">
        <v>13459</v>
      </c>
      <c r="I5024" s="925"/>
      <c r="J5024" s="667">
        <v>0.06</v>
      </c>
    </row>
    <row r="5025" spans="1:10" ht="0.95" customHeight="1" thickTop="1">
      <c r="A5025" s="666"/>
      <c r="B5025" s="666"/>
      <c r="C5025" s="666"/>
      <c r="D5025" s="666"/>
      <c r="E5025" s="666"/>
      <c r="F5025" s="666"/>
      <c r="G5025" s="666"/>
      <c r="H5025" s="666"/>
      <c r="I5025" s="666"/>
      <c r="J5025" s="666"/>
    </row>
    <row r="5026" spans="1:10" ht="18" customHeight="1">
      <c r="A5026" s="686"/>
      <c r="B5026" s="684" t="s">
        <v>13484</v>
      </c>
      <c r="C5026" s="686" t="s">
        <v>13483</v>
      </c>
      <c r="D5026" s="686" t="s">
        <v>13482</v>
      </c>
      <c r="E5026" s="924" t="s">
        <v>13481</v>
      </c>
      <c r="F5026" s="924"/>
      <c r="G5026" s="685" t="s">
        <v>13480</v>
      </c>
      <c r="H5026" s="684" t="s">
        <v>13479</v>
      </c>
      <c r="I5026" s="684" t="s">
        <v>13478</v>
      </c>
      <c r="J5026" s="684" t="s">
        <v>13477</v>
      </c>
    </row>
    <row r="5027" spans="1:10" ht="36" customHeight="1">
      <c r="A5027" s="682" t="s">
        <v>13476</v>
      </c>
      <c r="B5027" s="683" t="s">
        <v>13876</v>
      </c>
      <c r="C5027" s="682" t="s">
        <v>7</v>
      </c>
      <c r="D5027" s="682" t="s">
        <v>2720</v>
      </c>
      <c r="E5027" s="917" t="s">
        <v>13491</v>
      </c>
      <c r="F5027" s="917"/>
      <c r="G5027" s="681" t="s">
        <v>19</v>
      </c>
      <c r="H5027" s="680">
        <v>1</v>
      </c>
      <c r="I5027" s="679">
        <v>0.35</v>
      </c>
      <c r="J5027" s="679">
        <v>0.35</v>
      </c>
    </row>
    <row r="5028" spans="1:10" ht="24" customHeight="1">
      <c r="A5028" s="672" t="s">
        <v>13467</v>
      </c>
      <c r="B5028" s="673" t="s">
        <v>13875</v>
      </c>
      <c r="C5028" s="672" t="s">
        <v>7</v>
      </c>
      <c r="D5028" s="672" t="s">
        <v>13874</v>
      </c>
      <c r="E5028" s="919" t="s">
        <v>13493</v>
      </c>
      <c r="F5028" s="919"/>
      <c r="G5028" s="671" t="s">
        <v>34</v>
      </c>
      <c r="H5028" s="670">
        <v>5.0000000000000002E-5</v>
      </c>
      <c r="I5028" s="669">
        <v>7000</v>
      </c>
      <c r="J5028" s="669">
        <v>0.35</v>
      </c>
    </row>
    <row r="5029" spans="1:10" ht="25.5">
      <c r="A5029" s="668"/>
      <c r="B5029" s="668"/>
      <c r="C5029" s="668"/>
      <c r="D5029" s="668"/>
      <c r="E5029" s="668" t="s">
        <v>13463</v>
      </c>
      <c r="F5029" s="667">
        <v>0</v>
      </c>
      <c r="G5029" s="668" t="s">
        <v>13462</v>
      </c>
      <c r="H5029" s="667">
        <v>0</v>
      </c>
      <c r="I5029" s="668" t="s">
        <v>13461</v>
      </c>
      <c r="J5029" s="667">
        <v>0</v>
      </c>
    </row>
    <row r="5030" spans="1:10" ht="15" thickBot="1">
      <c r="A5030" s="668"/>
      <c r="B5030" s="668"/>
      <c r="C5030" s="668"/>
      <c r="D5030" s="668"/>
      <c r="E5030" s="668" t="s">
        <v>13460</v>
      </c>
      <c r="F5030" s="667">
        <v>0.09</v>
      </c>
      <c r="G5030" s="668"/>
      <c r="H5030" s="925" t="s">
        <v>13459</v>
      </c>
      <c r="I5030" s="925"/>
      <c r="J5030" s="667">
        <v>0.44</v>
      </c>
    </row>
    <row r="5031" spans="1:10" ht="0.95" customHeight="1" thickTop="1">
      <c r="A5031" s="666"/>
      <c r="B5031" s="666"/>
      <c r="C5031" s="666"/>
      <c r="D5031" s="666"/>
      <c r="E5031" s="666"/>
      <c r="F5031" s="666"/>
      <c r="G5031" s="666"/>
      <c r="H5031" s="666"/>
      <c r="I5031" s="666"/>
      <c r="J5031" s="666"/>
    </row>
    <row r="5032" spans="1:10" ht="18" customHeight="1">
      <c r="A5032" s="686"/>
      <c r="B5032" s="684" t="s">
        <v>13484</v>
      </c>
      <c r="C5032" s="686" t="s">
        <v>13483</v>
      </c>
      <c r="D5032" s="686" t="s">
        <v>13482</v>
      </c>
      <c r="E5032" s="924" t="s">
        <v>13481</v>
      </c>
      <c r="F5032" s="924"/>
      <c r="G5032" s="685" t="s">
        <v>13480</v>
      </c>
      <c r="H5032" s="684" t="s">
        <v>13479</v>
      </c>
      <c r="I5032" s="684" t="s">
        <v>13478</v>
      </c>
      <c r="J5032" s="684" t="s">
        <v>13477</v>
      </c>
    </row>
    <row r="5033" spans="1:10" ht="36" customHeight="1">
      <c r="A5033" s="682" t="s">
        <v>13476</v>
      </c>
      <c r="B5033" s="683" t="s">
        <v>13873</v>
      </c>
      <c r="C5033" s="682" t="s">
        <v>7</v>
      </c>
      <c r="D5033" s="682" t="s">
        <v>2721</v>
      </c>
      <c r="E5033" s="917" t="s">
        <v>13491</v>
      </c>
      <c r="F5033" s="917"/>
      <c r="G5033" s="681" t="s">
        <v>19</v>
      </c>
      <c r="H5033" s="680">
        <v>1</v>
      </c>
      <c r="I5033" s="679">
        <v>8.51</v>
      </c>
      <c r="J5033" s="679">
        <v>8.51</v>
      </c>
    </row>
    <row r="5034" spans="1:10" ht="24" customHeight="1">
      <c r="A5034" s="672" t="s">
        <v>13467</v>
      </c>
      <c r="B5034" s="673" t="s">
        <v>13621</v>
      </c>
      <c r="C5034" s="672" t="s">
        <v>7</v>
      </c>
      <c r="D5034" s="672" t="s">
        <v>13620</v>
      </c>
      <c r="E5034" s="919" t="s">
        <v>13464</v>
      </c>
      <c r="F5034" s="919"/>
      <c r="G5034" s="671" t="s">
        <v>50</v>
      </c>
      <c r="H5034" s="670">
        <v>1.44</v>
      </c>
      <c r="I5034" s="669">
        <v>5.91</v>
      </c>
      <c r="J5034" s="669">
        <v>8.51</v>
      </c>
    </row>
    <row r="5035" spans="1:10" ht="25.5">
      <c r="A5035" s="668"/>
      <c r="B5035" s="668"/>
      <c r="C5035" s="668"/>
      <c r="D5035" s="668"/>
      <c r="E5035" s="668" t="s">
        <v>13463</v>
      </c>
      <c r="F5035" s="667">
        <v>0</v>
      </c>
      <c r="G5035" s="668" t="s">
        <v>13462</v>
      </c>
      <c r="H5035" s="667">
        <v>0</v>
      </c>
      <c r="I5035" s="668" t="s">
        <v>13461</v>
      </c>
      <c r="J5035" s="667">
        <v>0</v>
      </c>
    </row>
    <row r="5036" spans="1:10" ht="15" thickBot="1">
      <c r="A5036" s="668"/>
      <c r="B5036" s="668"/>
      <c r="C5036" s="668"/>
      <c r="D5036" s="668"/>
      <c r="E5036" s="668" t="s">
        <v>13460</v>
      </c>
      <c r="F5036" s="667">
        <v>2.4</v>
      </c>
      <c r="G5036" s="668"/>
      <c r="H5036" s="925" t="s">
        <v>13459</v>
      </c>
      <c r="I5036" s="925"/>
      <c r="J5036" s="667">
        <v>10.91</v>
      </c>
    </row>
    <row r="5037" spans="1:10" ht="0.95" customHeight="1" thickTop="1">
      <c r="A5037" s="666"/>
      <c r="B5037" s="666"/>
      <c r="C5037" s="666"/>
      <c r="D5037" s="666"/>
      <c r="E5037" s="666"/>
      <c r="F5037" s="666"/>
      <c r="G5037" s="666"/>
      <c r="H5037" s="666"/>
      <c r="I5037" s="666"/>
      <c r="J5037" s="666"/>
    </row>
    <row r="5038" spans="1:10" ht="18" customHeight="1">
      <c r="A5038" s="686"/>
      <c r="B5038" s="684" t="s">
        <v>13484</v>
      </c>
      <c r="C5038" s="686" t="s">
        <v>13483</v>
      </c>
      <c r="D5038" s="686" t="s">
        <v>13482</v>
      </c>
      <c r="E5038" s="924" t="s">
        <v>13481</v>
      </c>
      <c r="F5038" s="924"/>
      <c r="G5038" s="685" t="s">
        <v>13480</v>
      </c>
      <c r="H5038" s="684" t="s">
        <v>13479</v>
      </c>
      <c r="I5038" s="684" t="s">
        <v>13478</v>
      </c>
      <c r="J5038" s="684" t="s">
        <v>13477</v>
      </c>
    </row>
    <row r="5039" spans="1:10" ht="24" customHeight="1">
      <c r="A5039" s="682" t="s">
        <v>13476</v>
      </c>
      <c r="B5039" s="683" t="s">
        <v>13872</v>
      </c>
      <c r="C5039" s="682" t="s">
        <v>7</v>
      </c>
      <c r="D5039" s="682" t="s">
        <v>5794</v>
      </c>
      <c r="E5039" s="917" t="s">
        <v>13540</v>
      </c>
      <c r="F5039" s="917"/>
      <c r="G5039" s="681" t="s">
        <v>34</v>
      </c>
      <c r="H5039" s="680">
        <v>1</v>
      </c>
      <c r="I5039" s="679">
        <v>89.09</v>
      </c>
      <c r="J5039" s="679">
        <v>89.09</v>
      </c>
    </row>
    <row r="5040" spans="1:10" ht="24" customHeight="1">
      <c r="A5040" s="677" t="s">
        <v>13472</v>
      </c>
      <c r="B5040" s="678" t="s">
        <v>13539</v>
      </c>
      <c r="C5040" s="677" t="s">
        <v>7</v>
      </c>
      <c r="D5040" s="677" t="s">
        <v>45</v>
      </c>
      <c r="E5040" s="918" t="s">
        <v>13470</v>
      </c>
      <c r="F5040" s="918"/>
      <c r="G5040" s="676" t="s">
        <v>19</v>
      </c>
      <c r="H5040" s="675">
        <v>0.56769999999999998</v>
      </c>
      <c r="I5040" s="674">
        <v>18.3</v>
      </c>
      <c r="J5040" s="674">
        <v>10.38</v>
      </c>
    </row>
    <row r="5041" spans="1:10" ht="24" customHeight="1">
      <c r="A5041" s="677" t="s">
        <v>13472</v>
      </c>
      <c r="B5041" s="678" t="s">
        <v>13538</v>
      </c>
      <c r="C5041" s="677" t="s">
        <v>7</v>
      </c>
      <c r="D5041" s="677" t="s">
        <v>47</v>
      </c>
      <c r="E5041" s="918" t="s">
        <v>13470</v>
      </c>
      <c r="F5041" s="918"/>
      <c r="G5041" s="676" t="s">
        <v>19</v>
      </c>
      <c r="H5041" s="675">
        <v>0.56769999999999998</v>
      </c>
      <c r="I5041" s="674">
        <v>14</v>
      </c>
      <c r="J5041" s="674">
        <v>7.94</v>
      </c>
    </row>
    <row r="5042" spans="1:10" ht="24" customHeight="1">
      <c r="A5042" s="672" t="s">
        <v>13467</v>
      </c>
      <c r="B5042" s="673" t="s">
        <v>13871</v>
      </c>
      <c r="C5042" s="672" t="s">
        <v>7</v>
      </c>
      <c r="D5042" s="672" t="s">
        <v>13870</v>
      </c>
      <c r="E5042" s="919" t="s">
        <v>13464</v>
      </c>
      <c r="F5042" s="919"/>
      <c r="G5042" s="671" t="s">
        <v>34</v>
      </c>
      <c r="H5042" s="670">
        <v>1</v>
      </c>
      <c r="I5042" s="669">
        <v>66.150000000000006</v>
      </c>
      <c r="J5042" s="669">
        <v>66.150000000000006</v>
      </c>
    </row>
    <row r="5043" spans="1:10" ht="36" customHeight="1">
      <c r="A5043" s="672" t="s">
        <v>13467</v>
      </c>
      <c r="B5043" s="673" t="s">
        <v>13869</v>
      </c>
      <c r="C5043" s="672" t="s">
        <v>7</v>
      </c>
      <c r="D5043" s="672" t="s">
        <v>13868</v>
      </c>
      <c r="E5043" s="919" t="s">
        <v>13464</v>
      </c>
      <c r="F5043" s="919"/>
      <c r="G5043" s="671" t="s">
        <v>34</v>
      </c>
      <c r="H5043" s="670">
        <v>3</v>
      </c>
      <c r="I5043" s="669">
        <v>1.54</v>
      </c>
      <c r="J5043" s="669">
        <v>4.62</v>
      </c>
    </row>
    <row r="5044" spans="1:10" ht="25.5">
      <c r="A5044" s="668"/>
      <c r="B5044" s="668"/>
      <c r="C5044" s="668"/>
      <c r="D5044" s="668"/>
      <c r="E5044" s="668" t="s">
        <v>13463</v>
      </c>
      <c r="F5044" s="667">
        <v>7.6062153645550366</v>
      </c>
      <c r="G5044" s="668" t="s">
        <v>13462</v>
      </c>
      <c r="H5044" s="667">
        <v>6.39</v>
      </c>
      <c r="I5044" s="668" t="s">
        <v>13461</v>
      </c>
      <c r="J5044" s="667">
        <v>14.000000000000002</v>
      </c>
    </row>
    <row r="5045" spans="1:10" ht="15" thickBot="1">
      <c r="A5045" s="668"/>
      <c r="B5045" s="668"/>
      <c r="C5045" s="668"/>
      <c r="D5045" s="668"/>
      <c r="E5045" s="668" t="s">
        <v>13460</v>
      </c>
      <c r="F5045" s="667">
        <v>25.15</v>
      </c>
      <c r="G5045" s="668"/>
      <c r="H5045" s="925" t="s">
        <v>13459</v>
      </c>
      <c r="I5045" s="925"/>
      <c r="J5045" s="667">
        <v>114.24</v>
      </c>
    </row>
    <row r="5046" spans="1:10" ht="0.95" customHeight="1" thickTop="1">
      <c r="A5046" s="666"/>
      <c r="B5046" s="666"/>
      <c r="C5046" s="666"/>
      <c r="D5046" s="666"/>
      <c r="E5046" s="666"/>
      <c r="F5046" s="666"/>
      <c r="G5046" s="666"/>
      <c r="H5046" s="666"/>
      <c r="I5046" s="666"/>
      <c r="J5046" s="666"/>
    </row>
    <row r="5047" spans="1:10" ht="18" customHeight="1">
      <c r="A5047" s="686"/>
      <c r="B5047" s="684" t="s">
        <v>13484</v>
      </c>
      <c r="C5047" s="686" t="s">
        <v>13483</v>
      </c>
      <c r="D5047" s="686" t="s">
        <v>13482</v>
      </c>
      <c r="E5047" s="924" t="s">
        <v>13481</v>
      </c>
      <c r="F5047" s="924"/>
      <c r="G5047" s="685" t="s">
        <v>13480</v>
      </c>
      <c r="H5047" s="684" t="s">
        <v>13479</v>
      </c>
      <c r="I5047" s="684" t="s">
        <v>13478</v>
      </c>
      <c r="J5047" s="684" t="s">
        <v>13477</v>
      </c>
    </row>
    <row r="5048" spans="1:10" ht="36" customHeight="1">
      <c r="A5048" s="682" t="s">
        <v>13476</v>
      </c>
      <c r="B5048" s="683" t="s">
        <v>13867</v>
      </c>
      <c r="C5048" s="682" t="s">
        <v>7</v>
      </c>
      <c r="D5048" s="682" t="s">
        <v>1965</v>
      </c>
      <c r="E5048" s="917" t="s">
        <v>13540</v>
      </c>
      <c r="F5048" s="917"/>
      <c r="G5048" s="681" t="s">
        <v>14</v>
      </c>
      <c r="H5048" s="680">
        <v>1</v>
      </c>
      <c r="I5048" s="679">
        <v>14.4</v>
      </c>
      <c r="J5048" s="679">
        <v>14.4</v>
      </c>
    </row>
    <row r="5049" spans="1:10" ht="24" customHeight="1">
      <c r="A5049" s="677" t="s">
        <v>13472</v>
      </c>
      <c r="B5049" s="678" t="s">
        <v>13539</v>
      </c>
      <c r="C5049" s="677" t="s">
        <v>7</v>
      </c>
      <c r="D5049" s="677" t="s">
        <v>45</v>
      </c>
      <c r="E5049" s="918" t="s">
        <v>13470</v>
      </c>
      <c r="F5049" s="918"/>
      <c r="G5049" s="676" t="s">
        <v>19</v>
      </c>
      <c r="H5049" s="675">
        <v>0.221</v>
      </c>
      <c r="I5049" s="674">
        <v>18.3</v>
      </c>
      <c r="J5049" s="674">
        <v>4.04</v>
      </c>
    </row>
    <row r="5050" spans="1:10" ht="24" customHeight="1">
      <c r="A5050" s="677" t="s">
        <v>13472</v>
      </c>
      <c r="B5050" s="678" t="s">
        <v>13538</v>
      </c>
      <c r="C5050" s="677" t="s">
        <v>7</v>
      </c>
      <c r="D5050" s="677" t="s">
        <v>47</v>
      </c>
      <c r="E5050" s="918" t="s">
        <v>13470</v>
      </c>
      <c r="F5050" s="918"/>
      <c r="G5050" s="676" t="s">
        <v>19</v>
      </c>
      <c r="H5050" s="675">
        <v>0.221</v>
      </c>
      <c r="I5050" s="674">
        <v>14</v>
      </c>
      <c r="J5050" s="674">
        <v>3.09</v>
      </c>
    </row>
    <row r="5051" spans="1:10" ht="24" customHeight="1">
      <c r="A5051" s="672" t="s">
        <v>13467</v>
      </c>
      <c r="B5051" s="673" t="s">
        <v>13866</v>
      </c>
      <c r="C5051" s="672" t="s">
        <v>7</v>
      </c>
      <c r="D5051" s="672" t="s">
        <v>13865</v>
      </c>
      <c r="E5051" s="919" t="s">
        <v>13464</v>
      </c>
      <c r="F5051" s="919"/>
      <c r="G5051" s="671" t="s">
        <v>14</v>
      </c>
      <c r="H5051" s="670">
        <v>1.0169999999999999</v>
      </c>
      <c r="I5051" s="669">
        <v>7.15</v>
      </c>
      <c r="J5051" s="669">
        <v>7.27</v>
      </c>
    </row>
    <row r="5052" spans="1:10" ht="25.5">
      <c r="A5052" s="668"/>
      <c r="B5052" s="668"/>
      <c r="C5052" s="668"/>
      <c r="D5052" s="668"/>
      <c r="E5052" s="668" t="s">
        <v>13463</v>
      </c>
      <c r="F5052" s="667">
        <v>2.9609909812017818</v>
      </c>
      <c r="G5052" s="668" t="s">
        <v>13462</v>
      </c>
      <c r="H5052" s="667">
        <v>2.4900000000000002</v>
      </c>
      <c r="I5052" s="668" t="s">
        <v>13461</v>
      </c>
      <c r="J5052" s="667">
        <v>5.45</v>
      </c>
    </row>
    <row r="5053" spans="1:10" ht="15" thickBot="1">
      <c r="A5053" s="668"/>
      <c r="B5053" s="668"/>
      <c r="C5053" s="668"/>
      <c r="D5053" s="668"/>
      <c r="E5053" s="668" t="s">
        <v>13460</v>
      </c>
      <c r="F5053" s="667">
        <v>4.0599999999999996</v>
      </c>
      <c r="G5053" s="668"/>
      <c r="H5053" s="925" t="s">
        <v>13459</v>
      </c>
      <c r="I5053" s="925"/>
      <c r="J5053" s="667">
        <v>18.46</v>
      </c>
    </row>
    <row r="5054" spans="1:10" ht="0.95" customHeight="1" thickTop="1">
      <c r="A5054" s="666"/>
      <c r="B5054" s="666"/>
      <c r="C5054" s="666"/>
      <c r="D5054" s="666"/>
      <c r="E5054" s="666"/>
      <c r="F5054" s="666"/>
      <c r="G5054" s="666"/>
      <c r="H5054" s="666"/>
      <c r="I5054" s="666"/>
      <c r="J5054" s="666"/>
    </row>
    <row r="5055" spans="1:10" ht="18" customHeight="1">
      <c r="A5055" s="686"/>
      <c r="B5055" s="684" t="s">
        <v>13484</v>
      </c>
      <c r="C5055" s="686" t="s">
        <v>13483</v>
      </c>
      <c r="D5055" s="686" t="s">
        <v>13482</v>
      </c>
      <c r="E5055" s="924" t="s">
        <v>13481</v>
      </c>
      <c r="F5055" s="924"/>
      <c r="G5055" s="685" t="s">
        <v>13480</v>
      </c>
      <c r="H5055" s="684" t="s">
        <v>13479</v>
      </c>
      <c r="I5055" s="684" t="s">
        <v>13478</v>
      </c>
      <c r="J5055" s="684" t="s">
        <v>13477</v>
      </c>
    </row>
    <row r="5056" spans="1:10" ht="36" customHeight="1">
      <c r="A5056" s="682" t="s">
        <v>13476</v>
      </c>
      <c r="B5056" s="683" t="s">
        <v>13864</v>
      </c>
      <c r="C5056" s="682" t="s">
        <v>7</v>
      </c>
      <c r="D5056" s="682" t="s">
        <v>696</v>
      </c>
      <c r="E5056" s="917" t="s">
        <v>13491</v>
      </c>
      <c r="F5056" s="917"/>
      <c r="G5056" s="681" t="s">
        <v>53</v>
      </c>
      <c r="H5056" s="680">
        <v>1</v>
      </c>
      <c r="I5056" s="679">
        <v>53.26</v>
      </c>
      <c r="J5056" s="679">
        <v>53.26</v>
      </c>
    </row>
    <row r="5057" spans="1:10" ht="36" customHeight="1">
      <c r="A5057" s="677" t="s">
        <v>13472</v>
      </c>
      <c r="B5057" s="678" t="s">
        <v>13862</v>
      </c>
      <c r="C5057" s="677" t="s">
        <v>7</v>
      </c>
      <c r="D5057" s="677" t="s">
        <v>691</v>
      </c>
      <c r="E5057" s="918" t="s">
        <v>13491</v>
      </c>
      <c r="F5057" s="918"/>
      <c r="G5057" s="676" t="s">
        <v>19</v>
      </c>
      <c r="H5057" s="675">
        <v>1</v>
      </c>
      <c r="I5057" s="674">
        <v>32.200000000000003</v>
      </c>
      <c r="J5057" s="674">
        <v>32.200000000000003</v>
      </c>
    </row>
    <row r="5058" spans="1:10" ht="36" customHeight="1">
      <c r="A5058" s="677" t="s">
        <v>13472</v>
      </c>
      <c r="B5058" s="678" t="s">
        <v>13861</v>
      </c>
      <c r="C5058" s="677" t="s">
        <v>7</v>
      </c>
      <c r="D5058" s="677" t="s">
        <v>692</v>
      </c>
      <c r="E5058" s="918" t="s">
        <v>13491</v>
      </c>
      <c r="F5058" s="918"/>
      <c r="G5058" s="676" t="s">
        <v>19</v>
      </c>
      <c r="H5058" s="675">
        <v>1</v>
      </c>
      <c r="I5058" s="674">
        <v>4.37</v>
      </c>
      <c r="J5058" s="674">
        <v>4.37</v>
      </c>
    </row>
    <row r="5059" spans="1:10" ht="24" customHeight="1">
      <c r="A5059" s="677" t="s">
        <v>13472</v>
      </c>
      <c r="B5059" s="678" t="s">
        <v>13686</v>
      </c>
      <c r="C5059" s="677" t="s">
        <v>7</v>
      </c>
      <c r="D5059" s="677" t="s">
        <v>156</v>
      </c>
      <c r="E5059" s="918" t="s">
        <v>13470</v>
      </c>
      <c r="F5059" s="918"/>
      <c r="G5059" s="676" t="s">
        <v>19</v>
      </c>
      <c r="H5059" s="675">
        <v>1</v>
      </c>
      <c r="I5059" s="674">
        <v>16.690000000000001</v>
      </c>
      <c r="J5059" s="674">
        <v>16.690000000000001</v>
      </c>
    </row>
    <row r="5060" spans="1:10" ht="25.5">
      <c r="A5060" s="668"/>
      <c r="B5060" s="668"/>
      <c r="C5060" s="668"/>
      <c r="D5060" s="668"/>
      <c r="E5060" s="668" t="s">
        <v>13463</v>
      </c>
      <c r="F5060" s="667">
        <v>7.4812561000000004</v>
      </c>
      <c r="G5060" s="668" t="s">
        <v>13462</v>
      </c>
      <c r="H5060" s="667">
        <v>6.29</v>
      </c>
      <c r="I5060" s="668" t="s">
        <v>13461</v>
      </c>
      <c r="J5060" s="667">
        <v>13.77</v>
      </c>
    </row>
    <row r="5061" spans="1:10" ht="15" thickBot="1">
      <c r="A5061" s="668"/>
      <c r="B5061" s="668"/>
      <c r="C5061" s="668"/>
      <c r="D5061" s="668"/>
      <c r="E5061" s="668" t="s">
        <v>13460</v>
      </c>
      <c r="F5061" s="667">
        <v>15.04</v>
      </c>
      <c r="G5061" s="668"/>
      <c r="H5061" s="925" t="s">
        <v>13459</v>
      </c>
      <c r="I5061" s="925"/>
      <c r="J5061" s="667">
        <v>68.3</v>
      </c>
    </row>
    <row r="5062" spans="1:10" ht="0.95" customHeight="1" thickTop="1">
      <c r="A5062" s="666"/>
      <c r="B5062" s="666"/>
      <c r="C5062" s="666"/>
      <c r="D5062" s="666"/>
      <c r="E5062" s="666"/>
      <c r="F5062" s="666"/>
      <c r="G5062" s="666"/>
      <c r="H5062" s="666"/>
      <c r="I5062" s="666"/>
      <c r="J5062" s="666"/>
    </row>
    <row r="5063" spans="1:10" ht="18" customHeight="1">
      <c r="A5063" s="686"/>
      <c r="B5063" s="684" t="s">
        <v>13484</v>
      </c>
      <c r="C5063" s="686" t="s">
        <v>13483</v>
      </c>
      <c r="D5063" s="686" t="s">
        <v>13482</v>
      </c>
      <c r="E5063" s="924" t="s">
        <v>13481</v>
      </c>
      <c r="F5063" s="924"/>
      <c r="G5063" s="685" t="s">
        <v>13480</v>
      </c>
      <c r="H5063" s="684" t="s">
        <v>13479</v>
      </c>
      <c r="I5063" s="684" t="s">
        <v>13478</v>
      </c>
      <c r="J5063" s="684" t="s">
        <v>13477</v>
      </c>
    </row>
    <row r="5064" spans="1:10" ht="36" customHeight="1">
      <c r="A5064" s="682" t="s">
        <v>13476</v>
      </c>
      <c r="B5064" s="683" t="s">
        <v>13863</v>
      </c>
      <c r="C5064" s="682" t="s">
        <v>7</v>
      </c>
      <c r="D5064" s="682" t="s">
        <v>695</v>
      </c>
      <c r="E5064" s="917" t="s">
        <v>13491</v>
      </c>
      <c r="F5064" s="917"/>
      <c r="G5064" s="681" t="s">
        <v>38</v>
      </c>
      <c r="H5064" s="680">
        <v>1</v>
      </c>
      <c r="I5064" s="679">
        <v>146.6</v>
      </c>
      <c r="J5064" s="679">
        <v>146.6</v>
      </c>
    </row>
    <row r="5065" spans="1:10" ht="36" customHeight="1">
      <c r="A5065" s="677" t="s">
        <v>13472</v>
      </c>
      <c r="B5065" s="678" t="s">
        <v>13861</v>
      </c>
      <c r="C5065" s="677" t="s">
        <v>7</v>
      </c>
      <c r="D5065" s="677" t="s">
        <v>692</v>
      </c>
      <c r="E5065" s="918" t="s">
        <v>13491</v>
      </c>
      <c r="F5065" s="918"/>
      <c r="G5065" s="676" t="s">
        <v>19</v>
      </c>
      <c r="H5065" s="675">
        <v>1</v>
      </c>
      <c r="I5065" s="674">
        <v>4.37</v>
      </c>
      <c r="J5065" s="674">
        <v>4.37</v>
      </c>
    </row>
    <row r="5066" spans="1:10" ht="36" customHeight="1">
      <c r="A5066" s="677" t="s">
        <v>13472</v>
      </c>
      <c r="B5066" s="678" t="s">
        <v>13860</v>
      </c>
      <c r="C5066" s="677" t="s">
        <v>7</v>
      </c>
      <c r="D5066" s="677" t="s">
        <v>693</v>
      </c>
      <c r="E5066" s="918" t="s">
        <v>13491</v>
      </c>
      <c r="F5066" s="918"/>
      <c r="G5066" s="676" t="s">
        <v>19</v>
      </c>
      <c r="H5066" s="675">
        <v>1</v>
      </c>
      <c r="I5066" s="674">
        <v>40.25</v>
      </c>
      <c r="J5066" s="674">
        <v>40.25</v>
      </c>
    </row>
    <row r="5067" spans="1:10" ht="36" customHeight="1">
      <c r="A5067" s="677" t="s">
        <v>13472</v>
      </c>
      <c r="B5067" s="678" t="s">
        <v>13862</v>
      </c>
      <c r="C5067" s="677" t="s">
        <v>7</v>
      </c>
      <c r="D5067" s="677" t="s">
        <v>691</v>
      </c>
      <c r="E5067" s="918" t="s">
        <v>13491</v>
      </c>
      <c r="F5067" s="918"/>
      <c r="G5067" s="676" t="s">
        <v>19</v>
      </c>
      <c r="H5067" s="675">
        <v>1</v>
      </c>
      <c r="I5067" s="674">
        <v>32.200000000000003</v>
      </c>
      <c r="J5067" s="674">
        <v>32.200000000000003</v>
      </c>
    </row>
    <row r="5068" spans="1:10" ht="36" customHeight="1">
      <c r="A5068" s="677" t="s">
        <v>13472</v>
      </c>
      <c r="B5068" s="678" t="s">
        <v>13857</v>
      </c>
      <c r="C5068" s="677" t="s">
        <v>7</v>
      </c>
      <c r="D5068" s="677" t="s">
        <v>694</v>
      </c>
      <c r="E5068" s="918" t="s">
        <v>13491</v>
      </c>
      <c r="F5068" s="918"/>
      <c r="G5068" s="676" t="s">
        <v>19</v>
      </c>
      <c r="H5068" s="675">
        <v>1</v>
      </c>
      <c r="I5068" s="674">
        <v>53.09</v>
      </c>
      <c r="J5068" s="674">
        <v>53.09</v>
      </c>
    </row>
    <row r="5069" spans="1:10" ht="24" customHeight="1">
      <c r="A5069" s="677" t="s">
        <v>13472</v>
      </c>
      <c r="B5069" s="678" t="s">
        <v>13686</v>
      </c>
      <c r="C5069" s="677" t="s">
        <v>7</v>
      </c>
      <c r="D5069" s="677" t="s">
        <v>156</v>
      </c>
      <c r="E5069" s="918" t="s">
        <v>13470</v>
      </c>
      <c r="F5069" s="918"/>
      <c r="G5069" s="676" t="s">
        <v>19</v>
      </c>
      <c r="H5069" s="675">
        <v>1</v>
      </c>
      <c r="I5069" s="674">
        <v>16.690000000000001</v>
      </c>
      <c r="J5069" s="674">
        <v>16.690000000000001</v>
      </c>
    </row>
    <row r="5070" spans="1:10" ht="25.5">
      <c r="A5070" s="668"/>
      <c r="B5070" s="668"/>
      <c r="C5070" s="668"/>
      <c r="D5070" s="668"/>
      <c r="E5070" s="668" t="s">
        <v>13463</v>
      </c>
      <c r="F5070" s="667">
        <v>7.4812561000000004</v>
      </c>
      <c r="G5070" s="668" t="s">
        <v>13462</v>
      </c>
      <c r="H5070" s="667">
        <v>6.29</v>
      </c>
      <c r="I5070" s="668" t="s">
        <v>13461</v>
      </c>
      <c r="J5070" s="667">
        <v>13.77</v>
      </c>
    </row>
    <row r="5071" spans="1:10" ht="15" thickBot="1">
      <c r="A5071" s="668"/>
      <c r="B5071" s="668"/>
      <c r="C5071" s="668"/>
      <c r="D5071" s="668"/>
      <c r="E5071" s="668" t="s">
        <v>13460</v>
      </c>
      <c r="F5071" s="667">
        <v>41.39</v>
      </c>
      <c r="G5071" s="668"/>
      <c r="H5071" s="925" t="s">
        <v>13459</v>
      </c>
      <c r="I5071" s="925"/>
      <c r="J5071" s="667">
        <v>187.99</v>
      </c>
    </row>
    <row r="5072" spans="1:10" ht="0.95" customHeight="1" thickTop="1">
      <c r="A5072" s="666"/>
      <c r="B5072" s="666"/>
      <c r="C5072" s="666"/>
      <c r="D5072" s="666"/>
      <c r="E5072" s="666"/>
      <c r="F5072" s="666"/>
      <c r="G5072" s="666"/>
      <c r="H5072" s="666"/>
      <c r="I5072" s="666"/>
      <c r="J5072" s="666"/>
    </row>
    <row r="5073" spans="1:10" ht="18" customHeight="1">
      <c r="A5073" s="686"/>
      <c r="B5073" s="684" t="s">
        <v>13484</v>
      </c>
      <c r="C5073" s="686" t="s">
        <v>13483</v>
      </c>
      <c r="D5073" s="686" t="s">
        <v>13482</v>
      </c>
      <c r="E5073" s="924" t="s">
        <v>13481</v>
      </c>
      <c r="F5073" s="924"/>
      <c r="G5073" s="685" t="s">
        <v>13480</v>
      </c>
      <c r="H5073" s="684" t="s">
        <v>13479</v>
      </c>
      <c r="I5073" s="684" t="s">
        <v>13478</v>
      </c>
      <c r="J5073" s="684" t="s">
        <v>13477</v>
      </c>
    </row>
    <row r="5074" spans="1:10" ht="36" customHeight="1">
      <c r="A5074" s="682" t="s">
        <v>13476</v>
      </c>
      <c r="B5074" s="683" t="s">
        <v>13862</v>
      </c>
      <c r="C5074" s="682" t="s">
        <v>7</v>
      </c>
      <c r="D5074" s="682" t="s">
        <v>691</v>
      </c>
      <c r="E5074" s="917" t="s">
        <v>13491</v>
      </c>
      <c r="F5074" s="917"/>
      <c r="G5074" s="681" t="s">
        <v>19</v>
      </c>
      <c r="H5074" s="680">
        <v>1</v>
      </c>
      <c r="I5074" s="679">
        <v>32.200000000000003</v>
      </c>
      <c r="J5074" s="679">
        <v>32.200000000000003</v>
      </c>
    </row>
    <row r="5075" spans="1:10" ht="24" customHeight="1">
      <c r="A5075" s="672" t="s">
        <v>13467</v>
      </c>
      <c r="B5075" s="673" t="s">
        <v>13859</v>
      </c>
      <c r="C5075" s="672" t="s">
        <v>7</v>
      </c>
      <c r="D5075" s="672" t="s">
        <v>13858</v>
      </c>
      <c r="E5075" s="919" t="s">
        <v>13493</v>
      </c>
      <c r="F5075" s="919"/>
      <c r="G5075" s="671" t="s">
        <v>34</v>
      </c>
      <c r="H5075" s="670">
        <v>5.5999999999999999E-5</v>
      </c>
      <c r="I5075" s="669">
        <v>575000</v>
      </c>
      <c r="J5075" s="669">
        <v>32.200000000000003</v>
      </c>
    </row>
    <row r="5076" spans="1:10" ht="25.5">
      <c r="A5076" s="668"/>
      <c r="B5076" s="668"/>
      <c r="C5076" s="668"/>
      <c r="D5076" s="668"/>
      <c r="E5076" s="668" t="s">
        <v>13463</v>
      </c>
      <c r="F5076" s="667">
        <v>0</v>
      </c>
      <c r="G5076" s="668" t="s">
        <v>13462</v>
      </c>
      <c r="H5076" s="667">
        <v>0</v>
      </c>
      <c r="I5076" s="668" t="s">
        <v>13461</v>
      </c>
      <c r="J5076" s="667">
        <v>0</v>
      </c>
    </row>
    <row r="5077" spans="1:10" ht="15" thickBot="1">
      <c r="A5077" s="668"/>
      <c r="B5077" s="668"/>
      <c r="C5077" s="668"/>
      <c r="D5077" s="668"/>
      <c r="E5077" s="668" t="s">
        <v>13460</v>
      </c>
      <c r="F5077" s="667">
        <v>9.09</v>
      </c>
      <c r="G5077" s="668"/>
      <c r="H5077" s="925" t="s">
        <v>13459</v>
      </c>
      <c r="I5077" s="925"/>
      <c r="J5077" s="667">
        <v>41.29</v>
      </c>
    </row>
    <row r="5078" spans="1:10" ht="0.95" customHeight="1" thickTop="1">
      <c r="A5078" s="666"/>
      <c r="B5078" s="666"/>
      <c r="C5078" s="666"/>
      <c r="D5078" s="666"/>
      <c r="E5078" s="666"/>
      <c r="F5078" s="666"/>
      <c r="G5078" s="666"/>
      <c r="H5078" s="666"/>
      <c r="I5078" s="666"/>
      <c r="J5078" s="666"/>
    </row>
    <row r="5079" spans="1:10" ht="18" customHeight="1">
      <c r="A5079" s="686"/>
      <c r="B5079" s="684" t="s">
        <v>13484</v>
      </c>
      <c r="C5079" s="686" t="s">
        <v>13483</v>
      </c>
      <c r="D5079" s="686" t="s">
        <v>13482</v>
      </c>
      <c r="E5079" s="924" t="s">
        <v>13481</v>
      </c>
      <c r="F5079" s="924"/>
      <c r="G5079" s="685" t="s">
        <v>13480</v>
      </c>
      <c r="H5079" s="684" t="s">
        <v>13479</v>
      </c>
      <c r="I5079" s="684" t="s">
        <v>13478</v>
      </c>
      <c r="J5079" s="684" t="s">
        <v>13477</v>
      </c>
    </row>
    <row r="5080" spans="1:10" ht="36" customHeight="1">
      <c r="A5080" s="682" t="s">
        <v>13476</v>
      </c>
      <c r="B5080" s="683" t="s">
        <v>13861</v>
      </c>
      <c r="C5080" s="682" t="s">
        <v>7</v>
      </c>
      <c r="D5080" s="682" t="s">
        <v>692</v>
      </c>
      <c r="E5080" s="917" t="s">
        <v>13491</v>
      </c>
      <c r="F5080" s="917"/>
      <c r="G5080" s="681" t="s">
        <v>19</v>
      </c>
      <c r="H5080" s="680">
        <v>1</v>
      </c>
      <c r="I5080" s="679">
        <v>4.37</v>
      </c>
      <c r="J5080" s="679">
        <v>4.37</v>
      </c>
    </row>
    <row r="5081" spans="1:10" ht="24" customHeight="1">
      <c r="A5081" s="672" t="s">
        <v>13467</v>
      </c>
      <c r="B5081" s="673" t="s">
        <v>13859</v>
      </c>
      <c r="C5081" s="672" t="s">
        <v>7</v>
      </c>
      <c r="D5081" s="672" t="s">
        <v>13858</v>
      </c>
      <c r="E5081" s="919" t="s">
        <v>13493</v>
      </c>
      <c r="F5081" s="919"/>
      <c r="G5081" s="671" t="s">
        <v>34</v>
      </c>
      <c r="H5081" s="670">
        <v>7.6000000000000001E-6</v>
      </c>
      <c r="I5081" s="669">
        <v>575000</v>
      </c>
      <c r="J5081" s="669">
        <v>4.37</v>
      </c>
    </row>
    <row r="5082" spans="1:10" ht="25.5">
      <c r="A5082" s="668"/>
      <c r="B5082" s="668"/>
      <c r="C5082" s="668"/>
      <c r="D5082" s="668"/>
      <c r="E5082" s="668" t="s">
        <v>13463</v>
      </c>
      <c r="F5082" s="667">
        <v>0</v>
      </c>
      <c r="G5082" s="668" t="s">
        <v>13462</v>
      </c>
      <c r="H5082" s="667">
        <v>0</v>
      </c>
      <c r="I5082" s="668" t="s">
        <v>13461</v>
      </c>
      <c r="J5082" s="667">
        <v>0</v>
      </c>
    </row>
    <row r="5083" spans="1:10" ht="15" thickBot="1">
      <c r="A5083" s="668"/>
      <c r="B5083" s="668"/>
      <c r="C5083" s="668"/>
      <c r="D5083" s="668"/>
      <c r="E5083" s="668" t="s">
        <v>13460</v>
      </c>
      <c r="F5083" s="667">
        <v>1.23</v>
      </c>
      <c r="G5083" s="668"/>
      <c r="H5083" s="925" t="s">
        <v>13459</v>
      </c>
      <c r="I5083" s="925"/>
      <c r="J5083" s="667">
        <v>5.6</v>
      </c>
    </row>
    <row r="5084" spans="1:10" ht="0.95" customHeight="1" thickTop="1">
      <c r="A5084" s="666"/>
      <c r="B5084" s="666"/>
      <c r="C5084" s="666"/>
      <c r="D5084" s="666"/>
      <c r="E5084" s="666"/>
      <c r="F5084" s="666"/>
      <c r="G5084" s="666"/>
      <c r="H5084" s="666"/>
      <c r="I5084" s="666"/>
      <c r="J5084" s="666"/>
    </row>
    <row r="5085" spans="1:10" ht="18" customHeight="1">
      <c r="A5085" s="686"/>
      <c r="B5085" s="684" t="s">
        <v>13484</v>
      </c>
      <c r="C5085" s="686" t="s">
        <v>13483</v>
      </c>
      <c r="D5085" s="686" t="s">
        <v>13482</v>
      </c>
      <c r="E5085" s="924" t="s">
        <v>13481</v>
      </c>
      <c r="F5085" s="924"/>
      <c r="G5085" s="685" t="s">
        <v>13480</v>
      </c>
      <c r="H5085" s="684" t="s">
        <v>13479</v>
      </c>
      <c r="I5085" s="684" t="s">
        <v>13478</v>
      </c>
      <c r="J5085" s="684" t="s">
        <v>13477</v>
      </c>
    </row>
    <row r="5086" spans="1:10" ht="36" customHeight="1">
      <c r="A5086" s="682" t="s">
        <v>13476</v>
      </c>
      <c r="B5086" s="683" t="s">
        <v>13860</v>
      </c>
      <c r="C5086" s="682" t="s">
        <v>7</v>
      </c>
      <c r="D5086" s="682" t="s">
        <v>693</v>
      </c>
      <c r="E5086" s="917" t="s">
        <v>13491</v>
      </c>
      <c r="F5086" s="917"/>
      <c r="G5086" s="681" t="s">
        <v>19</v>
      </c>
      <c r="H5086" s="680">
        <v>1</v>
      </c>
      <c r="I5086" s="679">
        <v>40.25</v>
      </c>
      <c r="J5086" s="679">
        <v>40.25</v>
      </c>
    </row>
    <row r="5087" spans="1:10" ht="24" customHeight="1">
      <c r="A5087" s="672" t="s">
        <v>13467</v>
      </c>
      <c r="B5087" s="673" t="s">
        <v>13859</v>
      </c>
      <c r="C5087" s="672" t="s">
        <v>7</v>
      </c>
      <c r="D5087" s="672" t="s">
        <v>13858</v>
      </c>
      <c r="E5087" s="919" t="s">
        <v>13493</v>
      </c>
      <c r="F5087" s="919"/>
      <c r="G5087" s="671" t="s">
        <v>34</v>
      </c>
      <c r="H5087" s="670">
        <v>6.9999999999999994E-5</v>
      </c>
      <c r="I5087" s="669">
        <v>575000</v>
      </c>
      <c r="J5087" s="669">
        <v>40.25</v>
      </c>
    </row>
    <row r="5088" spans="1:10" ht="25.5">
      <c r="A5088" s="668"/>
      <c r="B5088" s="668"/>
      <c r="C5088" s="668"/>
      <c r="D5088" s="668"/>
      <c r="E5088" s="668" t="s">
        <v>13463</v>
      </c>
      <c r="F5088" s="667">
        <v>0</v>
      </c>
      <c r="G5088" s="668" t="s">
        <v>13462</v>
      </c>
      <c r="H5088" s="667">
        <v>0</v>
      </c>
      <c r="I5088" s="668" t="s">
        <v>13461</v>
      </c>
      <c r="J5088" s="667">
        <v>0</v>
      </c>
    </row>
    <row r="5089" spans="1:10" ht="15" thickBot="1">
      <c r="A5089" s="668"/>
      <c r="B5089" s="668"/>
      <c r="C5089" s="668"/>
      <c r="D5089" s="668"/>
      <c r="E5089" s="668" t="s">
        <v>13460</v>
      </c>
      <c r="F5089" s="667">
        <v>11.36</v>
      </c>
      <c r="G5089" s="668"/>
      <c r="H5089" s="925" t="s">
        <v>13459</v>
      </c>
      <c r="I5089" s="925"/>
      <c r="J5089" s="667">
        <v>51.61</v>
      </c>
    </row>
    <row r="5090" spans="1:10" ht="0.95" customHeight="1" thickTop="1">
      <c r="A5090" s="666"/>
      <c r="B5090" s="666"/>
      <c r="C5090" s="666"/>
      <c r="D5090" s="666"/>
      <c r="E5090" s="666"/>
      <c r="F5090" s="666"/>
      <c r="G5090" s="666"/>
      <c r="H5090" s="666"/>
      <c r="I5090" s="666"/>
      <c r="J5090" s="666"/>
    </row>
    <row r="5091" spans="1:10" ht="18" customHeight="1">
      <c r="A5091" s="686"/>
      <c r="B5091" s="684" t="s">
        <v>13484</v>
      </c>
      <c r="C5091" s="686" t="s">
        <v>13483</v>
      </c>
      <c r="D5091" s="686" t="s">
        <v>13482</v>
      </c>
      <c r="E5091" s="924" t="s">
        <v>13481</v>
      </c>
      <c r="F5091" s="924"/>
      <c r="G5091" s="685" t="s">
        <v>13480</v>
      </c>
      <c r="H5091" s="684" t="s">
        <v>13479</v>
      </c>
      <c r="I5091" s="684" t="s">
        <v>13478</v>
      </c>
      <c r="J5091" s="684" t="s">
        <v>13477</v>
      </c>
    </row>
    <row r="5092" spans="1:10" ht="36" customHeight="1">
      <c r="A5092" s="682" t="s">
        <v>13476</v>
      </c>
      <c r="B5092" s="683" t="s">
        <v>13857</v>
      </c>
      <c r="C5092" s="682" t="s">
        <v>7</v>
      </c>
      <c r="D5092" s="682" t="s">
        <v>694</v>
      </c>
      <c r="E5092" s="917" t="s">
        <v>13491</v>
      </c>
      <c r="F5092" s="917"/>
      <c r="G5092" s="681" t="s">
        <v>19</v>
      </c>
      <c r="H5092" s="680">
        <v>1</v>
      </c>
      <c r="I5092" s="679">
        <v>53.09</v>
      </c>
      <c r="J5092" s="679">
        <v>53.09</v>
      </c>
    </row>
    <row r="5093" spans="1:10" ht="24" customHeight="1">
      <c r="A5093" s="672" t="s">
        <v>13467</v>
      </c>
      <c r="B5093" s="673" t="s">
        <v>13580</v>
      </c>
      <c r="C5093" s="672" t="s">
        <v>7</v>
      </c>
      <c r="D5093" s="672" t="s">
        <v>13579</v>
      </c>
      <c r="E5093" s="919" t="s">
        <v>13464</v>
      </c>
      <c r="F5093" s="919"/>
      <c r="G5093" s="671" t="s">
        <v>50</v>
      </c>
      <c r="H5093" s="670">
        <v>10.77</v>
      </c>
      <c r="I5093" s="669">
        <v>4.93</v>
      </c>
      <c r="J5093" s="669">
        <v>53.09</v>
      </c>
    </row>
    <row r="5094" spans="1:10" ht="25.5">
      <c r="A5094" s="668"/>
      <c r="B5094" s="668"/>
      <c r="C5094" s="668"/>
      <c r="D5094" s="668"/>
      <c r="E5094" s="668" t="s">
        <v>13463</v>
      </c>
      <c r="F5094" s="667">
        <v>0</v>
      </c>
      <c r="G5094" s="668" t="s">
        <v>13462</v>
      </c>
      <c r="H5094" s="667">
        <v>0</v>
      </c>
      <c r="I5094" s="668" t="s">
        <v>13461</v>
      </c>
      <c r="J5094" s="667">
        <v>0</v>
      </c>
    </row>
    <row r="5095" spans="1:10" ht="15" thickBot="1">
      <c r="A5095" s="668"/>
      <c r="B5095" s="668"/>
      <c r="C5095" s="668"/>
      <c r="D5095" s="668"/>
      <c r="E5095" s="668" t="s">
        <v>13460</v>
      </c>
      <c r="F5095" s="667">
        <v>14.99</v>
      </c>
      <c r="G5095" s="668"/>
      <c r="H5095" s="925" t="s">
        <v>13459</v>
      </c>
      <c r="I5095" s="925"/>
      <c r="J5095" s="667">
        <v>68.08</v>
      </c>
    </row>
    <row r="5096" spans="1:10" ht="0.95" customHeight="1" thickTop="1">
      <c r="A5096" s="666"/>
      <c r="B5096" s="666"/>
      <c r="C5096" s="666"/>
      <c r="D5096" s="666"/>
      <c r="E5096" s="666"/>
      <c r="F5096" s="666"/>
      <c r="G5096" s="666"/>
      <c r="H5096" s="666"/>
      <c r="I5096" s="666"/>
      <c r="J5096" s="666"/>
    </row>
    <row r="5097" spans="1:10" ht="18" customHeight="1">
      <c r="A5097" s="686"/>
      <c r="B5097" s="684" t="s">
        <v>13484</v>
      </c>
      <c r="C5097" s="686" t="s">
        <v>13483</v>
      </c>
      <c r="D5097" s="686" t="s">
        <v>13482</v>
      </c>
      <c r="E5097" s="924" t="s">
        <v>13481</v>
      </c>
      <c r="F5097" s="924"/>
      <c r="G5097" s="685" t="s">
        <v>13480</v>
      </c>
      <c r="H5097" s="684" t="s">
        <v>13479</v>
      </c>
      <c r="I5097" s="684" t="s">
        <v>13478</v>
      </c>
      <c r="J5097" s="684" t="s">
        <v>13477</v>
      </c>
    </row>
    <row r="5098" spans="1:10" ht="24" customHeight="1">
      <c r="A5098" s="682" t="s">
        <v>13476</v>
      </c>
      <c r="B5098" s="683" t="s">
        <v>13856</v>
      </c>
      <c r="C5098" s="682" t="s">
        <v>7</v>
      </c>
      <c r="D5098" s="682" t="s">
        <v>4490</v>
      </c>
      <c r="E5098" s="917" t="s">
        <v>13855</v>
      </c>
      <c r="F5098" s="917"/>
      <c r="G5098" s="681" t="s">
        <v>34</v>
      </c>
      <c r="H5098" s="680">
        <v>1</v>
      </c>
      <c r="I5098" s="679">
        <v>5040.58</v>
      </c>
      <c r="J5098" s="679">
        <v>5040.58</v>
      </c>
    </row>
    <row r="5099" spans="1:10" ht="36" customHeight="1">
      <c r="A5099" s="677" t="s">
        <v>13472</v>
      </c>
      <c r="B5099" s="678" t="s">
        <v>13577</v>
      </c>
      <c r="C5099" s="677" t="s">
        <v>7</v>
      </c>
      <c r="D5099" s="677" t="s">
        <v>1932</v>
      </c>
      <c r="E5099" s="918" t="s">
        <v>13491</v>
      </c>
      <c r="F5099" s="918"/>
      <c r="G5099" s="676" t="s">
        <v>38</v>
      </c>
      <c r="H5099" s="675">
        <v>0.1205</v>
      </c>
      <c r="I5099" s="674">
        <v>16.260000000000002</v>
      </c>
      <c r="J5099" s="674">
        <v>1.95</v>
      </c>
    </row>
    <row r="5100" spans="1:10" ht="36" customHeight="1">
      <c r="A5100" s="677" t="s">
        <v>13472</v>
      </c>
      <c r="B5100" s="678" t="s">
        <v>13578</v>
      </c>
      <c r="C5100" s="677" t="s">
        <v>7</v>
      </c>
      <c r="D5100" s="677" t="s">
        <v>1933</v>
      </c>
      <c r="E5100" s="918" t="s">
        <v>13491</v>
      </c>
      <c r="F5100" s="918"/>
      <c r="G5100" s="676" t="s">
        <v>53</v>
      </c>
      <c r="H5100" s="675">
        <v>0.52669999999999995</v>
      </c>
      <c r="I5100" s="674">
        <v>13.53</v>
      </c>
      <c r="J5100" s="674">
        <v>7.12</v>
      </c>
    </row>
    <row r="5101" spans="1:10" ht="24" customHeight="1">
      <c r="A5101" s="677" t="s">
        <v>13472</v>
      </c>
      <c r="B5101" s="678" t="s">
        <v>13644</v>
      </c>
      <c r="C5101" s="677" t="s">
        <v>7</v>
      </c>
      <c r="D5101" s="677" t="s">
        <v>39</v>
      </c>
      <c r="E5101" s="918" t="s">
        <v>13470</v>
      </c>
      <c r="F5101" s="918"/>
      <c r="G5101" s="676" t="s">
        <v>19</v>
      </c>
      <c r="H5101" s="675">
        <v>3.7593000000000001</v>
      </c>
      <c r="I5101" s="674">
        <v>14.57</v>
      </c>
      <c r="J5101" s="674">
        <v>54.77</v>
      </c>
    </row>
    <row r="5102" spans="1:10" ht="24" customHeight="1">
      <c r="A5102" s="677" t="s">
        <v>13472</v>
      </c>
      <c r="B5102" s="678" t="s">
        <v>13833</v>
      </c>
      <c r="C5102" s="677" t="s">
        <v>7</v>
      </c>
      <c r="D5102" s="677" t="s">
        <v>40</v>
      </c>
      <c r="E5102" s="918" t="s">
        <v>13470</v>
      </c>
      <c r="F5102" s="918"/>
      <c r="G5102" s="676" t="s">
        <v>19</v>
      </c>
      <c r="H5102" s="675">
        <v>11.277799999999999</v>
      </c>
      <c r="I5102" s="674">
        <v>17.48</v>
      </c>
      <c r="J5102" s="674">
        <v>197.13</v>
      </c>
    </row>
    <row r="5103" spans="1:10" ht="36" customHeight="1">
      <c r="A5103" s="672" t="s">
        <v>13467</v>
      </c>
      <c r="B5103" s="673" t="s">
        <v>13854</v>
      </c>
      <c r="C5103" s="672" t="s">
        <v>7</v>
      </c>
      <c r="D5103" s="672" t="s">
        <v>13853</v>
      </c>
      <c r="E5103" s="919" t="s">
        <v>13464</v>
      </c>
      <c r="F5103" s="919"/>
      <c r="G5103" s="671" t="s">
        <v>34</v>
      </c>
      <c r="H5103" s="670">
        <v>9.4499999999999993</v>
      </c>
      <c r="I5103" s="669">
        <v>59.5</v>
      </c>
      <c r="J5103" s="669">
        <v>562.27</v>
      </c>
    </row>
    <row r="5104" spans="1:10" ht="24" customHeight="1">
      <c r="A5104" s="672" t="s">
        <v>13467</v>
      </c>
      <c r="B5104" s="673" t="s">
        <v>13852</v>
      </c>
      <c r="C5104" s="672" t="s">
        <v>7</v>
      </c>
      <c r="D5104" s="672" t="s">
        <v>13851</v>
      </c>
      <c r="E5104" s="919" t="s">
        <v>13464</v>
      </c>
      <c r="F5104" s="919"/>
      <c r="G5104" s="671" t="s">
        <v>14</v>
      </c>
      <c r="H5104" s="670">
        <v>48.84</v>
      </c>
      <c r="I5104" s="669">
        <v>14.76</v>
      </c>
      <c r="J5104" s="669">
        <v>720.87</v>
      </c>
    </row>
    <row r="5105" spans="1:10" ht="36" customHeight="1">
      <c r="A5105" s="672" t="s">
        <v>13467</v>
      </c>
      <c r="B5105" s="673" t="s">
        <v>13850</v>
      </c>
      <c r="C5105" s="672" t="s">
        <v>7</v>
      </c>
      <c r="D5105" s="672" t="s">
        <v>13849</v>
      </c>
      <c r="E5105" s="919" t="s">
        <v>13464</v>
      </c>
      <c r="F5105" s="919"/>
      <c r="G5105" s="671" t="s">
        <v>13515</v>
      </c>
      <c r="H5105" s="670">
        <v>1.1054999999999999</v>
      </c>
      <c r="I5105" s="669">
        <v>417.5</v>
      </c>
      <c r="J5105" s="669">
        <v>461.54</v>
      </c>
    </row>
    <row r="5106" spans="1:10" ht="36" customHeight="1">
      <c r="A5106" s="672" t="s">
        <v>13467</v>
      </c>
      <c r="B5106" s="673" t="s">
        <v>13848</v>
      </c>
      <c r="C5106" s="672" t="s">
        <v>7</v>
      </c>
      <c r="D5106" s="672" t="s">
        <v>13847</v>
      </c>
      <c r="E5106" s="919" t="s">
        <v>13464</v>
      </c>
      <c r="F5106" s="919"/>
      <c r="G5106" s="671" t="s">
        <v>14</v>
      </c>
      <c r="H5106" s="670">
        <v>79.2</v>
      </c>
      <c r="I5106" s="669">
        <v>7.13</v>
      </c>
      <c r="J5106" s="669">
        <v>564.69000000000005</v>
      </c>
    </row>
    <row r="5107" spans="1:10" ht="24" customHeight="1">
      <c r="A5107" s="672" t="s">
        <v>13467</v>
      </c>
      <c r="B5107" s="673" t="s">
        <v>13846</v>
      </c>
      <c r="C5107" s="672" t="s">
        <v>7</v>
      </c>
      <c r="D5107" s="672" t="s">
        <v>13845</v>
      </c>
      <c r="E5107" s="919" t="s">
        <v>13464</v>
      </c>
      <c r="F5107" s="919"/>
      <c r="G5107" s="671" t="s">
        <v>17</v>
      </c>
      <c r="H5107" s="670">
        <v>1.7012</v>
      </c>
      <c r="I5107" s="669">
        <v>18</v>
      </c>
      <c r="J5107" s="669">
        <v>30.62</v>
      </c>
    </row>
    <row r="5108" spans="1:10" ht="24" customHeight="1">
      <c r="A5108" s="672" t="s">
        <v>13467</v>
      </c>
      <c r="B5108" s="673" t="s">
        <v>13844</v>
      </c>
      <c r="C5108" s="672" t="s">
        <v>7</v>
      </c>
      <c r="D5108" s="672" t="s">
        <v>13843</v>
      </c>
      <c r="E5108" s="919" t="s">
        <v>13464</v>
      </c>
      <c r="F5108" s="919"/>
      <c r="G5108" s="671" t="s">
        <v>14</v>
      </c>
      <c r="H5108" s="670">
        <v>123.7317</v>
      </c>
      <c r="I5108" s="669">
        <v>17.510000000000002</v>
      </c>
      <c r="J5108" s="669">
        <v>2166.54</v>
      </c>
    </row>
    <row r="5109" spans="1:10" ht="24" customHeight="1">
      <c r="A5109" s="672" t="s">
        <v>13467</v>
      </c>
      <c r="B5109" s="673" t="s">
        <v>13842</v>
      </c>
      <c r="C5109" s="672" t="s">
        <v>7</v>
      </c>
      <c r="D5109" s="672" t="s">
        <v>13841</v>
      </c>
      <c r="E5109" s="919" t="s">
        <v>13464</v>
      </c>
      <c r="F5109" s="919"/>
      <c r="G5109" s="671" t="s">
        <v>13610</v>
      </c>
      <c r="H5109" s="670">
        <v>3.96</v>
      </c>
      <c r="I5109" s="669">
        <v>68.959999999999994</v>
      </c>
      <c r="J5109" s="669">
        <v>273.08</v>
      </c>
    </row>
    <row r="5110" spans="1:10" ht="25.5">
      <c r="A5110" s="668"/>
      <c r="B5110" s="668"/>
      <c r="C5110" s="668"/>
      <c r="D5110" s="668"/>
      <c r="E5110" s="668" t="s">
        <v>13463</v>
      </c>
      <c r="F5110" s="667">
        <v>110.22492665435185</v>
      </c>
      <c r="G5110" s="668" t="s">
        <v>13462</v>
      </c>
      <c r="H5110" s="667">
        <v>92.66</v>
      </c>
      <c r="I5110" s="668" t="s">
        <v>13461</v>
      </c>
      <c r="J5110" s="667">
        <v>202.88</v>
      </c>
    </row>
    <row r="5111" spans="1:10" ht="15" thickBot="1">
      <c r="A5111" s="668"/>
      <c r="B5111" s="668"/>
      <c r="C5111" s="668"/>
      <c r="D5111" s="668"/>
      <c r="E5111" s="668" t="s">
        <v>13460</v>
      </c>
      <c r="F5111" s="667">
        <v>1423.45</v>
      </c>
      <c r="G5111" s="668"/>
      <c r="H5111" s="925" t="s">
        <v>13459</v>
      </c>
      <c r="I5111" s="925"/>
      <c r="J5111" s="667">
        <v>6464.03</v>
      </c>
    </row>
    <row r="5112" spans="1:10" ht="0.95" customHeight="1" thickTop="1">
      <c r="A5112" s="666"/>
      <c r="B5112" s="666"/>
      <c r="C5112" s="666"/>
      <c r="D5112" s="666"/>
      <c r="E5112" s="666"/>
      <c r="F5112" s="666"/>
      <c r="G5112" s="666"/>
      <c r="H5112" s="666"/>
      <c r="I5112" s="666"/>
      <c r="J5112" s="666"/>
    </row>
    <row r="5113" spans="1:10" ht="18" customHeight="1">
      <c r="A5113" s="686"/>
      <c r="B5113" s="684" t="s">
        <v>13484</v>
      </c>
      <c r="C5113" s="686" t="s">
        <v>13483</v>
      </c>
      <c r="D5113" s="686" t="s">
        <v>13482</v>
      </c>
      <c r="E5113" s="924" t="s">
        <v>13481</v>
      </c>
      <c r="F5113" s="924"/>
      <c r="G5113" s="685" t="s">
        <v>13480</v>
      </c>
      <c r="H5113" s="684" t="s">
        <v>13479</v>
      </c>
      <c r="I5113" s="684" t="s">
        <v>13478</v>
      </c>
      <c r="J5113" s="684" t="s">
        <v>13477</v>
      </c>
    </row>
    <row r="5114" spans="1:10" ht="24" customHeight="1">
      <c r="A5114" s="682" t="s">
        <v>13476</v>
      </c>
      <c r="B5114" s="683" t="s">
        <v>13840</v>
      </c>
      <c r="C5114" s="682" t="s">
        <v>7</v>
      </c>
      <c r="D5114" s="682" t="s">
        <v>4724</v>
      </c>
      <c r="E5114" s="917" t="s">
        <v>13646</v>
      </c>
      <c r="F5114" s="917"/>
      <c r="G5114" s="681" t="s">
        <v>14</v>
      </c>
      <c r="H5114" s="680">
        <v>1</v>
      </c>
      <c r="I5114" s="679">
        <v>29.5</v>
      </c>
      <c r="J5114" s="679">
        <v>29.5</v>
      </c>
    </row>
    <row r="5115" spans="1:10" ht="36" customHeight="1">
      <c r="A5115" s="677" t="s">
        <v>13472</v>
      </c>
      <c r="B5115" s="678" t="s">
        <v>13577</v>
      </c>
      <c r="C5115" s="677" t="s">
        <v>7</v>
      </c>
      <c r="D5115" s="677" t="s">
        <v>1932</v>
      </c>
      <c r="E5115" s="918" t="s">
        <v>13491</v>
      </c>
      <c r="F5115" s="918"/>
      <c r="G5115" s="676" t="s">
        <v>38</v>
      </c>
      <c r="H5115" s="675">
        <v>2.1999999999999999E-2</v>
      </c>
      <c r="I5115" s="674">
        <v>16.260000000000002</v>
      </c>
      <c r="J5115" s="674">
        <v>0.35</v>
      </c>
    </row>
    <row r="5116" spans="1:10" ht="36" customHeight="1">
      <c r="A5116" s="677" t="s">
        <v>13472</v>
      </c>
      <c r="B5116" s="678" t="s">
        <v>13578</v>
      </c>
      <c r="C5116" s="677" t="s">
        <v>7</v>
      </c>
      <c r="D5116" s="677" t="s">
        <v>1933</v>
      </c>
      <c r="E5116" s="918" t="s">
        <v>13491</v>
      </c>
      <c r="F5116" s="918"/>
      <c r="G5116" s="676" t="s">
        <v>53</v>
      </c>
      <c r="H5116" s="675">
        <v>0.01</v>
      </c>
      <c r="I5116" s="674">
        <v>13.53</v>
      </c>
      <c r="J5116" s="674">
        <v>0.13</v>
      </c>
    </row>
    <row r="5117" spans="1:10" ht="24" customHeight="1">
      <c r="A5117" s="677" t="s">
        <v>13472</v>
      </c>
      <c r="B5117" s="678" t="s">
        <v>13833</v>
      </c>
      <c r="C5117" s="677" t="s">
        <v>7</v>
      </c>
      <c r="D5117" s="677" t="s">
        <v>40</v>
      </c>
      <c r="E5117" s="918" t="s">
        <v>13470</v>
      </c>
      <c r="F5117" s="918"/>
      <c r="G5117" s="676" t="s">
        <v>19</v>
      </c>
      <c r="H5117" s="675">
        <v>0.161</v>
      </c>
      <c r="I5117" s="674">
        <v>17.48</v>
      </c>
      <c r="J5117" s="674">
        <v>2.81</v>
      </c>
    </row>
    <row r="5118" spans="1:10" ht="24" customHeight="1">
      <c r="A5118" s="677" t="s">
        <v>13472</v>
      </c>
      <c r="B5118" s="678" t="s">
        <v>13644</v>
      </c>
      <c r="C5118" s="677" t="s">
        <v>7</v>
      </c>
      <c r="D5118" s="677" t="s">
        <v>39</v>
      </c>
      <c r="E5118" s="918" t="s">
        <v>13470</v>
      </c>
      <c r="F5118" s="918"/>
      <c r="G5118" s="676" t="s">
        <v>19</v>
      </c>
      <c r="H5118" s="675">
        <v>3.2000000000000001E-2</v>
      </c>
      <c r="I5118" s="674">
        <v>14.57</v>
      </c>
      <c r="J5118" s="674">
        <v>0.46</v>
      </c>
    </row>
    <row r="5119" spans="1:10" ht="24" customHeight="1">
      <c r="A5119" s="672" t="s">
        <v>13467</v>
      </c>
      <c r="B5119" s="673" t="s">
        <v>13839</v>
      </c>
      <c r="C5119" s="672" t="s">
        <v>7</v>
      </c>
      <c r="D5119" s="672" t="s">
        <v>13838</v>
      </c>
      <c r="E5119" s="919" t="s">
        <v>13464</v>
      </c>
      <c r="F5119" s="919"/>
      <c r="G5119" s="671" t="s">
        <v>13610</v>
      </c>
      <c r="H5119" s="670">
        <v>0.13600000000000001</v>
      </c>
      <c r="I5119" s="669">
        <v>47.7</v>
      </c>
      <c r="J5119" s="669">
        <v>6.48</v>
      </c>
    </row>
    <row r="5120" spans="1:10" ht="24" customHeight="1">
      <c r="A5120" s="672" t="s">
        <v>13467</v>
      </c>
      <c r="B5120" s="673" t="s">
        <v>13836</v>
      </c>
      <c r="C5120" s="672" t="s">
        <v>7</v>
      </c>
      <c r="D5120" s="672" t="s">
        <v>13835</v>
      </c>
      <c r="E5120" s="919" t="s">
        <v>13464</v>
      </c>
      <c r="F5120" s="919"/>
      <c r="G5120" s="671" t="s">
        <v>14</v>
      </c>
      <c r="H5120" s="670">
        <v>2.3420000000000001</v>
      </c>
      <c r="I5120" s="669">
        <v>8.14</v>
      </c>
      <c r="J5120" s="669">
        <v>19.059999999999999</v>
      </c>
    </row>
    <row r="5121" spans="1:10" ht="24" customHeight="1">
      <c r="A5121" s="672" t="s">
        <v>13467</v>
      </c>
      <c r="B5121" s="673" t="s">
        <v>13832</v>
      </c>
      <c r="C5121" s="672" t="s">
        <v>7</v>
      </c>
      <c r="D5121" s="672" t="s">
        <v>13831</v>
      </c>
      <c r="E5121" s="919" t="s">
        <v>13464</v>
      </c>
      <c r="F5121" s="919"/>
      <c r="G5121" s="671" t="s">
        <v>17</v>
      </c>
      <c r="H5121" s="670">
        <v>1.2E-2</v>
      </c>
      <c r="I5121" s="669">
        <v>18.309999999999999</v>
      </c>
      <c r="J5121" s="669">
        <v>0.21</v>
      </c>
    </row>
    <row r="5122" spans="1:10" ht="25.5">
      <c r="A5122" s="668"/>
      <c r="B5122" s="668"/>
      <c r="C5122" s="668"/>
      <c r="D5122" s="668"/>
      <c r="E5122" s="668" t="s">
        <v>13463</v>
      </c>
      <c r="F5122" s="667">
        <v>1.5647071607084646</v>
      </c>
      <c r="G5122" s="668" t="s">
        <v>13462</v>
      </c>
      <c r="H5122" s="667">
        <v>1.32</v>
      </c>
      <c r="I5122" s="668" t="s">
        <v>13461</v>
      </c>
      <c r="J5122" s="667">
        <v>2.88</v>
      </c>
    </row>
    <row r="5123" spans="1:10" ht="15" thickBot="1">
      <c r="A5123" s="668"/>
      <c r="B5123" s="668"/>
      <c r="C5123" s="668"/>
      <c r="D5123" s="668"/>
      <c r="E5123" s="668" t="s">
        <v>13460</v>
      </c>
      <c r="F5123" s="667">
        <v>8.33</v>
      </c>
      <c r="G5123" s="668"/>
      <c r="H5123" s="925" t="s">
        <v>13459</v>
      </c>
      <c r="I5123" s="925"/>
      <c r="J5123" s="667">
        <v>37.83</v>
      </c>
    </row>
    <row r="5124" spans="1:10" ht="0.95" customHeight="1" thickTop="1">
      <c r="A5124" s="666"/>
      <c r="B5124" s="666"/>
      <c r="C5124" s="666"/>
      <c r="D5124" s="666"/>
      <c r="E5124" s="666"/>
      <c r="F5124" s="666"/>
      <c r="G5124" s="666"/>
      <c r="H5124" s="666"/>
      <c r="I5124" s="666"/>
      <c r="J5124" s="666"/>
    </row>
    <row r="5125" spans="1:10" ht="18" customHeight="1">
      <c r="A5125" s="686"/>
      <c r="B5125" s="684" t="s">
        <v>13484</v>
      </c>
      <c r="C5125" s="686" t="s">
        <v>13483</v>
      </c>
      <c r="D5125" s="686" t="s">
        <v>13482</v>
      </c>
      <c r="E5125" s="924" t="s">
        <v>13481</v>
      </c>
      <c r="F5125" s="924"/>
      <c r="G5125" s="685" t="s">
        <v>13480</v>
      </c>
      <c r="H5125" s="684" t="s">
        <v>13479</v>
      </c>
      <c r="I5125" s="684" t="s">
        <v>13478</v>
      </c>
      <c r="J5125" s="684" t="s">
        <v>13477</v>
      </c>
    </row>
    <row r="5126" spans="1:10" ht="36" customHeight="1">
      <c r="A5126" s="682" t="s">
        <v>13476</v>
      </c>
      <c r="B5126" s="683" t="s">
        <v>13837</v>
      </c>
      <c r="C5126" s="682" t="s">
        <v>7</v>
      </c>
      <c r="D5126" s="682" t="s">
        <v>4715</v>
      </c>
      <c r="E5126" s="917" t="s">
        <v>13646</v>
      </c>
      <c r="F5126" s="917"/>
      <c r="G5126" s="681" t="s">
        <v>13610</v>
      </c>
      <c r="H5126" s="680">
        <v>1</v>
      </c>
      <c r="I5126" s="679">
        <v>131.86000000000001</v>
      </c>
      <c r="J5126" s="679">
        <v>131.86000000000001</v>
      </c>
    </row>
    <row r="5127" spans="1:10" ht="36" customHeight="1">
      <c r="A5127" s="677" t="s">
        <v>13472</v>
      </c>
      <c r="B5127" s="678" t="s">
        <v>13577</v>
      </c>
      <c r="C5127" s="677" t="s">
        <v>7</v>
      </c>
      <c r="D5127" s="677" t="s">
        <v>1932</v>
      </c>
      <c r="E5127" s="918" t="s">
        <v>13491</v>
      </c>
      <c r="F5127" s="918"/>
      <c r="G5127" s="676" t="s">
        <v>38</v>
      </c>
      <c r="H5127" s="675">
        <v>6.3E-2</v>
      </c>
      <c r="I5127" s="674">
        <v>16.260000000000002</v>
      </c>
      <c r="J5127" s="674">
        <v>1.02</v>
      </c>
    </row>
    <row r="5128" spans="1:10" ht="36" customHeight="1">
      <c r="A5128" s="677" t="s">
        <v>13472</v>
      </c>
      <c r="B5128" s="678" t="s">
        <v>13578</v>
      </c>
      <c r="C5128" s="677" t="s">
        <v>7</v>
      </c>
      <c r="D5128" s="677" t="s">
        <v>1933</v>
      </c>
      <c r="E5128" s="918" t="s">
        <v>13491</v>
      </c>
      <c r="F5128" s="918"/>
      <c r="G5128" s="676" t="s">
        <v>53</v>
      </c>
      <c r="H5128" s="675">
        <v>0.186</v>
      </c>
      <c r="I5128" s="674">
        <v>13.53</v>
      </c>
      <c r="J5128" s="674">
        <v>2.5099999999999998</v>
      </c>
    </row>
    <row r="5129" spans="1:10" ht="24" customHeight="1">
      <c r="A5129" s="677" t="s">
        <v>13472</v>
      </c>
      <c r="B5129" s="678" t="s">
        <v>13833</v>
      </c>
      <c r="C5129" s="677" t="s">
        <v>7</v>
      </c>
      <c r="D5129" s="677" t="s">
        <v>40</v>
      </c>
      <c r="E5129" s="918" t="s">
        <v>13470</v>
      </c>
      <c r="F5129" s="918"/>
      <c r="G5129" s="676" t="s">
        <v>19</v>
      </c>
      <c r="H5129" s="675">
        <v>1.248</v>
      </c>
      <c r="I5129" s="674">
        <v>17.48</v>
      </c>
      <c r="J5129" s="674">
        <v>21.81</v>
      </c>
    </row>
    <row r="5130" spans="1:10" ht="24" customHeight="1">
      <c r="A5130" s="677" t="s">
        <v>13472</v>
      </c>
      <c r="B5130" s="678" t="s">
        <v>13644</v>
      </c>
      <c r="C5130" s="677" t="s">
        <v>7</v>
      </c>
      <c r="D5130" s="677" t="s">
        <v>39</v>
      </c>
      <c r="E5130" s="918" t="s">
        <v>13470</v>
      </c>
      <c r="F5130" s="918"/>
      <c r="G5130" s="676" t="s">
        <v>19</v>
      </c>
      <c r="H5130" s="675">
        <v>0.25</v>
      </c>
      <c r="I5130" s="674">
        <v>14.57</v>
      </c>
      <c r="J5130" s="674">
        <v>3.64</v>
      </c>
    </row>
    <row r="5131" spans="1:10" ht="24" customHeight="1">
      <c r="A5131" s="672" t="s">
        <v>13467</v>
      </c>
      <c r="B5131" s="673" t="s">
        <v>13643</v>
      </c>
      <c r="C5131" s="672" t="s">
        <v>7</v>
      </c>
      <c r="D5131" s="672" t="s">
        <v>13642</v>
      </c>
      <c r="E5131" s="919" t="s">
        <v>13464</v>
      </c>
      <c r="F5131" s="919"/>
      <c r="G5131" s="671" t="s">
        <v>13610</v>
      </c>
      <c r="H5131" s="670">
        <v>1.3360000000000001</v>
      </c>
      <c r="I5131" s="669">
        <v>40.409999999999997</v>
      </c>
      <c r="J5131" s="669">
        <v>53.98</v>
      </c>
    </row>
    <row r="5132" spans="1:10" ht="24" customHeight="1">
      <c r="A5132" s="672" t="s">
        <v>13467</v>
      </c>
      <c r="B5132" s="673" t="s">
        <v>13832</v>
      </c>
      <c r="C5132" s="672" t="s">
        <v>7</v>
      </c>
      <c r="D5132" s="672" t="s">
        <v>13831</v>
      </c>
      <c r="E5132" s="919" t="s">
        <v>13464</v>
      </c>
      <c r="F5132" s="919"/>
      <c r="G5132" s="671" t="s">
        <v>17</v>
      </c>
      <c r="H5132" s="670">
        <v>0.20799999999999999</v>
      </c>
      <c r="I5132" s="669">
        <v>18.309999999999999</v>
      </c>
      <c r="J5132" s="669">
        <v>3.8</v>
      </c>
    </row>
    <row r="5133" spans="1:10" ht="24" customHeight="1">
      <c r="A5133" s="672" t="s">
        <v>13467</v>
      </c>
      <c r="B5133" s="673" t="s">
        <v>13836</v>
      </c>
      <c r="C5133" s="672" t="s">
        <v>7</v>
      </c>
      <c r="D5133" s="672" t="s">
        <v>13835</v>
      </c>
      <c r="E5133" s="919" t="s">
        <v>13464</v>
      </c>
      <c r="F5133" s="919"/>
      <c r="G5133" s="671" t="s">
        <v>14</v>
      </c>
      <c r="H5133" s="670">
        <v>2.3079999999999998</v>
      </c>
      <c r="I5133" s="669">
        <v>8.14</v>
      </c>
      <c r="J5133" s="669">
        <v>18.78</v>
      </c>
    </row>
    <row r="5134" spans="1:10" ht="24" customHeight="1">
      <c r="A5134" s="672" t="s">
        <v>13467</v>
      </c>
      <c r="B5134" s="673" t="s">
        <v>13651</v>
      </c>
      <c r="C5134" s="672" t="s">
        <v>7</v>
      </c>
      <c r="D5134" s="672" t="s">
        <v>13650</v>
      </c>
      <c r="E5134" s="919" t="s">
        <v>13464</v>
      </c>
      <c r="F5134" s="919"/>
      <c r="G5134" s="671" t="s">
        <v>14</v>
      </c>
      <c r="H5134" s="670">
        <v>9.2370000000000001</v>
      </c>
      <c r="I5134" s="669">
        <v>2.85</v>
      </c>
      <c r="J5134" s="669">
        <v>26.32</v>
      </c>
    </row>
    <row r="5135" spans="1:10" ht="25.5">
      <c r="A5135" s="668"/>
      <c r="B5135" s="668"/>
      <c r="C5135" s="668"/>
      <c r="D5135" s="668"/>
      <c r="E5135" s="668" t="s">
        <v>13463</v>
      </c>
      <c r="F5135" s="667">
        <v>12.218841682060198</v>
      </c>
      <c r="G5135" s="668" t="s">
        <v>13462</v>
      </c>
      <c r="H5135" s="667">
        <v>10.27</v>
      </c>
      <c r="I5135" s="668" t="s">
        <v>13461</v>
      </c>
      <c r="J5135" s="667">
        <v>22.49</v>
      </c>
    </row>
    <row r="5136" spans="1:10" ht="15" thickBot="1">
      <c r="A5136" s="668"/>
      <c r="B5136" s="668"/>
      <c r="C5136" s="668"/>
      <c r="D5136" s="668"/>
      <c r="E5136" s="668" t="s">
        <v>13460</v>
      </c>
      <c r="F5136" s="667">
        <v>37.229999999999997</v>
      </c>
      <c r="G5136" s="668"/>
      <c r="H5136" s="925" t="s">
        <v>13459</v>
      </c>
      <c r="I5136" s="925"/>
      <c r="J5136" s="667">
        <v>169.09</v>
      </c>
    </row>
    <row r="5137" spans="1:10" ht="0.95" customHeight="1" thickTop="1">
      <c r="A5137" s="666"/>
      <c r="B5137" s="666"/>
      <c r="C5137" s="666"/>
      <c r="D5137" s="666"/>
      <c r="E5137" s="666"/>
      <c r="F5137" s="666"/>
      <c r="G5137" s="666"/>
      <c r="H5137" s="666"/>
      <c r="I5137" s="666"/>
      <c r="J5137" s="666"/>
    </row>
    <row r="5138" spans="1:10" ht="18" customHeight="1">
      <c r="A5138" s="686"/>
      <c r="B5138" s="684" t="s">
        <v>13484</v>
      </c>
      <c r="C5138" s="686" t="s">
        <v>13483</v>
      </c>
      <c r="D5138" s="686" t="s">
        <v>13482</v>
      </c>
      <c r="E5138" s="924" t="s">
        <v>13481</v>
      </c>
      <c r="F5138" s="924"/>
      <c r="G5138" s="685" t="s">
        <v>13480</v>
      </c>
      <c r="H5138" s="684" t="s">
        <v>13479</v>
      </c>
      <c r="I5138" s="684" t="s">
        <v>13478</v>
      </c>
      <c r="J5138" s="684" t="s">
        <v>13477</v>
      </c>
    </row>
    <row r="5139" spans="1:10" ht="24" customHeight="1">
      <c r="A5139" s="682" t="s">
        <v>13476</v>
      </c>
      <c r="B5139" s="683" t="s">
        <v>13834</v>
      </c>
      <c r="C5139" s="682" t="s">
        <v>7</v>
      </c>
      <c r="D5139" s="682" t="s">
        <v>4722</v>
      </c>
      <c r="E5139" s="917" t="s">
        <v>13646</v>
      </c>
      <c r="F5139" s="917"/>
      <c r="G5139" s="681" t="s">
        <v>13610</v>
      </c>
      <c r="H5139" s="680">
        <v>1</v>
      </c>
      <c r="I5139" s="679">
        <v>104.4</v>
      </c>
      <c r="J5139" s="679">
        <v>104.4</v>
      </c>
    </row>
    <row r="5140" spans="1:10" ht="36" customHeight="1">
      <c r="A5140" s="677" t="s">
        <v>13472</v>
      </c>
      <c r="B5140" s="678" t="s">
        <v>13577</v>
      </c>
      <c r="C5140" s="677" t="s">
        <v>7</v>
      </c>
      <c r="D5140" s="677" t="s">
        <v>1932</v>
      </c>
      <c r="E5140" s="918" t="s">
        <v>13491</v>
      </c>
      <c r="F5140" s="918"/>
      <c r="G5140" s="676" t="s">
        <v>38</v>
      </c>
      <c r="H5140" s="675">
        <v>5.6000000000000001E-2</v>
      </c>
      <c r="I5140" s="674">
        <v>16.260000000000002</v>
      </c>
      <c r="J5140" s="674">
        <v>0.91</v>
      </c>
    </row>
    <row r="5141" spans="1:10" ht="36" customHeight="1">
      <c r="A5141" s="677" t="s">
        <v>13472</v>
      </c>
      <c r="B5141" s="678" t="s">
        <v>13578</v>
      </c>
      <c r="C5141" s="677" t="s">
        <v>7</v>
      </c>
      <c r="D5141" s="677" t="s">
        <v>1933</v>
      </c>
      <c r="E5141" s="918" t="s">
        <v>13491</v>
      </c>
      <c r="F5141" s="918"/>
      <c r="G5141" s="676" t="s">
        <v>53</v>
      </c>
      <c r="H5141" s="675">
        <v>0.123</v>
      </c>
      <c r="I5141" s="674">
        <v>13.53</v>
      </c>
      <c r="J5141" s="674">
        <v>1.66</v>
      </c>
    </row>
    <row r="5142" spans="1:10" ht="24" customHeight="1">
      <c r="A5142" s="677" t="s">
        <v>13472</v>
      </c>
      <c r="B5142" s="678" t="s">
        <v>13833</v>
      </c>
      <c r="C5142" s="677" t="s">
        <v>7</v>
      </c>
      <c r="D5142" s="677" t="s">
        <v>40</v>
      </c>
      <c r="E5142" s="918" t="s">
        <v>13470</v>
      </c>
      <c r="F5142" s="918"/>
      <c r="G5142" s="676" t="s">
        <v>19</v>
      </c>
      <c r="H5142" s="675">
        <v>0.89300000000000002</v>
      </c>
      <c r="I5142" s="674">
        <v>17.48</v>
      </c>
      <c r="J5142" s="674">
        <v>15.6</v>
      </c>
    </row>
    <row r="5143" spans="1:10" ht="24" customHeight="1">
      <c r="A5143" s="677" t="s">
        <v>13472</v>
      </c>
      <c r="B5143" s="678" t="s">
        <v>13644</v>
      </c>
      <c r="C5143" s="677" t="s">
        <v>7</v>
      </c>
      <c r="D5143" s="677" t="s">
        <v>39</v>
      </c>
      <c r="E5143" s="918" t="s">
        <v>13470</v>
      </c>
      <c r="F5143" s="918"/>
      <c r="G5143" s="676" t="s">
        <v>19</v>
      </c>
      <c r="H5143" s="675">
        <v>0.17899999999999999</v>
      </c>
      <c r="I5143" s="674">
        <v>14.57</v>
      </c>
      <c r="J5143" s="674">
        <v>2.6</v>
      </c>
    </row>
    <row r="5144" spans="1:10" ht="24" customHeight="1">
      <c r="A5144" s="672" t="s">
        <v>13467</v>
      </c>
      <c r="B5144" s="673" t="s">
        <v>13832</v>
      </c>
      <c r="C5144" s="672" t="s">
        <v>7</v>
      </c>
      <c r="D5144" s="672" t="s">
        <v>13831</v>
      </c>
      <c r="E5144" s="919" t="s">
        <v>13464</v>
      </c>
      <c r="F5144" s="919"/>
      <c r="G5144" s="671" t="s">
        <v>17</v>
      </c>
      <c r="H5144" s="670">
        <v>0.128</v>
      </c>
      <c r="I5144" s="669">
        <v>18.309999999999999</v>
      </c>
      <c r="J5144" s="669">
        <v>2.34</v>
      </c>
    </row>
    <row r="5145" spans="1:10" ht="24" customHeight="1">
      <c r="A5145" s="672" t="s">
        <v>13467</v>
      </c>
      <c r="B5145" s="673" t="s">
        <v>13651</v>
      </c>
      <c r="C5145" s="672" t="s">
        <v>7</v>
      </c>
      <c r="D5145" s="672" t="s">
        <v>13650</v>
      </c>
      <c r="E5145" s="919" t="s">
        <v>13464</v>
      </c>
      <c r="F5145" s="919"/>
      <c r="G5145" s="671" t="s">
        <v>14</v>
      </c>
      <c r="H5145" s="670">
        <v>4.2279999999999998</v>
      </c>
      <c r="I5145" s="669">
        <v>2.85</v>
      </c>
      <c r="J5145" s="669">
        <v>12.04</v>
      </c>
    </row>
    <row r="5146" spans="1:10" ht="24" customHeight="1">
      <c r="A5146" s="672" t="s">
        <v>13467</v>
      </c>
      <c r="B5146" s="673" t="s">
        <v>13830</v>
      </c>
      <c r="C5146" s="672" t="s">
        <v>7</v>
      </c>
      <c r="D5146" s="672" t="s">
        <v>13829</v>
      </c>
      <c r="E5146" s="919" t="s">
        <v>13464</v>
      </c>
      <c r="F5146" s="919"/>
      <c r="G5146" s="671" t="s">
        <v>14</v>
      </c>
      <c r="H5146" s="670">
        <v>4.4480000000000004</v>
      </c>
      <c r="I5146" s="669">
        <v>15.57</v>
      </c>
      <c r="J5146" s="669">
        <v>69.25</v>
      </c>
    </row>
    <row r="5147" spans="1:10" ht="25.5">
      <c r="A5147" s="668"/>
      <c r="B5147" s="668"/>
      <c r="C5147" s="668"/>
      <c r="D5147" s="668"/>
      <c r="E5147" s="668" t="s">
        <v>13463</v>
      </c>
      <c r="F5147" s="667">
        <v>8.7417146582636089</v>
      </c>
      <c r="G5147" s="668" t="s">
        <v>13462</v>
      </c>
      <c r="H5147" s="667">
        <v>7.35</v>
      </c>
      <c r="I5147" s="668" t="s">
        <v>13461</v>
      </c>
      <c r="J5147" s="667">
        <v>16.09</v>
      </c>
    </row>
    <row r="5148" spans="1:10" ht="15" thickBot="1">
      <c r="A5148" s="668"/>
      <c r="B5148" s="668"/>
      <c r="C5148" s="668"/>
      <c r="D5148" s="668"/>
      <c r="E5148" s="668" t="s">
        <v>13460</v>
      </c>
      <c r="F5148" s="667">
        <v>29.48</v>
      </c>
      <c r="G5148" s="668"/>
      <c r="H5148" s="925" t="s">
        <v>13459</v>
      </c>
      <c r="I5148" s="925"/>
      <c r="J5148" s="667">
        <v>133.88</v>
      </c>
    </row>
    <row r="5149" spans="1:10" ht="0.95" customHeight="1" thickTop="1">
      <c r="A5149" s="666"/>
      <c r="B5149" s="666"/>
      <c r="C5149" s="666"/>
      <c r="D5149" s="666"/>
      <c r="E5149" s="666"/>
      <c r="F5149" s="666"/>
      <c r="G5149" s="666"/>
      <c r="H5149" s="666"/>
      <c r="I5149" s="666"/>
      <c r="J5149" s="666"/>
    </row>
    <row r="5150" spans="1:10" ht="18" customHeight="1">
      <c r="A5150" s="686"/>
      <c r="B5150" s="684" t="s">
        <v>13484</v>
      </c>
      <c r="C5150" s="686" t="s">
        <v>13483</v>
      </c>
      <c r="D5150" s="686" t="s">
        <v>13482</v>
      </c>
      <c r="E5150" s="924" t="s">
        <v>13481</v>
      </c>
      <c r="F5150" s="924"/>
      <c r="G5150" s="685" t="s">
        <v>13480</v>
      </c>
      <c r="H5150" s="684" t="s">
        <v>13479</v>
      </c>
      <c r="I5150" s="684" t="s">
        <v>13478</v>
      </c>
      <c r="J5150" s="684" t="s">
        <v>13477</v>
      </c>
    </row>
    <row r="5151" spans="1:10" ht="60" customHeight="1">
      <c r="A5151" s="682" t="s">
        <v>13476</v>
      </c>
      <c r="B5151" s="683" t="s">
        <v>13828</v>
      </c>
      <c r="C5151" s="682" t="s">
        <v>7</v>
      </c>
      <c r="D5151" s="682" t="s">
        <v>1840</v>
      </c>
      <c r="E5151" s="917" t="s">
        <v>13474</v>
      </c>
      <c r="F5151" s="917"/>
      <c r="G5151" s="681" t="s">
        <v>14</v>
      </c>
      <c r="H5151" s="680">
        <v>1</v>
      </c>
      <c r="I5151" s="679">
        <v>2.52</v>
      </c>
      <c r="J5151" s="679">
        <v>2.52</v>
      </c>
    </row>
    <row r="5152" spans="1:10" ht="24" customHeight="1">
      <c r="A5152" s="677" t="s">
        <v>13472</v>
      </c>
      <c r="B5152" s="678" t="s">
        <v>13526</v>
      </c>
      <c r="C5152" s="677" t="s">
        <v>7</v>
      </c>
      <c r="D5152" s="677" t="s">
        <v>1093</v>
      </c>
      <c r="E5152" s="918" t="s">
        <v>13470</v>
      </c>
      <c r="F5152" s="918"/>
      <c r="G5152" s="676" t="s">
        <v>19</v>
      </c>
      <c r="H5152" s="675">
        <v>0.01</v>
      </c>
      <c r="I5152" s="674">
        <v>13.48</v>
      </c>
      <c r="J5152" s="674">
        <v>0.13</v>
      </c>
    </row>
    <row r="5153" spans="1:10" ht="24" customHeight="1">
      <c r="A5153" s="677" t="s">
        <v>13472</v>
      </c>
      <c r="B5153" s="678" t="s">
        <v>13473</v>
      </c>
      <c r="C5153" s="677" t="s">
        <v>7</v>
      </c>
      <c r="D5153" s="677" t="s">
        <v>44</v>
      </c>
      <c r="E5153" s="918" t="s">
        <v>13470</v>
      </c>
      <c r="F5153" s="918"/>
      <c r="G5153" s="676" t="s">
        <v>19</v>
      </c>
      <c r="H5153" s="675">
        <v>6.9000000000000006E-2</v>
      </c>
      <c r="I5153" s="674">
        <v>17.66</v>
      </c>
      <c r="J5153" s="674">
        <v>1.21</v>
      </c>
    </row>
    <row r="5154" spans="1:10" ht="24" customHeight="1">
      <c r="A5154" s="672" t="s">
        <v>13467</v>
      </c>
      <c r="B5154" s="673" t="s">
        <v>13826</v>
      </c>
      <c r="C5154" s="672" t="s">
        <v>7</v>
      </c>
      <c r="D5154" s="672" t="s">
        <v>13825</v>
      </c>
      <c r="E5154" s="919" t="s">
        <v>13464</v>
      </c>
      <c r="F5154" s="919"/>
      <c r="G5154" s="671" t="s">
        <v>34</v>
      </c>
      <c r="H5154" s="670">
        <v>0.65</v>
      </c>
      <c r="I5154" s="669">
        <v>1.82</v>
      </c>
      <c r="J5154" s="669">
        <v>1.18</v>
      </c>
    </row>
    <row r="5155" spans="1:10" ht="25.5">
      <c r="A5155" s="668"/>
      <c r="B5155" s="668"/>
      <c r="C5155" s="668"/>
      <c r="D5155" s="668"/>
      <c r="E5155" s="668" t="s">
        <v>13463</v>
      </c>
      <c r="F5155" s="667">
        <v>0.58676518526567423</v>
      </c>
      <c r="G5155" s="668" t="s">
        <v>13462</v>
      </c>
      <c r="H5155" s="667">
        <v>0.49</v>
      </c>
      <c r="I5155" s="668" t="s">
        <v>13461</v>
      </c>
      <c r="J5155" s="667">
        <v>1.08</v>
      </c>
    </row>
    <row r="5156" spans="1:10" ht="15" thickBot="1">
      <c r="A5156" s="668"/>
      <c r="B5156" s="668"/>
      <c r="C5156" s="668"/>
      <c r="D5156" s="668"/>
      <c r="E5156" s="668" t="s">
        <v>13460</v>
      </c>
      <c r="F5156" s="667">
        <v>0.71</v>
      </c>
      <c r="G5156" s="668"/>
      <c r="H5156" s="925" t="s">
        <v>13459</v>
      </c>
      <c r="I5156" s="925"/>
      <c r="J5156" s="667">
        <v>3.23</v>
      </c>
    </row>
    <row r="5157" spans="1:10" ht="0.95" customHeight="1" thickTop="1">
      <c r="A5157" s="666"/>
      <c r="B5157" s="666"/>
      <c r="C5157" s="666"/>
      <c r="D5157" s="666"/>
      <c r="E5157" s="666"/>
      <c r="F5157" s="666"/>
      <c r="G5157" s="666"/>
      <c r="H5157" s="666"/>
      <c r="I5157" s="666"/>
      <c r="J5157" s="666"/>
    </row>
    <row r="5158" spans="1:10" ht="18" customHeight="1">
      <c r="A5158" s="686"/>
      <c r="B5158" s="684" t="s">
        <v>13484</v>
      </c>
      <c r="C5158" s="686" t="s">
        <v>13483</v>
      </c>
      <c r="D5158" s="686" t="s">
        <v>13482</v>
      </c>
      <c r="E5158" s="924" t="s">
        <v>13481</v>
      </c>
      <c r="F5158" s="924"/>
      <c r="G5158" s="685" t="s">
        <v>13480</v>
      </c>
      <c r="H5158" s="684" t="s">
        <v>13479</v>
      </c>
      <c r="I5158" s="684" t="s">
        <v>13478</v>
      </c>
      <c r="J5158" s="684" t="s">
        <v>13477</v>
      </c>
    </row>
    <row r="5159" spans="1:10" ht="48" customHeight="1">
      <c r="A5159" s="682" t="s">
        <v>13476</v>
      </c>
      <c r="B5159" s="683" t="s">
        <v>13827</v>
      </c>
      <c r="C5159" s="682" t="s">
        <v>7</v>
      </c>
      <c r="D5159" s="682" t="s">
        <v>1843</v>
      </c>
      <c r="E5159" s="917" t="s">
        <v>13474</v>
      </c>
      <c r="F5159" s="917"/>
      <c r="G5159" s="681" t="s">
        <v>14</v>
      </c>
      <c r="H5159" s="680">
        <v>1</v>
      </c>
      <c r="I5159" s="679">
        <v>1.27</v>
      </c>
      <c r="J5159" s="679">
        <v>1.27</v>
      </c>
    </row>
    <row r="5160" spans="1:10" ht="24" customHeight="1">
      <c r="A5160" s="677" t="s">
        <v>13472</v>
      </c>
      <c r="B5160" s="678" t="s">
        <v>13526</v>
      </c>
      <c r="C5160" s="677" t="s">
        <v>7</v>
      </c>
      <c r="D5160" s="677" t="s">
        <v>1093</v>
      </c>
      <c r="E5160" s="918" t="s">
        <v>13470</v>
      </c>
      <c r="F5160" s="918"/>
      <c r="G5160" s="676" t="s">
        <v>19</v>
      </c>
      <c r="H5160" s="675">
        <v>5.0000000000000001E-3</v>
      </c>
      <c r="I5160" s="674">
        <v>13.48</v>
      </c>
      <c r="J5160" s="674">
        <v>0.06</v>
      </c>
    </row>
    <row r="5161" spans="1:10" ht="24" customHeight="1">
      <c r="A5161" s="677" t="s">
        <v>13472</v>
      </c>
      <c r="B5161" s="678" t="s">
        <v>13473</v>
      </c>
      <c r="C5161" s="677" t="s">
        <v>7</v>
      </c>
      <c r="D5161" s="677" t="s">
        <v>44</v>
      </c>
      <c r="E5161" s="918" t="s">
        <v>13470</v>
      </c>
      <c r="F5161" s="918"/>
      <c r="G5161" s="676" t="s">
        <v>19</v>
      </c>
      <c r="H5161" s="675">
        <v>3.5000000000000003E-2</v>
      </c>
      <c r="I5161" s="674">
        <v>17.66</v>
      </c>
      <c r="J5161" s="674">
        <v>0.61</v>
      </c>
    </row>
    <row r="5162" spans="1:10" ht="24" customHeight="1">
      <c r="A5162" s="672" t="s">
        <v>13467</v>
      </c>
      <c r="B5162" s="673" t="s">
        <v>13826</v>
      </c>
      <c r="C5162" s="672" t="s">
        <v>7</v>
      </c>
      <c r="D5162" s="672" t="s">
        <v>13825</v>
      </c>
      <c r="E5162" s="919" t="s">
        <v>13464</v>
      </c>
      <c r="F5162" s="919"/>
      <c r="G5162" s="671" t="s">
        <v>34</v>
      </c>
      <c r="H5162" s="670">
        <v>0.33300000000000002</v>
      </c>
      <c r="I5162" s="669">
        <v>1.82</v>
      </c>
      <c r="J5162" s="669">
        <v>0.6</v>
      </c>
    </row>
    <row r="5163" spans="1:10" ht="25.5">
      <c r="A5163" s="668"/>
      <c r="B5163" s="668"/>
      <c r="C5163" s="668"/>
      <c r="D5163" s="668"/>
      <c r="E5163" s="668" t="s">
        <v>13463</v>
      </c>
      <c r="F5163" s="667">
        <v>0.2988156036075193</v>
      </c>
      <c r="G5163" s="668" t="s">
        <v>13462</v>
      </c>
      <c r="H5163" s="667">
        <v>0.25</v>
      </c>
      <c r="I5163" s="668" t="s">
        <v>13461</v>
      </c>
      <c r="J5163" s="667">
        <v>0.55000000000000004</v>
      </c>
    </row>
    <row r="5164" spans="1:10" ht="15" thickBot="1">
      <c r="A5164" s="668"/>
      <c r="B5164" s="668"/>
      <c r="C5164" s="668"/>
      <c r="D5164" s="668"/>
      <c r="E5164" s="668" t="s">
        <v>13460</v>
      </c>
      <c r="F5164" s="667">
        <v>0.35</v>
      </c>
      <c r="G5164" s="668"/>
      <c r="H5164" s="925" t="s">
        <v>13459</v>
      </c>
      <c r="I5164" s="925"/>
      <c r="J5164" s="667">
        <v>1.62</v>
      </c>
    </row>
    <row r="5165" spans="1:10" ht="0.95" customHeight="1" thickTop="1">
      <c r="A5165" s="666"/>
      <c r="B5165" s="666"/>
      <c r="C5165" s="666"/>
      <c r="D5165" s="666"/>
      <c r="E5165" s="666"/>
      <c r="F5165" s="666"/>
      <c r="G5165" s="666"/>
      <c r="H5165" s="666"/>
      <c r="I5165" s="666"/>
      <c r="J5165" s="666"/>
    </row>
    <row r="5166" spans="1:10" ht="18" customHeight="1">
      <c r="A5166" s="686"/>
      <c r="B5166" s="684" t="s">
        <v>13484</v>
      </c>
      <c r="C5166" s="686" t="s">
        <v>13483</v>
      </c>
      <c r="D5166" s="686" t="s">
        <v>13482</v>
      </c>
      <c r="E5166" s="924" t="s">
        <v>13481</v>
      </c>
      <c r="F5166" s="924"/>
      <c r="G5166" s="685" t="s">
        <v>13480</v>
      </c>
      <c r="H5166" s="684" t="s">
        <v>13479</v>
      </c>
      <c r="I5166" s="684" t="s">
        <v>13478</v>
      </c>
      <c r="J5166" s="684" t="s">
        <v>13477</v>
      </c>
    </row>
    <row r="5167" spans="1:10" ht="36" customHeight="1">
      <c r="A5167" s="682" t="s">
        <v>13476</v>
      </c>
      <c r="B5167" s="683" t="s">
        <v>13824</v>
      </c>
      <c r="C5167" s="682" t="s">
        <v>7</v>
      </c>
      <c r="D5167" s="682" t="s">
        <v>2394</v>
      </c>
      <c r="E5167" s="917" t="s">
        <v>13491</v>
      </c>
      <c r="F5167" s="917"/>
      <c r="G5167" s="681" t="s">
        <v>53</v>
      </c>
      <c r="H5167" s="680">
        <v>1</v>
      </c>
      <c r="I5167" s="679">
        <v>13.21</v>
      </c>
      <c r="J5167" s="679">
        <v>13.21</v>
      </c>
    </row>
    <row r="5168" spans="1:10" ht="36" customHeight="1">
      <c r="A5168" s="677" t="s">
        <v>13472</v>
      </c>
      <c r="B5168" s="678" t="s">
        <v>13821</v>
      </c>
      <c r="C5168" s="677" t="s">
        <v>7</v>
      </c>
      <c r="D5168" s="677" t="s">
        <v>2390</v>
      </c>
      <c r="E5168" s="918" t="s">
        <v>13491</v>
      </c>
      <c r="F5168" s="918"/>
      <c r="G5168" s="676" t="s">
        <v>19</v>
      </c>
      <c r="H5168" s="675">
        <v>1</v>
      </c>
      <c r="I5168" s="674">
        <v>0.03</v>
      </c>
      <c r="J5168" s="674">
        <v>0.03</v>
      </c>
    </row>
    <row r="5169" spans="1:10" ht="36" customHeight="1">
      <c r="A5169" s="677" t="s">
        <v>13472</v>
      </c>
      <c r="B5169" s="678" t="s">
        <v>13822</v>
      </c>
      <c r="C5169" s="677" t="s">
        <v>7</v>
      </c>
      <c r="D5169" s="677" t="s">
        <v>2389</v>
      </c>
      <c r="E5169" s="918" t="s">
        <v>13491</v>
      </c>
      <c r="F5169" s="918"/>
      <c r="G5169" s="676" t="s">
        <v>19</v>
      </c>
      <c r="H5169" s="675">
        <v>1</v>
      </c>
      <c r="I5169" s="674">
        <v>0.33</v>
      </c>
      <c r="J5169" s="674">
        <v>0.33</v>
      </c>
    </row>
    <row r="5170" spans="1:10" ht="24" customHeight="1">
      <c r="A5170" s="677" t="s">
        <v>13472</v>
      </c>
      <c r="B5170" s="678" t="s">
        <v>13682</v>
      </c>
      <c r="C5170" s="677" t="s">
        <v>7</v>
      </c>
      <c r="D5170" s="677" t="s">
        <v>157</v>
      </c>
      <c r="E5170" s="918" t="s">
        <v>13470</v>
      </c>
      <c r="F5170" s="918"/>
      <c r="G5170" s="676" t="s">
        <v>19</v>
      </c>
      <c r="H5170" s="675">
        <v>1</v>
      </c>
      <c r="I5170" s="674">
        <v>12.85</v>
      </c>
      <c r="J5170" s="674">
        <v>12.85</v>
      </c>
    </row>
    <row r="5171" spans="1:10" ht="25.5">
      <c r="A5171" s="668"/>
      <c r="B5171" s="668"/>
      <c r="C5171" s="668"/>
      <c r="D5171" s="668"/>
      <c r="E5171" s="668" t="s">
        <v>13463</v>
      </c>
      <c r="F5171" s="667">
        <v>5.3949799000000001</v>
      </c>
      <c r="G5171" s="668" t="s">
        <v>13462</v>
      </c>
      <c r="H5171" s="667">
        <v>4.54</v>
      </c>
      <c r="I5171" s="668" t="s">
        <v>13461</v>
      </c>
      <c r="J5171" s="667">
        <v>9.93</v>
      </c>
    </row>
    <row r="5172" spans="1:10" ht="15" thickBot="1">
      <c r="A5172" s="668"/>
      <c r="B5172" s="668"/>
      <c r="C5172" s="668"/>
      <c r="D5172" s="668"/>
      <c r="E5172" s="668" t="s">
        <v>13460</v>
      </c>
      <c r="F5172" s="667">
        <v>3.73</v>
      </c>
      <c r="G5172" s="668"/>
      <c r="H5172" s="925" t="s">
        <v>13459</v>
      </c>
      <c r="I5172" s="925"/>
      <c r="J5172" s="667">
        <v>16.940000000000001</v>
      </c>
    </row>
    <row r="5173" spans="1:10" ht="0.95" customHeight="1" thickTop="1">
      <c r="A5173" s="666"/>
      <c r="B5173" s="666"/>
      <c r="C5173" s="666"/>
      <c r="D5173" s="666"/>
      <c r="E5173" s="666"/>
      <c r="F5173" s="666"/>
      <c r="G5173" s="666"/>
      <c r="H5173" s="666"/>
      <c r="I5173" s="666"/>
      <c r="J5173" s="666"/>
    </row>
    <row r="5174" spans="1:10" ht="18" customHeight="1">
      <c r="A5174" s="686"/>
      <c r="B5174" s="684" t="s">
        <v>13484</v>
      </c>
      <c r="C5174" s="686" t="s">
        <v>13483</v>
      </c>
      <c r="D5174" s="686" t="s">
        <v>13482</v>
      </c>
      <c r="E5174" s="924" t="s">
        <v>13481</v>
      </c>
      <c r="F5174" s="924"/>
      <c r="G5174" s="685" t="s">
        <v>13480</v>
      </c>
      <c r="H5174" s="684" t="s">
        <v>13479</v>
      </c>
      <c r="I5174" s="684" t="s">
        <v>13478</v>
      </c>
      <c r="J5174" s="684" t="s">
        <v>13477</v>
      </c>
    </row>
    <row r="5175" spans="1:10" ht="36" customHeight="1">
      <c r="A5175" s="682" t="s">
        <v>13476</v>
      </c>
      <c r="B5175" s="683" t="s">
        <v>13823</v>
      </c>
      <c r="C5175" s="682" t="s">
        <v>7</v>
      </c>
      <c r="D5175" s="682" t="s">
        <v>2393</v>
      </c>
      <c r="E5175" s="917" t="s">
        <v>13491</v>
      </c>
      <c r="F5175" s="917"/>
      <c r="G5175" s="681" t="s">
        <v>38</v>
      </c>
      <c r="H5175" s="680">
        <v>1</v>
      </c>
      <c r="I5175" s="679">
        <v>14.17</v>
      </c>
      <c r="J5175" s="679">
        <v>14.17</v>
      </c>
    </row>
    <row r="5176" spans="1:10" ht="36" customHeight="1">
      <c r="A5176" s="677" t="s">
        <v>13472</v>
      </c>
      <c r="B5176" s="678" t="s">
        <v>13817</v>
      </c>
      <c r="C5176" s="677" t="s">
        <v>7</v>
      </c>
      <c r="D5176" s="677" t="s">
        <v>2392</v>
      </c>
      <c r="E5176" s="918" t="s">
        <v>13491</v>
      </c>
      <c r="F5176" s="918"/>
      <c r="G5176" s="676" t="s">
        <v>19</v>
      </c>
      <c r="H5176" s="675">
        <v>1</v>
      </c>
      <c r="I5176" s="674">
        <v>0.65</v>
      </c>
      <c r="J5176" s="674">
        <v>0.65</v>
      </c>
    </row>
    <row r="5177" spans="1:10" ht="36" customHeight="1">
      <c r="A5177" s="677" t="s">
        <v>13472</v>
      </c>
      <c r="B5177" s="678" t="s">
        <v>13822</v>
      </c>
      <c r="C5177" s="677" t="s">
        <v>7</v>
      </c>
      <c r="D5177" s="677" t="s">
        <v>2389</v>
      </c>
      <c r="E5177" s="918" t="s">
        <v>13491</v>
      </c>
      <c r="F5177" s="918"/>
      <c r="G5177" s="676" t="s">
        <v>19</v>
      </c>
      <c r="H5177" s="675">
        <v>1</v>
      </c>
      <c r="I5177" s="674">
        <v>0.33</v>
      </c>
      <c r="J5177" s="674">
        <v>0.33</v>
      </c>
    </row>
    <row r="5178" spans="1:10" ht="36" customHeight="1">
      <c r="A5178" s="677" t="s">
        <v>13472</v>
      </c>
      <c r="B5178" s="678" t="s">
        <v>13820</v>
      </c>
      <c r="C5178" s="677" t="s">
        <v>7</v>
      </c>
      <c r="D5178" s="677" t="s">
        <v>2391</v>
      </c>
      <c r="E5178" s="918" t="s">
        <v>13491</v>
      </c>
      <c r="F5178" s="918"/>
      <c r="G5178" s="676" t="s">
        <v>19</v>
      </c>
      <c r="H5178" s="675">
        <v>1</v>
      </c>
      <c r="I5178" s="674">
        <v>0.31</v>
      </c>
      <c r="J5178" s="674">
        <v>0.31</v>
      </c>
    </row>
    <row r="5179" spans="1:10" ht="36" customHeight="1">
      <c r="A5179" s="677" t="s">
        <v>13472</v>
      </c>
      <c r="B5179" s="678" t="s">
        <v>13821</v>
      </c>
      <c r="C5179" s="677" t="s">
        <v>7</v>
      </c>
      <c r="D5179" s="677" t="s">
        <v>2390</v>
      </c>
      <c r="E5179" s="918" t="s">
        <v>13491</v>
      </c>
      <c r="F5179" s="918"/>
      <c r="G5179" s="676" t="s">
        <v>19</v>
      </c>
      <c r="H5179" s="675">
        <v>1</v>
      </c>
      <c r="I5179" s="674">
        <v>0.03</v>
      </c>
      <c r="J5179" s="674">
        <v>0.03</v>
      </c>
    </row>
    <row r="5180" spans="1:10" ht="24" customHeight="1">
      <c r="A5180" s="677" t="s">
        <v>13472</v>
      </c>
      <c r="B5180" s="678" t="s">
        <v>13682</v>
      </c>
      <c r="C5180" s="677" t="s">
        <v>7</v>
      </c>
      <c r="D5180" s="677" t="s">
        <v>157</v>
      </c>
      <c r="E5180" s="918" t="s">
        <v>13470</v>
      </c>
      <c r="F5180" s="918"/>
      <c r="G5180" s="676" t="s">
        <v>19</v>
      </c>
      <c r="H5180" s="675">
        <v>1</v>
      </c>
      <c r="I5180" s="674">
        <v>12.85</v>
      </c>
      <c r="J5180" s="674">
        <v>12.85</v>
      </c>
    </row>
    <row r="5181" spans="1:10" ht="25.5">
      <c r="A5181" s="668"/>
      <c r="B5181" s="668"/>
      <c r="C5181" s="668"/>
      <c r="D5181" s="668"/>
      <c r="E5181" s="668" t="s">
        <v>13463</v>
      </c>
      <c r="F5181" s="667">
        <v>5.3949799000000001</v>
      </c>
      <c r="G5181" s="668" t="s">
        <v>13462</v>
      </c>
      <c r="H5181" s="667">
        <v>4.54</v>
      </c>
      <c r="I5181" s="668" t="s">
        <v>13461</v>
      </c>
      <c r="J5181" s="667">
        <v>9.93</v>
      </c>
    </row>
    <row r="5182" spans="1:10" ht="15" thickBot="1">
      <c r="A5182" s="668"/>
      <c r="B5182" s="668"/>
      <c r="C5182" s="668"/>
      <c r="D5182" s="668"/>
      <c r="E5182" s="668" t="s">
        <v>13460</v>
      </c>
      <c r="F5182" s="667">
        <v>4</v>
      </c>
      <c r="G5182" s="668"/>
      <c r="H5182" s="925" t="s">
        <v>13459</v>
      </c>
      <c r="I5182" s="925"/>
      <c r="J5182" s="667">
        <v>18.170000000000002</v>
      </c>
    </row>
    <row r="5183" spans="1:10" ht="0.95" customHeight="1" thickTop="1">
      <c r="A5183" s="666"/>
      <c r="B5183" s="666"/>
      <c r="C5183" s="666"/>
      <c r="D5183" s="666"/>
      <c r="E5183" s="666"/>
      <c r="F5183" s="666"/>
      <c r="G5183" s="666"/>
      <c r="H5183" s="666"/>
      <c r="I5183" s="666"/>
      <c r="J5183" s="666"/>
    </row>
    <row r="5184" spans="1:10" ht="18" customHeight="1">
      <c r="A5184" s="686"/>
      <c r="B5184" s="684" t="s">
        <v>13484</v>
      </c>
      <c r="C5184" s="686" t="s">
        <v>13483</v>
      </c>
      <c r="D5184" s="686" t="s">
        <v>13482</v>
      </c>
      <c r="E5184" s="924" t="s">
        <v>13481</v>
      </c>
      <c r="F5184" s="924"/>
      <c r="G5184" s="685" t="s">
        <v>13480</v>
      </c>
      <c r="H5184" s="684" t="s">
        <v>13479</v>
      </c>
      <c r="I5184" s="684" t="s">
        <v>13478</v>
      </c>
      <c r="J5184" s="684" t="s">
        <v>13477</v>
      </c>
    </row>
    <row r="5185" spans="1:10" ht="36" customHeight="1">
      <c r="A5185" s="682" t="s">
        <v>13476</v>
      </c>
      <c r="B5185" s="683" t="s">
        <v>13822</v>
      </c>
      <c r="C5185" s="682" t="s">
        <v>7</v>
      </c>
      <c r="D5185" s="682" t="s">
        <v>2389</v>
      </c>
      <c r="E5185" s="917" t="s">
        <v>13491</v>
      </c>
      <c r="F5185" s="917"/>
      <c r="G5185" s="681" t="s">
        <v>19</v>
      </c>
      <c r="H5185" s="680">
        <v>1</v>
      </c>
      <c r="I5185" s="679">
        <v>0.33</v>
      </c>
      <c r="J5185" s="679">
        <v>0.33</v>
      </c>
    </row>
    <row r="5186" spans="1:10" ht="24" customHeight="1">
      <c r="A5186" s="672" t="s">
        <v>13467</v>
      </c>
      <c r="B5186" s="673" t="s">
        <v>13819</v>
      </c>
      <c r="C5186" s="672" t="s">
        <v>7</v>
      </c>
      <c r="D5186" s="672" t="s">
        <v>13818</v>
      </c>
      <c r="E5186" s="919" t="s">
        <v>13493</v>
      </c>
      <c r="F5186" s="919"/>
      <c r="G5186" s="671" t="s">
        <v>34</v>
      </c>
      <c r="H5186" s="670">
        <v>6.3999999999999997E-5</v>
      </c>
      <c r="I5186" s="669">
        <v>5193.7</v>
      </c>
      <c r="J5186" s="669">
        <v>0.33</v>
      </c>
    </row>
    <row r="5187" spans="1:10" ht="25.5">
      <c r="A5187" s="668"/>
      <c r="B5187" s="668"/>
      <c r="C5187" s="668"/>
      <c r="D5187" s="668"/>
      <c r="E5187" s="668" t="s">
        <v>13463</v>
      </c>
      <c r="F5187" s="667">
        <v>0</v>
      </c>
      <c r="G5187" s="668" t="s">
        <v>13462</v>
      </c>
      <c r="H5187" s="667">
        <v>0</v>
      </c>
      <c r="I5187" s="668" t="s">
        <v>13461</v>
      </c>
      <c r="J5187" s="667">
        <v>0</v>
      </c>
    </row>
    <row r="5188" spans="1:10" ht="15" thickBot="1">
      <c r="A5188" s="668"/>
      <c r="B5188" s="668"/>
      <c r="C5188" s="668"/>
      <c r="D5188" s="668"/>
      <c r="E5188" s="668" t="s">
        <v>13460</v>
      </c>
      <c r="F5188" s="667">
        <v>0.09</v>
      </c>
      <c r="G5188" s="668"/>
      <c r="H5188" s="925" t="s">
        <v>13459</v>
      </c>
      <c r="I5188" s="925"/>
      <c r="J5188" s="667">
        <v>0.42</v>
      </c>
    </row>
    <row r="5189" spans="1:10" ht="0.95" customHeight="1" thickTop="1">
      <c r="A5189" s="666"/>
      <c r="B5189" s="666"/>
      <c r="C5189" s="666"/>
      <c r="D5189" s="666"/>
      <c r="E5189" s="666"/>
      <c r="F5189" s="666"/>
      <c r="G5189" s="666"/>
      <c r="H5189" s="666"/>
      <c r="I5189" s="666"/>
      <c r="J5189" s="666"/>
    </row>
    <row r="5190" spans="1:10" ht="18" customHeight="1">
      <c r="A5190" s="686"/>
      <c r="B5190" s="684" t="s">
        <v>13484</v>
      </c>
      <c r="C5190" s="686" t="s">
        <v>13483</v>
      </c>
      <c r="D5190" s="686" t="s">
        <v>13482</v>
      </c>
      <c r="E5190" s="924" t="s">
        <v>13481</v>
      </c>
      <c r="F5190" s="924"/>
      <c r="G5190" s="685" t="s">
        <v>13480</v>
      </c>
      <c r="H5190" s="684" t="s">
        <v>13479</v>
      </c>
      <c r="I5190" s="684" t="s">
        <v>13478</v>
      </c>
      <c r="J5190" s="684" t="s">
        <v>13477</v>
      </c>
    </row>
    <row r="5191" spans="1:10" ht="36" customHeight="1">
      <c r="A5191" s="682" t="s">
        <v>13476</v>
      </c>
      <c r="B5191" s="683" t="s">
        <v>13821</v>
      </c>
      <c r="C5191" s="682" t="s">
        <v>7</v>
      </c>
      <c r="D5191" s="682" t="s">
        <v>2390</v>
      </c>
      <c r="E5191" s="917" t="s">
        <v>13491</v>
      </c>
      <c r="F5191" s="917"/>
      <c r="G5191" s="681" t="s">
        <v>19</v>
      </c>
      <c r="H5191" s="680">
        <v>1</v>
      </c>
      <c r="I5191" s="679">
        <v>0.03</v>
      </c>
      <c r="J5191" s="679">
        <v>0.03</v>
      </c>
    </row>
    <row r="5192" spans="1:10" ht="24" customHeight="1">
      <c r="A5192" s="672" t="s">
        <v>13467</v>
      </c>
      <c r="B5192" s="673" t="s">
        <v>13819</v>
      </c>
      <c r="C5192" s="672" t="s">
        <v>7</v>
      </c>
      <c r="D5192" s="672" t="s">
        <v>13818</v>
      </c>
      <c r="E5192" s="919" t="s">
        <v>13493</v>
      </c>
      <c r="F5192" s="919"/>
      <c r="G5192" s="671" t="s">
        <v>34</v>
      </c>
      <c r="H5192" s="670">
        <v>7.6000000000000001E-6</v>
      </c>
      <c r="I5192" s="669">
        <v>5193.7</v>
      </c>
      <c r="J5192" s="669">
        <v>0.03</v>
      </c>
    </row>
    <row r="5193" spans="1:10" ht="25.5">
      <c r="A5193" s="668"/>
      <c r="B5193" s="668"/>
      <c r="C5193" s="668"/>
      <c r="D5193" s="668"/>
      <c r="E5193" s="668" t="s">
        <v>13463</v>
      </c>
      <c r="F5193" s="667">
        <v>0</v>
      </c>
      <c r="G5193" s="668" t="s">
        <v>13462</v>
      </c>
      <c r="H5193" s="667">
        <v>0</v>
      </c>
      <c r="I5193" s="668" t="s">
        <v>13461</v>
      </c>
      <c r="J5193" s="667">
        <v>0</v>
      </c>
    </row>
    <row r="5194" spans="1:10" ht="15" thickBot="1">
      <c r="A5194" s="668"/>
      <c r="B5194" s="668"/>
      <c r="C5194" s="668"/>
      <c r="D5194" s="668"/>
      <c r="E5194" s="668" t="s">
        <v>13460</v>
      </c>
      <c r="F5194" s="667">
        <v>0</v>
      </c>
      <c r="G5194" s="668"/>
      <c r="H5194" s="925" t="s">
        <v>13459</v>
      </c>
      <c r="I5194" s="925"/>
      <c r="J5194" s="667">
        <v>0.03</v>
      </c>
    </row>
    <row r="5195" spans="1:10" ht="0.95" customHeight="1" thickTop="1">
      <c r="A5195" s="666"/>
      <c r="B5195" s="666"/>
      <c r="C5195" s="666"/>
      <c r="D5195" s="666"/>
      <c r="E5195" s="666"/>
      <c r="F5195" s="666"/>
      <c r="G5195" s="666"/>
      <c r="H5195" s="666"/>
      <c r="I5195" s="666"/>
      <c r="J5195" s="666"/>
    </row>
    <row r="5196" spans="1:10" ht="18" customHeight="1">
      <c r="A5196" s="686"/>
      <c r="B5196" s="684" t="s">
        <v>13484</v>
      </c>
      <c r="C5196" s="686" t="s">
        <v>13483</v>
      </c>
      <c r="D5196" s="686" t="s">
        <v>13482</v>
      </c>
      <c r="E5196" s="924" t="s">
        <v>13481</v>
      </c>
      <c r="F5196" s="924"/>
      <c r="G5196" s="685" t="s">
        <v>13480</v>
      </c>
      <c r="H5196" s="684" t="s">
        <v>13479</v>
      </c>
      <c r="I5196" s="684" t="s">
        <v>13478</v>
      </c>
      <c r="J5196" s="684" t="s">
        <v>13477</v>
      </c>
    </row>
    <row r="5197" spans="1:10" ht="36" customHeight="1">
      <c r="A5197" s="682" t="s">
        <v>13476</v>
      </c>
      <c r="B5197" s="683" t="s">
        <v>13820</v>
      </c>
      <c r="C5197" s="682" t="s">
        <v>7</v>
      </c>
      <c r="D5197" s="682" t="s">
        <v>2391</v>
      </c>
      <c r="E5197" s="917" t="s">
        <v>13491</v>
      </c>
      <c r="F5197" s="917"/>
      <c r="G5197" s="681" t="s">
        <v>19</v>
      </c>
      <c r="H5197" s="680">
        <v>1</v>
      </c>
      <c r="I5197" s="679">
        <v>0.31</v>
      </c>
      <c r="J5197" s="679">
        <v>0.31</v>
      </c>
    </row>
    <row r="5198" spans="1:10" ht="24" customHeight="1">
      <c r="A5198" s="672" t="s">
        <v>13467</v>
      </c>
      <c r="B5198" s="673" t="s">
        <v>13819</v>
      </c>
      <c r="C5198" s="672" t="s">
        <v>7</v>
      </c>
      <c r="D5198" s="672" t="s">
        <v>13818</v>
      </c>
      <c r="E5198" s="919" t="s">
        <v>13493</v>
      </c>
      <c r="F5198" s="919"/>
      <c r="G5198" s="671" t="s">
        <v>34</v>
      </c>
      <c r="H5198" s="670">
        <v>6.0000000000000002E-5</v>
      </c>
      <c r="I5198" s="669">
        <v>5193.7</v>
      </c>
      <c r="J5198" s="669">
        <v>0.31</v>
      </c>
    </row>
    <row r="5199" spans="1:10" ht="25.5">
      <c r="A5199" s="668"/>
      <c r="B5199" s="668"/>
      <c r="C5199" s="668"/>
      <c r="D5199" s="668"/>
      <c r="E5199" s="668" t="s">
        <v>13463</v>
      </c>
      <c r="F5199" s="667">
        <v>0</v>
      </c>
      <c r="G5199" s="668" t="s">
        <v>13462</v>
      </c>
      <c r="H5199" s="667">
        <v>0</v>
      </c>
      <c r="I5199" s="668" t="s">
        <v>13461</v>
      </c>
      <c r="J5199" s="667">
        <v>0</v>
      </c>
    </row>
    <row r="5200" spans="1:10" ht="15" thickBot="1">
      <c r="A5200" s="668"/>
      <c r="B5200" s="668"/>
      <c r="C5200" s="668"/>
      <c r="D5200" s="668"/>
      <c r="E5200" s="668" t="s">
        <v>13460</v>
      </c>
      <c r="F5200" s="667">
        <v>0.08</v>
      </c>
      <c r="G5200" s="668"/>
      <c r="H5200" s="925" t="s">
        <v>13459</v>
      </c>
      <c r="I5200" s="925"/>
      <c r="J5200" s="667">
        <v>0.39</v>
      </c>
    </row>
    <row r="5201" spans="1:10" ht="0.95" customHeight="1" thickTop="1">
      <c r="A5201" s="666"/>
      <c r="B5201" s="666"/>
      <c r="C5201" s="666"/>
      <c r="D5201" s="666"/>
      <c r="E5201" s="666"/>
      <c r="F5201" s="666"/>
      <c r="G5201" s="666"/>
      <c r="H5201" s="666"/>
      <c r="I5201" s="666"/>
      <c r="J5201" s="666"/>
    </row>
    <row r="5202" spans="1:10" ht="18" customHeight="1">
      <c r="A5202" s="686"/>
      <c r="B5202" s="684" t="s">
        <v>13484</v>
      </c>
      <c r="C5202" s="686" t="s">
        <v>13483</v>
      </c>
      <c r="D5202" s="686" t="s">
        <v>13482</v>
      </c>
      <c r="E5202" s="924" t="s">
        <v>13481</v>
      </c>
      <c r="F5202" s="924"/>
      <c r="G5202" s="685" t="s">
        <v>13480</v>
      </c>
      <c r="H5202" s="684" t="s">
        <v>13479</v>
      </c>
      <c r="I5202" s="684" t="s">
        <v>13478</v>
      </c>
      <c r="J5202" s="684" t="s">
        <v>13477</v>
      </c>
    </row>
    <row r="5203" spans="1:10" ht="36" customHeight="1">
      <c r="A5203" s="682" t="s">
        <v>13476</v>
      </c>
      <c r="B5203" s="683" t="s">
        <v>13817</v>
      </c>
      <c r="C5203" s="682" t="s">
        <v>7</v>
      </c>
      <c r="D5203" s="682" t="s">
        <v>2392</v>
      </c>
      <c r="E5203" s="917" t="s">
        <v>13491</v>
      </c>
      <c r="F5203" s="917"/>
      <c r="G5203" s="681" t="s">
        <v>19</v>
      </c>
      <c r="H5203" s="680">
        <v>1</v>
      </c>
      <c r="I5203" s="679">
        <v>0.65</v>
      </c>
      <c r="J5203" s="679">
        <v>0.65</v>
      </c>
    </row>
    <row r="5204" spans="1:10" ht="24" customHeight="1">
      <c r="A5204" s="672" t="s">
        <v>13467</v>
      </c>
      <c r="B5204" s="673" t="s">
        <v>13490</v>
      </c>
      <c r="C5204" s="672" t="s">
        <v>7</v>
      </c>
      <c r="D5204" s="672" t="s">
        <v>13489</v>
      </c>
      <c r="E5204" s="919" t="s">
        <v>13464</v>
      </c>
      <c r="F5204" s="919"/>
      <c r="G5204" s="671" t="s">
        <v>13488</v>
      </c>
      <c r="H5204" s="670">
        <v>0.78</v>
      </c>
      <c r="I5204" s="669">
        <v>0.84</v>
      </c>
      <c r="J5204" s="669">
        <v>0.65</v>
      </c>
    </row>
    <row r="5205" spans="1:10" ht="25.5">
      <c r="A5205" s="668"/>
      <c r="B5205" s="668"/>
      <c r="C5205" s="668"/>
      <c r="D5205" s="668"/>
      <c r="E5205" s="668" t="s">
        <v>13463</v>
      </c>
      <c r="F5205" s="667">
        <v>0</v>
      </c>
      <c r="G5205" s="668" t="s">
        <v>13462</v>
      </c>
      <c r="H5205" s="667">
        <v>0</v>
      </c>
      <c r="I5205" s="668" t="s">
        <v>13461</v>
      </c>
      <c r="J5205" s="667">
        <v>0</v>
      </c>
    </row>
    <row r="5206" spans="1:10" ht="15" thickBot="1">
      <c r="A5206" s="668"/>
      <c r="B5206" s="668"/>
      <c r="C5206" s="668"/>
      <c r="D5206" s="668"/>
      <c r="E5206" s="668" t="s">
        <v>13460</v>
      </c>
      <c r="F5206" s="667">
        <v>0.18</v>
      </c>
      <c r="G5206" s="668"/>
      <c r="H5206" s="925" t="s">
        <v>13459</v>
      </c>
      <c r="I5206" s="925"/>
      <c r="J5206" s="667">
        <v>0.83</v>
      </c>
    </row>
    <row r="5207" spans="1:10" ht="0.95" customHeight="1" thickTop="1">
      <c r="A5207" s="666"/>
      <c r="B5207" s="666"/>
      <c r="C5207" s="666"/>
      <c r="D5207" s="666"/>
      <c r="E5207" s="666"/>
      <c r="F5207" s="666"/>
      <c r="G5207" s="666"/>
      <c r="H5207" s="666"/>
      <c r="I5207" s="666"/>
      <c r="J5207" s="666"/>
    </row>
    <row r="5208" spans="1:10" ht="18" customHeight="1">
      <c r="A5208" s="686"/>
      <c r="B5208" s="684" t="s">
        <v>13484</v>
      </c>
      <c r="C5208" s="686" t="s">
        <v>13483</v>
      </c>
      <c r="D5208" s="686" t="s">
        <v>13482</v>
      </c>
      <c r="E5208" s="924" t="s">
        <v>13481</v>
      </c>
      <c r="F5208" s="924"/>
      <c r="G5208" s="685" t="s">
        <v>13480</v>
      </c>
      <c r="H5208" s="684" t="s">
        <v>13479</v>
      </c>
      <c r="I5208" s="684" t="s">
        <v>13478</v>
      </c>
      <c r="J5208" s="684" t="s">
        <v>13477</v>
      </c>
    </row>
    <row r="5209" spans="1:10" ht="36" customHeight="1">
      <c r="A5209" s="682" t="s">
        <v>13476</v>
      </c>
      <c r="B5209" s="683" t="s">
        <v>13816</v>
      </c>
      <c r="C5209" s="682" t="s">
        <v>7</v>
      </c>
      <c r="D5209" s="682" t="s">
        <v>1239</v>
      </c>
      <c r="E5209" s="917" t="s">
        <v>13491</v>
      </c>
      <c r="F5209" s="917"/>
      <c r="G5209" s="681" t="s">
        <v>19</v>
      </c>
      <c r="H5209" s="680">
        <v>1</v>
      </c>
      <c r="I5209" s="679">
        <v>42.45</v>
      </c>
      <c r="J5209" s="679">
        <v>42.45</v>
      </c>
    </row>
    <row r="5210" spans="1:10" ht="36" customHeight="1">
      <c r="A5210" s="672" t="s">
        <v>13467</v>
      </c>
      <c r="B5210" s="673" t="s">
        <v>13812</v>
      </c>
      <c r="C5210" s="672" t="s">
        <v>7</v>
      </c>
      <c r="D5210" s="672" t="s">
        <v>13811</v>
      </c>
      <c r="E5210" s="919" t="s">
        <v>13493</v>
      </c>
      <c r="F5210" s="919"/>
      <c r="G5210" s="671" t="s">
        <v>34</v>
      </c>
      <c r="H5210" s="670">
        <v>4.0000000000000003E-5</v>
      </c>
      <c r="I5210" s="669">
        <v>1061499.48</v>
      </c>
      <c r="J5210" s="669">
        <v>42.45</v>
      </c>
    </row>
    <row r="5211" spans="1:10" ht="25.5">
      <c r="A5211" s="668"/>
      <c r="B5211" s="668"/>
      <c r="C5211" s="668"/>
      <c r="D5211" s="668"/>
      <c r="E5211" s="668" t="s">
        <v>13463</v>
      </c>
      <c r="F5211" s="667">
        <v>0</v>
      </c>
      <c r="G5211" s="668" t="s">
        <v>13462</v>
      </c>
      <c r="H5211" s="667">
        <v>0</v>
      </c>
      <c r="I5211" s="668" t="s">
        <v>13461</v>
      </c>
      <c r="J5211" s="667">
        <v>0</v>
      </c>
    </row>
    <row r="5212" spans="1:10" ht="15" thickBot="1">
      <c r="A5212" s="668"/>
      <c r="B5212" s="668"/>
      <c r="C5212" s="668"/>
      <c r="D5212" s="668"/>
      <c r="E5212" s="668" t="s">
        <v>13460</v>
      </c>
      <c r="F5212" s="667">
        <v>11.98</v>
      </c>
      <c r="G5212" s="668"/>
      <c r="H5212" s="925" t="s">
        <v>13459</v>
      </c>
      <c r="I5212" s="925"/>
      <c r="J5212" s="667">
        <v>54.43</v>
      </c>
    </row>
    <row r="5213" spans="1:10" ht="0.95" customHeight="1" thickTop="1">
      <c r="A5213" s="666"/>
      <c r="B5213" s="666"/>
      <c r="C5213" s="666"/>
      <c r="D5213" s="666"/>
      <c r="E5213" s="666"/>
      <c r="F5213" s="666"/>
      <c r="G5213" s="666"/>
      <c r="H5213" s="666"/>
      <c r="I5213" s="666"/>
      <c r="J5213" s="666"/>
    </row>
    <row r="5214" spans="1:10" ht="18" customHeight="1">
      <c r="A5214" s="686"/>
      <c r="B5214" s="684" t="s">
        <v>13484</v>
      </c>
      <c r="C5214" s="686" t="s">
        <v>13483</v>
      </c>
      <c r="D5214" s="686" t="s">
        <v>13482</v>
      </c>
      <c r="E5214" s="924" t="s">
        <v>13481</v>
      </c>
      <c r="F5214" s="924"/>
      <c r="G5214" s="685" t="s">
        <v>13480</v>
      </c>
      <c r="H5214" s="684" t="s">
        <v>13479</v>
      </c>
      <c r="I5214" s="684" t="s">
        <v>13478</v>
      </c>
      <c r="J5214" s="684" t="s">
        <v>13477</v>
      </c>
    </row>
    <row r="5215" spans="1:10" ht="48" customHeight="1">
      <c r="A5215" s="682" t="s">
        <v>13476</v>
      </c>
      <c r="B5215" s="683" t="s">
        <v>13815</v>
      </c>
      <c r="C5215" s="682" t="s">
        <v>7</v>
      </c>
      <c r="D5215" s="682" t="s">
        <v>1241</v>
      </c>
      <c r="E5215" s="917" t="s">
        <v>13491</v>
      </c>
      <c r="F5215" s="917"/>
      <c r="G5215" s="681" t="s">
        <v>19</v>
      </c>
      <c r="H5215" s="680">
        <v>1</v>
      </c>
      <c r="I5215" s="679">
        <v>2.97</v>
      </c>
      <c r="J5215" s="679">
        <v>2.97</v>
      </c>
    </row>
    <row r="5216" spans="1:10" ht="36" customHeight="1">
      <c r="A5216" s="672" t="s">
        <v>13467</v>
      </c>
      <c r="B5216" s="673" t="s">
        <v>13812</v>
      </c>
      <c r="C5216" s="672" t="s">
        <v>7</v>
      </c>
      <c r="D5216" s="672" t="s">
        <v>13811</v>
      </c>
      <c r="E5216" s="919" t="s">
        <v>13493</v>
      </c>
      <c r="F5216" s="919"/>
      <c r="G5216" s="671" t="s">
        <v>34</v>
      </c>
      <c r="H5216" s="670">
        <v>2.7999999999999999E-6</v>
      </c>
      <c r="I5216" s="669">
        <v>1061499.48</v>
      </c>
      <c r="J5216" s="669">
        <v>2.97</v>
      </c>
    </row>
    <row r="5217" spans="1:10" ht="25.5">
      <c r="A5217" s="668"/>
      <c r="B5217" s="668"/>
      <c r="C5217" s="668"/>
      <c r="D5217" s="668"/>
      <c r="E5217" s="668" t="s">
        <v>13463</v>
      </c>
      <c r="F5217" s="667">
        <v>0</v>
      </c>
      <c r="G5217" s="668" t="s">
        <v>13462</v>
      </c>
      <c r="H5217" s="667">
        <v>0</v>
      </c>
      <c r="I5217" s="668" t="s">
        <v>13461</v>
      </c>
      <c r="J5217" s="667">
        <v>0</v>
      </c>
    </row>
    <row r="5218" spans="1:10" ht="15" thickBot="1">
      <c r="A5218" s="668"/>
      <c r="B5218" s="668"/>
      <c r="C5218" s="668"/>
      <c r="D5218" s="668"/>
      <c r="E5218" s="668" t="s">
        <v>13460</v>
      </c>
      <c r="F5218" s="667">
        <v>0.83</v>
      </c>
      <c r="G5218" s="668"/>
      <c r="H5218" s="925" t="s">
        <v>13459</v>
      </c>
      <c r="I5218" s="925"/>
      <c r="J5218" s="667">
        <v>3.8</v>
      </c>
    </row>
    <row r="5219" spans="1:10" ht="0.95" customHeight="1" thickTop="1">
      <c r="A5219" s="666"/>
      <c r="B5219" s="666"/>
      <c r="C5219" s="666"/>
      <c r="D5219" s="666"/>
      <c r="E5219" s="666"/>
      <c r="F5219" s="666"/>
      <c r="G5219" s="666"/>
      <c r="H5219" s="666"/>
      <c r="I5219" s="666"/>
      <c r="J5219" s="666"/>
    </row>
    <row r="5220" spans="1:10" ht="18" customHeight="1">
      <c r="A5220" s="686"/>
      <c r="B5220" s="684" t="s">
        <v>13484</v>
      </c>
      <c r="C5220" s="686" t="s">
        <v>13483</v>
      </c>
      <c r="D5220" s="686" t="s">
        <v>13482</v>
      </c>
      <c r="E5220" s="924" t="s">
        <v>13481</v>
      </c>
      <c r="F5220" s="924"/>
      <c r="G5220" s="685" t="s">
        <v>13480</v>
      </c>
      <c r="H5220" s="684" t="s">
        <v>13479</v>
      </c>
      <c r="I5220" s="684" t="s">
        <v>13478</v>
      </c>
      <c r="J5220" s="684" t="s">
        <v>13477</v>
      </c>
    </row>
    <row r="5221" spans="1:10" ht="36" customHeight="1">
      <c r="A5221" s="682" t="s">
        <v>13476</v>
      </c>
      <c r="B5221" s="683" t="s">
        <v>13814</v>
      </c>
      <c r="C5221" s="682" t="s">
        <v>7</v>
      </c>
      <c r="D5221" s="682" t="s">
        <v>1240</v>
      </c>
      <c r="E5221" s="917" t="s">
        <v>13491</v>
      </c>
      <c r="F5221" s="917"/>
      <c r="G5221" s="681" t="s">
        <v>19</v>
      </c>
      <c r="H5221" s="680">
        <v>1</v>
      </c>
      <c r="I5221" s="679">
        <v>7.64</v>
      </c>
      <c r="J5221" s="679">
        <v>7.64</v>
      </c>
    </row>
    <row r="5222" spans="1:10" ht="36" customHeight="1">
      <c r="A5222" s="672" t="s">
        <v>13467</v>
      </c>
      <c r="B5222" s="673" t="s">
        <v>13812</v>
      </c>
      <c r="C5222" s="672" t="s">
        <v>7</v>
      </c>
      <c r="D5222" s="672" t="s">
        <v>13811</v>
      </c>
      <c r="E5222" s="919" t="s">
        <v>13493</v>
      </c>
      <c r="F5222" s="919"/>
      <c r="G5222" s="671" t="s">
        <v>34</v>
      </c>
      <c r="H5222" s="670">
        <v>7.1999999999999997E-6</v>
      </c>
      <c r="I5222" s="669">
        <v>1061499.48</v>
      </c>
      <c r="J5222" s="669">
        <v>7.64</v>
      </c>
    </row>
    <row r="5223" spans="1:10" ht="25.5">
      <c r="A5223" s="668"/>
      <c r="B5223" s="668"/>
      <c r="C5223" s="668"/>
      <c r="D5223" s="668"/>
      <c r="E5223" s="668" t="s">
        <v>13463</v>
      </c>
      <c r="F5223" s="667">
        <v>0</v>
      </c>
      <c r="G5223" s="668" t="s">
        <v>13462</v>
      </c>
      <c r="H5223" s="667">
        <v>0</v>
      </c>
      <c r="I5223" s="668" t="s">
        <v>13461</v>
      </c>
      <c r="J5223" s="667">
        <v>0</v>
      </c>
    </row>
    <row r="5224" spans="1:10" ht="15" thickBot="1">
      <c r="A5224" s="668"/>
      <c r="B5224" s="668"/>
      <c r="C5224" s="668"/>
      <c r="D5224" s="668"/>
      <c r="E5224" s="668" t="s">
        <v>13460</v>
      </c>
      <c r="F5224" s="667">
        <v>2.15</v>
      </c>
      <c r="G5224" s="668"/>
      <c r="H5224" s="925" t="s">
        <v>13459</v>
      </c>
      <c r="I5224" s="925"/>
      <c r="J5224" s="667">
        <v>9.7899999999999991</v>
      </c>
    </row>
    <row r="5225" spans="1:10" ht="0.95" customHeight="1" thickTop="1">
      <c r="A5225" s="666"/>
      <c r="B5225" s="666"/>
      <c r="C5225" s="666"/>
      <c r="D5225" s="666"/>
      <c r="E5225" s="666"/>
      <c r="F5225" s="666"/>
      <c r="G5225" s="666"/>
      <c r="H5225" s="666"/>
      <c r="I5225" s="666"/>
      <c r="J5225" s="666"/>
    </row>
    <row r="5226" spans="1:10" ht="18" customHeight="1">
      <c r="A5226" s="686"/>
      <c r="B5226" s="684" t="s">
        <v>13484</v>
      </c>
      <c r="C5226" s="686" t="s">
        <v>13483</v>
      </c>
      <c r="D5226" s="686" t="s">
        <v>13482</v>
      </c>
      <c r="E5226" s="924" t="s">
        <v>13481</v>
      </c>
      <c r="F5226" s="924"/>
      <c r="G5226" s="685" t="s">
        <v>13480</v>
      </c>
      <c r="H5226" s="684" t="s">
        <v>13479</v>
      </c>
      <c r="I5226" s="684" t="s">
        <v>13478</v>
      </c>
      <c r="J5226" s="684" t="s">
        <v>13477</v>
      </c>
    </row>
    <row r="5227" spans="1:10" ht="36" customHeight="1">
      <c r="A5227" s="682" t="s">
        <v>13476</v>
      </c>
      <c r="B5227" s="683" t="s">
        <v>13813</v>
      </c>
      <c r="C5227" s="682" t="s">
        <v>7</v>
      </c>
      <c r="D5227" s="682" t="s">
        <v>1242</v>
      </c>
      <c r="E5227" s="917" t="s">
        <v>13491</v>
      </c>
      <c r="F5227" s="917"/>
      <c r="G5227" s="681" t="s">
        <v>19</v>
      </c>
      <c r="H5227" s="680">
        <v>1</v>
      </c>
      <c r="I5227" s="679">
        <v>68.25</v>
      </c>
      <c r="J5227" s="679">
        <v>68.25</v>
      </c>
    </row>
    <row r="5228" spans="1:10" ht="36" customHeight="1">
      <c r="A5228" s="672" t="s">
        <v>13467</v>
      </c>
      <c r="B5228" s="673" t="s">
        <v>13812</v>
      </c>
      <c r="C5228" s="672" t="s">
        <v>7</v>
      </c>
      <c r="D5228" s="672" t="s">
        <v>13811</v>
      </c>
      <c r="E5228" s="919" t="s">
        <v>13493</v>
      </c>
      <c r="F5228" s="919"/>
      <c r="G5228" s="671" t="s">
        <v>34</v>
      </c>
      <c r="H5228" s="670">
        <v>6.4300000000000004E-5</v>
      </c>
      <c r="I5228" s="669">
        <v>1061499.48</v>
      </c>
      <c r="J5228" s="669">
        <v>68.25</v>
      </c>
    </row>
    <row r="5229" spans="1:10" ht="25.5">
      <c r="A5229" s="668"/>
      <c r="B5229" s="668"/>
      <c r="C5229" s="668"/>
      <c r="D5229" s="668"/>
      <c r="E5229" s="668" t="s">
        <v>13463</v>
      </c>
      <c r="F5229" s="667">
        <v>0</v>
      </c>
      <c r="G5229" s="668" t="s">
        <v>13462</v>
      </c>
      <c r="H5229" s="667">
        <v>0</v>
      </c>
      <c r="I5229" s="668" t="s">
        <v>13461</v>
      </c>
      <c r="J5229" s="667">
        <v>0</v>
      </c>
    </row>
    <row r="5230" spans="1:10" ht="15" thickBot="1">
      <c r="A5230" s="668"/>
      <c r="B5230" s="668"/>
      <c r="C5230" s="668"/>
      <c r="D5230" s="668"/>
      <c r="E5230" s="668" t="s">
        <v>13460</v>
      </c>
      <c r="F5230" s="667">
        <v>19.27</v>
      </c>
      <c r="G5230" s="668"/>
      <c r="H5230" s="925" t="s">
        <v>13459</v>
      </c>
      <c r="I5230" s="925"/>
      <c r="J5230" s="667">
        <v>87.52</v>
      </c>
    </row>
    <row r="5231" spans="1:10" ht="0.95" customHeight="1" thickTop="1">
      <c r="A5231" s="666"/>
      <c r="B5231" s="666"/>
      <c r="C5231" s="666"/>
      <c r="D5231" s="666"/>
      <c r="E5231" s="666"/>
      <c r="F5231" s="666"/>
      <c r="G5231" s="666"/>
      <c r="H5231" s="666"/>
      <c r="I5231" s="666"/>
      <c r="J5231" s="666"/>
    </row>
    <row r="5232" spans="1:10" ht="18" customHeight="1">
      <c r="A5232" s="686"/>
      <c r="B5232" s="684" t="s">
        <v>13484</v>
      </c>
      <c r="C5232" s="686" t="s">
        <v>13483</v>
      </c>
      <c r="D5232" s="686" t="s">
        <v>13482</v>
      </c>
      <c r="E5232" s="924" t="s">
        <v>13481</v>
      </c>
      <c r="F5232" s="924"/>
      <c r="G5232" s="685" t="s">
        <v>13480</v>
      </c>
      <c r="H5232" s="684" t="s">
        <v>13479</v>
      </c>
      <c r="I5232" s="684" t="s">
        <v>13478</v>
      </c>
      <c r="J5232" s="684" t="s">
        <v>13477</v>
      </c>
    </row>
    <row r="5233" spans="1:10" ht="48" customHeight="1">
      <c r="A5233" s="682" t="s">
        <v>13476</v>
      </c>
      <c r="B5233" s="683" t="s">
        <v>13810</v>
      </c>
      <c r="C5233" s="682" t="s">
        <v>7</v>
      </c>
      <c r="D5233" s="682" t="s">
        <v>1243</v>
      </c>
      <c r="E5233" s="917" t="s">
        <v>13491</v>
      </c>
      <c r="F5233" s="917"/>
      <c r="G5233" s="681" t="s">
        <v>19</v>
      </c>
      <c r="H5233" s="680">
        <v>1</v>
      </c>
      <c r="I5233" s="679">
        <v>23.91</v>
      </c>
      <c r="J5233" s="679">
        <v>23.91</v>
      </c>
    </row>
    <row r="5234" spans="1:10" ht="24" customHeight="1">
      <c r="A5234" s="672" t="s">
        <v>13467</v>
      </c>
      <c r="B5234" s="673" t="s">
        <v>13580</v>
      </c>
      <c r="C5234" s="672" t="s">
        <v>7</v>
      </c>
      <c r="D5234" s="672" t="s">
        <v>13579</v>
      </c>
      <c r="E5234" s="919" t="s">
        <v>13464</v>
      </c>
      <c r="F5234" s="919"/>
      <c r="G5234" s="671" t="s">
        <v>50</v>
      </c>
      <c r="H5234" s="670">
        <v>4.8499999999999996</v>
      </c>
      <c r="I5234" s="669">
        <v>4.93</v>
      </c>
      <c r="J5234" s="669">
        <v>23.91</v>
      </c>
    </row>
    <row r="5235" spans="1:10" ht="25.5">
      <c r="A5235" s="668"/>
      <c r="B5235" s="668"/>
      <c r="C5235" s="668"/>
      <c r="D5235" s="668"/>
      <c r="E5235" s="668" t="s">
        <v>13463</v>
      </c>
      <c r="F5235" s="667">
        <v>0</v>
      </c>
      <c r="G5235" s="668" t="s">
        <v>13462</v>
      </c>
      <c r="H5235" s="667">
        <v>0</v>
      </c>
      <c r="I5235" s="668" t="s">
        <v>13461</v>
      </c>
      <c r="J5235" s="667">
        <v>0</v>
      </c>
    </row>
    <row r="5236" spans="1:10" ht="15" thickBot="1">
      <c r="A5236" s="668"/>
      <c r="B5236" s="668"/>
      <c r="C5236" s="668"/>
      <c r="D5236" s="668"/>
      <c r="E5236" s="668" t="s">
        <v>13460</v>
      </c>
      <c r="F5236" s="667">
        <v>6.75</v>
      </c>
      <c r="G5236" s="668"/>
      <c r="H5236" s="925" t="s">
        <v>13459</v>
      </c>
      <c r="I5236" s="925"/>
      <c r="J5236" s="667">
        <v>30.66</v>
      </c>
    </row>
    <row r="5237" spans="1:10" ht="0.95" customHeight="1" thickTop="1">
      <c r="A5237" s="666"/>
      <c r="B5237" s="666"/>
      <c r="C5237" s="666"/>
      <c r="D5237" s="666"/>
      <c r="E5237" s="666"/>
      <c r="F5237" s="666"/>
      <c r="G5237" s="666"/>
      <c r="H5237" s="666"/>
      <c r="I5237" s="666"/>
      <c r="J5237" s="666"/>
    </row>
    <row r="5238" spans="1:10" ht="18" customHeight="1">
      <c r="A5238" s="686"/>
      <c r="B5238" s="684" t="s">
        <v>13484</v>
      </c>
      <c r="C5238" s="686" t="s">
        <v>13483</v>
      </c>
      <c r="D5238" s="686" t="s">
        <v>13482</v>
      </c>
      <c r="E5238" s="924" t="s">
        <v>13481</v>
      </c>
      <c r="F5238" s="924"/>
      <c r="G5238" s="685" t="s">
        <v>13480</v>
      </c>
      <c r="H5238" s="684" t="s">
        <v>13479</v>
      </c>
      <c r="I5238" s="684" t="s">
        <v>13478</v>
      </c>
      <c r="J5238" s="684" t="s">
        <v>13477</v>
      </c>
    </row>
    <row r="5239" spans="1:10" ht="36" customHeight="1">
      <c r="A5239" s="682" t="s">
        <v>13476</v>
      </c>
      <c r="B5239" s="683" t="s">
        <v>13768</v>
      </c>
      <c r="C5239" s="682" t="s">
        <v>7</v>
      </c>
      <c r="D5239" s="682" t="s">
        <v>2400</v>
      </c>
      <c r="E5239" s="917" t="s">
        <v>13491</v>
      </c>
      <c r="F5239" s="917"/>
      <c r="G5239" s="681" t="s">
        <v>53</v>
      </c>
      <c r="H5239" s="680">
        <v>1</v>
      </c>
      <c r="I5239" s="679">
        <v>115.77</v>
      </c>
      <c r="J5239" s="679">
        <v>115.77</v>
      </c>
    </row>
    <row r="5240" spans="1:10" ht="36" customHeight="1">
      <c r="A5240" s="677" t="s">
        <v>13472</v>
      </c>
      <c r="B5240" s="678" t="s">
        <v>13808</v>
      </c>
      <c r="C5240" s="677" t="s">
        <v>7</v>
      </c>
      <c r="D5240" s="677" t="s">
        <v>2401</v>
      </c>
      <c r="E5240" s="918" t="s">
        <v>13491</v>
      </c>
      <c r="F5240" s="918"/>
      <c r="G5240" s="676" t="s">
        <v>19</v>
      </c>
      <c r="H5240" s="675">
        <v>1</v>
      </c>
      <c r="I5240" s="674">
        <v>5.71</v>
      </c>
      <c r="J5240" s="674">
        <v>5.71</v>
      </c>
    </row>
    <row r="5241" spans="1:10" ht="36" customHeight="1">
      <c r="A5241" s="677" t="s">
        <v>13472</v>
      </c>
      <c r="B5241" s="678" t="s">
        <v>13807</v>
      </c>
      <c r="C5241" s="677" t="s">
        <v>7</v>
      </c>
      <c r="D5241" s="677" t="s">
        <v>2396</v>
      </c>
      <c r="E5241" s="918" t="s">
        <v>13491</v>
      </c>
      <c r="F5241" s="918"/>
      <c r="G5241" s="676" t="s">
        <v>19</v>
      </c>
      <c r="H5241" s="675">
        <v>1</v>
      </c>
      <c r="I5241" s="674">
        <v>15.51</v>
      </c>
      <c r="J5241" s="674">
        <v>15.51</v>
      </c>
    </row>
    <row r="5242" spans="1:10" ht="36" customHeight="1">
      <c r="A5242" s="677" t="s">
        <v>13472</v>
      </c>
      <c r="B5242" s="678" t="s">
        <v>13809</v>
      </c>
      <c r="C5242" s="677" t="s">
        <v>7</v>
      </c>
      <c r="D5242" s="677" t="s">
        <v>2395</v>
      </c>
      <c r="E5242" s="918" t="s">
        <v>13491</v>
      </c>
      <c r="F5242" s="918"/>
      <c r="G5242" s="676" t="s">
        <v>19</v>
      </c>
      <c r="H5242" s="675">
        <v>1</v>
      </c>
      <c r="I5242" s="674">
        <v>81.650000000000006</v>
      </c>
      <c r="J5242" s="674">
        <v>81.650000000000006</v>
      </c>
    </row>
    <row r="5243" spans="1:10" ht="24" customHeight="1">
      <c r="A5243" s="677" t="s">
        <v>13472</v>
      </c>
      <c r="B5243" s="678" t="s">
        <v>13678</v>
      </c>
      <c r="C5243" s="677" t="s">
        <v>7</v>
      </c>
      <c r="D5243" s="677" t="s">
        <v>158</v>
      </c>
      <c r="E5243" s="918" t="s">
        <v>13470</v>
      </c>
      <c r="F5243" s="918"/>
      <c r="G5243" s="676" t="s">
        <v>19</v>
      </c>
      <c r="H5243" s="675">
        <v>1</v>
      </c>
      <c r="I5243" s="674">
        <v>12.9</v>
      </c>
      <c r="J5243" s="674">
        <v>12.9</v>
      </c>
    </row>
    <row r="5244" spans="1:10" ht="25.5">
      <c r="A5244" s="668"/>
      <c r="B5244" s="668"/>
      <c r="C5244" s="668"/>
      <c r="D5244" s="668"/>
      <c r="E5244" s="668" t="s">
        <v>13463</v>
      </c>
      <c r="F5244" s="667">
        <v>5.4221450000000004</v>
      </c>
      <c r="G5244" s="668" t="s">
        <v>13462</v>
      </c>
      <c r="H5244" s="667">
        <v>4.5599999999999996</v>
      </c>
      <c r="I5244" s="668" t="s">
        <v>13461</v>
      </c>
      <c r="J5244" s="667">
        <v>9.98</v>
      </c>
    </row>
    <row r="5245" spans="1:10" ht="15" thickBot="1">
      <c r="A5245" s="668"/>
      <c r="B5245" s="668"/>
      <c r="C5245" s="668"/>
      <c r="D5245" s="668"/>
      <c r="E5245" s="668" t="s">
        <v>13460</v>
      </c>
      <c r="F5245" s="667">
        <v>32.69</v>
      </c>
      <c r="G5245" s="668"/>
      <c r="H5245" s="925" t="s">
        <v>13459</v>
      </c>
      <c r="I5245" s="925"/>
      <c r="J5245" s="667">
        <v>148.46</v>
      </c>
    </row>
    <row r="5246" spans="1:10" ht="0.95" customHeight="1" thickTop="1">
      <c r="A5246" s="666"/>
      <c r="B5246" s="666"/>
      <c r="C5246" s="666"/>
      <c r="D5246" s="666"/>
      <c r="E5246" s="666"/>
      <c r="F5246" s="666"/>
      <c r="G5246" s="666"/>
      <c r="H5246" s="666"/>
      <c r="I5246" s="666"/>
      <c r="J5246" s="666"/>
    </row>
    <row r="5247" spans="1:10" ht="18" customHeight="1">
      <c r="A5247" s="686"/>
      <c r="B5247" s="684" t="s">
        <v>13484</v>
      </c>
      <c r="C5247" s="686" t="s">
        <v>13483</v>
      </c>
      <c r="D5247" s="686" t="s">
        <v>13482</v>
      </c>
      <c r="E5247" s="924" t="s">
        <v>13481</v>
      </c>
      <c r="F5247" s="924"/>
      <c r="G5247" s="685" t="s">
        <v>13480</v>
      </c>
      <c r="H5247" s="684" t="s">
        <v>13479</v>
      </c>
      <c r="I5247" s="684" t="s">
        <v>13478</v>
      </c>
      <c r="J5247" s="684" t="s">
        <v>13477</v>
      </c>
    </row>
    <row r="5248" spans="1:10" ht="36" customHeight="1">
      <c r="A5248" s="682" t="s">
        <v>13476</v>
      </c>
      <c r="B5248" s="683" t="s">
        <v>13769</v>
      </c>
      <c r="C5248" s="682" t="s">
        <v>7</v>
      </c>
      <c r="D5248" s="682" t="s">
        <v>2399</v>
      </c>
      <c r="E5248" s="917" t="s">
        <v>13491</v>
      </c>
      <c r="F5248" s="917"/>
      <c r="G5248" s="681" t="s">
        <v>38</v>
      </c>
      <c r="H5248" s="680">
        <v>1</v>
      </c>
      <c r="I5248" s="679">
        <v>432.66</v>
      </c>
      <c r="J5248" s="679">
        <v>432.66</v>
      </c>
    </row>
    <row r="5249" spans="1:10" ht="36" customHeight="1">
      <c r="A5249" s="677" t="s">
        <v>13472</v>
      </c>
      <c r="B5249" s="678" t="s">
        <v>13803</v>
      </c>
      <c r="C5249" s="677" t="s">
        <v>7</v>
      </c>
      <c r="D5249" s="677" t="s">
        <v>2398</v>
      </c>
      <c r="E5249" s="918" t="s">
        <v>13491</v>
      </c>
      <c r="F5249" s="918"/>
      <c r="G5249" s="676" t="s">
        <v>19</v>
      </c>
      <c r="H5249" s="675">
        <v>1</v>
      </c>
      <c r="I5249" s="674">
        <v>185.64</v>
      </c>
      <c r="J5249" s="674">
        <v>185.64</v>
      </c>
    </row>
    <row r="5250" spans="1:10" ht="36" customHeight="1">
      <c r="A5250" s="677" t="s">
        <v>13472</v>
      </c>
      <c r="B5250" s="678" t="s">
        <v>13808</v>
      </c>
      <c r="C5250" s="677" t="s">
        <v>7</v>
      </c>
      <c r="D5250" s="677" t="s">
        <v>2401</v>
      </c>
      <c r="E5250" s="918" t="s">
        <v>13491</v>
      </c>
      <c r="F5250" s="918"/>
      <c r="G5250" s="676" t="s">
        <v>19</v>
      </c>
      <c r="H5250" s="675">
        <v>1</v>
      </c>
      <c r="I5250" s="674">
        <v>5.71</v>
      </c>
      <c r="J5250" s="674">
        <v>5.71</v>
      </c>
    </row>
    <row r="5251" spans="1:10" ht="36" customHeight="1">
      <c r="A5251" s="677" t="s">
        <v>13472</v>
      </c>
      <c r="B5251" s="678" t="s">
        <v>13807</v>
      </c>
      <c r="C5251" s="677" t="s">
        <v>7</v>
      </c>
      <c r="D5251" s="677" t="s">
        <v>2396</v>
      </c>
      <c r="E5251" s="918" t="s">
        <v>13491</v>
      </c>
      <c r="F5251" s="918"/>
      <c r="G5251" s="676" t="s">
        <v>19</v>
      </c>
      <c r="H5251" s="675">
        <v>1</v>
      </c>
      <c r="I5251" s="674">
        <v>15.51</v>
      </c>
      <c r="J5251" s="674">
        <v>15.51</v>
      </c>
    </row>
    <row r="5252" spans="1:10" ht="36" customHeight="1">
      <c r="A5252" s="677" t="s">
        <v>13472</v>
      </c>
      <c r="B5252" s="678" t="s">
        <v>13809</v>
      </c>
      <c r="C5252" s="677" t="s">
        <v>7</v>
      </c>
      <c r="D5252" s="677" t="s">
        <v>2395</v>
      </c>
      <c r="E5252" s="918" t="s">
        <v>13491</v>
      </c>
      <c r="F5252" s="918"/>
      <c r="G5252" s="676" t="s">
        <v>19</v>
      </c>
      <c r="H5252" s="675">
        <v>1</v>
      </c>
      <c r="I5252" s="674">
        <v>81.650000000000006</v>
      </c>
      <c r="J5252" s="674">
        <v>81.650000000000006</v>
      </c>
    </row>
    <row r="5253" spans="1:10" ht="36" customHeight="1">
      <c r="A5253" s="677" t="s">
        <v>13472</v>
      </c>
      <c r="B5253" s="678" t="s">
        <v>13806</v>
      </c>
      <c r="C5253" s="677" t="s">
        <v>7</v>
      </c>
      <c r="D5253" s="677" t="s">
        <v>2397</v>
      </c>
      <c r="E5253" s="918" t="s">
        <v>13491</v>
      </c>
      <c r="F5253" s="918"/>
      <c r="G5253" s="676" t="s">
        <v>19</v>
      </c>
      <c r="H5253" s="675">
        <v>1</v>
      </c>
      <c r="I5253" s="674">
        <v>131.25</v>
      </c>
      <c r="J5253" s="674">
        <v>131.25</v>
      </c>
    </row>
    <row r="5254" spans="1:10" ht="24" customHeight="1">
      <c r="A5254" s="677" t="s">
        <v>13472</v>
      </c>
      <c r="B5254" s="678" t="s">
        <v>13678</v>
      </c>
      <c r="C5254" s="677" t="s">
        <v>7</v>
      </c>
      <c r="D5254" s="677" t="s">
        <v>158</v>
      </c>
      <c r="E5254" s="918" t="s">
        <v>13470</v>
      </c>
      <c r="F5254" s="918"/>
      <c r="G5254" s="676" t="s">
        <v>19</v>
      </c>
      <c r="H5254" s="675">
        <v>1</v>
      </c>
      <c r="I5254" s="674">
        <v>12.9</v>
      </c>
      <c r="J5254" s="674">
        <v>12.9</v>
      </c>
    </row>
    <row r="5255" spans="1:10" ht="25.5">
      <c r="A5255" s="668"/>
      <c r="B5255" s="668"/>
      <c r="C5255" s="668"/>
      <c r="D5255" s="668"/>
      <c r="E5255" s="668" t="s">
        <v>13463</v>
      </c>
      <c r="F5255" s="667">
        <v>5.4221450000000004</v>
      </c>
      <c r="G5255" s="668" t="s">
        <v>13462</v>
      </c>
      <c r="H5255" s="667">
        <v>4.5599999999999996</v>
      </c>
      <c r="I5255" s="668" t="s">
        <v>13461</v>
      </c>
      <c r="J5255" s="667">
        <v>9.98</v>
      </c>
    </row>
    <row r="5256" spans="1:10" ht="15" thickBot="1">
      <c r="A5256" s="668"/>
      <c r="B5256" s="668"/>
      <c r="C5256" s="668"/>
      <c r="D5256" s="668"/>
      <c r="E5256" s="668" t="s">
        <v>13460</v>
      </c>
      <c r="F5256" s="667">
        <v>122.18</v>
      </c>
      <c r="G5256" s="668"/>
      <c r="H5256" s="925" t="s">
        <v>13459</v>
      </c>
      <c r="I5256" s="925"/>
      <c r="J5256" s="667">
        <v>554.84</v>
      </c>
    </row>
    <row r="5257" spans="1:10" ht="0.95" customHeight="1" thickTop="1">
      <c r="A5257" s="666"/>
      <c r="B5257" s="666"/>
      <c r="C5257" s="666"/>
      <c r="D5257" s="666"/>
      <c r="E5257" s="666"/>
      <c r="F5257" s="666"/>
      <c r="G5257" s="666"/>
      <c r="H5257" s="666"/>
      <c r="I5257" s="666"/>
      <c r="J5257" s="666"/>
    </row>
    <row r="5258" spans="1:10" ht="18" customHeight="1">
      <c r="A5258" s="686"/>
      <c r="B5258" s="684" t="s">
        <v>13484</v>
      </c>
      <c r="C5258" s="686" t="s">
        <v>13483</v>
      </c>
      <c r="D5258" s="686" t="s">
        <v>13482</v>
      </c>
      <c r="E5258" s="924" t="s">
        <v>13481</v>
      </c>
      <c r="F5258" s="924"/>
      <c r="G5258" s="685" t="s">
        <v>13480</v>
      </c>
      <c r="H5258" s="684" t="s">
        <v>13479</v>
      </c>
      <c r="I5258" s="684" t="s">
        <v>13478</v>
      </c>
      <c r="J5258" s="684" t="s">
        <v>13477</v>
      </c>
    </row>
    <row r="5259" spans="1:10" ht="36" customHeight="1">
      <c r="A5259" s="682" t="s">
        <v>13476</v>
      </c>
      <c r="B5259" s="683" t="s">
        <v>13809</v>
      </c>
      <c r="C5259" s="682" t="s">
        <v>7</v>
      </c>
      <c r="D5259" s="682" t="s">
        <v>2395</v>
      </c>
      <c r="E5259" s="917" t="s">
        <v>13491</v>
      </c>
      <c r="F5259" s="917"/>
      <c r="G5259" s="681" t="s">
        <v>19</v>
      </c>
      <c r="H5259" s="680">
        <v>1</v>
      </c>
      <c r="I5259" s="679">
        <v>81.650000000000006</v>
      </c>
      <c r="J5259" s="679">
        <v>81.650000000000006</v>
      </c>
    </row>
    <row r="5260" spans="1:10" ht="36" customHeight="1">
      <c r="A5260" s="672" t="s">
        <v>13467</v>
      </c>
      <c r="B5260" s="673" t="s">
        <v>13805</v>
      </c>
      <c r="C5260" s="672" t="s">
        <v>7</v>
      </c>
      <c r="D5260" s="672" t="s">
        <v>13804</v>
      </c>
      <c r="E5260" s="919" t="s">
        <v>13493</v>
      </c>
      <c r="F5260" s="919"/>
      <c r="G5260" s="671" t="s">
        <v>34</v>
      </c>
      <c r="H5260" s="670">
        <v>4.0000000000000003E-5</v>
      </c>
      <c r="I5260" s="669">
        <v>2041345.16</v>
      </c>
      <c r="J5260" s="669">
        <v>81.650000000000006</v>
      </c>
    </row>
    <row r="5261" spans="1:10" ht="25.5">
      <c r="A5261" s="668"/>
      <c r="B5261" s="668"/>
      <c r="C5261" s="668"/>
      <c r="D5261" s="668"/>
      <c r="E5261" s="668" t="s">
        <v>13463</v>
      </c>
      <c r="F5261" s="667">
        <v>0</v>
      </c>
      <c r="G5261" s="668" t="s">
        <v>13462</v>
      </c>
      <c r="H5261" s="667">
        <v>0</v>
      </c>
      <c r="I5261" s="668" t="s">
        <v>13461</v>
      </c>
      <c r="J5261" s="667">
        <v>0</v>
      </c>
    </row>
    <row r="5262" spans="1:10" ht="15" thickBot="1">
      <c r="A5262" s="668"/>
      <c r="B5262" s="668"/>
      <c r="C5262" s="668"/>
      <c r="D5262" s="668"/>
      <c r="E5262" s="668" t="s">
        <v>13460</v>
      </c>
      <c r="F5262" s="667">
        <v>23.05</v>
      </c>
      <c r="G5262" s="668"/>
      <c r="H5262" s="925" t="s">
        <v>13459</v>
      </c>
      <c r="I5262" s="925"/>
      <c r="J5262" s="667">
        <v>104.7</v>
      </c>
    </row>
    <row r="5263" spans="1:10" ht="0.95" customHeight="1" thickTop="1">
      <c r="A5263" s="666"/>
      <c r="B5263" s="666"/>
      <c r="C5263" s="666"/>
      <c r="D5263" s="666"/>
      <c r="E5263" s="666"/>
      <c r="F5263" s="666"/>
      <c r="G5263" s="666"/>
      <c r="H5263" s="666"/>
      <c r="I5263" s="666"/>
      <c r="J5263" s="666"/>
    </row>
    <row r="5264" spans="1:10" ht="18" customHeight="1">
      <c r="A5264" s="686"/>
      <c r="B5264" s="684" t="s">
        <v>13484</v>
      </c>
      <c r="C5264" s="686" t="s">
        <v>13483</v>
      </c>
      <c r="D5264" s="686" t="s">
        <v>13482</v>
      </c>
      <c r="E5264" s="924" t="s">
        <v>13481</v>
      </c>
      <c r="F5264" s="924"/>
      <c r="G5264" s="685" t="s">
        <v>13480</v>
      </c>
      <c r="H5264" s="684" t="s">
        <v>13479</v>
      </c>
      <c r="I5264" s="684" t="s">
        <v>13478</v>
      </c>
      <c r="J5264" s="684" t="s">
        <v>13477</v>
      </c>
    </row>
    <row r="5265" spans="1:10" ht="36" customHeight="1">
      <c r="A5265" s="682" t="s">
        <v>13476</v>
      </c>
      <c r="B5265" s="683" t="s">
        <v>13808</v>
      </c>
      <c r="C5265" s="682" t="s">
        <v>7</v>
      </c>
      <c r="D5265" s="682" t="s">
        <v>2401</v>
      </c>
      <c r="E5265" s="917" t="s">
        <v>13491</v>
      </c>
      <c r="F5265" s="917"/>
      <c r="G5265" s="681" t="s">
        <v>19</v>
      </c>
      <c r="H5265" s="680">
        <v>1</v>
      </c>
      <c r="I5265" s="679">
        <v>5.71</v>
      </c>
      <c r="J5265" s="679">
        <v>5.71</v>
      </c>
    </row>
    <row r="5266" spans="1:10" ht="36" customHeight="1">
      <c r="A5266" s="672" t="s">
        <v>13467</v>
      </c>
      <c r="B5266" s="673" t="s">
        <v>13805</v>
      </c>
      <c r="C5266" s="672" t="s">
        <v>7</v>
      </c>
      <c r="D5266" s="672" t="s">
        <v>13804</v>
      </c>
      <c r="E5266" s="919" t="s">
        <v>13493</v>
      </c>
      <c r="F5266" s="919"/>
      <c r="G5266" s="671" t="s">
        <v>34</v>
      </c>
      <c r="H5266" s="670">
        <v>2.7999999999999999E-6</v>
      </c>
      <c r="I5266" s="669">
        <v>2041345.16</v>
      </c>
      <c r="J5266" s="669">
        <v>5.71</v>
      </c>
    </row>
    <row r="5267" spans="1:10" ht="25.5">
      <c r="A5267" s="668"/>
      <c r="B5267" s="668"/>
      <c r="C5267" s="668"/>
      <c r="D5267" s="668"/>
      <c r="E5267" s="668" t="s">
        <v>13463</v>
      </c>
      <c r="F5267" s="667">
        <v>0</v>
      </c>
      <c r="G5267" s="668" t="s">
        <v>13462</v>
      </c>
      <c r="H5267" s="667">
        <v>0</v>
      </c>
      <c r="I5267" s="668" t="s">
        <v>13461</v>
      </c>
      <c r="J5267" s="667">
        <v>0</v>
      </c>
    </row>
    <row r="5268" spans="1:10" ht="15" thickBot="1">
      <c r="A5268" s="668"/>
      <c r="B5268" s="668"/>
      <c r="C5268" s="668"/>
      <c r="D5268" s="668"/>
      <c r="E5268" s="668" t="s">
        <v>13460</v>
      </c>
      <c r="F5268" s="667">
        <v>1.61</v>
      </c>
      <c r="G5268" s="668"/>
      <c r="H5268" s="925" t="s">
        <v>13459</v>
      </c>
      <c r="I5268" s="925"/>
      <c r="J5268" s="667">
        <v>7.32</v>
      </c>
    </row>
    <row r="5269" spans="1:10" ht="0.95" customHeight="1" thickTop="1">
      <c r="A5269" s="666"/>
      <c r="B5269" s="666"/>
      <c r="C5269" s="666"/>
      <c r="D5269" s="666"/>
      <c r="E5269" s="666"/>
      <c r="F5269" s="666"/>
      <c r="G5269" s="666"/>
      <c r="H5269" s="666"/>
      <c r="I5269" s="666"/>
      <c r="J5269" s="666"/>
    </row>
    <row r="5270" spans="1:10" ht="18" customHeight="1">
      <c r="A5270" s="686"/>
      <c r="B5270" s="684" t="s">
        <v>13484</v>
      </c>
      <c r="C5270" s="686" t="s">
        <v>13483</v>
      </c>
      <c r="D5270" s="686" t="s">
        <v>13482</v>
      </c>
      <c r="E5270" s="924" t="s">
        <v>13481</v>
      </c>
      <c r="F5270" s="924"/>
      <c r="G5270" s="685" t="s">
        <v>13480</v>
      </c>
      <c r="H5270" s="684" t="s">
        <v>13479</v>
      </c>
      <c r="I5270" s="684" t="s">
        <v>13478</v>
      </c>
      <c r="J5270" s="684" t="s">
        <v>13477</v>
      </c>
    </row>
    <row r="5271" spans="1:10" ht="36" customHeight="1">
      <c r="A5271" s="682" t="s">
        <v>13476</v>
      </c>
      <c r="B5271" s="683" t="s">
        <v>13807</v>
      </c>
      <c r="C5271" s="682" t="s">
        <v>7</v>
      </c>
      <c r="D5271" s="682" t="s">
        <v>2396</v>
      </c>
      <c r="E5271" s="917" t="s">
        <v>13491</v>
      </c>
      <c r="F5271" s="917"/>
      <c r="G5271" s="681" t="s">
        <v>19</v>
      </c>
      <c r="H5271" s="680">
        <v>1</v>
      </c>
      <c r="I5271" s="679">
        <v>15.51</v>
      </c>
      <c r="J5271" s="679">
        <v>15.51</v>
      </c>
    </row>
    <row r="5272" spans="1:10" ht="36" customHeight="1">
      <c r="A5272" s="672" t="s">
        <v>13467</v>
      </c>
      <c r="B5272" s="673" t="s">
        <v>13805</v>
      </c>
      <c r="C5272" s="672" t="s">
        <v>7</v>
      </c>
      <c r="D5272" s="672" t="s">
        <v>13804</v>
      </c>
      <c r="E5272" s="919" t="s">
        <v>13493</v>
      </c>
      <c r="F5272" s="919"/>
      <c r="G5272" s="671" t="s">
        <v>34</v>
      </c>
      <c r="H5272" s="670">
        <v>7.6000000000000001E-6</v>
      </c>
      <c r="I5272" s="669">
        <v>2041345.16</v>
      </c>
      <c r="J5272" s="669">
        <v>15.51</v>
      </c>
    </row>
    <row r="5273" spans="1:10" ht="25.5">
      <c r="A5273" s="668"/>
      <c r="B5273" s="668"/>
      <c r="C5273" s="668"/>
      <c r="D5273" s="668"/>
      <c r="E5273" s="668" t="s">
        <v>13463</v>
      </c>
      <c r="F5273" s="667">
        <v>0</v>
      </c>
      <c r="G5273" s="668" t="s">
        <v>13462</v>
      </c>
      <c r="H5273" s="667">
        <v>0</v>
      </c>
      <c r="I5273" s="668" t="s">
        <v>13461</v>
      </c>
      <c r="J5273" s="667">
        <v>0</v>
      </c>
    </row>
    <row r="5274" spans="1:10" ht="15" thickBot="1">
      <c r="A5274" s="668"/>
      <c r="B5274" s="668"/>
      <c r="C5274" s="668"/>
      <c r="D5274" s="668"/>
      <c r="E5274" s="668" t="s">
        <v>13460</v>
      </c>
      <c r="F5274" s="667">
        <v>4.38</v>
      </c>
      <c r="G5274" s="668"/>
      <c r="H5274" s="925" t="s">
        <v>13459</v>
      </c>
      <c r="I5274" s="925"/>
      <c r="J5274" s="667">
        <v>19.89</v>
      </c>
    </row>
    <row r="5275" spans="1:10" ht="0.95" customHeight="1" thickTop="1">
      <c r="A5275" s="666"/>
      <c r="B5275" s="666"/>
      <c r="C5275" s="666"/>
      <c r="D5275" s="666"/>
      <c r="E5275" s="666"/>
      <c r="F5275" s="666"/>
      <c r="G5275" s="666"/>
      <c r="H5275" s="666"/>
      <c r="I5275" s="666"/>
      <c r="J5275" s="666"/>
    </row>
    <row r="5276" spans="1:10" ht="18" customHeight="1">
      <c r="A5276" s="686"/>
      <c r="B5276" s="684" t="s">
        <v>13484</v>
      </c>
      <c r="C5276" s="686" t="s">
        <v>13483</v>
      </c>
      <c r="D5276" s="686" t="s">
        <v>13482</v>
      </c>
      <c r="E5276" s="924" t="s">
        <v>13481</v>
      </c>
      <c r="F5276" s="924"/>
      <c r="G5276" s="685" t="s">
        <v>13480</v>
      </c>
      <c r="H5276" s="684" t="s">
        <v>13479</v>
      </c>
      <c r="I5276" s="684" t="s">
        <v>13478</v>
      </c>
      <c r="J5276" s="684" t="s">
        <v>13477</v>
      </c>
    </row>
    <row r="5277" spans="1:10" ht="36" customHeight="1">
      <c r="A5277" s="682" t="s">
        <v>13476</v>
      </c>
      <c r="B5277" s="683" t="s">
        <v>13806</v>
      </c>
      <c r="C5277" s="682" t="s">
        <v>7</v>
      </c>
      <c r="D5277" s="682" t="s">
        <v>2397</v>
      </c>
      <c r="E5277" s="917" t="s">
        <v>13491</v>
      </c>
      <c r="F5277" s="917"/>
      <c r="G5277" s="681" t="s">
        <v>19</v>
      </c>
      <c r="H5277" s="680">
        <v>1</v>
      </c>
      <c r="I5277" s="679">
        <v>131.25</v>
      </c>
      <c r="J5277" s="679">
        <v>131.25</v>
      </c>
    </row>
    <row r="5278" spans="1:10" ht="36" customHeight="1">
      <c r="A5278" s="672" t="s">
        <v>13467</v>
      </c>
      <c r="B5278" s="673" t="s">
        <v>13805</v>
      </c>
      <c r="C5278" s="672" t="s">
        <v>7</v>
      </c>
      <c r="D5278" s="672" t="s">
        <v>13804</v>
      </c>
      <c r="E5278" s="919" t="s">
        <v>13493</v>
      </c>
      <c r="F5278" s="919"/>
      <c r="G5278" s="671" t="s">
        <v>34</v>
      </c>
      <c r="H5278" s="670">
        <v>6.4300000000000004E-5</v>
      </c>
      <c r="I5278" s="669">
        <v>2041345.16</v>
      </c>
      <c r="J5278" s="669">
        <v>131.25</v>
      </c>
    </row>
    <row r="5279" spans="1:10" ht="25.5">
      <c r="A5279" s="668"/>
      <c r="B5279" s="668"/>
      <c r="C5279" s="668"/>
      <c r="D5279" s="668"/>
      <c r="E5279" s="668" t="s">
        <v>13463</v>
      </c>
      <c r="F5279" s="667">
        <v>0</v>
      </c>
      <c r="G5279" s="668" t="s">
        <v>13462</v>
      </c>
      <c r="H5279" s="667">
        <v>0</v>
      </c>
      <c r="I5279" s="668" t="s">
        <v>13461</v>
      </c>
      <c r="J5279" s="667">
        <v>0</v>
      </c>
    </row>
    <row r="5280" spans="1:10" ht="15" thickBot="1">
      <c r="A5280" s="668"/>
      <c r="B5280" s="668"/>
      <c r="C5280" s="668"/>
      <c r="D5280" s="668"/>
      <c r="E5280" s="668" t="s">
        <v>13460</v>
      </c>
      <c r="F5280" s="667">
        <v>37.06</v>
      </c>
      <c r="G5280" s="668"/>
      <c r="H5280" s="925" t="s">
        <v>13459</v>
      </c>
      <c r="I5280" s="925"/>
      <c r="J5280" s="667">
        <v>168.31</v>
      </c>
    </row>
    <row r="5281" spans="1:10" ht="0.95" customHeight="1" thickTop="1">
      <c r="A5281" s="666"/>
      <c r="B5281" s="666"/>
      <c r="C5281" s="666"/>
      <c r="D5281" s="666"/>
      <c r="E5281" s="666"/>
      <c r="F5281" s="666"/>
      <c r="G5281" s="666"/>
      <c r="H5281" s="666"/>
      <c r="I5281" s="666"/>
      <c r="J5281" s="666"/>
    </row>
    <row r="5282" spans="1:10" ht="18" customHeight="1">
      <c r="A5282" s="686"/>
      <c r="B5282" s="684" t="s">
        <v>13484</v>
      </c>
      <c r="C5282" s="686" t="s">
        <v>13483</v>
      </c>
      <c r="D5282" s="686" t="s">
        <v>13482</v>
      </c>
      <c r="E5282" s="924" t="s">
        <v>13481</v>
      </c>
      <c r="F5282" s="924"/>
      <c r="G5282" s="685" t="s">
        <v>13480</v>
      </c>
      <c r="H5282" s="684" t="s">
        <v>13479</v>
      </c>
      <c r="I5282" s="684" t="s">
        <v>13478</v>
      </c>
      <c r="J5282" s="684" t="s">
        <v>13477</v>
      </c>
    </row>
    <row r="5283" spans="1:10" ht="36" customHeight="1">
      <c r="A5283" s="682" t="s">
        <v>13476</v>
      </c>
      <c r="B5283" s="683" t="s">
        <v>13803</v>
      </c>
      <c r="C5283" s="682" t="s">
        <v>7</v>
      </c>
      <c r="D5283" s="682" t="s">
        <v>2398</v>
      </c>
      <c r="E5283" s="917" t="s">
        <v>13491</v>
      </c>
      <c r="F5283" s="917"/>
      <c r="G5283" s="681" t="s">
        <v>19</v>
      </c>
      <c r="H5283" s="680">
        <v>1</v>
      </c>
      <c r="I5283" s="679">
        <v>185.64</v>
      </c>
      <c r="J5283" s="679">
        <v>185.64</v>
      </c>
    </row>
    <row r="5284" spans="1:10" ht="24" customHeight="1">
      <c r="A5284" s="672" t="s">
        <v>13467</v>
      </c>
      <c r="B5284" s="673" t="s">
        <v>13490</v>
      </c>
      <c r="C5284" s="672" t="s">
        <v>7</v>
      </c>
      <c r="D5284" s="672" t="s">
        <v>13489</v>
      </c>
      <c r="E5284" s="919" t="s">
        <v>13464</v>
      </c>
      <c r="F5284" s="919"/>
      <c r="G5284" s="671" t="s">
        <v>13488</v>
      </c>
      <c r="H5284" s="670">
        <v>221</v>
      </c>
      <c r="I5284" s="669">
        <v>0.84</v>
      </c>
      <c r="J5284" s="669">
        <v>185.64</v>
      </c>
    </row>
    <row r="5285" spans="1:10" ht="25.5">
      <c r="A5285" s="668"/>
      <c r="B5285" s="668"/>
      <c r="C5285" s="668"/>
      <c r="D5285" s="668"/>
      <c r="E5285" s="668" t="s">
        <v>13463</v>
      </c>
      <c r="F5285" s="667">
        <v>0</v>
      </c>
      <c r="G5285" s="668" t="s">
        <v>13462</v>
      </c>
      <c r="H5285" s="667">
        <v>0</v>
      </c>
      <c r="I5285" s="668" t="s">
        <v>13461</v>
      </c>
      <c r="J5285" s="667">
        <v>0</v>
      </c>
    </row>
    <row r="5286" spans="1:10" ht="15" thickBot="1">
      <c r="A5286" s="668"/>
      <c r="B5286" s="668"/>
      <c r="C5286" s="668"/>
      <c r="D5286" s="668"/>
      <c r="E5286" s="668" t="s">
        <v>13460</v>
      </c>
      <c r="F5286" s="667">
        <v>52.42</v>
      </c>
      <c r="G5286" s="668"/>
      <c r="H5286" s="925" t="s">
        <v>13459</v>
      </c>
      <c r="I5286" s="925"/>
      <c r="J5286" s="667">
        <v>238.06</v>
      </c>
    </row>
    <row r="5287" spans="1:10" ht="0.95" customHeight="1" thickTop="1">
      <c r="A5287" s="666"/>
      <c r="B5287" s="666"/>
      <c r="C5287" s="666"/>
      <c r="D5287" s="666"/>
      <c r="E5287" s="666"/>
      <c r="F5287" s="666"/>
      <c r="G5287" s="666"/>
      <c r="H5287" s="666"/>
      <c r="I5287" s="666"/>
      <c r="J5287" s="666"/>
    </row>
    <row r="5288" spans="1:10" ht="18" customHeight="1">
      <c r="A5288" s="686"/>
      <c r="B5288" s="684" t="s">
        <v>13484</v>
      </c>
      <c r="C5288" s="686" t="s">
        <v>13483</v>
      </c>
      <c r="D5288" s="686" t="s">
        <v>13482</v>
      </c>
      <c r="E5288" s="924" t="s">
        <v>13481</v>
      </c>
      <c r="F5288" s="924"/>
      <c r="G5288" s="685" t="s">
        <v>13480</v>
      </c>
      <c r="H5288" s="684" t="s">
        <v>13479</v>
      </c>
      <c r="I5288" s="684" t="s">
        <v>13478</v>
      </c>
      <c r="J5288" s="684" t="s">
        <v>13477</v>
      </c>
    </row>
    <row r="5289" spans="1:10" ht="60" customHeight="1">
      <c r="A5289" s="682" t="s">
        <v>13476</v>
      </c>
      <c r="B5289" s="683" t="s">
        <v>13802</v>
      </c>
      <c r="C5289" s="682" t="s">
        <v>7</v>
      </c>
      <c r="D5289" s="682" t="s">
        <v>761</v>
      </c>
      <c r="E5289" s="917" t="s">
        <v>13491</v>
      </c>
      <c r="F5289" s="917"/>
      <c r="G5289" s="681" t="s">
        <v>38</v>
      </c>
      <c r="H5289" s="680">
        <v>1</v>
      </c>
      <c r="I5289" s="679">
        <v>189.61</v>
      </c>
      <c r="J5289" s="679">
        <v>189.61</v>
      </c>
    </row>
    <row r="5290" spans="1:10" ht="60" customHeight="1">
      <c r="A5290" s="677" t="s">
        <v>13472</v>
      </c>
      <c r="B5290" s="678" t="s">
        <v>13798</v>
      </c>
      <c r="C5290" s="677" t="s">
        <v>7</v>
      </c>
      <c r="D5290" s="677" t="s">
        <v>1235</v>
      </c>
      <c r="E5290" s="918" t="s">
        <v>13491</v>
      </c>
      <c r="F5290" s="918"/>
      <c r="G5290" s="676" t="s">
        <v>19</v>
      </c>
      <c r="H5290" s="675">
        <v>1</v>
      </c>
      <c r="I5290" s="674">
        <v>25.53</v>
      </c>
      <c r="J5290" s="674">
        <v>25.53</v>
      </c>
    </row>
    <row r="5291" spans="1:10" ht="60" customHeight="1">
      <c r="A5291" s="677" t="s">
        <v>13472</v>
      </c>
      <c r="B5291" s="678" t="s">
        <v>13799</v>
      </c>
      <c r="C5291" s="677" t="s">
        <v>7</v>
      </c>
      <c r="D5291" s="677" t="s">
        <v>1234</v>
      </c>
      <c r="E5291" s="918" t="s">
        <v>13491</v>
      </c>
      <c r="F5291" s="918"/>
      <c r="G5291" s="676" t="s">
        <v>19</v>
      </c>
      <c r="H5291" s="675">
        <v>1</v>
      </c>
      <c r="I5291" s="674">
        <v>2.85</v>
      </c>
      <c r="J5291" s="674">
        <v>2.85</v>
      </c>
    </row>
    <row r="5292" spans="1:10" ht="60" customHeight="1">
      <c r="A5292" s="677" t="s">
        <v>13472</v>
      </c>
      <c r="B5292" s="678" t="s">
        <v>13801</v>
      </c>
      <c r="C5292" s="677" t="s">
        <v>7</v>
      </c>
      <c r="D5292" s="677" t="s">
        <v>1233</v>
      </c>
      <c r="E5292" s="918" t="s">
        <v>13491</v>
      </c>
      <c r="F5292" s="918"/>
      <c r="G5292" s="676" t="s">
        <v>19</v>
      </c>
      <c r="H5292" s="675">
        <v>1</v>
      </c>
      <c r="I5292" s="674">
        <v>13.62</v>
      </c>
      <c r="J5292" s="674">
        <v>13.62</v>
      </c>
    </row>
    <row r="5293" spans="1:10" ht="60" customHeight="1">
      <c r="A5293" s="677" t="s">
        <v>13472</v>
      </c>
      <c r="B5293" s="678" t="s">
        <v>13793</v>
      </c>
      <c r="C5293" s="677" t="s">
        <v>7</v>
      </c>
      <c r="D5293" s="677" t="s">
        <v>1896</v>
      </c>
      <c r="E5293" s="918" t="s">
        <v>13491</v>
      </c>
      <c r="F5293" s="918"/>
      <c r="G5293" s="676" t="s">
        <v>19</v>
      </c>
      <c r="H5293" s="675">
        <v>1</v>
      </c>
      <c r="I5293" s="674">
        <v>130.29</v>
      </c>
      <c r="J5293" s="674">
        <v>130.29</v>
      </c>
    </row>
    <row r="5294" spans="1:10" ht="60" customHeight="1">
      <c r="A5294" s="677" t="s">
        <v>13472</v>
      </c>
      <c r="B5294" s="678" t="s">
        <v>13800</v>
      </c>
      <c r="C5294" s="677" t="s">
        <v>7</v>
      </c>
      <c r="D5294" s="677" t="s">
        <v>1895</v>
      </c>
      <c r="E5294" s="918" t="s">
        <v>13491</v>
      </c>
      <c r="F5294" s="918"/>
      <c r="G5294" s="676" t="s">
        <v>19</v>
      </c>
      <c r="H5294" s="675">
        <v>1</v>
      </c>
      <c r="I5294" s="674">
        <v>1.1000000000000001</v>
      </c>
      <c r="J5294" s="674">
        <v>1.1000000000000001</v>
      </c>
    </row>
    <row r="5295" spans="1:10" ht="24" customHeight="1">
      <c r="A5295" s="677" t="s">
        <v>13472</v>
      </c>
      <c r="B5295" s="678" t="s">
        <v>13712</v>
      </c>
      <c r="C5295" s="677" t="s">
        <v>7</v>
      </c>
      <c r="D5295" s="677" t="s">
        <v>151</v>
      </c>
      <c r="E5295" s="918" t="s">
        <v>13470</v>
      </c>
      <c r="F5295" s="918"/>
      <c r="G5295" s="676" t="s">
        <v>19</v>
      </c>
      <c r="H5295" s="675">
        <v>1</v>
      </c>
      <c r="I5295" s="674">
        <v>16.22</v>
      </c>
      <c r="J5295" s="674">
        <v>16.22</v>
      </c>
    </row>
    <row r="5296" spans="1:10" ht="25.5">
      <c r="A5296" s="668"/>
      <c r="B5296" s="668"/>
      <c r="C5296" s="668"/>
      <c r="D5296" s="668"/>
      <c r="E5296" s="668" t="s">
        <v>13463</v>
      </c>
      <c r="F5296" s="667">
        <v>7.2259045999999998</v>
      </c>
      <c r="G5296" s="668" t="s">
        <v>13462</v>
      </c>
      <c r="H5296" s="667">
        <v>6.07</v>
      </c>
      <c r="I5296" s="668" t="s">
        <v>13461</v>
      </c>
      <c r="J5296" s="667">
        <v>13.3</v>
      </c>
    </row>
    <row r="5297" spans="1:10" ht="15" thickBot="1">
      <c r="A5297" s="668"/>
      <c r="B5297" s="668"/>
      <c r="C5297" s="668"/>
      <c r="D5297" s="668"/>
      <c r="E5297" s="668" t="s">
        <v>13460</v>
      </c>
      <c r="F5297" s="667">
        <v>53.54</v>
      </c>
      <c r="G5297" s="668"/>
      <c r="H5297" s="925" t="s">
        <v>13459</v>
      </c>
      <c r="I5297" s="925"/>
      <c r="J5297" s="667">
        <v>243.15</v>
      </c>
    </row>
    <row r="5298" spans="1:10" ht="0.95" customHeight="1" thickTop="1">
      <c r="A5298" s="666"/>
      <c r="B5298" s="666"/>
      <c r="C5298" s="666"/>
      <c r="D5298" s="666"/>
      <c r="E5298" s="666"/>
      <c r="F5298" s="666"/>
      <c r="G5298" s="666"/>
      <c r="H5298" s="666"/>
      <c r="I5298" s="666"/>
      <c r="J5298" s="666"/>
    </row>
    <row r="5299" spans="1:10" ht="18" customHeight="1">
      <c r="A5299" s="686"/>
      <c r="B5299" s="684" t="s">
        <v>13484</v>
      </c>
      <c r="C5299" s="686" t="s">
        <v>13483</v>
      </c>
      <c r="D5299" s="686" t="s">
        <v>13482</v>
      </c>
      <c r="E5299" s="924" t="s">
        <v>13481</v>
      </c>
      <c r="F5299" s="924"/>
      <c r="G5299" s="685" t="s">
        <v>13480</v>
      </c>
      <c r="H5299" s="684" t="s">
        <v>13479</v>
      </c>
      <c r="I5299" s="684" t="s">
        <v>13478</v>
      </c>
      <c r="J5299" s="684" t="s">
        <v>13477</v>
      </c>
    </row>
    <row r="5300" spans="1:10" ht="60" customHeight="1">
      <c r="A5300" s="682" t="s">
        <v>13476</v>
      </c>
      <c r="B5300" s="683" t="s">
        <v>13801</v>
      </c>
      <c r="C5300" s="682" t="s">
        <v>7</v>
      </c>
      <c r="D5300" s="682" t="s">
        <v>1233</v>
      </c>
      <c r="E5300" s="917" t="s">
        <v>13491</v>
      </c>
      <c r="F5300" s="917"/>
      <c r="G5300" s="681" t="s">
        <v>19</v>
      </c>
      <c r="H5300" s="680">
        <v>1</v>
      </c>
      <c r="I5300" s="679">
        <v>13.62</v>
      </c>
      <c r="J5300" s="679">
        <v>13.62</v>
      </c>
    </row>
    <row r="5301" spans="1:10" ht="48" customHeight="1">
      <c r="A5301" s="672" t="s">
        <v>13467</v>
      </c>
      <c r="B5301" s="673" t="s">
        <v>13797</v>
      </c>
      <c r="C5301" s="672" t="s">
        <v>7</v>
      </c>
      <c r="D5301" s="672" t="s">
        <v>13796</v>
      </c>
      <c r="E5301" s="919" t="s">
        <v>13493</v>
      </c>
      <c r="F5301" s="919"/>
      <c r="G5301" s="671" t="s">
        <v>34</v>
      </c>
      <c r="H5301" s="670">
        <v>3.43E-5</v>
      </c>
      <c r="I5301" s="669">
        <v>279328.40000000002</v>
      </c>
      <c r="J5301" s="669">
        <v>9.58</v>
      </c>
    </row>
    <row r="5302" spans="1:10" ht="60" customHeight="1">
      <c r="A5302" s="672" t="s">
        <v>13467</v>
      </c>
      <c r="B5302" s="673" t="s">
        <v>13795</v>
      </c>
      <c r="C5302" s="672" t="s">
        <v>7</v>
      </c>
      <c r="D5302" s="672" t="s">
        <v>13794</v>
      </c>
      <c r="E5302" s="919" t="s">
        <v>13493</v>
      </c>
      <c r="F5302" s="919"/>
      <c r="G5302" s="671" t="s">
        <v>34</v>
      </c>
      <c r="H5302" s="670">
        <v>3.43E-5</v>
      </c>
      <c r="I5302" s="669">
        <v>117800</v>
      </c>
      <c r="J5302" s="669">
        <v>4.04</v>
      </c>
    </row>
    <row r="5303" spans="1:10" ht="25.5">
      <c r="A5303" s="668"/>
      <c r="B5303" s="668"/>
      <c r="C5303" s="668"/>
      <c r="D5303" s="668"/>
      <c r="E5303" s="668" t="s">
        <v>13463</v>
      </c>
      <c r="F5303" s="667">
        <v>0</v>
      </c>
      <c r="G5303" s="668" t="s">
        <v>13462</v>
      </c>
      <c r="H5303" s="667">
        <v>0</v>
      </c>
      <c r="I5303" s="668" t="s">
        <v>13461</v>
      </c>
      <c r="J5303" s="667">
        <v>0</v>
      </c>
    </row>
    <row r="5304" spans="1:10" ht="15" thickBot="1">
      <c r="A5304" s="668"/>
      <c r="B5304" s="668"/>
      <c r="C5304" s="668"/>
      <c r="D5304" s="668"/>
      <c r="E5304" s="668" t="s">
        <v>13460</v>
      </c>
      <c r="F5304" s="667">
        <v>3.84</v>
      </c>
      <c r="G5304" s="668"/>
      <c r="H5304" s="925" t="s">
        <v>13459</v>
      </c>
      <c r="I5304" s="925"/>
      <c r="J5304" s="667">
        <v>17.46</v>
      </c>
    </row>
    <row r="5305" spans="1:10" ht="0.95" customHeight="1" thickTop="1">
      <c r="A5305" s="666"/>
      <c r="B5305" s="666"/>
      <c r="C5305" s="666"/>
      <c r="D5305" s="666"/>
      <c r="E5305" s="666"/>
      <c r="F5305" s="666"/>
      <c r="G5305" s="666"/>
      <c r="H5305" s="666"/>
      <c r="I5305" s="666"/>
      <c r="J5305" s="666"/>
    </row>
    <row r="5306" spans="1:10" ht="18" customHeight="1">
      <c r="A5306" s="686"/>
      <c r="B5306" s="684" t="s">
        <v>13484</v>
      </c>
      <c r="C5306" s="686" t="s">
        <v>13483</v>
      </c>
      <c r="D5306" s="686" t="s">
        <v>13482</v>
      </c>
      <c r="E5306" s="924" t="s">
        <v>13481</v>
      </c>
      <c r="F5306" s="924"/>
      <c r="G5306" s="685" t="s">
        <v>13480</v>
      </c>
      <c r="H5306" s="684" t="s">
        <v>13479</v>
      </c>
      <c r="I5306" s="684" t="s">
        <v>13478</v>
      </c>
      <c r="J5306" s="684" t="s">
        <v>13477</v>
      </c>
    </row>
    <row r="5307" spans="1:10" ht="60" customHeight="1">
      <c r="A5307" s="682" t="s">
        <v>13476</v>
      </c>
      <c r="B5307" s="683" t="s">
        <v>13800</v>
      </c>
      <c r="C5307" s="682" t="s">
        <v>7</v>
      </c>
      <c r="D5307" s="682" t="s">
        <v>1895</v>
      </c>
      <c r="E5307" s="917" t="s">
        <v>13491</v>
      </c>
      <c r="F5307" s="917"/>
      <c r="G5307" s="681" t="s">
        <v>19</v>
      </c>
      <c r="H5307" s="680">
        <v>1</v>
      </c>
      <c r="I5307" s="679">
        <v>1.1000000000000001</v>
      </c>
      <c r="J5307" s="679">
        <v>1.1000000000000001</v>
      </c>
    </row>
    <row r="5308" spans="1:10" ht="48" customHeight="1">
      <c r="A5308" s="672" t="s">
        <v>13467</v>
      </c>
      <c r="B5308" s="673" t="s">
        <v>13797</v>
      </c>
      <c r="C5308" s="672" t="s">
        <v>7</v>
      </c>
      <c r="D5308" s="672" t="s">
        <v>13796</v>
      </c>
      <c r="E5308" s="919" t="s">
        <v>13493</v>
      </c>
      <c r="F5308" s="919"/>
      <c r="G5308" s="671" t="s">
        <v>34</v>
      </c>
      <c r="H5308" s="670">
        <v>2.7999999999999999E-6</v>
      </c>
      <c r="I5308" s="669">
        <v>279328.40000000002</v>
      </c>
      <c r="J5308" s="669">
        <v>0.78</v>
      </c>
    </row>
    <row r="5309" spans="1:10" ht="60" customHeight="1">
      <c r="A5309" s="672" t="s">
        <v>13467</v>
      </c>
      <c r="B5309" s="673" t="s">
        <v>13795</v>
      </c>
      <c r="C5309" s="672" t="s">
        <v>7</v>
      </c>
      <c r="D5309" s="672" t="s">
        <v>13794</v>
      </c>
      <c r="E5309" s="919" t="s">
        <v>13493</v>
      </c>
      <c r="F5309" s="919"/>
      <c r="G5309" s="671" t="s">
        <v>34</v>
      </c>
      <c r="H5309" s="670">
        <v>2.7999999999999999E-6</v>
      </c>
      <c r="I5309" s="669">
        <v>117800</v>
      </c>
      <c r="J5309" s="669">
        <v>0.32</v>
      </c>
    </row>
    <row r="5310" spans="1:10" ht="25.5">
      <c r="A5310" s="668"/>
      <c r="B5310" s="668"/>
      <c r="C5310" s="668"/>
      <c r="D5310" s="668"/>
      <c r="E5310" s="668" t="s">
        <v>13463</v>
      </c>
      <c r="F5310" s="667">
        <v>0</v>
      </c>
      <c r="G5310" s="668" t="s">
        <v>13462</v>
      </c>
      <c r="H5310" s="667">
        <v>0</v>
      </c>
      <c r="I5310" s="668" t="s">
        <v>13461</v>
      </c>
      <c r="J5310" s="667">
        <v>0</v>
      </c>
    </row>
    <row r="5311" spans="1:10" ht="15" thickBot="1">
      <c r="A5311" s="668"/>
      <c r="B5311" s="668"/>
      <c r="C5311" s="668"/>
      <c r="D5311" s="668"/>
      <c r="E5311" s="668" t="s">
        <v>13460</v>
      </c>
      <c r="F5311" s="667">
        <v>0.31</v>
      </c>
      <c r="G5311" s="668"/>
      <c r="H5311" s="925" t="s">
        <v>13459</v>
      </c>
      <c r="I5311" s="925"/>
      <c r="J5311" s="667">
        <v>1.41</v>
      </c>
    </row>
    <row r="5312" spans="1:10" ht="0.95" customHeight="1" thickTop="1">
      <c r="A5312" s="666"/>
      <c r="B5312" s="666"/>
      <c r="C5312" s="666"/>
      <c r="D5312" s="666"/>
      <c r="E5312" s="666"/>
      <c r="F5312" s="666"/>
      <c r="G5312" s="666"/>
      <c r="H5312" s="666"/>
      <c r="I5312" s="666"/>
      <c r="J5312" s="666"/>
    </row>
    <row r="5313" spans="1:10" ht="18" customHeight="1">
      <c r="A5313" s="686"/>
      <c r="B5313" s="684" t="s">
        <v>13484</v>
      </c>
      <c r="C5313" s="686" t="s">
        <v>13483</v>
      </c>
      <c r="D5313" s="686" t="s">
        <v>13482</v>
      </c>
      <c r="E5313" s="924" t="s">
        <v>13481</v>
      </c>
      <c r="F5313" s="924"/>
      <c r="G5313" s="685" t="s">
        <v>13480</v>
      </c>
      <c r="H5313" s="684" t="s">
        <v>13479</v>
      </c>
      <c r="I5313" s="684" t="s">
        <v>13478</v>
      </c>
      <c r="J5313" s="684" t="s">
        <v>13477</v>
      </c>
    </row>
    <row r="5314" spans="1:10" ht="60" customHeight="1">
      <c r="A5314" s="682" t="s">
        <v>13476</v>
      </c>
      <c r="B5314" s="683" t="s">
        <v>13799</v>
      </c>
      <c r="C5314" s="682" t="s">
        <v>7</v>
      </c>
      <c r="D5314" s="682" t="s">
        <v>1234</v>
      </c>
      <c r="E5314" s="917" t="s">
        <v>13491</v>
      </c>
      <c r="F5314" s="917"/>
      <c r="G5314" s="681" t="s">
        <v>19</v>
      </c>
      <c r="H5314" s="680">
        <v>1</v>
      </c>
      <c r="I5314" s="679">
        <v>2.85</v>
      </c>
      <c r="J5314" s="679">
        <v>2.85</v>
      </c>
    </row>
    <row r="5315" spans="1:10" ht="48" customHeight="1">
      <c r="A5315" s="672" t="s">
        <v>13467</v>
      </c>
      <c r="B5315" s="673" t="s">
        <v>13797</v>
      </c>
      <c r="C5315" s="672" t="s">
        <v>7</v>
      </c>
      <c r="D5315" s="672" t="s">
        <v>13796</v>
      </c>
      <c r="E5315" s="919" t="s">
        <v>13493</v>
      </c>
      <c r="F5315" s="919"/>
      <c r="G5315" s="671" t="s">
        <v>34</v>
      </c>
      <c r="H5315" s="670">
        <v>7.1999999999999997E-6</v>
      </c>
      <c r="I5315" s="669">
        <v>279328.40000000002</v>
      </c>
      <c r="J5315" s="669">
        <v>2.0099999999999998</v>
      </c>
    </row>
    <row r="5316" spans="1:10" ht="60" customHeight="1">
      <c r="A5316" s="672" t="s">
        <v>13467</v>
      </c>
      <c r="B5316" s="673" t="s">
        <v>13795</v>
      </c>
      <c r="C5316" s="672" t="s">
        <v>7</v>
      </c>
      <c r="D5316" s="672" t="s">
        <v>13794</v>
      </c>
      <c r="E5316" s="919" t="s">
        <v>13493</v>
      </c>
      <c r="F5316" s="919"/>
      <c r="G5316" s="671" t="s">
        <v>34</v>
      </c>
      <c r="H5316" s="670">
        <v>7.1999999999999997E-6</v>
      </c>
      <c r="I5316" s="669">
        <v>117800</v>
      </c>
      <c r="J5316" s="669">
        <v>0.84</v>
      </c>
    </row>
    <row r="5317" spans="1:10" ht="25.5">
      <c r="A5317" s="668"/>
      <c r="B5317" s="668"/>
      <c r="C5317" s="668"/>
      <c r="D5317" s="668"/>
      <c r="E5317" s="668" t="s">
        <v>13463</v>
      </c>
      <c r="F5317" s="667">
        <v>0</v>
      </c>
      <c r="G5317" s="668" t="s">
        <v>13462</v>
      </c>
      <c r="H5317" s="667">
        <v>0</v>
      </c>
      <c r="I5317" s="668" t="s">
        <v>13461</v>
      </c>
      <c r="J5317" s="667">
        <v>0</v>
      </c>
    </row>
    <row r="5318" spans="1:10" ht="15" thickBot="1">
      <c r="A5318" s="668"/>
      <c r="B5318" s="668"/>
      <c r="C5318" s="668"/>
      <c r="D5318" s="668"/>
      <c r="E5318" s="668" t="s">
        <v>13460</v>
      </c>
      <c r="F5318" s="667">
        <v>0.8</v>
      </c>
      <c r="G5318" s="668"/>
      <c r="H5318" s="925" t="s">
        <v>13459</v>
      </c>
      <c r="I5318" s="925"/>
      <c r="J5318" s="667">
        <v>3.65</v>
      </c>
    </row>
    <row r="5319" spans="1:10" ht="0.95" customHeight="1" thickTop="1">
      <c r="A5319" s="666"/>
      <c r="B5319" s="666"/>
      <c r="C5319" s="666"/>
      <c r="D5319" s="666"/>
      <c r="E5319" s="666"/>
      <c r="F5319" s="666"/>
      <c r="G5319" s="666"/>
      <c r="H5319" s="666"/>
      <c r="I5319" s="666"/>
      <c r="J5319" s="666"/>
    </row>
    <row r="5320" spans="1:10" ht="18" customHeight="1">
      <c r="A5320" s="686"/>
      <c r="B5320" s="684" t="s">
        <v>13484</v>
      </c>
      <c r="C5320" s="686" t="s">
        <v>13483</v>
      </c>
      <c r="D5320" s="686" t="s">
        <v>13482</v>
      </c>
      <c r="E5320" s="924" t="s">
        <v>13481</v>
      </c>
      <c r="F5320" s="924"/>
      <c r="G5320" s="685" t="s">
        <v>13480</v>
      </c>
      <c r="H5320" s="684" t="s">
        <v>13479</v>
      </c>
      <c r="I5320" s="684" t="s">
        <v>13478</v>
      </c>
      <c r="J5320" s="684" t="s">
        <v>13477</v>
      </c>
    </row>
    <row r="5321" spans="1:10" ht="60" customHeight="1">
      <c r="A5321" s="682" t="s">
        <v>13476</v>
      </c>
      <c r="B5321" s="683" t="s">
        <v>13798</v>
      </c>
      <c r="C5321" s="682" t="s">
        <v>7</v>
      </c>
      <c r="D5321" s="682" t="s">
        <v>1235</v>
      </c>
      <c r="E5321" s="917" t="s">
        <v>13491</v>
      </c>
      <c r="F5321" s="917"/>
      <c r="G5321" s="681" t="s">
        <v>19</v>
      </c>
      <c r="H5321" s="680">
        <v>1</v>
      </c>
      <c r="I5321" s="679">
        <v>25.53</v>
      </c>
      <c r="J5321" s="679">
        <v>25.53</v>
      </c>
    </row>
    <row r="5322" spans="1:10" ht="48" customHeight="1">
      <c r="A5322" s="672" t="s">
        <v>13467</v>
      </c>
      <c r="B5322" s="673" t="s">
        <v>13797</v>
      </c>
      <c r="C5322" s="672" t="s">
        <v>7</v>
      </c>
      <c r="D5322" s="672" t="s">
        <v>13796</v>
      </c>
      <c r="E5322" s="919" t="s">
        <v>13493</v>
      </c>
      <c r="F5322" s="919"/>
      <c r="G5322" s="671" t="s">
        <v>34</v>
      </c>
      <c r="H5322" s="670">
        <v>6.4300000000000004E-5</v>
      </c>
      <c r="I5322" s="669">
        <v>279328.40000000002</v>
      </c>
      <c r="J5322" s="669">
        <v>17.96</v>
      </c>
    </row>
    <row r="5323" spans="1:10" ht="60" customHeight="1">
      <c r="A5323" s="672" t="s">
        <v>13467</v>
      </c>
      <c r="B5323" s="673" t="s">
        <v>13795</v>
      </c>
      <c r="C5323" s="672" t="s">
        <v>7</v>
      </c>
      <c r="D5323" s="672" t="s">
        <v>13794</v>
      </c>
      <c r="E5323" s="919" t="s">
        <v>13493</v>
      </c>
      <c r="F5323" s="919"/>
      <c r="G5323" s="671" t="s">
        <v>34</v>
      </c>
      <c r="H5323" s="670">
        <v>6.4300000000000004E-5</v>
      </c>
      <c r="I5323" s="669">
        <v>117800</v>
      </c>
      <c r="J5323" s="669">
        <v>7.57</v>
      </c>
    </row>
    <row r="5324" spans="1:10" ht="25.5">
      <c r="A5324" s="668"/>
      <c r="B5324" s="668"/>
      <c r="C5324" s="668"/>
      <c r="D5324" s="668"/>
      <c r="E5324" s="668" t="s">
        <v>13463</v>
      </c>
      <c r="F5324" s="667">
        <v>0</v>
      </c>
      <c r="G5324" s="668" t="s">
        <v>13462</v>
      </c>
      <c r="H5324" s="667">
        <v>0</v>
      </c>
      <c r="I5324" s="668" t="s">
        <v>13461</v>
      </c>
      <c r="J5324" s="667">
        <v>0</v>
      </c>
    </row>
    <row r="5325" spans="1:10" ht="15" thickBot="1">
      <c r="A5325" s="668"/>
      <c r="B5325" s="668"/>
      <c r="C5325" s="668"/>
      <c r="D5325" s="668"/>
      <c r="E5325" s="668" t="s">
        <v>13460</v>
      </c>
      <c r="F5325" s="667">
        <v>7.2</v>
      </c>
      <c r="G5325" s="668"/>
      <c r="H5325" s="925" t="s">
        <v>13459</v>
      </c>
      <c r="I5325" s="925"/>
      <c r="J5325" s="667">
        <v>32.729999999999997</v>
      </c>
    </row>
    <row r="5326" spans="1:10" ht="0.95" customHeight="1" thickTop="1">
      <c r="A5326" s="666"/>
      <c r="B5326" s="666"/>
      <c r="C5326" s="666"/>
      <c r="D5326" s="666"/>
      <c r="E5326" s="666"/>
      <c r="F5326" s="666"/>
      <c r="G5326" s="666"/>
      <c r="H5326" s="666"/>
      <c r="I5326" s="666"/>
      <c r="J5326" s="666"/>
    </row>
    <row r="5327" spans="1:10" ht="18" customHeight="1">
      <c r="A5327" s="686"/>
      <c r="B5327" s="684" t="s">
        <v>13484</v>
      </c>
      <c r="C5327" s="686" t="s">
        <v>13483</v>
      </c>
      <c r="D5327" s="686" t="s">
        <v>13482</v>
      </c>
      <c r="E5327" s="924" t="s">
        <v>13481</v>
      </c>
      <c r="F5327" s="924"/>
      <c r="G5327" s="685" t="s">
        <v>13480</v>
      </c>
      <c r="H5327" s="684" t="s">
        <v>13479</v>
      </c>
      <c r="I5327" s="684" t="s">
        <v>13478</v>
      </c>
      <c r="J5327" s="684" t="s">
        <v>13477</v>
      </c>
    </row>
    <row r="5328" spans="1:10" ht="60" customHeight="1">
      <c r="A5328" s="682" t="s">
        <v>13476</v>
      </c>
      <c r="B5328" s="683" t="s">
        <v>13793</v>
      </c>
      <c r="C5328" s="682" t="s">
        <v>7</v>
      </c>
      <c r="D5328" s="682" t="s">
        <v>1896</v>
      </c>
      <c r="E5328" s="917" t="s">
        <v>13491</v>
      </c>
      <c r="F5328" s="917"/>
      <c r="G5328" s="681" t="s">
        <v>19</v>
      </c>
      <c r="H5328" s="680">
        <v>1</v>
      </c>
      <c r="I5328" s="679">
        <v>130.29</v>
      </c>
      <c r="J5328" s="679">
        <v>130.29</v>
      </c>
    </row>
    <row r="5329" spans="1:10" ht="24" customHeight="1">
      <c r="A5329" s="672" t="s">
        <v>13467</v>
      </c>
      <c r="B5329" s="673" t="s">
        <v>13580</v>
      </c>
      <c r="C5329" s="672" t="s">
        <v>7</v>
      </c>
      <c r="D5329" s="672" t="s">
        <v>13579</v>
      </c>
      <c r="E5329" s="919" t="s">
        <v>13464</v>
      </c>
      <c r="F5329" s="919"/>
      <c r="G5329" s="671" t="s">
        <v>50</v>
      </c>
      <c r="H5329" s="670">
        <v>26.43</v>
      </c>
      <c r="I5329" s="669">
        <v>4.93</v>
      </c>
      <c r="J5329" s="669">
        <v>130.29</v>
      </c>
    </row>
    <row r="5330" spans="1:10" ht="25.5">
      <c r="A5330" s="668"/>
      <c r="B5330" s="668"/>
      <c r="C5330" s="668"/>
      <c r="D5330" s="668"/>
      <c r="E5330" s="668" t="s">
        <v>13463</v>
      </c>
      <c r="F5330" s="667">
        <v>0</v>
      </c>
      <c r="G5330" s="668" t="s">
        <v>13462</v>
      </c>
      <c r="H5330" s="667">
        <v>0</v>
      </c>
      <c r="I5330" s="668" t="s">
        <v>13461</v>
      </c>
      <c r="J5330" s="667">
        <v>0</v>
      </c>
    </row>
    <row r="5331" spans="1:10" ht="15" thickBot="1">
      <c r="A5331" s="668"/>
      <c r="B5331" s="668"/>
      <c r="C5331" s="668"/>
      <c r="D5331" s="668"/>
      <c r="E5331" s="668" t="s">
        <v>13460</v>
      </c>
      <c r="F5331" s="667">
        <v>36.79</v>
      </c>
      <c r="G5331" s="668"/>
      <c r="H5331" s="925" t="s">
        <v>13459</v>
      </c>
      <c r="I5331" s="925"/>
      <c r="J5331" s="667">
        <v>167.08</v>
      </c>
    </row>
    <row r="5332" spans="1:10" ht="0.95" customHeight="1" thickTop="1">
      <c r="A5332" s="666"/>
      <c r="B5332" s="666"/>
      <c r="C5332" s="666"/>
      <c r="D5332" s="666"/>
      <c r="E5332" s="666"/>
      <c r="F5332" s="666"/>
      <c r="G5332" s="666"/>
      <c r="H5332" s="666"/>
      <c r="I5332" s="666"/>
      <c r="J5332" s="666"/>
    </row>
    <row r="5333" spans="1:10" ht="18" customHeight="1">
      <c r="A5333" s="686"/>
      <c r="B5333" s="684" t="s">
        <v>13484</v>
      </c>
      <c r="C5333" s="686" t="s">
        <v>13483</v>
      </c>
      <c r="D5333" s="686" t="s">
        <v>13482</v>
      </c>
      <c r="E5333" s="924" t="s">
        <v>13481</v>
      </c>
      <c r="F5333" s="924"/>
      <c r="G5333" s="685" t="s">
        <v>13480</v>
      </c>
      <c r="H5333" s="684" t="s">
        <v>13479</v>
      </c>
      <c r="I5333" s="684" t="s">
        <v>13478</v>
      </c>
      <c r="J5333" s="684" t="s">
        <v>13477</v>
      </c>
    </row>
    <row r="5334" spans="1:10" ht="60" customHeight="1">
      <c r="A5334" s="682" t="s">
        <v>13476</v>
      </c>
      <c r="B5334" s="683" t="s">
        <v>13792</v>
      </c>
      <c r="C5334" s="682" t="s">
        <v>7</v>
      </c>
      <c r="D5334" s="682" t="s">
        <v>1920</v>
      </c>
      <c r="E5334" s="917" t="s">
        <v>13491</v>
      </c>
      <c r="F5334" s="917"/>
      <c r="G5334" s="681" t="s">
        <v>53</v>
      </c>
      <c r="H5334" s="680">
        <v>1</v>
      </c>
      <c r="I5334" s="679">
        <v>32.29</v>
      </c>
      <c r="J5334" s="679">
        <v>32.29</v>
      </c>
    </row>
    <row r="5335" spans="1:10" ht="60" customHeight="1">
      <c r="A5335" s="677" t="s">
        <v>13472</v>
      </c>
      <c r="B5335" s="678" t="s">
        <v>13790</v>
      </c>
      <c r="C5335" s="677" t="s">
        <v>7</v>
      </c>
      <c r="D5335" s="677" t="s">
        <v>1914</v>
      </c>
      <c r="E5335" s="918" t="s">
        <v>13491</v>
      </c>
      <c r="F5335" s="918"/>
      <c r="G5335" s="676" t="s">
        <v>19</v>
      </c>
      <c r="H5335" s="675">
        <v>1</v>
      </c>
      <c r="I5335" s="674">
        <v>12.45</v>
      </c>
      <c r="J5335" s="674">
        <v>12.45</v>
      </c>
    </row>
    <row r="5336" spans="1:10" ht="60" customHeight="1">
      <c r="A5336" s="677" t="s">
        <v>13472</v>
      </c>
      <c r="B5336" s="678" t="s">
        <v>13789</v>
      </c>
      <c r="C5336" s="677" t="s">
        <v>7</v>
      </c>
      <c r="D5336" s="677" t="s">
        <v>1916</v>
      </c>
      <c r="E5336" s="918" t="s">
        <v>13491</v>
      </c>
      <c r="F5336" s="918"/>
      <c r="G5336" s="676" t="s">
        <v>19</v>
      </c>
      <c r="H5336" s="675">
        <v>1</v>
      </c>
      <c r="I5336" s="674">
        <v>1.01</v>
      </c>
      <c r="J5336" s="674">
        <v>1.01</v>
      </c>
    </row>
    <row r="5337" spans="1:10" ht="60" customHeight="1">
      <c r="A5337" s="677" t="s">
        <v>13472</v>
      </c>
      <c r="B5337" s="678" t="s">
        <v>13788</v>
      </c>
      <c r="C5337" s="677" t="s">
        <v>7</v>
      </c>
      <c r="D5337" s="677" t="s">
        <v>1915</v>
      </c>
      <c r="E5337" s="918" t="s">
        <v>13491</v>
      </c>
      <c r="F5337" s="918"/>
      <c r="G5337" s="676" t="s">
        <v>19</v>
      </c>
      <c r="H5337" s="675">
        <v>1</v>
      </c>
      <c r="I5337" s="674">
        <v>2.61</v>
      </c>
      <c r="J5337" s="674">
        <v>2.61</v>
      </c>
    </row>
    <row r="5338" spans="1:10" ht="24" customHeight="1">
      <c r="A5338" s="677" t="s">
        <v>13472</v>
      </c>
      <c r="B5338" s="678" t="s">
        <v>13712</v>
      </c>
      <c r="C5338" s="677" t="s">
        <v>7</v>
      </c>
      <c r="D5338" s="677" t="s">
        <v>151</v>
      </c>
      <c r="E5338" s="918" t="s">
        <v>13470</v>
      </c>
      <c r="F5338" s="918"/>
      <c r="G5338" s="676" t="s">
        <v>19</v>
      </c>
      <c r="H5338" s="675">
        <v>1</v>
      </c>
      <c r="I5338" s="674">
        <v>16.22</v>
      </c>
      <c r="J5338" s="674">
        <v>16.22</v>
      </c>
    </row>
    <row r="5339" spans="1:10" ht="25.5">
      <c r="A5339" s="668"/>
      <c r="B5339" s="668"/>
      <c r="C5339" s="668"/>
      <c r="D5339" s="668"/>
      <c r="E5339" s="668" t="s">
        <v>13463</v>
      </c>
      <c r="F5339" s="667">
        <v>7.2259045999999998</v>
      </c>
      <c r="G5339" s="668" t="s">
        <v>13462</v>
      </c>
      <c r="H5339" s="667">
        <v>6.07</v>
      </c>
      <c r="I5339" s="668" t="s">
        <v>13461</v>
      </c>
      <c r="J5339" s="667">
        <v>13.3</v>
      </c>
    </row>
    <row r="5340" spans="1:10" ht="15" thickBot="1">
      <c r="A5340" s="668"/>
      <c r="B5340" s="668"/>
      <c r="C5340" s="668"/>
      <c r="D5340" s="668"/>
      <c r="E5340" s="668" t="s">
        <v>13460</v>
      </c>
      <c r="F5340" s="667">
        <v>9.11</v>
      </c>
      <c r="G5340" s="668"/>
      <c r="H5340" s="925" t="s">
        <v>13459</v>
      </c>
      <c r="I5340" s="925"/>
      <c r="J5340" s="667">
        <v>41.4</v>
      </c>
    </row>
    <row r="5341" spans="1:10" ht="0.95" customHeight="1" thickTop="1">
      <c r="A5341" s="666"/>
      <c r="B5341" s="666"/>
      <c r="C5341" s="666"/>
      <c r="D5341" s="666"/>
      <c r="E5341" s="666"/>
      <c r="F5341" s="666"/>
      <c r="G5341" s="666"/>
      <c r="H5341" s="666"/>
      <c r="I5341" s="666"/>
      <c r="J5341" s="666"/>
    </row>
    <row r="5342" spans="1:10" ht="18" customHeight="1">
      <c r="A5342" s="686"/>
      <c r="B5342" s="684" t="s">
        <v>13484</v>
      </c>
      <c r="C5342" s="686" t="s">
        <v>13483</v>
      </c>
      <c r="D5342" s="686" t="s">
        <v>13482</v>
      </c>
      <c r="E5342" s="924" t="s">
        <v>13481</v>
      </c>
      <c r="F5342" s="924"/>
      <c r="G5342" s="685" t="s">
        <v>13480</v>
      </c>
      <c r="H5342" s="684" t="s">
        <v>13479</v>
      </c>
      <c r="I5342" s="684" t="s">
        <v>13478</v>
      </c>
      <c r="J5342" s="684" t="s">
        <v>13477</v>
      </c>
    </row>
    <row r="5343" spans="1:10" ht="60" customHeight="1">
      <c r="A5343" s="682" t="s">
        <v>13476</v>
      </c>
      <c r="B5343" s="683" t="s">
        <v>13791</v>
      </c>
      <c r="C5343" s="682" t="s">
        <v>7</v>
      </c>
      <c r="D5343" s="682" t="s">
        <v>1919</v>
      </c>
      <c r="E5343" s="917" t="s">
        <v>13491</v>
      </c>
      <c r="F5343" s="917"/>
      <c r="G5343" s="681" t="s">
        <v>38</v>
      </c>
      <c r="H5343" s="680">
        <v>1</v>
      </c>
      <c r="I5343" s="679">
        <v>165.91</v>
      </c>
      <c r="J5343" s="679">
        <v>165.91</v>
      </c>
    </row>
    <row r="5344" spans="1:10" ht="60" customHeight="1">
      <c r="A5344" s="677" t="s">
        <v>13472</v>
      </c>
      <c r="B5344" s="678" t="s">
        <v>13790</v>
      </c>
      <c r="C5344" s="677" t="s">
        <v>7</v>
      </c>
      <c r="D5344" s="677" t="s">
        <v>1914</v>
      </c>
      <c r="E5344" s="918" t="s">
        <v>13491</v>
      </c>
      <c r="F5344" s="918"/>
      <c r="G5344" s="676" t="s">
        <v>19</v>
      </c>
      <c r="H5344" s="675">
        <v>1</v>
      </c>
      <c r="I5344" s="674">
        <v>12.45</v>
      </c>
      <c r="J5344" s="674">
        <v>12.45</v>
      </c>
    </row>
    <row r="5345" spans="1:10" ht="60" customHeight="1">
      <c r="A5345" s="677" t="s">
        <v>13472</v>
      </c>
      <c r="B5345" s="678" t="s">
        <v>13789</v>
      </c>
      <c r="C5345" s="677" t="s">
        <v>7</v>
      </c>
      <c r="D5345" s="677" t="s">
        <v>1916</v>
      </c>
      <c r="E5345" s="918" t="s">
        <v>13491</v>
      </c>
      <c r="F5345" s="918"/>
      <c r="G5345" s="676" t="s">
        <v>19</v>
      </c>
      <c r="H5345" s="675">
        <v>1</v>
      </c>
      <c r="I5345" s="674">
        <v>1.01</v>
      </c>
      <c r="J5345" s="674">
        <v>1.01</v>
      </c>
    </row>
    <row r="5346" spans="1:10" ht="60" customHeight="1">
      <c r="A5346" s="677" t="s">
        <v>13472</v>
      </c>
      <c r="B5346" s="678" t="s">
        <v>13788</v>
      </c>
      <c r="C5346" s="677" t="s">
        <v>7</v>
      </c>
      <c r="D5346" s="677" t="s">
        <v>1915</v>
      </c>
      <c r="E5346" s="918" t="s">
        <v>13491</v>
      </c>
      <c r="F5346" s="918"/>
      <c r="G5346" s="676" t="s">
        <v>19</v>
      </c>
      <c r="H5346" s="675">
        <v>1</v>
      </c>
      <c r="I5346" s="674">
        <v>2.61</v>
      </c>
      <c r="J5346" s="674">
        <v>2.61</v>
      </c>
    </row>
    <row r="5347" spans="1:10" ht="60" customHeight="1">
      <c r="A5347" s="677" t="s">
        <v>13472</v>
      </c>
      <c r="B5347" s="678" t="s">
        <v>13782</v>
      </c>
      <c r="C5347" s="677" t="s">
        <v>7</v>
      </c>
      <c r="D5347" s="677" t="s">
        <v>1918</v>
      </c>
      <c r="E5347" s="918" t="s">
        <v>13491</v>
      </c>
      <c r="F5347" s="918"/>
      <c r="G5347" s="676" t="s">
        <v>19</v>
      </c>
      <c r="H5347" s="675">
        <v>1</v>
      </c>
      <c r="I5347" s="674">
        <v>110.28</v>
      </c>
      <c r="J5347" s="674">
        <v>110.28</v>
      </c>
    </row>
    <row r="5348" spans="1:10" ht="60" customHeight="1">
      <c r="A5348" s="677" t="s">
        <v>13472</v>
      </c>
      <c r="B5348" s="678" t="s">
        <v>13787</v>
      </c>
      <c r="C5348" s="677" t="s">
        <v>7</v>
      </c>
      <c r="D5348" s="677" t="s">
        <v>1917</v>
      </c>
      <c r="E5348" s="918" t="s">
        <v>13491</v>
      </c>
      <c r="F5348" s="918"/>
      <c r="G5348" s="676" t="s">
        <v>19</v>
      </c>
      <c r="H5348" s="675">
        <v>1</v>
      </c>
      <c r="I5348" s="674">
        <v>23.34</v>
      </c>
      <c r="J5348" s="674">
        <v>23.34</v>
      </c>
    </row>
    <row r="5349" spans="1:10" ht="24" customHeight="1">
      <c r="A5349" s="677" t="s">
        <v>13472</v>
      </c>
      <c r="B5349" s="678" t="s">
        <v>13712</v>
      </c>
      <c r="C5349" s="677" t="s">
        <v>7</v>
      </c>
      <c r="D5349" s="677" t="s">
        <v>151</v>
      </c>
      <c r="E5349" s="918" t="s">
        <v>13470</v>
      </c>
      <c r="F5349" s="918"/>
      <c r="G5349" s="676" t="s">
        <v>19</v>
      </c>
      <c r="H5349" s="675">
        <v>1</v>
      </c>
      <c r="I5349" s="674">
        <v>16.22</v>
      </c>
      <c r="J5349" s="674">
        <v>16.22</v>
      </c>
    </row>
    <row r="5350" spans="1:10" ht="25.5">
      <c r="A5350" s="668"/>
      <c r="B5350" s="668"/>
      <c r="C5350" s="668"/>
      <c r="D5350" s="668"/>
      <c r="E5350" s="668" t="s">
        <v>13463</v>
      </c>
      <c r="F5350" s="667">
        <v>7.2259045999999998</v>
      </c>
      <c r="G5350" s="668" t="s">
        <v>13462</v>
      </c>
      <c r="H5350" s="667">
        <v>6.07</v>
      </c>
      <c r="I5350" s="668" t="s">
        <v>13461</v>
      </c>
      <c r="J5350" s="667">
        <v>13.3</v>
      </c>
    </row>
    <row r="5351" spans="1:10" ht="15" thickBot="1">
      <c r="A5351" s="668"/>
      <c r="B5351" s="668"/>
      <c r="C5351" s="668"/>
      <c r="D5351" s="668"/>
      <c r="E5351" s="668" t="s">
        <v>13460</v>
      </c>
      <c r="F5351" s="667">
        <v>46.85</v>
      </c>
      <c r="G5351" s="668"/>
      <c r="H5351" s="925" t="s">
        <v>13459</v>
      </c>
      <c r="I5351" s="925"/>
      <c r="J5351" s="667">
        <v>212.76</v>
      </c>
    </row>
    <row r="5352" spans="1:10" ht="0.95" customHeight="1" thickTop="1">
      <c r="A5352" s="666"/>
      <c r="B5352" s="666"/>
      <c r="C5352" s="666"/>
      <c r="D5352" s="666"/>
      <c r="E5352" s="666"/>
      <c r="F5352" s="666"/>
      <c r="G5352" s="666"/>
      <c r="H5352" s="666"/>
      <c r="I5352" s="666"/>
      <c r="J5352" s="666"/>
    </row>
    <row r="5353" spans="1:10" ht="18" customHeight="1">
      <c r="A5353" s="686"/>
      <c r="B5353" s="684" t="s">
        <v>13484</v>
      </c>
      <c r="C5353" s="686" t="s">
        <v>13483</v>
      </c>
      <c r="D5353" s="686" t="s">
        <v>13482</v>
      </c>
      <c r="E5353" s="924" t="s">
        <v>13481</v>
      </c>
      <c r="F5353" s="924"/>
      <c r="G5353" s="685" t="s">
        <v>13480</v>
      </c>
      <c r="H5353" s="684" t="s">
        <v>13479</v>
      </c>
      <c r="I5353" s="684" t="s">
        <v>13478</v>
      </c>
      <c r="J5353" s="684" t="s">
        <v>13477</v>
      </c>
    </row>
    <row r="5354" spans="1:10" ht="60" customHeight="1">
      <c r="A5354" s="682" t="s">
        <v>13476</v>
      </c>
      <c r="B5354" s="683" t="s">
        <v>13790</v>
      </c>
      <c r="C5354" s="682" t="s">
        <v>7</v>
      </c>
      <c r="D5354" s="682" t="s">
        <v>1914</v>
      </c>
      <c r="E5354" s="917" t="s">
        <v>13491</v>
      </c>
      <c r="F5354" s="917"/>
      <c r="G5354" s="681" t="s">
        <v>19</v>
      </c>
      <c r="H5354" s="680">
        <v>1</v>
      </c>
      <c r="I5354" s="679">
        <v>12.45</v>
      </c>
      <c r="J5354" s="679">
        <v>12.45</v>
      </c>
    </row>
    <row r="5355" spans="1:10" ht="48" customHeight="1">
      <c r="A5355" s="672" t="s">
        <v>13467</v>
      </c>
      <c r="B5355" s="673" t="s">
        <v>13786</v>
      </c>
      <c r="C5355" s="672" t="s">
        <v>7</v>
      </c>
      <c r="D5355" s="672" t="s">
        <v>13785</v>
      </c>
      <c r="E5355" s="919" t="s">
        <v>13493</v>
      </c>
      <c r="F5355" s="919"/>
      <c r="G5355" s="671" t="s">
        <v>34</v>
      </c>
      <c r="H5355" s="670">
        <v>3.43E-5</v>
      </c>
      <c r="I5355" s="669">
        <v>279328.40000000002</v>
      </c>
      <c r="J5355" s="669">
        <v>9.58</v>
      </c>
    </row>
    <row r="5356" spans="1:10" ht="60" customHeight="1">
      <c r="A5356" s="672" t="s">
        <v>13467</v>
      </c>
      <c r="B5356" s="673" t="s">
        <v>13784</v>
      </c>
      <c r="C5356" s="672" t="s">
        <v>7</v>
      </c>
      <c r="D5356" s="672" t="s">
        <v>13783</v>
      </c>
      <c r="E5356" s="919" t="s">
        <v>13493</v>
      </c>
      <c r="F5356" s="919"/>
      <c r="G5356" s="671" t="s">
        <v>34</v>
      </c>
      <c r="H5356" s="670">
        <v>3.43E-5</v>
      </c>
      <c r="I5356" s="669">
        <v>83748.429999999993</v>
      </c>
      <c r="J5356" s="669">
        <v>2.87</v>
      </c>
    </row>
    <row r="5357" spans="1:10" ht="25.5">
      <c r="A5357" s="668"/>
      <c r="B5357" s="668"/>
      <c r="C5357" s="668"/>
      <c r="D5357" s="668"/>
      <c r="E5357" s="668" t="s">
        <v>13463</v>
      </c>
      <c r="F5357" s="667">
        <v>0</v>
      </c>
      <c r="G5357" s="668" t="s">
        <v>13462</v>
      </c>
      <c r="H5357" s="667">
        <v>0</v>
      </c>
      <c r="I5357" s="668" t="s">
        <v>13461</v>
      </c>
      <c r="J5357" s="667">
        <v>0</v>
      </c>
    </row>
    <row r="5358" spans="1:10" ht="15" thickBot="1">
      <c r="A5358" s="668"/>
      <c r="B5358" s="668"/>
      <c r="C5358" s="668"/>
      <c r="D5358" s="668"/>
      <c r="E5358" s="668" t="s">
        <v>13460</v>
      </c>
      <c r="F5358" s="667">
        <v>3.51</v>
      </c>
      <c r="G5358" s="668"/>
      <c r="H5358" s="925" t="s">
        <v>13459</v>
      </c>
      <c r="I5358" s="925"/>
      <c r="J5358" s="667">
        <v>15.96</v>
      </c>
    </row>
    <row r="5359" spans="1:10" ht="0.95" customHeight="1" thickTop="1">
      <c r="A5359" s="666"/>
      <c r="B5359" s="666"/>
      <c r="C5359" s="666"/>
      <c r="D5359" s="666"/>
      <c r="E5359" s="666"/>
      <c r="F5359" s="666"/>
      <c r="G5359" s="666"/>
      <c r="H5359" s="666"/>
      <c r="I5359" s="666"/>
      <c r="J5359" s="666"/>
    </row>
    <row r="5360" spans="1:10" ht="18" customHeight="1">
      <c r="A5360" s="686"/>
      <c r="B5360" s="684" t="s">
        <v>13484</v>
      </c>
      <c r="C5360" s="686" t="s">
        <v>13483</v>
      </c>
      <c r="D5360" s="686" t="s">
        <v>13482</v>
      </c>
      <c r="E5360" s="924" t="s">
        <v>13481</v>
      </c>
      <c r="F5360" s="924"/>
      <c r="G5360" s="685" t="s">
        <v>13480</v>
      </c>
      <c r="H5360" s="684" t="s">
        <v>13479</v>
      </c>
      <c r="I5360" s="684" t="s">
        <v>13478</v>
      </c>
      <c r="J5360" s="684" t="s">
        <v>13477</v>
      </c>
    </row>
    <row r="5361" spans="1:10" ht="60" customHeight="1">
      <c r="A5361" s="682" t="s">
        <v>13476</v>
      </c>
      <c r="B5361" s="683" t="s">
        <v>13789</v>
      </c>
      <c r="C5361" s="682" t="s">
        <v>7</v>
      </c>
      <c r="D5361" s="682" t="s">
        <v>1916</v>
      </c>
      <c r="E5361" s="917" t="s">
        <v>13491</v>
      </c>
      <c r="F5361" s="917"/>
      <c r="G5361" s="681" t="s">
        <v>19</v>
      </c>
      <c r="H5361" s="680">
        <v>1</v>
      </c>
      <c r="I5361" s="679">
        <v>1.01</v>
      </c>
      <c r="J5361" s="679">
        <v>1.01</v>
      </c>
    </row>
    <row r="5362" spans="1:10" ht="48" customHeight="1">
      <c r="A5362" s="672" t="s">
        <v>13467</v>
      </c>
      <c r="B5362" s="673" t="s">
        <v>13786</v>
      </c>
      <c r="C5362" s="672" t="s">
        <v>7</v>
      </c>
      <c r="D5362" s="672" t="s">
        <v>13785</v>
      </c>
      <c r="E5362" s="919" t="s">
        <v>13493</v>
      </c>
      <c r="F5362" s="919"/>
      <c r="G5362" s="671" t="s">
        <v>34</v>
      </c>
      <c r="H5362" s="670">
        <v>2.7999999999999999E-6</v>
      </c>
      <c r="I5362" s="669">
        <v>279328.40000000002</v>
      </c>
      <c r="J5362" s="669">
        <v>0.78</v>
      </c>
    </row>
    <row r="5363" spans="1:10" ht="60" customHeight="1">
      <c r="A5363" s="672" t="s">
        <v>13467</v>
      </c>
      <c r="B5363" s="673" t="s">
        <v>13784</v>
      </c>
      <c r="C5363" s="672" t="s">
        <v>7</v>
      </c>
      <c r="D5363" s="672" t="s">
        <v>13783</v>
      </c>
      <c r="E5363" s="919" t="s">
        <v>13493</v>
      </c>
      <c r="F5363" s="919"/>
      <c r="G5363" s="671" t="s">
        <v>34</v>
      </c>
      <c r="H5363" s="670">
        <v>2.7999999999999999E-6</v>
      </c>
      <c r="I5363" s="669">
        <v>83748.429999999993</v>
      </c>
      <c r="J5363" s="669">
        <v>0.23</v>
      </c>
    </row>
    <row r="5364" spans="1:10" ht="25.5">
      <c r="A5364" s="668"/>
      <c r="B5364" s="668"/>
      <c r="C5364" s="668"/>
      <c r="D5364" s="668"/>
      <c r="E5364" s="668" t="s">
        <v>13463</v>
      </c>
      <c r="F5364" s="667">
        <v>0</v>
      </c>
      <c r="G5364" s="668" t="s">
        <v>13462</v>
      </c>
      <c r="H5364" s="667">
        <v>0</v>
      </c>
      <c r="I5364" s="668" t="s">
        <v>13461</v>
      </c>
      <c r="J5364" s="667">
        <v>0</v>
      </c>
    </row>
    <row r="5365" spans="1:10" ht="15" thickBot="1">
      <c r="A5365" s="668"/>
      <c r="B5365" s="668"/>
      <c r="C5365" s="668"/>
      <c r="D5365" s="668"/>
      <c r="E5365" s="668" t="s">
        <v>13460</v>
      </c>
      <c r="F5365" s="667">
        <v>0.28000000000000003</v>
      </c>
      <c r="G5365" s="668"/>
      <c r="H5365" s="925" t="s">
        <v>13459</v>
      </c>
      <c r="I5365" s="925"/>
      <c r="J5365" s="667">
        <v>1.29</v>
      </c>
    </row>
    <row r="5366" spans="1:10" ht="0.95" customHeight="1" thickTop="1">
      <c r="A5366" s="666"/>
      <c r="B5366" s="666"/>
      <c r="C5366" s="666"/>
      <c r="D5366" s="666"/>
      <c r="E5366" s="666"/>
      <c r="F5366" s="666"/>
      <c r="G5366" s="666"/>
      <c r="H5366" s="666"/>
      <c r="I5366" s="666"/>
      <c r="J5366" s="666"/>
    </row>
    <row r="5367" spans="1:10" ht="18" customHeight="1">
      <c r="A5367" s="686"/>
      <c r="B5367" s="684" t="s">
        <v>13484</v>
      </c>
      <c r="C5367" s="686" t="s">
        <v>13483</v>
      </c>
      <c r="D5367" s="686" t="s">
        <v>13482</v>
      </c>
      <c r="E5367" s="924" t="s">
        <v>13481</v>
      </c>
      <c r="F5367" s="924"/>
      <c r="G5367" s="685" t="s">
        <v>13480</v>
      </c>
      <c r="H5367" s="684" t="s">
        <v>13479</v>
      </c>
      <c r="I5367" s="684" t="s">
        <v>13478</v>
      </c>
      <c r="J5367" s="684" t="s">
        <v>13477</v>
      </c>
    </row>
    <row r="5368" spans="1:10" ht="60" customHeight="1">
      <c r="A5368" s="682" t="s">
        <v>13476</v>
      </c>
      <c r="B5368" s="683" t="s">
        <v>13788</v>
      </c>
      <c r="C5368" s="682" t="s">
        <v>7</v>
      </c>
      <c r="D5368" s="682" t="s">
        <v>1915</v>
      </c>
      <c r="E5368" s="917" t="s">
        <v>13491</v>
      </c>
      <c r="F5368" s="917"/>
      <c r="G5368" s="681" t="s">
        <v>19</v>
      </c>
      <c r="H5368" s="680">
        <v>1</v>
      </c>
      <c r="I5368" s="679">
        <v>2.61</v>
      </c>
      <c r="J5368" s="679">
        <v>2.61</v>
      </c>
    </row>
    <row r="5369" spans="1:10" ht="48" customHeight="1">
      <c r="A5369" s="672" t="s">
        <v>13467</v>
      </c>
      <c r="B5369" s="673" t="s">
        <v>13786</v>
      </c>
      <c r="C5369" s="672" t="s">
        <v>7</v>
      </c>
      <c r="D5369" s="672" t="s">
        <v>13785</v>
      </c>
      <c r="E5369" s="919" t="s">
        <v>13493</v>
      </c>
      <c r="F5369" s="919"/>
      <c r="G5369" s="671" t="s">
        <v>34</v>
      </c>
      <c r="H5369" s="670">
        <v>7.1999999999999997E-6</v>
      </c>
      <c r="I5369" s="669">
        <v>279328.40000000002</v>
      </c>
      <c r="J5369" s="669">
        <v>2.0099999999999998</v>
      </c>
    </row>
    <row r="5370" spans="1:10" ht="60" customHeight="1">
      <c r="A5370" s="672" t="s">
        <v>13467</v>
      </c>
      <c r="B5370" s="673" t="s">
        <v>13784</v>
      </c>
      <c r="C5370" s="672" t="s">
        <v>7</v>
      </c>
      <c r="D5370" s="672" t="s">
        <v>13783</v>
      </c>
      <c r="E5370" s="919" t="s">
        <v>13493</v>
      </c>
      <c r="F5370" s="919"/>
      <c r="G5370" s="671" t="s">
        <v>34</v>
      </c>
      <c r="H5370" s="670">
        <v>7.1999999999999997E-6</v>
      </c>
      <c r="I5370" s="669">
        <v>83748.429999999993</v>
      </c>
      <c r="J5370" s="669">
        <v>0.6</v>
      </c>
    </row>
    <row r="5371" spans="1:10" ht="25.5">
      <c r="A5371" s="668"/>
      <c r="B5371" s="668"/>
      <c r="C5371" s="668"/>
      <c r="D5371" s="668"/>
      <c r="E5371" s="668" t="s">
        <v>13463</v>
      </c>
      <c r="F5371" s="667">
        <v>0</v>
      </c>
      <c r="G5371" s="668" t="s">
        <v>13462</v>
      </c>
      <c r="H5371" s="667">
        <v>0</v>
      </c>
      <c r="I5371" s="668" t="s">
        <v>13461</v>
      </c>
      <c r="J5371" s="667">
        <v>0</v>
      </c>
    </row>
    <row r="5372" spans="1:10" ht="15" thickBot="1">
      <c r="A5372" s="668"/>
      <c r="B5372" s="668"/>
      <c r="C5372" s="668"/>
      <c r="D5372" s="668"/>
      <c r="E5372" s="668" t="s">
        <v>13460</v>
      </c>
      <c r="F5372" s="667">
        <v>0.73</v>
      </c>
      <c r="G5372" s="668"/>
      <c r="H5372" s="925" t="s">
        <v>13459</v>
      </c>
      <c r="I5372" s="925"/>
      <c r="J5372" s="667">
        <v>3.34</v>
      </c>
    </row>
    <row r="5373" spans="1:10" ht="0.95" customHeight="1" thickTop="1">
      <c r="A5373" s="666"/>
      <c r="B5373" s="666"/>
      <c r="C5373" s="666"/>
      <c r="D5373" s="666"/>
      <c r="E5373" s="666"/>
      <c r="F5373" s="666"/>
      <c r="G5373" s="666"/>
      <c r="H5373" s="666"/>
      <c r="I5373" s="666"/>
      <c r="J5373" s="666"/>
    </row>
    <row r="5374" spans="1:10" ht="18" customHeight="1">
      <c r="A5374" s="686"/>
      <c r="B5374" s="684" t="s">
        <v>13484</v>
      </c>
      <c r="C5374" s="686" t="s">
        <v>13483</v>
      </c>
      <c r="D5374" s="686" t="s">
        <v>13482</v>
      </c>
      <c r="E5374" s="924" t="s">
        <v>13481</v>
      </c>
      <c r="F5374" s="924"/>
      <c r="G5374" s="685" t="s">
        <v>13480</v>
      </c>
      <c r="H5374" s="684" t="s">
        <v>13479</v>
      </c>
      <c r="I5374" s="684" t="s">
        <v>13478</v>
      </c>
      <c r="J5374" s="684" t="s">
        <v>13477</v>
      </c>
    </row>
    <row r="5375" spans="1:10" ht="60" customHeight="1">
      <c r="A5375" s="682" t="s">
        <v>13476</v>
      </c>
      <c r="B5375" s="683" t="s">
        <v>13787</v>
      </c>
      <c r="C5375" s="682" t="s">
        <v>7</v>
      </c>
      <c r="D5375" s="682" t="s">
        <v>1917</v>
      </c>
      <c r="E5375" s="917" t="s">
        <v>13491</v>
      </c>
      <c r="F5375" s="917"/>
      <c r="G5375" s="681" t="s">
        <v>19</v>
      </c>
      <c r="H5375" s="680">
        <v>1</v>
      </c>
      <c r="I5375" s="679">
        <v>23.34</v>
      </c>
      <c r="J5375" s="679">
        <v>23.34</v>
      </c>
    </row>
    <row r="5376" spans="1:10" ht="48" customHeight="1">
      <c r="A5376" s="672" t="s">
        <v>13467</v>
      </c>
      <c r="B5376" s="673" t="s">
        <v>13786</v>
      </c>
      <c r="C5376" s="672" t="s">
        <v>7</v>
      </c>
      <c r="D5376" s="672" t="s">
        <v>13785</v>
      </c>
      <c r="E5376" s="919" t="s">
        <v>13493</v>
      </c>
      <c r="F5376" s="919"/>
      <c r="G5376" s="671" t="s">
        <v>34</v>
      </c>
      <c r="H5376" s="670">
        <v>6.4300000000000004E-5</v>
      </c>
      <c r="I5376" s="669">
        <v>279328.40000000002</v>
      </c>
      <c r="J5376" s="669">
        <v>17.96</v>
      </c>
    </row>
    <row r="5377" spans="1:10" ht="60" customHeight="1">
      <c r="A5377" s="672" t="s">
        <v>13467</v>
      </c>
      <c r="B5377" s="673" t="s">
        <v>13784</v>
      </c>
      <c r="C5377" s="672" t="s">
        <v>7</v>
      </c>
      <c r="D5377" s="672" t="s">
        <v>13783</v>
      </c>
      <c r="E5377" s="919" t="s">
        <v>13493</v>
      </c>
      <c r="F5377" s="919"/>
      <c r="G5377" s="671" t="s">
        <v>34</v>
      </c>
      <c r="H5377" s="670">
        <v>6.4300000000000004E-5</v>
      </c>
      <c r="I5377" s="669">
        <v>83748.429999999993</v>
      </c>
      <c r="J5377" s="669">
        <v>5.38</v>
      </c>
    </row>
    <row r="5378" spans="1:10" ht="25.5">
      <c r="A5378" s="668"/>
      <c r="B5378" s="668"/>
      <c r="C5378" s="668"/>
      <c r="D5378" s="668"/>
      <c r="E5378" s="668" t="s">
        <v>13463</v>
      </c>
      <c r="F5378" s="667">
        <v>0</v>
      </c>
      <c r="G5378" s="668" t="s">
        <v>13462</v>
      </c>
      <c r="H5378" s="667">
        <v>0</v>
      </c>
      <c r="I5378" s="668" t="s">
        <v>13461</v>
      </c>
      <c r="J5378" s="667">
        <v>0</v>
      </c>
    </row>
    <row r="5379" spans="1:10" ht="15" thickBot="1">
      <c r="A5379" s="668"/>
      <c r="B5379" s="668"/>
      <c r="C5379" s="668"/>
      <c r="D5379" s="668"/>
      <c r="E5379" s="668" t="s">
        <v>13460</v>
      </c>
      <c r="F5379" s="667">
        <v>6.59</v>
      </c>
      <c r="G5379" s="668"/>
      <c r="H5379" s="925" t="s">
        <v>13459</v>
      </c>
      <c r="I5379" s="925"/>
      <c r="J5379" s="667">
        <v>29.93</v>
      </c>
    </row>
    <row r="5380" spans="1:10" ht="0.95" customHeight="1" thickTop="1">
      <c r="A5380" s="666"/>
      <c r="B5380" s="666"/>
      <c r="C5380" s="666"/>
      <c r="D5380" s="666"/>
      <c r="E5380" s="666"/>
      <c r="F5380" s="666"/>
      <c r="G5380" s="666"/>
      <c r="H5380" s="666"/>
      <c r="I5380" s="666"/>
      <c r="J5380" s="666"/>
    </row>
    <row r="5381" spans="1:10" ht="18" customHeight="1">
      <c r="A5381" s="686"/>
      <c r="B5381" s="684" t="s">
        <v>13484</v>
      </c>
      <c r="C5381" s="686" t="s">
        <v>13483</v>
      </c>
      <c r="D5381" s="686" t="s">
        <v>13482</v>
      </c>
      <c r="E5381" s="924" t="s">
        <v>13481</v>
      </c>
      <c r="F5381" s="924"/>
      <c r="G5381" s="685" t="s">
        <v>13480</v>
      </c>
      <c r="H5381" s="684" t="s">
        <v>13479</v>
      </c>
      <c r="I5381" s="684" t="s">
        <v>13478</v>
      </c>
      <c r="J5381" s="684" t="s">
        <v>13477</v>
      </c>
    </row>
    <row r="5382" spans="1:10" ht="60" customHeight="1">
      <c r="A5382" s="682" t="s">
        <v>13476</v>
      </c>
      <c r="B5382" s="683" t="s">
        <v>13782</v>
      </c>
      <c r="C5382" s="682" t="s">
        <v>7</v>
      </c>
      <c r="D5382" s="682" t="s">
        <v>1918</v>
      </c>
      <c r="E5382" s="917" t="s">
        <v>13491</v>
      </c>
      <c r="F5382" s="917"/>
      <c r="G5382" s="681" t="s">
        <v>19</v>
      </c>
      <c r="H5382" s="680">
        <v>1</v>
      </c>
      <c r="I5382" s="679">
        <v>110.28</v>
      </c>
      <c r="J5382" s="679">
        <v>110.28</v>
      </c>
    </row>
    <row r="5383" spans="1:10" ht="24" customHeight="1">
      <c r="A5383" s="672" t="s">
        <v>13467</v>
      </c>
      <c r="B5383" s="673" t="s">
        <v>13580</v>
      </c>
      <c r="C5383" s="672" t="s">
        <v>7</v>
      </c>
      <c r="D5383" s="672" t="s">
        <v>13579</v>
      </c>
      <c r="E5383" s="919" t="s">
        <v>13464</v>
      </c>
      <c r="F5383" s="919"/>
      <c r="G5383" s="671" t="s">
        <v>50</v>
      </c>
      <c r="H5383" s="670">
        <v>22.37</v>
      </c>
      <c r="I5383" s="669">
        <v>4.93</v>
      </c>
      <c r="J5383" s="669">
        <v>110.28</v>
      </c>
    </row>
    <row r="5384" spans="1:10" ht="25.5">
      <c r="A5384" s="668"/>
      <c r="B5384" s="668"/>
      <c r="C5384" s="668"/>
      <c r="D5384" s="668"/>
      <c r="E5384" s="668" t="s">
        <v>13463</v>
      </c>
      <c r="F5384" s="667">
        <v>0</v>
      </c>
      <c r="G5384" s="668" t="s">
        <v>13462</v>
      </c>
      <c r="H5384" s="667">
        <v>0</v>
      </c>
      <c r="I5384" s="668" t="s">
        <v>13461</v>
      </c>
      <c r="J5384" s="667">
        <v>0</v>
      </c>
    </row>
    <row r="5385" spans="1:10" ht="15" thickBot="1">
      <c r="A5385" s="668"/>
      <c r="B5385" s="668"/>
      <c r="C5385" s="668"/>
      <c r="D5385" s="668"/>
      <c r="E5385" s="668" t="s">
        <v>13460</v>
      </c>
      <c r="F5385" s="667">
        <v>31.14</v>
      </c>
      <c r="G5385" s="668"/>
      <c r="H5385" s="925" t="s">
        <v>13459</v>
      </c>
      <c r="I5385" s="925"/>
      <c r="J5385" s="667">
        <v>141.41999999999999</v>
      </c>
    </row>
    <row r="5386" spans="1:10" ht="0.95" customHeight="1" thickTop="1">
      <c r="A5386" s="666"/>
      <c r="B5386" s="666"/>
      <c r="C5386" s="666"/>
      <c r="D5386" s="666"/>
      <c r="E5386" s="666"/>
      <c r="F5386" s="666"/>
      <c r="G5386" s="666"/>
      <c r="H5386" s="666"/>
      <c r="I5386" s="666"/>
      <c r="J5386" s="666"/>
    </row>
    <row r="5387" spans="1:10" ht="18" customHeight="1">
      <c r="A5387" s="686"/>
      <c r="B5387" s="684" t="s">
        <v>13484</v>
      </c>
      <c r="C5387" s="686" t="s">
        <v>13483</v>
      </c>
      <c r="D5387" s="686" t="s">
        <v>13482</v>
      </c>
      <c r="E5387" s="924" t="s">
        <v>13481</v>
      </c>
      <c r="F5387" s="924"/>
      <c r="G5387" s="685" t="s">
        <v>13480</v>
      </c>
      <c r="H5387" s="684" t="s">
        <v>13479</v>
      </c>
      <c r="I5387" s="684" t="s">
        <v>13478</v>
      </c>
      <c r="J5387" s="684" t="s">
        <v>13477</v>
      </c>
    </row>
    <row r="5388" spans="1:10" ht="24" customHeight="1">
      <c r="A5388" s="682" t="s">
        <v>13476</v>
      </c>
      <c r="B5388" s="683" t="s">
        <v>13781</v>
      </c>
      <c r="C5388" s="682" t="s">
        <v>7</v>
      </c>
      <c r="D5388" s="682" t="s">
        <v>3453</v>
      </c>
      <c r="E5388" s="917" t="s">
        <v>13540</v>
      </c>
      <c r="F5388" s="917"/>
      <c r="G5388" s="681" t="s">
        <v>34</v>
      </c>
      <c r="H5388" s="680">
        <v>1</v>
      </c>
      <c r="I5388" s="679">
        <v>76.680000000000007</v>
      </c>
      <c r="J5388" s="679">
        <v>76.680000000000007</v>
      </c>
    </row>
    <row r="5389" spans="1:10" ht="24" customHeight="1">
      <c r="A5389" s="677" t="s">
        <v>13472</v>
      </c>
      <c r="B5389" s="678" t="s">
        <v>13539</v>
      </c>
      <c r="C5389" s="677" t="s">
        <v>7</v>
      </c>
      <c r="D5389" s="677" t="s">
        <v>45</v>
      </c>
      <c r="E5389" s="918" t="s">
        <v>13470</v>
      </c>
      <c r="F5389" s="918"/>
      <c r="G5389" s="676" t="s">
        <v>19</v>
      </c>
      <c r="H5389" s="675">
        <v>0.39550000000000002</v>
      </c>
      <c r="I5389" s="674">
        <v>18.3</v>
      </c>
      <c r="J5389" s="674">
        <v>7.23</v>
      </c>
    </row>
    <row r="5390" spans="1:10" ht="24" customHeight="1">
      <c r="A5390" s="677" t="s">
        <v>13472</v>
      </c>
      <c r="B5390" s="678" t="s">
        <v>13538</v>
      </c>
      <c r="C5390" s="677" t="s">
        <v>7</v>
      </c>
      <c r="D5390" s="677" t="s">
        <v>47</v>
      </c>
      <c r="E5390" s="918" t="s">
        <v>13470</v>
      </c>
      <c r="F5390" s="918"/>
      <c r="G5390" s="676" t="s">
        <v>19</v>
      </c>
      <c r="H5390" s="675">
        <v>0.39550000000000002</v>
      </c>
      <c r="I5390" s="674">
        <v>14</v>
      </c>
      <c r="J5390" s="674">
        <v>5.53</v>
      </c>
    </row>
    <row r="5391" spans="1:10" ht="36" customHeight="1">
      <c r="A5391" s="672" t="s">
        <v>13467</v>
      </c>
      <c r="B5391" s="673" t="s">
        <v>13780</v>
      </c>
      <c r="C5391" s="672" t="s">
        <v>7</v>
      </c>
      <c r="D5391" s="672" t="s">
        <v>13779</v>
      </c>
      <c r="E5391" s="919" t="s">
        <v>13464</v>
      </c>
      <c r="F5391" s="919"/>
      <c r="G5391" s="671" t="s">
        <v>34</v>
      </c>
      <c r="H5391" s="670">
        <v>1</v>
      </c>
      <c r="I5391" s="669">
        <v>63.92</v>
      </c>
      <c r="J5391" s="669">
        <v>63.92</v>
      </c>
    </row>
    <row r="5392" spans="1:10" ht="25.5">
      <c r="A5392" s="668"/>
      <c r="B5392" s="668"/>
      <c r="C5392" s="668"/>
      <c r="D5392" s="668"/>
      <c r="E5392" s="668" t="s">
        <v>13463</v>
      </c>
      <c r="F5392" s="667">
        <v>5.3026187112897967</v>
      </c>
      <c r="G5392" s="668" t="s">
        <v>13462</v>
      </c>
      <c r="H5392" s="667">
        <v>4.46</v>
      </c>
      <c r="I5392" s="668" t="s">
        <v>13461</v>
      </c>
      <c r="J5392" s="667">
        <v>9.76</v>
      </c>
    </row>
    <row r="5393" spans="1:10" ht="15" thickBot="1">
      <c r="A5393" s="668"/>
      <c r="B5393" s="668"/>
      <c r="C5393" s="668"/>
      <c r="D5393" s="668"/>
      <c r="E5393" s="668" t="s">
        <v>13460</v>
      </c>
      <c r="F5393" s="667">
        <v>21.65</v>
      </c>
      <c r="G5393" s="668"/>
      <c r="H5393" s="925" t="s">
        <v>13459</v>
      </c>
      <c r="I5393" s="925"/>
      <c r="J5393" s="667">
        <v>98.33</v>
      </c>
    </row>
    <row r="5394" spans="1:10" ht="0.95" customHeight="1" thickTop="1">
      <c r="A5394" s="666"/>
      <c r="B5394" s="666"/>
      <c r="C5394" s="666"/>
      <c r="D5394" s="666"/>
      <c r="E5394" s="666"/>
      <c r="F5394" s="666"/>
      <c r="G5394" s="666"/>
      <c r="H5394" s="666"/>
      <c r="I5394" s="666"/>
      <c r="J5394" s="666"/>
    </row>
    <row r="5395" spans="1:10" ht="18" customHeight="1">
      <c r="A5395" s="686"/>
      <c r="B5395" s="684" t="s">
        <v>13484</v>
      </c>
      <c r="C5395" s="686" t="s">
        <v>13483</v>
      </c>
      <c r="D5395" s="686" t="s">
        <v>13482</v>
      </c>
      <c r="E5395" s="924" t="s">
        <v>13481</v>
      </c>
      <c r="F5395" s="924"/>
      <c r="G5395" s="685" t="s">
        <v>13480</v>
      </c>
      <c r="H5395" s="684" t="s">
        <v>13479</v>
      </c>
      <c r="I5395" s="684" t="s">
        <v>13478</v>
      </c>
      <c r="J5395" s="684" t="s">
        <v>13477</v>
      </c>
    </row>
    <row r="5396" spans="1:10" ht="24" customHeight="1">
      <c r="A5396" s="682" t="s">
        <v>13476</v>
      </c>
      <c r="B5396" s="683" t="s">
        <v>13778</v>
      </c>
      <c r="C5396" s="682" t="s">
        <v>7</v>
      </c>
      <c r="D5396" s="682" t="s">
        <v>138</v>
      </c>
      <c r="E5396" s="917" t="s">
        <v>13470</v>
      </c>
      <c r="F5396" s="917"/>
      <c r="G5396" s="681" t="s">
        <v>19</v>
      </c>
      <c r="H5396" s="680">
        <v>1</v>
      </c>
      <c r="I5396" s="679">
        <v>18.489999999999998</v>
      </c>
      <c r="J5396" s="679">
        <v>18.489999999999998</v>
      </c>
    </row>
    <row r="5397" spans="1:10" ht="24" customHeight="1">
      <c r="A5397" s="677" t="s">
        <v>13472</v>
      </c>
      <c r="B5397" s="678" t="s">
        <v>13777</v>
      </c>
      <c r="C5397" s="677" t="s">
        <v>7</v>
      </c>
      <c r="D5397" s="677" t="s">
        <v>2750</v>
      </c>
      <c r="E5397" s="918" t="s">
        <v>13470</v>
      </c>
      <c r="F5397" s="918"/>
      <c r="G5397" s="676" t="s">
        <v>19</v>
      </c>
      <c r="H5397" s="675">
        <v>1</v>
      </c>
      <c r="I5397" s="674">
        <v>0.21</v>
      </c>
      <c r="J5397" s="674">
        <v>0.21</v>
      </c>
    </row>
    <row r="5398" spans="1:10" ht="24" customHeight="1">
      <c r="A5398" s="672" t="s">
        <v>13467</v>
      </c>
      <c r="B5398" s="673" t="s">
        <v>13562</v>
      </c>
      <c r="C5398" s="672" t="s">
        <v>7</v>
      </c>
      <c r="D5398" s="672" t="s">
        <v>13561</v>
      </c>
      <c r="E5398" s="919" t="s">
        <v>13556</v>
      </c>
      <c r="F5398" s="919"/>
      <c r="G5398" s="671" t="s">
        <v>19</v>
      </c>
      <c r="H5398" s="670">
        <v>1</v>
      </c>
      <c r="I5398" s="669">
        <v>0.96</v>
      </c>
      <c r="J5398" s="669">
        <v>0.96</v>
      </c>
    </row>
    <row r="5399" spans="1:10" ht="24" customHeight="1">
      <c r="A5399" s="672" t="s">
        <v>13467</v>
      </c>
      <c r="B5399" s="673" t="s">
        <v>13752</v>
      </c>
      <c r="C5399" s="672" t="s">
        <v>7</v>
      </c>
      <c r="D5399" s="672" t="s">
        <v>13751</v>
      </c>
      <c r="E5399" s="919" t="s">
        <v>13493</v>
      </c>
      <c r="F5399" s="919"/>
      <c r="G5399" s="671" t="s">
        <v>19</v>
      </c>
      <c r="H5399" s="670">
        <v>1</v>
      </c>
      <c r="I5399" s="669">
        <v>0.95</v>
      </c>
      <c r="J5399" s="669">
        <v>0.95</v>
      </c>
    </row>
    <row r="5400" spans="1:10" ht="24" customHeight="1">
      <c r="A5400" s="672" t="s">
        <v>13467</v>
      </c>
      <c r="B5400" s="673" t="s">
        <v>13558</v>
      </c>
      <c r="C5400" s="672" t="s">
        <v>7</v>
      </c>
      <c r="D5400" s="672" t="s">
        <v>13557</v>
      </c>
      <c r="E5400" s="919" t="s">
        <v>13556</v>
      </c>
      <c r="F5400" s="919"/>
      <c r="G5400" s="671" t="s">
        <v>19</v>
      </c>
      <c r="H5400" s="670">
        <v>1</v>
      </c>
      <c r="I5400" s="669">
        <v>0.55000000000000004</v>
      </c>
      <c r="J5400" s="669">
        <v>0.55000000000000004</v>
      </c>
    </row>
    <row r="5401" spans="1:10" ht="24" customHeight="1">
      <c r="A5401" s="672" t="s">
        <v>13467</v>
      </c>
      <c r="B5401" s="673" t="s">
        <v>13750</v>
      </c>
      <c r="C5401" s="672" t="s">
        <v>7</v>
      </c>
      <c r="D5401" s="672" t="s">
        <v>13749</v>
      </c>
      <c r="E5401" s="919" t="s">
        <v>13493</v>
      </c>
      <c r="F5401" s="919"/>
      <c r="G5401" s="671" t="s">
        <v>19</v>
      </c>
      <c r="H5401" s="670">
        <v>1</v>
      </c>
      <c r="I5401" s="669">
        <v>0.57999999999999996</v>
      </c>
      <c r="J5401" s="669">
        <v>0.57999999999999996</v>
      </c>
    </row>
    <row r="5402" spans="1:10" ht="24" customHeight="1">
      <c r="A5402" s="672" t="s">
        <v>13467</v>
      </c>
      <c r="B5402" s="673" t="s">
        <v>13776</v>
      </c>
      <c r="C5402" s="672" t="s">
        <v>7</v>
      </c>
      <c r="D5402" s="672" t="s">
        <v>13775</v>
      </c>
      <c r="E5402" s="919" t="s">
        <v>13548</v>
      </c>
      <c r="F5402" s="919"/>
      <c r="G5402" s="671" t="s">
        <v>19</v>
      </c>
      <c r="H5402" s="670">
        <v>1</v>
      </c>
      <c r="I5402" s="669">
        <v>14.47</v>
      </c>
      <c r="J5402" s="669">
        <v>14.47</v>
      </c>
    </row>
    <row r="5403" spans="1:10" ht="24" customHeight="1">
      <c r="A5403" s="672" t="s">
        <v>13467</v>
      </c>
      <c r="B5403" s="673" t="s">
        <v>13553</v>
      </c>
      <c r="C5403" s="672" t="s">
        <v>7</v>
      </c>
      <c r="D5403" s="672" t="s">
        <v>13552</v>
      </c>
      <c r="E5403" s="919" t="s">
        <v>13551</v>
      </c>
      <c r="F5403" s="919"/>
      <c r="G5403" s="671" t="s">
        <v>19</v>
      </c>
      <c r="H5403" s="670">
        <v>1</v>
      </c>
      <c r="I5403" s="669">
        <v>0.06</v>
      </c>
      <c r="J5403" s="669">
        <v>0.06</v>
      </c>
    </row>
    <row r="5404" spans="1:10" ht="24" customHeight="1">
      <c r="A5404" s="672" t="s">
        <v>13467</v>
      </c>
      <c r="B5404" s="673" t="s">
        <v>13547</v>
      </c>
      <c r="C5404" s="672" t="s">
        <v>7</v>
      </c>
      <c r="D5404" s="672" t="s">
        <v>13546</v>
      </c>
      <c r="E5404" s="919" t="s">
        <v>13545</v>
      </c>
      <c r="F5404" s="919"/>
      <c r="G5404" s="671" t="s">
        <v>19</v>
      </c>
      <c r="H5404" s="670">
        <v>1</v>
      </c>
      <c r="I5404" s="669">
        <v>0.71</v>
      </c>
      <c r="J5404" s="669">
        <v>0.71</v>
      </c>
    </row>
    <row r="5405" spans="1:10" ht="25.5">
      <c r="A5405" s="668"/>
      <c r="B5405" s="668"/>
      <c r="C5405" s="668"/>
      <c r="D5405" s="668"/>
      <c r="E5405" s="668" t="s">
        <v>13463</v>
      </c>
      <c r="F5405" s="667">
        <v>7.9756600999999998</v>
      </c>
      <c r="G5405" s="668" t="s">
        <v>13462</v>
      </c>
      <c r="H5405" s="667">
        <v>6.7</v>
      </c>
      <c r="I5405" s="668" t="s">
        <v>13461</v>
      </c>
      <c r="J5405" s="667">
        <v>14.68</v>
      </c>
    </row>
    <row r="5406" spans="1:10" ht="15" thickBot="1">
      <c r="A5406" s="668"/>
      <c r="B5406" s="668"/>
      <c r="C5406" s="668"/>
      <c r="D5406" s="668"/>
      <c r="E5406" s="668" t="s">
        <v>13460</v>
      </c>
      <c r="F5406" s="667">
        <v>5.22</v>
      </c>
      <c r="G5406" s="668"/>
      <c r="H5406" s="925" t="s">
        <v>13459</v>
      </c>
      <c r="I5406" s="925"/>
      <c r="J5406" s="667">
        <v>23.71</v>
      </c>
    </row>
    <row r="5407" spans="1:10" ht="0.95" customHeight="1" thickTop="1">
      <c r="A5407" s="666"/>
      <c r="B5407" s="666"/>
      <c r="C5407" s="666"/>
      <c r="D5407" s="666"/>
      <c r="E5407" s="666"/>
      <c r="F5407" s="666"/>
      <c r="G5407" s="666"/>
      <c r="H5407" s="666"/>
      <c r="I5407" s="666"/>
      <c r="J5407" s="666"/>
    </row>
    <row r="5408" spans="1:10" ht="18" customHeight="1">
      <c r="A5408" s="686"/>
      <c r="B5408" s="684" t="s">
        <v>13484</v>
      </c>
      <c r="C5408" s="686" t="s">
        <v>13483</v>
      </c>
      <c r="D5408" s="686" t="s">
        <v>13482</v>
      </c>
      <c r="E5408" s="924" t="s">
        <v>13481</v>
      </c>
      <c r="F5408" s="924"/>
      <c r="G5408" s="685" t="s">
        <v>13480</v>
      </c>
      <c r="H5408" s="684" t="s">
        <v>13479</v>
      </c>
      <c r="I5408" s="684" t="s">
        <v>13478</v>
      </c>
      <c r="J5408" s="684" t="s">
        <v>13477</v>
      </c>
    </row>
    <row r="5409" spans="1:10" ht="36" customHeight="1">
      <c r="A5409" s="682" t="s">
        <v>13476</v>
      </c>
      <c r="B5409" s="683" t="s">
        <v>13774</v>
      </c>
      <c r="C5409" s="682" t="s">
        <v>7</v>
      </c>
      <c r="D5409" s="682" t="s">
        <v>3634</v>
      </c>
      <c r="E5409" s="917" t="s">
        <v>13770</v>
      </c>
      <c r="F5409" s="917"/>
      <c r="G5409" s="681" t="s">
        <v>34</v>
      </c>
      <c r="H5409" s="680">
        <v>1</v>
      </c>
      <c r="I5409" s="679">
        <v>223.6</v>
      </c>
      <c r="J5409" s="679">
        <v>223.6</v>
      </c>
    </row>
    <row r="5410" spans="1:10" ht="36" customHeight="1">
      <c r="A5410" s="677" t="s">
        <v>13472</v>
      </c>
      <c r="B5410" s="678" t="s">
        <v>13769</v>
      </c>
      <c r="C5410" s="677" t="s">
        <v>7</v>
      </c>
      <c r="D5410" s="677" t="s">
        <v>2399</v>
      </c>
      <c r="E5410" s="918" t="s">
        <v>13491</v>
      </c>
      <c r="F5410" s="918"/>
      <c r="G5410" s="676" t="s">
        <v>38</v>
      </c>
      <c r="H5410" s="675">
        <v>0.1133</v>
      </c>
      <c r="I5410" s="674">
        <v>432.66</v>
      </c>
      <c r="J5410" s="674">
        <v>49.02</v>
      </c>
    </row>
    <row r="5411" spans="1:10" ht="36" customHeight="1">
      <c r="A5411" s="677" t="s">
        <v>13472</v>
      </c>
      <c r="B5411" s="678" t="s">
        <v>13768</v>
      </c>
      <c r="C5411" s="677" t="s">
        <v>7</v>
      </c>
      <c r="D5411" s="677" t="s">
        <v>2400</v>
      </c>
      <c r="E5411" s="918" t="s">
        <v>13491</v>
      </c>
      <c r="F5411" s="918"/>
      <c r="G5411" s="676" t="s">
        <v>53</v>
      </c>
      <c r="H5411" s="675">
        <v>0.157</v>
      </c>
      <c r="I5411" s="674">
        <v>115.77</v>
      </c>
      <c r="J5411" s="674">
        <v>18.170000000000002</v>
      </c>
    </row>
    <row r="5412" spans="1:10" ht="24" customHeight="1">
      <c r="A5412" s="677" t="s">
        <v>13472</v>
      </c>
      <c r="B5412" s="678" t="s">
        <v>13767</v>
      </c>
      <c r="C5412" s="677" t="s">
        <v>7</v>
      </c>
      <c r="D5412" s="677" t="s">
        <v>144</v>
      </c>
      <c r="E5412" s="918" t="s">
        <v>13470</v>
      </c>
      <c r="F5412" s="918"/>
      <c r="G5412" s="676" t="s">
        <v>19</v>
      </c>
      <c r="H5412" s="675">
        <v>7.94</v>
      </c>
      <c r="I5412" s="674">
        <v>12.66</v>
      </c>
      <c r="J5412" s="674">
        <v>100.52</v>
      </c>
    </row>
    <row r="5413" spans="1:10" ht="24" customHeight="1">
      <c r="A5413" s="677" t="s">
        <v>13472</v>
      </c>
      <c r="B5413" s="678" t="s">
        <v>13471</v>
      </c>
      <c r="C5413" s="677" t="s">
        <v>7</v>
      </c>
      <c r="D5413" s="677" t="s">
        <v>21</v>
      </c>
      <c r="E5413" s="918" t="s">
        <v>13470</v>
      </c>
      <c r="F5413" s="918"/>
      <c r="G5413" s="676" t="s">
        <v>19</v>
      </c>
      <c r="H5413" s="675">
        <v>2.6429999999999998</v>
      </c>
      <c r="I5413" s="674">
        <v>14.02</v>
      </c>
      <c r="J5413" s="674">
        <v>37.049999999999997</v>
      </c>
    </row>
    <row r="5414" spans="1:10" ht="24" customHeight="1">
      <c r="A5414" s="672" t="s">
        <v>13467</v>
      </c>
      <c r="B5414" s="673" t="s">
        <v>13766</v>
      </c>
      <c r="C5414" s="672" t="s">
        <v>7</v>
      </c>
      <c r="D5414" s="672" t="s">
        <v>13765</v>
      </c>
      <c r="E5414" s="919" t="s">
        <v>13464</v>
      </c>
      <c r="F5414" s="919"/>
      <c r="G5414" s="671" t="s">
        <v>34</v>
      </c>
      <c r="H5414" s="670">
        <v>12</v>
      </c>
      <c r="I5414" s="669">
        <v>1.57</v>
      </c>
      <c r="J5414" s="669">
        <v>18.84</v>
      </c>
    </row>
    <row r="5415" spans="1:10" ht="25.5">
      <c r="A5415" s="668"/>
      <c r="B5415" s="668"/>
      <c r="C5415" s="668"/>
      <c r="D5415" s="668"/>
      <c r="E5415" s="668" t="s">
        <v>13463</v>
      </c>
      <c r="F5415" s="667">
        <v>58.290774747364992</v>
      </c>
      <c r="G5415" s="668" t="s">
        <v>13462</v>
      </c>
      <c r="H5415" s="667">
        <v>49</v>
      </c>
      <c r="I5415" s="668" t="s">
        <v>13461</v>
      </c>
      <c r="J5415" s="667">
        <v>107.29</v>
      </c>
    </row>
    <row r="5416" spans="1:10" ht="15" thickBot="1">
      <c r="A5416" s="668"/>
      <c r="B5416" s="668"/>
      <c r="C5416" s="668"/>
      <c r="D5416" s="668"/>
      <c r="E5416" s="668" t="s">
        <v>13460</v>
      </c>
      <c r="F5416" s="667">
        <v>63.14</v>
      </c>
      <c r="G5416" s="668"/>
      <c r="H5416" s="925" t="s">
        <v>13459</v>
      </c>
      <c r="I5416" s="925"/>
      <c r="J5416" s="667">
        <v>286.74</v>
      </c>
    </row>
    <row r="5417" spans="1:10" ht="0.95" customHeight="1" thickTop="1">
      <c r="A5417" s="666"/>
      <c r="B5417" s="666"/>
      <c r="C5417" s="666"/>
      <c r="D5417" s="666"/>
      <c r="E5417" s="666"/>
      <c r="F5417" s="666"/>
      <c r="G5417" s="666"/>
      <c r="H5417" s="666"/>
      <c r="I5417" s="666"/>
      <c r="J5417" s="666"/>
    </row>
    <row r="5418" spans="1:10" ht="18" customHeight="1">
      <c r="A5418" s="686"/>
      <c r="B5418" s="684" t="s">
        <v>13484</v>
      </c>
      <c r="C5418" s="686" t="s">
        <v>13483</v>
      </c>
      <c r="D5418" s="686" t="s">
        <v>13482</v>
      </c>
      <c r="E5418" s="924" t="s">
        <v>13481</v>
      </c>
      <c r="F5418" s="924"/>
      <c r="G5418" s="685" t="s">
        <v>13480</v>
      </c>
      <c r="H5418" s="684" t="s">
        <v>13479</v>
      </c>
      <c r="I5418" s="684" t="s">
        <v>13478</v>
      </c>
      <c r="J5418" s="684" t="s">
        <v>13477</v>
      </c>
    </row>
    <row r="5419" spans="1:10" ht="36" customHeight="1">
      <c r="A5419" s="682" t="s">
        <v>13476</v>
      </c>
      <c r="B5419" s="683" t="s">
        <v>13773</v>
      </c>
      <c r="C5419" s="682" t="s">
        <v>7</v>
      </c>
      <c r="D5419" s="682" t="s">
        <v>3631</v>
      </c>
      <c r="E5419" s="917" t="s">
        <v>13770</v>
      </c>
      <c r="F5419" s="917"/>
      <c r="G5419" s="681" t="s">
        <v>34</v>
      </c>
      <c r="H5419" s="680">
        <v>1</v>
      </c>
      <c r="I5419" s="679">
        <v>138.53</v>
      </c>
      <c r="J5419" s="679">
        <v>138.53</v>
      </c>
    </row>
    <row r="5420" spans="1:10" ht="36" customHeight="1">
      <c r="A5420" s="677" t="s">
        <v>13472</v>
      </c>
      <c r="B5420" s="678" t="s">
        <v>13769</v>
      </c>
      <c r="C5420" s="677" t="s">
        <v>7</v>
      </c>
      <c r="D5420" s="677" t="s">
        <v>2399</v>
      </c>
      <c r="E5420" s="918" t="s">
        <v>13491</v>
      </c>
      <c r="F5420" s="918"/>
      <c r="G5420" s="676" t="s">
        <v>38</v>
      </c>
      <c r="H5420" s="675">
        <v>0.1133</v>
      </c>
      <c r="I5420" s="674">
        <v>432.66</v>
      </c>
      <c r="J5420" s="674">
        <v>49.02</v>
      </c>
    </row>
    <row r="5421" spans="1:10" ht="36" customHeight="1">
      <c r="A5421" s="677" t="s">
        <v>13472</v>
      </c>
      <c r="B5421" s="678" t="s">
        <v>13768</v>
      </c>
      <c r="C5421" s="677" t="s">
        <v>7</v>
      </c>
      <c r="D5421" s="677" t="s">
        <v>2400</v>
      </c>
      <c r="E5421" s="918" t="s">
        <v>13491</v>
      </c>
      <c r="F5421" s="918"/>
      <c r="G5421" s="676" t="s">
        <v>53</v>
      </c>
      <c r="H5421" s="675">
        <v>0.157</v>
      </c>
      <c r="I5421" s="674">
        <v>115.77</v>
      </c>
      <c r="J5421" s="674">
        <v>18.170000000000002</v>
      </c>
    </row>
    <row r="5422" spans="1:10" ht="24" customHeight="1">
      <c r="A5422" s="677" t="s">
        <v>13472</v>
      </c>
      <c r="B5422" s="678" t="s">
        <v>13767</v>
      </c>
      <c r="C5422" s="677" t="s">
        <v>7</v>
      </c>
      <c r="D5422" s="677" t="s">
        <v>144</v>
      </c>
      <c r="E5422" s="918" t="s">
        <v>13470</v>
      </c>
      <c r="F5422" s="918"/>
      <c r="G5422" s="676" t="s">
        <v>19</v>
      </c>
      <c r="H5422" s="675">
        <v>2.5529999999999999</v>
      </c>
      <c r="I5422" s="674">
        <v>12.66</v>
      </c>
      <c r="J5422" s="674">
        <v>32.32</v>
      </c>
    </row>
    <row r="5423" spans="1:10" ht="24" customHeight="1">
      <c r="A5423" s="677" t="s">
        <v>13472</v>
      </c>
      <c r="B5423" s="678" t="s">
        <v>13471</v>
      </c>
      <c r="C5423" s="677" t="s">
        <v>7</v>
      </c>
      <c r="D5423" s="677" t="s">
        <v>21</v>
      </c>
      <c r="E5423" s="918" t="s">
        <v>13470</v>
      </c>
      <c r="F5423" s="918"/>
      <c r="G5423" s="676" t="s">
        <v>19</v>
      </c>
      <c r="H5423" s="675">
        <v>1.44</v>
      </c>
      <c r="I5423" s="674">
        <v>14.02</v>
      </c>
      <c r="J5423" s="674">
        <v>20.18</v>
      </c>
    </row>
    <row r="5424" spans="1:10" ht="24" customHeight="1">
      <c r="A5424" s="672" t="s">
        <v>13467</v>
      </c>
      <c r="B5424" s="673" t="s">
        <v>13766</v>
      </c>
      <c r="C5424" s="672" t="s">
        <v>7</v>
      </c>
      <c r="D5424" s="672" t="s">
        <v>13765</v>
      </c>
      <c r="E5424" s="919" t="s">
        <v>13464</v>
      </c>
      <c r="F5424" s="919"/>
      <c r="G5424" s="671" t="s">
        <v>34</v>
      </c>
      <c r="H5424" s="670">
        <v>12</v>
      </c>
      <c r="I5424" s="669">
        <v>1.57</v>
      </c>
      <c r="J5424" s="669">
        <v>18.84</v>
      </c>
    </row>
    <row r="5425" spans="1:10" ht="25.5">
      <c r="A5425" s="668"/>
      <c r="B5425" s="668"/>
      <c r="C5425" s="668"/>
      <c r="D5425" s="668"/>
      <c r="E5425" s="668" t="s">
        <v>13463</v>
      </c>
      <c r="F5425" s="667">
        <v>23.04139954362708</v>
      </c>
      <c r="G5425" s="668" t="s">
        <v>13462</v>
      </c>
      <c r="H5425" s="667">
        <v>19.37</v>
      </c>
      <c r="I5425" s="668" t="s">
        <v>13461</v>
      </c>
      <c r="J5425" s="667">
        <v>42.41</v>
      </c>
    </row>
    <row r="5426" spans="1:10" ht="15" thickBot="1">
      <c r="A5426" s="668"/>
      <c r="B5426" s="668"/>
      <c r="C5426" s="668"/>
      <c r="D5426" s="668"/>
      <c r="E5426" s="668" t="s">
        <v>13460</v>
      </c>
      <c r="F5426" s="667">
        <v>39.119999999999997</v>
      </c>
      <c r="G5426" s="668"/>
      <c r="H5426" s="925" t="s">
        <v>13459</v>
      </c>
      <c r="I5426" s="925"/>
      <c r="J5426" s="667">
        <v>177.65</v>
      </c>
    </row>
    <row r="5427" spans="1:10" ht="0.95" customHeight="1" thickTop="1">
      <c r="A5427" s="666"/>
      <c r="B5427" s="666"/>
      <c r="C5427" s="666"/>
      <c r="D5427" s="666"/>
      <c r="E5427" s="666"/>
      <c r="F5427" s="666"/>
      <c r="G5427" s="666"/>
      <c r="H5427" s="666"/>
      <c r="I5427" s="666"/>
      <c r="J5427" s="666"/>
    </row>
    <row r="5428" spans="1:10" ht="18" customHeight="1">
      <c r="A5428" s="686"/>
      <c r="B5428" s="684" t="s">
        <v>13484</v>
      </c>
      <c r="C5428" s="686" t="s">
        <v>13483</v>
      </c>
      <c r="D5428" s="686" t="s">
        <v>13482</v>
      </c>
      <c r="E5428" s="924" t="s">
        <v>13481</v>
      </c>
      <c r="F5428" s="924"/>
      <c r="G5428" s="685" t="s">
        <v>13480</v>
      </c>
      <c r="H5428" s="684" t="s">
        <v>13479</v>
      </c>
      <c r="I5428" s="684" t="s">
        <v>13478</v>
      </c>
      <c r="J5428" s="684" t="s">
        <v>13477</v>
      </c>
    </row>
    <row r="5429" spans="1:10" ht="36" customHeight="1">
      <c r="A5429" s="682" t="s">
        <v>13476</v>
      </c>
      <c r="B5429" s="683" t="s">
        <v>13772</v>
      </c>
      <c r="C5429" s="682" t="s">
        <v>7</v>
      </c>
      <c r="D5429" s="682" t="s">
        <v>3632</v>
      </c>
      <c r="E5429" s="917" t="s">
        <v>13770</v>
      </c>
      <c r="F5429" s="917"/>
      <c r="G5429" s="681" t="s">
        <v>34</v>
      </c>
      <c r="H5429" s="680">
        <v>1</v>
      </c>
      <c r="I5429" s="679">
        <v>162.22999999999999</v>
      </c>
      <c r="J5429" s="679">
        <v>162.22999999999999</v>
      </c>
    </row>
    <row r="5430" spans="1:10" ht="36" customHeight="1">
      <c r="A5430" s="677" t="s">
        <v>13472</v>
      </c>
      <c r="B5430" s="678" t="s">
        <v>13769</v>
      </c>
      <c r="C5430" s="677" t="s">
        <v>7</v>
      </c>
      <c r="D5430" s="677" t="s">
        <v>2399</v>
      </c>
      <c r="E5430" s="918" t="s">
        <v>13491</v>
      </c>
      <c r="F5430" s="918"/>
      <c r="G5430" s="676" t="s">
        <v>38</v>
      </c>
      <c r="H5430" s="675">
        <v>0.1133</v>
      </c>
      <c r="I5430" s="674">
        <v>432.66</v>
      </c>
      <c r="J5430" s="674">
        <v>49.02</v>
      </c>
    </row>
    <row r="5431" spans="1:10" ht="36" customHeight="1">
      <c r="A5431" s="677" t="s">
        <v>13472</v>
      </c>
      <c r="B5431" s="678" t="s">
        <v>13768</v>
      </c>
      <c r="C5431" s="677" t="s">
        <v>7</v>
      </c>
      <c r="D5431" s="677" t="s">
        <v>2400</v>
      </c>
      <c r="E5431" s="918" t="s">
        <v>13491</v>
      </c>
      <c r="F5431" s="918"/>
      <c r="G5431" s="676" t="s">
        <v>53</v>
      </c>
      <c r="H5431" s="675">
        <v>0.157</v>
      </c>
      <c r="I5431" s="674">
        <v>115.77</v>
      </c>
      <c r="J5431" s="674">
        <v>18.170000000000002</v>
      </c>
    </row>
    <row r="5432" spans="1:10" ht="24" customHeight="1">
      <c r="A5432" s="677" t="s">
        <v>13472</v>
      </c>
      <c r="B5432" s="678" t="s">
        <v>13767</v>
      </c>
      <c r="C5432" s="677" t="s">
        <v>7</v>
      </c>
      <c r="D5432" s="677" t="s">
        <v>144</v>
      </c>
      <c r="E5432" s="918" t="s">
        <v>13470</v>
      </c>
      <c r="F5432" s="918"/>
      <c r="G5432" s="676" t="s">
        <v>19</v>
      </c>
      <c r="H5432" s="675">
        <v>4.0789999999999997</v>
      </c>
      <c r="I5432" s="674">
        <v>12.66</v>
      </c>
      <c r="J5432" s="674">
        <v>51.64</v>
      </c>
    </row>
    <row r="5433" spans="1:10" ht="24" customHeight="1">
      <c r="A5433" s="677" t="s">
        <v>13472</v>
      </c>
      <c r="B5433" s="678" t="s">
        <v>13471</v>
      </c>
      <c r="C5433" s="677" t="s">
        <v>7</v>
      </c>
      <c r="D5433" s="677" t="s">
        <v>21</v>
      </c>
      <c r="E5433" s="918" t="s">
        <v>13470</v>
      </c>
      <c r="F5433" s="918"/>
      <c r="G5433" s="676" t="s">
        <v>19</v>
      </c>
      <c r="H5433" s="675">
        <v>1.752</v>
      </c>
      <c r="I5433" s="674">
        <v>14.02</v>
      </c>
      <c r="J5433" s="674">
        <v>24.56</v>
      </c>
    </row>
    <row r="5434" spans="1:10" ht="24" customHeight="1">
      <c r="A5434" s="672" t="s">
        <v>13467</v>
      </c>
      <c r="B5434" s="673" t="s">
        <v>13766</v>
      </c>
      <c r="C5434" s="672" t="s">
        <v>7</v>
      </c>
      <c r="D5434" s="672" t="s">
        <v>13765</v>
      </c>
      <c r="E5434" s="919" t="s">
        <v>13464</v>
      </c>
      <c r="F5434" s="919"/>
      <c r="G5434" s="671" t="s">
        <v>34</v>
      </c>
      <c r="H5434" s="670">
        <v>12</v>
      </c>
      <c r="I5434" s="669">
        <v>1.57</v>
      </c>
      <c r="J5434" s="669">
        <v>18.84</v>
      </c>
    </row>
    <row r="5435" spans="1:10" ht="25.5">
      <c r="A5435" s="668"/>
      <c r="B5435" s="668"/>
      <c r="C5435" s="668"/>
      <c r="D5435" s="668"/>
      <c r="E5435" s="668" t="s">
        <v>13463</v>
      </c>
      <c r="F5435" s="667">
        <v>32.864283385852438</v>
      </c>
      <c r="G5435" s="668" t="s">
        <v>13462</v>
      </c>
      <c r="H5435" s="667">
        <v>27.63</v>
      </c>
      <c r="I5435" s="668" t="s">
        <v>13461</v>
      </c>
      <c r="J5435" s="667">
        <v>60.49</v>
      </c>
    </row>
    <row r="5436" spans="1:10" ht="15" thickBot="1">
      <c r="A5436" s="668"/>
      <c r="B5436" s="668"/>
      <c r="C5436" s="668"/>
      <c r="D5436" s="668"/>
      <c r="E5436" s="668" t="s">
        <v>13460</v>
      </c>
      <c r="F5436" s="667">
        <v>45.81</v>
      </c>
      <c r="G5436" s="668"/>
      <c r="H5436" s="925" t="s">
        <v>13459</v>
      </c>
      <c r="I5436" s="925"/>
      <c r="J5436" s="667">
        <v>208.04</v>
      </c>
    </row>
    <row r="5437" spans="1:10" ht="0.95" customHeight="1" thickTop="1">
      <c r="A5437" s="666"/>
      <c r="B5437" s="666"/>
      <c r="C5437" s="666"/>
      <c r="D5437" s="666"/>
      <c r="E5437" s="666"/>
      <c r="F5437" s="666"/>
      <c r="G5437" s="666"/>
      <c r="H5437" s="666"/>
      <c r="I5437" s="666"/>
      <c r="J5437" s="666"/>
    </row>
    <row r="5438" spans="1:10" ht="18" customHeight="1">
      <c r="A5438" s="686"/>
      <c r="B5438" s="684" t="s">
        <v>13484</v>
      </c>
      <c r="C5438" s="686" t="s">
        <v>13483</v>
      </c>
      <c r="D5438" s="686" t="s">
        <v>13482</v>
      </c>
      <c r="E5438" s="924" t="s">
        <v>13481</v>
      </c>
      <c r="F5438" s="924"/>
      <c r="G5438" s="685" t="s">
        <v>13480</v>
      </c>
      <c r="H5438" s="684" t="s">
        <v>13479</v>
      </c>
      <c r="I5438" s="684" t="s">
        <v>13478</v>
      </c>
      <c r="J5438" s="684" t="s">
        <v>13477</v>
      </c>
    </row>
    <row r="5439" spans="1:10" ht="36" customHeight="1">
      <c r="A5439" s="682" t="s">
        <v>13476</v>
      </c>
      <c r="B5439" s="683" t="s">
        <v>13771</v>
      </c>
      <c r="C5439" s="682" t="s">
        <v>7</v>
      </c>
      <c r="D5439" s="682" t="s">
        <v>3633</v>
      </c>
      <c r="E5439" s="917" t="s">
        <v>13770</v>
      </c>
      <c r="F5439" s="917"/>
      <c r="G5439" s="681" t="s">
        <v>34</v>
      </c>
      <c r="H5439" s="680">
        <v>1</v>
      </c>
      <c r="I5439" s="679">
        <v>185.75</v>
      </c>
      <c r="J5439" s="679">
        <v>185.75</v>
      </c>
    </row>
    <row r="5440" spans="1:10" ht="36" customHeight="1">
      <c r="A5440" s="677" t="s">
        <v>13472</v>
      </c>
      <c r="B5440" s="678" t="s">
        <v>13769</v>
      </c>
      <c r="C5440" s="677" t="s">
        <v>7</v>
      </c>
      <c r="D5440" s="677" t="s">
        <v>2399</v>
      </c>
      <c r="E5440" s="918" t="s">
        <v>13491</v>
      </c>
      <c r="F5440" s="918"/>
      <c r="G5440" s="676" t="s">
        <v>38</v>
      </c>
      <c r="H5440" s="675">
        <v>0.1133</v>
      </c>
      <c r="I5440" s="674">
        <v>432.66</v>
      </c>
      <c r="J5440" s="674">
        <v>49.02</v>
      </c>
    </row>
    <row r="5441" spans="1:10" ht="36" customHeight="1">
      <c r="A5441" s="677" t="s">
        <v>13472</v>
      </c>
      <c r="B5441" s="678" t="s">
        <v>13768</v>
      </c>
      <c r="C5441" s="677" t="s">
        <v>7</v>
      </c>
      <c r="D5441" s="677" t="s">
        <v>2400</v>
      </c>
      <c r="E5441" s="918" t="s">
        <v>13491</v>
      </c>
      <c r="F5441" s="918"/>
      <c r="G5441" s="676" t="s">
        <v>53</v>
      </c>
      <c r="H5441" s="675">
        <v>0.157</v>
      </c>
      <c r="I5441" s="674">
        <v>115.77</v>
      </c>
      <c r="J5441" s="674">
        <v>18.170000000000002</v>
      </c>
    </row>
    <row r="5442" spans="1:10" ht="24" customHeight="1">
      <c r="A5442" s="677" t="s">
        <v>13472</v>
      </c>
      <c r="B5442" s="678" t="s">
        <v>13767</v>
      </c>
      <c r="C5442" s="677" t="s">
        <v>7</v>
      </c>
      <c r="D5442" s="677" t="s">
        <v>144</v>
      </c>
      <c r="E5442" s="918" t="s">
        <v>13470</v>
      </c>
      <c r="F5442" s="918"/>
      <c r="G5442" s="676" t="s">
        <v>19</v>
      </c>
      <c r="H5442" s="675">
        <v>5.5590000000000002</v>
      </c>
      <c r="I5442" s="674">
        <v>12.66</v>
      </c>
      <c r="J5442" s="674">
        <v>70.37</v>
      </c>
    </row>
    <row r="5443" spans="1:10" ht="24" customHeight="1">
      <c r="A5443" s="677" t="s">
        <v>13472</v>
      </c>
      <c r="B5443" s="678" t="s">
        <v>13471</v>
      </c>
      <c r="C5443" s="677" t="s">
        <v>7</v>
      </c>
      <c r="D5443" s="677" t="s">
        <v>21</v>
      </c>
      <c r="E5443" s="918" t="s">
        <v>13470</v>
      </c>
      <c r="F5443" s="918"/>
      <c r="G5443" s="676" t="s">
        <v>19</v>
      </c>
      <c r="H5443" s="675">
        <v>2.0939999999999999</v>
      </c>
      <c r="I5443" s="674">
        <v>14.02</v>
      </c>
      <c r="J5443" s="674">
        <v>29.35</v>
      </c>
    </row>
    <row r="5444" spans="1:10" ht="24" customHeight="1">
      <c r="A5444" s="672" t="s">
        <v>13467</v>
      </c>
      <c r="B5444" s="673" t="s">
        <v>13766</v>
      </c>
      <c r="C5444" s="672" t="s">
        <v>7</v>
      </c>
      <c r="D5444" s="672" t="s">
        <v>13765</v>
      </c>
      <c r="E5444" s="919" t="s">
        <v>13464</v>
      </c>
      <c r="F5444" s="919"/>
      <c r="G5444" s="671" t="s">
        <v>34</v>
      </c>
      <c r="H5444" s="670">
        <v>12</v>
      </c>
      <c r="I5444" s="669">
        <v>1.57</v>
      </c>
      <c r="J5444" s="669">
        <v>18.84</v>
      </c>
    </row>
    <row r="5445" spans="1:10" ht="25.5">
      <c r="A5445" s="668"/>
      <c r="B5445" s="668"/>
      <c r="C5445" s="668"/>
      <c r="D5445" s="668"/>
      <c r="E5445" s="668" t="s">
        <v>13463</v>
      </c>
      <c r="F5445" s="667">
        <v>42.61653808540693</v>
      </c>
      <c r="G5445" s="668" t="s">
        <v>13462</v>
      </c>
      <c r="H5445" s="667">
        <v>35.82</v>
      </c>
      <c r="I5445" s="668" t="s">
        <v>13461</v>
      </c>
      <c r="J5445" s="667">
        <v>78.44</v>
      </c>
    </row>
    <row r="5446" spans="1:10" ht="15" thickBot="1">
      <c r="A5446" s="668"/>
      <c r="B5446" s="668"/>
      <c r="C5446" s="668"/>
      <c r="D5446" s="668"/>
      <c r="E5446" s="668" t="s">
        <v>13460</v>
      </c>
      <c r="F5446" s="667">
        <v>52.45</v>
      </c>
      <c r="G5446" s="668"/>
      <c r="H5446" s="925" t="s">
        <v>13459</v>
      </c>
      <c r="I5446" s="925"/>
      <c r="J5446" s="667">
        <v>238.2</v>
      </c>
    </row>
    <row r="5447" spans="1:10" ht="0.95" customHeight="1" thickTop="1">
      <c r="A5447" s="666"/>
      <c r="B5447" s="666"/>
      <c r="C5447" s="666"/>
      <c r="D5447" s="666"/>
      <c r="E5447" s="666"/>
      <c r="F5447" s="666"/>
      <c r="G5447" s="666"/>
      <c r="H5447" s="666"/>
      <c r="I5447" s="666"/>
      <c r="J5447" s="666"/>
    </row>
    <row r="5448" spans="1:10" ht="18" customHeight="1">
      <c r="A5448" s="686"/>
      <c r="B5448" s="684" t="s">
        <v>13484</v>
      </c>
      <c r="C5448" s="686" t="s">
        <v>13483</v>
      </c>
      <c r="D5448" s="686" t="s">
        <v>13482</v>
      </c>
      <c r="E5448" s="924" t="s">
        <v>13481</v>
      </c>
      <c r="F5448" s="924"/>
      <c r="G5448" s="685" t="s">
        <v>13480</v>
      </c>
      <c r="H5448" s="684" t="s">
        <v>13479</v>
      </c>
      <c r="I5448" s="684" t="s">
        <v>13478</v>
      </c>
      <c r="J5448" s="684" t="s">
        <v>13477</v>
      </c>
    </row>
    <row r="5449" spans="1:10" ht="36" customHeight="1">
      <c r="A5449" s="682" t="s">
        <v>13476</v>
      </c>
      <c r="B5449" s="683" t="s">
        <v>13764</v>
      </c>
      <c r="C5449" s="682" t="s">
        <v>7</v>
      </c>
      <c r="D5449" s="682" t="s">
        <v>2014</v>
      </c>
      <c r="E5449" s="917" t="s">
        <v>13540</v>
      </c>
      <c r="F5449" s="917"/>
      <c r="G5449" s="681" t="s">
        <v>34</v>
      </c>
      <c r="H5449" s="680">
        <v>1</v>
      </c>
      <c r="I5449" s="679">
        <v>17.2</v>
      </c>
      <c r="J5449" s="679">
        <v>17.2</v>
      </c>
    </row>
    <row r="5450" spans="1:10" ht="24" customHeight="1">
      <c r="A5450" s="677" t="s">
        <v>13472</v>
      </c>
      <c r="B5450" s="678" t="s">
        <v>13539</v>
      </c>
      <c r="C5450" s="677" t="s">
        <v>7</v>
      </c>
      <c r="D5450" s="677" t="s">
        <v>45</v>
      </c>
      <c r="E5450" s="918" t="s">
        <v>13470</v>
      </c>
      <c r="F5450" s="918"/>
      <c r="G5450" s="676" t="s">
        <v>19</v>
      </c>
      <c r="H5450" s="675">
        <v>0.308</v>
      </c>
      <c r="I5450" s="674">
        <v>18.3</v>
      </c>
      <c r="J5450" s="674">
        <v>5.63</v>
      </c>
    </row>
    <row r="5451" spans="1:10" ht="24" customHeight="1">
      <c r="A5451" s="677" t="s">
        <v>13472</v>
      </c>
      <c r="B5451" s="678" t="s">
        <v>13538</v>
      </c>
      <c r="C5451" s="677" t="s">
        <v>7</v>
      </c>
      <c r="D5451" s="677" t="s">
        <v>47</v>
      </c>
      <c r="E5451" s="918" t="s">
        <v>13470</v>
      </c>
      <c r="F5451" s="918"/>
      <c r="G5451" s="676" t="s">
        <v>19</v>
      </c>
      <c r="H5451" s="675">
        <v>0.308</v>
      </c>
      <c r="I5451" s="674">
        <v>14</v>
      </c>
      <c r="J5451" s="674">
        <v>4.3099999999999996</v>
      </c>
    </row>
    <row r="5452" spans="1:10" ht="24" customHeight="1">
      <c r="A5452" s="672" t="s">
        <v>13467</v>
      </c>
      <c r="B5452" s="673" t="s">
        <v>13763</v>
      </c>
      <c r="C5452" s="672" t="s">
        <v>7</v>
      </c>
      <c r="D5452" s="672" t="s">
        <v>13762</v>
      </c>
      <c r="E5452" s="919" t="s">
        <v>13464</v>
      </c>
      <c r="F5452" s="919"/>
      <c r="G5452" s="671" t="s">
        <v>34</v>
      </c>
      <c r="H5452" s="670">
        <v>1</v>
      </c>
      <c r="I5452" s="669">
        <v>7.26</v>
      </c>
      <c r="J5452" s="669">
        <v>7.26</v>
      </c>
    </row>
    <row r="5453" spans="1:10" ht="25.5">
      <c r="A5453" s="668"/>
      <c r="B5453" s="668"/>
      <c r="C5453" s="668"/>
      <c r="D5453" s="668"/>
      <c r="E5453" s="668" t="s">
        <v>13463</v>
      </c>
      <c r="F5453" s="667">
        <v>4.1236553297837659</v>
      </c>
      <c r="G5453" s="668" t="s">
        <v>13462</v>
      </c>
      <c r="H5453" s="667">
        <v>3.47</v>
      </c>
      <c r="I5453" s="668" t="s">
        <v>13461</v>
      </c>
      <c r="J5453" s="667">
        <v>7.59</v>
      </c>
    </row>
    <row r="5454" spans="1:10" ht="15" thickBot="1">
      <c r="A5454" s="668"/>
      <c r="B5454" s="668"/>
      <c r="C5454" s="668"/>
      <c r="D5454" s="668"/>
      <c r="E5454" s="668" t="s">
        <v>13460</v>
      </c>
      <c r="F5454" s="667">
        <v>4.8499999999999996</v>
      </c>
      <c r="G5454" s="668"/>
      <c r="H5454" s="925" t="s">
        <v>13459</v>
      </c>
      <c r="I5454" s="925"/>
      <c r="J5454" s="667">
        <v>22.05</v>
      </c>
    </row>
    <row r="5455" spans="1:10" ht="0.95" customHeight="1" thickTop="1">
      <c r="A5455" s="666"/>
      <c r="B5455" s="666"/>
      <c r="C5455" s="666"/>
      <c r="D5455" s="666"/>
      <c r="E5455" s="666"/>
      <c r="F5455" s="666"/>
      <c r="G5455" s="666"/>
      <c r="H5455" s="666"/>
      <c r="I5455" s="666"/>
      <c r="J5455" s="666"/>
    </row>
    <row r="5456" spans="1:10" ht="18" customHeight="1">
      <c r="A5456" s="686"/>
      <c r="B5456" s="684" t="s">
        <v>13484</v>
      </c>
      <c r="C5456" s="686" t="s">
        <v>13483</v>
      </c>
      <c r="D5456" s="686" t="s">
        <v>13482</v>
      </c>
      <c r="E5456" s="924" t="s">
        <v>13481</v>
      </c>
      <c r="F5456" s="924"/>
      <c r="G5456" s="685" t="s">
        <v>13480</v>
      </c>
      <c r="H5456" s="684" t="s">
        <v>13479</v>
      </c>
      <c r="I5456" s="684" t="s">
        <v>13478</v>
      </c>
      <c r="J5456" s="684" t="s">
        <v>13477</v>
      </c>
    </row>
    <row r="5457" spans="1:10" ht="36" customHeight="1">
      <c r="A5457" s="682" t="s">
        <v>13476</v>
      </c>
      <c r="B5457" s="683" t="s">
        <v>13761</v>
      </c>
      <c r="C5457" s="682" t="s">
        <v>7</v>
      </c>
      <c r="D5457" s="682" t="s">
        <v>454</v>
      </c>
      <c r="E5457" s="917" t="s">
        <v>13540</v>
      </c>
      <c r="F5457" s="917"/>
      <c r="G5457" s="681" t="s">
        <v>34</v>
      </c>
      <c r="H5457" s="680">
        <v>1</v>
      </c>
      <c r="I5457" s="679">
        <v>27.16</v>
      </c>
      <c r="J5457" s="679">
        <v>27.16</v>
      </c>
    </row>
    <row r="5458" spans="1:10" ht="24" customHeight="1">
      <c r="A5458" s="677" t="s">
        <v>13472</v>
      </c>
      <c r="B5458" s="678" t="s">
        <v>13539</v>
      </c>
      <c r="C5458" s="677" t="s">
        <v>7</v>
      </c>
      <c r="D5458" s="677" t="s">
        <v>45</v>
      </c>
      <c r="E5458" s="918" t="s">
        <v>13470</v>
      </c>
      <c r="F5458" s="918"/>
      <c r="G5458" s="676" t="s">
        <v>19</v>
      </c>
      <c r="H5458" s="675">
        <v>0.47199999999999998</v>
      </c>
      <c r="I5458" s="674">
        <v>18.3</v>
      </c>
      <c r="J5458" s="674">
        <v>8.6300000000000008</v>
      </c>
    </row>
    <row r="5459" spans="1:10" ht="24" customHeight="1">
      <c r="A5459" s="677" t="s">
        <v>13472</v>
      </c>
      <c r="B5459" s="678" t="s">
        <v>13538</v>
      </c>
      <c r="C5459" s="677" t="s">
        <v>7</v>
      </c>
      <c r="D5459" s="677" t="s">
        <v>47</v>
      </c>
      <c r="E5459" s="918" t="s">
        <v>13470</v>
      </c>
      <c r="F5459" s="918"/>
      <c r="G5459" s="676" t="s">
        <v>19</v>
      </c>
      <c r="H5459" s="675">
        <v>0.47199999999999998</v>
      </c>
      <c r="I5459" s="674">
        <v>14</v>
      </c>
      <c r="J5459" s="674">
        <v>6.6</v>
      </c>
    </row>
    <row r="5460" spans="1:10" ht="24" customHeight="1">
      <c r="A5460" s="672" t="s">
        <v>13467</v>
      </c>
      <c r="B5460" s="673" t="s">
        <v>13756</v>
      </c>
      <c r="C5460" s="672" t="s">
        <v>7</v>
      </c>
      <c r="D5460" s="672" t="s">
        <v>13755</v>
      </c>
      <c r="E5460" s="919" t="s">
        <v>13464</v>
      </c>
      <c r="F5460" s="919"/>
      <c r="G5460" s="671" t="s">
        <v>34</v>
      </c>
      <c r="H5460" s="670">
        <v>1</v>
      </c>
      <c r="I5460" s="669">
        <v>5.58</v>
      </c>
      <c r="J5460" s="669">
        <v>5.58</v>
      </c>
    </row>
    <row r="5461" spans="1:10" ht="24" customHeight="1">
      <c r="A5461" s="672" t="s">
        <v>13467</v>
      </c>
      <c r="B5461" s="673" t="s">
        <v>13537</v>
      </c>
      <c r="C5461" s="672" t="s">
        <v>7</v>
      </c>
      <c r="D5461" s="672" t="s">
        <v>13536</v>
      </c>
      <c r="E5461" s="919" t="s">
        <v>13464</v>
      </c>
      <c r="F5461" s="919"/>
      <c r="G5461" s="671" t="s">
        <v>34</v>
      </c>
      <c r="H5461" s="670">
        <v>1</v>
      </c>
      <c r="I5461" s="669">
        <v>6.35</v>
      </c>
      <c r="J5461" s="669">
        <v>6.35</v>
      </c>
    </row>
    <row r="5462" spans="1:10" ht="25.5">
      <c r="A5462" s="668"/>
      <c r="B5462" s="668"/>
      <c r="C5462" s="668"/>
      <c r="D5462" s="668"/>
      <c r="E5462" s="668" t="s">
        <v>13463</v>
      </c>
      <c r="F5462" s="667">
        <v>6.3185917635553626</v>
      </c>
      <c r="G5462" s="668" t="s">
        <v>13462</v>
      </c>
      <c r="H5462" s="667">
        <v>5.31</v>
      </c>
      <c r="I5462" s="668" t="s">
        <v>13461</v>
      </c>
      <c r="J5462" s="667">
        <v>11.63</v>
      </c>
    </row>
    <row r="5463" spans="1:10" ht="15" thickBot="1">
      <c r="A5463" s="668"/>
      <c r="B5463" s="668"/>
      <c r="C5463" s="668"/>
      <c r="D5463" s="668"/>
      <c r="E5463" s="668" t="s">
        <v>13460</v>
      </c>
      <c r="F5463" s="667">
        <v>7.66</v>
      </c>
      <c r="G5463" s="668"/>
      <c r="H5463" s="925" t="s">
        <v>13459</v>
      </c>
      <c r="I5463" s="925"/>
      <c r="J5463" s="667">
        <v>34.82</v>
      </c>
    </row>
    <row r="5464" spans="1:10" ht="0.95" customHeight="1" thickTop="1">
      <c r="A5464" s="666"/>
      <c r="B5464" s="666"/>
      <c r="C5464" s="666"/>
      <c r="D5464" s="666"/>
      <c r="E5464" s="666"/>
      <c r="F5464" s="666"/>
      <c r="G5464" s="666"/>
      <c r="H5464" s="666"/>
      <c r="I5464" s="666"/>
      <c r="J5464" s="666"/>
    </row>
    <row r="5465" spans="1:10" ht="18" customHeight="1">
      <c r="A5465" s="686"/>
      <c r="B5465" s="684" t="s">
        <v>13484</v>
      </c>
      <c r="C5465" s="686" t="s">
        <v>13483</v>
      </c>
      <c r="D5465" s="686" t="s">
        <v>13482</v>
      </c>
      <c r="E5465" s="924" t="s">
        <v>13481</v>
      </c>
      <c r="F5465" s="924"/>
      <c r="G5465" s="685" t="s">
        <v>13480</v>
      </c>
      <c r="H5465" s="684" t="s">
        <v>13479</v>
      </c>
      <c r="I5465" s="684" t="s">
        <v>13478</v>
      </c>
      <c r="J5465" s="684" t="s">
        <v>13477</v>
      </c>
    </row>
    <row r="5466" spans="1:10" ht="36" customHeight="1">
      <c r="A5466" s="682" t="s">
        <v>13476</v>
      </c>
      <c r="B5466" s="683" t="s">
        <v>13760</v>
      </c>
      <c r="C5466" s="682" t="s">
        <v>7</v>
      </c>
      <c r="D5466" s="682" t="s">
        <v>2013</v>
      </c>
      <c r="E5466" s="917" t="s">
        <v>13540</v>
      </c>
      <c r="F5466" s="917"/>
      <c r="G5466" s="681" t="s">
        <v>34</v>
      </c>
      <c r="H5466" s="680">
        <v>1</v>
      </c>
      <c r="I5466" s="679">
        <v>12.84</v>
      </c>
      <c r="J5466" s="679">
        <v>12.84</v>
      </c>
    </row>
    <row r="5467" spans="1:10" ht="24" customHeight="1">
      <c r="A5467" s="677" t="s">
        <v>13472</v>
      </c>
      <c r="B5467" s="678" t="s">
        <v>13539</v>
      </c>
      <c r="C5467" s="677" t="s">
        <v>7</v>
      </c>
      <c r="D5467" s="677" t="s">
        <v>45</v>
      </c>
      <c r="E5467" s="918" t="s">
        <v>13470</v>
      </c>
      <c r="F5467" s="918"/>
      <c r="G5467" s="676" t="s">
        <v>19</v>
      </c>
      <c r="H5467" s="675">
        <v>0.22500000000000001</v>
      </c>
      <c r="I5467" s="674">
        <v>18.3</v>
      </c>
      <c r="J5467" s="674">
        <v>4.1100000000000003</v>
      </c>
    </row>
    <row r="5468" spans="1:10" ht="24" customHeight="1">
      <c r="A5468" s="677" t="s">
        <v>13472</v>
      </c>
      <c r="B5468" s="678" t="s">
        <v>13538</v>
      </c>
      <c r="C5468" s="677" t="s">
        <v>7</v>
      </c>
      <c r="D5468" s="677" t="s">
        <v>47</v>
      </c>
      <c r="E5468" s="918" t="s">
        <v>13470</v>
      </c>
      <c r="F5468" s="918"/>
      <c r="G5468" s="676" t="s">
        <v>19</v>
      </c>
      <c r="H5468" s="675">
        <v>0.22500000000000001</v>
      </c>
      <c r="I5468" s="674">
        <v>14</v>
      </c>
      <c r="J5468" s="674">
        <v>3.15</v>
      </c>
    </row>
    <row r="5469" spans="1:10" ht="24" customHeight="1">
      <c r="A5469" s="672" t="s">
        <v>13467</v>
      </c>
      <c r="B5469" s="673" t="s">
        <v>13756</v>
      </c>
      <c r="C5469" s="672" t="s">
        <v>7</v>
      </c>
      <c r="D5469" s="672" t="s">
        <v>13755</v>
      </c>
      <c r="E5469" s="919" t="s">
        <v>13464</v>
      </c>
      <c r="F5469" s="919"/>
      <c r="G5469" s="671" t="s">
        <v>34</v>
      </c>
      <c r="H5469" s="670">
        <v>1</v>
      </c>
      <c r="I5469" s="669">
        <v>5.58</v>
      </c>
      <c r="J5469" s="669">
        <v>5.58</v>
      </c>
    </row>
    <row r="5470" spans="1:10" ht="25.5">
      <c r="A5470" s="668"/>
      <c r="B5470" s="668"/>
      <c r="C5470" s="668"/>
      <c r="D5470" s="668"/>
      <c r="E5470" s="668" t="s">
        <v>13463</v>
      </c>
      <c r="F5470" s="667">
        <v>3.0153210909486039</v>
      </c>
      <c r="G5470" s="668" t="s">
        <v>13462</v>
      </c>
      <c r="H5470" s="667">
        <v>2.5299999999999998</v>
      </c>
      <c r="I5470" s="668" t="s">
        <v>13461</v>
      </c>
      <c r="J5470" s="667">
        <v>5.55</v>
      </c>
    </row>
    <row r="5471" spans="1:10" ht="15" thickBot="1">
      <c r="A5471" s="668"/>
      <c r="B5471" s="668"/>
      <c r="C5471" s="668"/>
      <c r="D5471" s="668"/>
      <c r="E5471" s="668" t="s">
        <v>13460</v>
      </c>
      <c r="F5471" s="667">
        <v>3.62</v>
      </c>
      <c r="G5471" s="668"/>
      <c r="H5471" s="925" t="s">
        <v>13459</v>
      </c>
      <c r="I5471" s="925"/>
      <c r="J5471" s="667">
        <v>16.46</v>
      </c>
    </row>
    <row r="5472" spans="1:10" ht="0.95" customHeight="1" thickTop="1">
      <c r="A5472" s="666"/>
      <c r="B5472" s="666"/>
      <c r="C5472" s="666"/>
      <c r="D5472" s="666"/>
      <c r="E5472" s="666"/>
      <c r="F5472" s="666"/>
      <c r="G5472" s="666"/>
      <c r="H5472" s="666"/>
      <c r="I5472" s="666"/>
      <c r="J5472" s="666"/>
    </row>
    <row r="5473" spans="1:10" ht="18" customHeight="1">
      <c r="A5473" s="686"/>
      <c r="B5473" s="684" t="s">
        <v>13484</v>
      </c>
      <c r="C5473" s="686" t="s">
        <v>13483</v>
      </c>
      <c r="D5473" s="686" t="s">
        <v>13482</v>
      </c>
      <c r="E5473" s="924" t="s">
        <v>13481</v>
      </c>
      <c r="F5473" s="924"/>
      <c r="G5473" s="685" t="s">
        <v>13480</v>
      </c>
      <c r="H5473" s="684" t="s">
        <v>13479</v>
      </c>
      <c r="I5473" s="684" t="s">
        <v>13478</v>
      </c>
      <c r="J5473" s="684" t="s">
        <v>13477</v>
      </c>
    </row>
    <row r="5474" spans="1:10" ht="36" customHeight="1">
      <c r="A5474" s="682" t="s">
        <v>13476</v>
      </c>
      <c r="B5474" s="683" t="s">
        <v>13759</v>
      </c>
      <c r="C5474" s="682" t="s">
        <v>7</v>
      </c>
      <c r="D5474" s="682" t="s">
        <v>2058</v>
      </c>
      <c r="E5474" s="917" t="s">
        <v>13540</v>
      </c>
      <c r="F5474" s="917"/>
      <c r="G5474" s="681" t="s">
        <v>34</v>
      </c>
      <c r="H5474" s="680">
        <v>1</v>
      </c>
      <c r="I5474" s="679">
        <v>38.07</v>
      </c>
      <c r="J5474" s="679">
        <v>38.07</v>
      </c>
    </row>
    <row r="5475" spans="1:10" ht="24" customHeight="1">
      <c r="A5475" s="677" t="s">
        <v>13472</v>
      </c>
      <c r="B5475" s="678" t="s">
        <v>13539</v>
      </c>
      <c r="C5475" s="677" t="s">
        <v>7</v>
      </c>
      <c r="D5475" s="677" t="s">
        <v>45</v>
      </c>
      <c r="E5475" s="918" t="s">
        <v>13470</v>
      </c>
      <c r="F5475" s="918"/>
      <c r="G5475" s="676" t="s">
        <v>19</v>
      </c>
      <c r="H5475" s="675">
        <v>0.63700000000000001</v>
      </c>
      <c r="I5475" s="674">
        <v>18.3</v>
      </c>
      <c r="J5475" s="674">
        <v>11.65</v>
      </c>
    </row>
    <row r="5476" spans="1:10" ht="24" customHeight="1">
      <c r="A5476" s="677" t="s">
        <v>13472</v>
      </c>
      <c r="B5476" s="678" t="s">
        <v>13538</v>
      </c>
      <c r="C5476" s="677" t="s">
        <v>7</v>
      </c>
      <c r="D5476" s="677" t="s">
        <v>47</v>
      </c>
      <c r="E5476" s="918" t="s">
        <v>13470</v>
      </c>
      <c r="F5476" s="918"/>
      <c r="G5476" s="676" t="s">
        <v>19</v>
      </c>
      <c r="H5476" s="675">
        <v>0.63700000000000001</v>
      </c>
      <c r="I5476" s="674">
        <v>14</v>
      </c>
      <c r="J5476" s="674">
        <v>8.91</v>
      </c>
    </row>
    <row r="5477" spans="1:10" ht="24" customHeight="1">
      <c r="A5477" s="672" t="s">
        <v>13467</v>
      </c>
      <c r="B5477" s="673" t="s">
        <v>13756</v>
      </c>
      <c r="C5477" s="672" t="s">
        <v>7</v>
      </c>
      <c r="D5477" s="672" t="s">
        <v>13755</v>
      </c>
      <c r="E5477" s="919" t="s">
        <v>13464</v>
      </c>
      <c r="F5477" s="919"/>
      <c r="G5477" s="671" t="s">
        <v>34</v>
      </c>
      <c r="H5477" s="670">
        <v>2</v>
      </c>
      <c r="I5477" s="669">
        <v>5.58</v>
      </c>
      <c r="J5477" s="669">
        <v>11.16</v>
      </c>
    </row>
    <row r="5478" spans="1:10" ht="24" customHeight="1">
      <c r="A5478" s="672" t="s">
        <v>13467</v>
      </c>
      <c r="B5478" s="673" t="s">
        <v>13537</v>
      </c>
      <c r="C5478" s="672" t="s">
        <v>7</v>
      </c>
      <c r="D5478" s="672" t="s">
        <v>13536</v>
      </c>
      <c r="E5478" s="919" t="s">
        <v>13464</v>
      </c>
      <c r="F5478" s="919"/>
      <c r="G5478" s="671" t="s">
        <v>34</v>
      </c>
      <c r="H5478" s="670">
        <v>1</v>
      </c>
      <c r="I5478" s="669">
        <v>6.35</v>
      </c>
      <c r="J5478" s="669">
        <v>6.35</v>
      </c>
    </row>
    <row r="5479" spans="1:10" ht="25.5">
      <c r="A5479" s="668"/>
      <c r="B5479" s="668"/>
      <c r="C5479" s="668"/>
      <c r="D5479" s="668"/>
      <c r="E5479" s="668" t="s">
        <v>13463</v>
      </c>
      <c r="F5479" s="667">
        <v>8.54069325220037</v>
      </c>
      <c r="G5479" s="668" t="s">
        <v>13462</v>
      </c>
      <c r="H5479" s="667">
        <v>7.18</v>
      </c>
      <c r="I5479" s="668" t="s">
        <v>13461</v>
      </c>
      <c r="J5479" s="667">
        <v>15.72</v>
      </c>
    </row>
    <row r="5480" spans="1:10" ht="15" thickBot="1">
      <c r="A5480" s="668"/>
      <c r="B5480" s="668"/>
      <c r="C5480" s="668"/>
      <c r="D5480" s="668"/>
      <c r="E5480" s="668" t="s">
        <v>13460</v>
      </c>
      <c r="F5480" s="667">
        <v>10.75</v>
      </c>
      <c r="G5480" s="668"/>
      <c r="H5480" s="925" t="s">
        <v>13459</v>
      </c>
      <c r="I5480" s="925"/>
      <c r="J5480" s="667">
        <v>48.82</v>
      </c>
    </row>
    <row r="5481" spans="1:10" ht="0.95" customHeight="1" thickTop="1">
      <c r="A5481" s="666"/>
      <c r="B5481" s="666"/>
      <c r="C5481" s="666"/>
      <c r="D5481" s="666"/>
      <c r="E5481" s="666"/>
      <c r="F5481" s="666"/>
      <c r="G5481" s="666"/>
      <c r="H5481" s="666"/>
      <c r="I5481" s="666"/>
      <c r="J5481" s="666"/>
    </row>
    <row r="5482" spans="1:10" ht="18" customHeight="1">
      <c r="A5482" s="686"/>
      <c r="B5482" s="684" t="s">
        <v>13484</v>
      </c>
      <c r="C5482" s="686" t="s">
        <v>13483</v>
      </c>
      <c r="D5482" s="686" t="s">
        <v>13482</v>
      </c>
      <c r="E5482" s="924" t="s">
        <v>13481</v>
      </c>
      <c r="F5482" s="924"/>
      <c r="G5482" s="685" t="s">
        <v>13480</v>
      </c>
      <c r="H5482" s="684" t="s">
        <v>13479</v>
      </c>
      <c r="I5482" s="684" t="s">
        <v>13478</v>
      </c>
      <c r="J5482" s="684" t="s">
        <v>13477</v>
      </c>
    </row>
    <row r="5483" spans="1:10" ht="36" customHeight="1">
      <c r="A5483" s="682" t="s">
        <v>13476</v>
      </c>
      <c r="B5483" s="683" t="s">
        <v>13758</v>
      </c>
      <c r="C5483" s="682" t="s">
        <v>7</v>
      </c>
      <c r="D5483" s="682" t="s">
        <v>2017</v>
      </c>
      <c r="E5483" s="917" t="s">
        <v>13540</v>
      </c>
      <c r="F5483" s="917"/>
      <c r="G5483" s="681" t="s">
        <v>34</v>
      </c>
      <c r="H5483" s="680">
        <v>1</v>
      </c>
      <c r="I5483" s="679">
        <v>23.75</v>
      </c>
      <c r="J5483" s="679">
        <v>23.75</v>
      </c>
    </row>
    <row r="5484" spans="1:10" ht="24" customHeight="1">
      <c r="A5484" s="677" t="s">
        <v>13472</v>
      </c>
      <c r="B5484" s="678" t="s">
        <v>13539</v>
      </c>
      <c r="C5484" s="677" t="s">
        <v>7</v>
      </c>
      <c r="D5484" s="677" t="s">
        <v>45</v>
      </c>
      <c r="E5484" s="918" t="s">
        <v>13470</v>
      </c>
      <c r="F5484" s="918"/>
      <c r="G5484" s="676" t="s">
        <v>19</v>
      </c>
      <c r="H5484" s="675">
        <v>0.39</v>
      </c>
      <c r="I5484" s="674">
        <v>18.3</v>
      </c>
      <c r="J5484" s="674">
        <v>7.13</v>
      </c>
    </row>
    <row r="5485" spans="1:10" ht="24" customHeight="1">
      <c r="A5485" s="677" t="s">
        <v>13472</v>
      </c>
      <c r="B5485" s="678" t="s">
        <v>13538</v>
      </c>
      <c r="C5485" s="677" t="s">
        <v>7</v>
      </c>
      <c r="D5485" s="677" t="s">
        <v>47</v>
      </c>
      <c r="E5485" s="918" t="s">
        <v>13470</v>
      </c>
      <c r="F5485" s="918"/>
      <c r="G5485" s="676" t="s">
        <v>19</v>
      </c>
      <c r="H5485" s="675">
        <v>0.39</v>
      </c>
      <c r="I5485" s="674">
        <v>14</v>
      </c>
      <c r="J5485" s="674">
        <v>5.46</v>
      </c>
    </row>
    <row r="5486" spans="1:10" ht="24" customHeight="1">
      <c r="A5486" s="672" t="s">
        <v>13467</v>
      </c>
      <c r="B5486" s="673" t="s">
        <v>13756</v>
      </c>
      <c r="C5486" s="672" t="s">
        <v>7</v>
      </c>
      <c r="D5486" s="672" t="s">
        <v>13755</v>
      </c>
      <c r="E5486" s="919" t="s">
        <v>13464</v>
      </c>
      <c r="F5486" s="919"/>
      <c r="G5486" s="671" t="s">
        <v>34</v>
      </c>
      <c r="H5486" s="670">
        <v>2</v>
      </c>
      <c r="I5486" s="669">
        <v>5.58</v>
      </c>
      <c r="J5486" s="669">
        <v>11.16</v>
      </c>
    </row>
    <row r="5487" spans="1:10" ht="25.5">
      <c r="A5487" s="668"/>
      <c r="B5487" s="668"/>
      <c r="C5487" s="668"/>
      <c r="D5487" s="668"/>
      <c r="E5487" s="668" t="s">
        <v>13463</v>
      </c>
      <c r="F5487" s="667">
        <v>5.2265565576442468</v>
      </c>
      <c r="G5487" s="668" t="s">
        <v>13462</v>
      </c>
      <c r="H5487" s="667">
        <v>4.3899999999999997</v>
      </c>
      <c r="I5487" s="668" t="s">
        <v>13461</v>
      </c>
      <c r="J5487" s="667">
        <v>9.6199999999999992</v>
      </c>
    </row>
    <row r="5488" spans="1:10" ht="15" thickBot="1">
      <c r="A5488" s="668"/>
      <c r="B5488" s="668"/>
      <c r="C5488" s="668"/>
      <c r="D5488" s="668"/>
      <c r="E5488" s="668" t="s">
        <v>13460</v>
      </c>
      <c r="F5488" s="667">
        <v>6.7</v>
      </c>
      <c r="G5488" s="668"/>
      <c r="H5488" s="925" t="s">
        <v>13459</v>
      </c>
      <c r="I5488" s="925"/>
      <c r="J5488" s="667">
        <v>30.45</v>
      </c>
    </row>
    <row r="5489" spans="1:10" ht="0.95" customHeight="1" thickTop="1">
      <c r="A5489" s="666"/>
      <c r="B5489" s="666"/>
      <c r="C5489" s="666"/>
      <c r="D5489" s="666"/>
      <c r="E5489" s="666"/>
      <c r="F5489" s="666"/>
      <c r="G5489" s="666"/>
      <c r="H5489" s="666"/>
      <c r="I5489" s="666"/>
      <c r="J5489" s="666"/>
    </row>
    <row r="5490" spans="1:10" ht="18" customHeight="1">
      <c r="A5490" s="686"/>
      <c r="B5490" s="684" t="s">
        <v>13484</v>
      </c>
      <c r="C5490" s="686" t="s">
        <v>13483</v>
      </c>
      <c r="D5490" s="686" t="s">
        <v>13482</v>
      </c>
      <c r="E5490" s="924" t="s">
        <v>13481</v>
      </c>
      <c r="F5490" s="924"/>
      <c r="G5490" s="685" t="s">
        <v>13480</v>
      </c>
      <c r="H5490" s="684" t="s">
        <v>13479</v>
      </c>
      <c r="I5490" s="684" t="s">
        <v>13478</v>
      </c>
      <c r="J5490" s="684" t="s">
        <v>13477</v>
      </c>
    </row>
    <row r="5491" spans="1:10" ht="36" customHeight="1">
      <c r="A5491" s="682" t="s">
        <v>13476</v>
      </c>
      <c r="B5491" s="683" t="s">
        <v>13757</v>
      </c>
      <c r="C5491" s="682" t="s">
        <v>7</v>
      </c>
      <c r="D5491" s="682" t="s">
        <v>2022</v>
      </c>
      <c r="E5491" s="917" t="s">
        <v>13540</v>
      </c>
      <c r="F5491" s="917"/>
      <c r="G5491" s="681" t="s">
        <v>34</v>
      </c>
      <c r="H5491" s="680">
        <v>1</v>
      </c>
      <c r="I5491" s="679">
        <v>34.659999999999997</v>
      </c>
      <c r="J5491" s="679">
        <v>34.659999999999997</v>
      </c>
    </row>
    <row r="5492" spans="1:10" ht="24" customHeight="1">
      <c r="A5492" s="677" t="s">
        <v>13472</v>
      </c>
      <c r="B5492" s="678" t="s">
        <v>13539</v>
      </c>
      <c r="C5492" s="677" t="s">
        <v>7</v>
      </c>
      <c r="D5492" s="677" t="s">
        <v>45</v>
      </c>
      <c r="E5492" s="918" t="s">
        <v>13470</v>
      </c>
      <c r="F5492" s="918"/>
      <c r="G5492" s="676" t="s">
        <v>19</v>
      </c>
      <c r="H5492" s="675">
        <v>0.55500000000000005</v>
      </c>
      <c r="I5492" s="674">
        <v>18.3</v>
      </c>
      <c r="J5492" s="674">
        <v>10.15</v>
      </c>
    </row>
    <row r="5493" spans="1:10" ht="24" customHeight="1">
      <c r="A5493" s="677" t="s">
        <v>13472</v>
      </c>
      <c r="B5493" s="678" t="s">
        <v>13538</v>
      </c>
      <c r="C5493" s="677" t="s">
        <v>7</v>
      </c>
      <c r="D5493" s="677" t="s">
        <v>47</v>
      </c>
      <c r="E5493" s="918" t="s">
        <v>13470</v>
      </c>
      <c r="F5493" s="918"/>
      <c r="G5493" s="676" t="s">
        <v>19</v>
      </c>
      <c r="H5493" s="675">
        <v>0.55500000000000005</v>
      </c>
      <c r="I5493" s="674">
        <v>14</v>
      </c>
      <c r="J5493" s="674">
        <v>7.77</v>
      </c>
    </row>
    <row r="5494" spans="1:10" ht="24" customHeight="1">
      <c r="A5494" s="672" t="s">
        <v>13467</v>
      </c>
      <c r="B5494" s="673" t="s">
        <v>13756</v>
      </c>
      <c r="C5494" s="672" t="s">
        <v>7</v>
      </c>
      <c r="D5494" s="672" t="s">
        <v>13755</v>
      </c>
      <c r="E5494" s="919" t="s">
        <v>13464</v>
      </c>
      <c r="F5494" s="919"/>
      <c r="G5494" s="671" t="s">
        <v>34</v>
      </c>
      <c r="H5494" s="670">
        <v>3</v>
      </c>
      <c r="I5494" s="669">
        <v>5.58</v>
      </c>
      <c r="J5494" s="669">
        <v>16.739999999999998</v>
      </c>
    </row>
    <row r="5495" spans="1:10" ht="25.5">
      <c r="A5495" s="668"/>
      <c r="B5495" s="668"/>
      <c r="C5495" s="668"/>
      <c r="D5495" s="668"/>
      <c r="E5495" s="668" t="s">
        <v>13463</v>
      </c>
      <c r="F5495" s="667">
        <v>7.4377920243398883</v>
      </c>
      <c r="G5495" s="668" t="s">
        <v>13462</v>
      </c>
      <c r="H5495" s="667">
        <v>6.25</v>
      </c>
      <c r="I5495" s="668" t="s">
        <v>13461</v>
      </c>
      <c r="J5495" s="667">
        <v>13.69</v>
      </c>
    </row>
    <row r="5496" spans="1:10" ht="15" thickBot="1">
      <c r="A5496" s="668"/>
      <c r="B5496" s="668"/>
      <c r="C5496" s="668"/>
      <c r="D5496" s="668"/>
      <c r="E5496" s="668" t="s">
        <v>13460</v>
      </c>
      <c r="F5496" s="667">
        <v>9.7799999999999994</v>
      </c>
      <c r="G5496" s="668"/>
      <c r="H5496" s="925" t="s">
        <v>13459</v>
      </c>
      <c r="I5496" s="925"/>
      <c r="J5496" s="667">
        <v>44.44</v>
      </c>
    </row>
    <row r="5497" spans="1:10" ht="0.95" customHeight="1" thickTop="1">
      <c r="A5497" s="666"/>
      <c r="B5497" s="666"/>
      <c r="C5497" s="666"/>
      <c r="D5497" s="666"/>
      <c r="E5497" s="666"/>
      <c r="F5497" s="666"/>
      <c r="G5497" s="666"/>
      <c r="H5497" s="666"/>
      <c r="I5497" s="666"/>
      <c r="J5497" s="666"/>
    </row>
    <row r="5498" spans="1:10" ht="18" customHeight="1">
      <c r="A5498" s="686"/>
      <c r="B5498" s="684" t="s">
        <v>13484</v>
      </c>
      <c r="C5498" s="686" t="s">
        <v>13483</v>
      </c>
      <c r="D5498" s="686" t="s">
        <v>13482</v>
      </c>
      <c r="E5498" s="924" t="s">
        <v>13481</v>
      </c>
      <c r="F5498" s="924"/>
      <c r="G5498" s="685" t="s">
        <v>13480</v>
      </c>
      <c r="H5498" s="684" t="s">
        <v>13479</v>
      </c>
      <c r="I5498" s="684" t="s">
        <v>13478</v>
      </c>
      <c r="J5498" s="684" t="s">
        <v>13477</v>
      </c>
    </row>
    <row r="5499" spans="1:10" ht="24" customHeight="1">
      <c r="A5499" s="682" t="s">
        <v>13476</v>
      </c>
      <c r="B5499" s="683" t="s">
        <v>13754</v>
      </c>
      <c r="C5499" s="682" t="s">
        <v>7</v>
      </c>
      <c r="D5499" s="682" t="s">
        <v>192</v>
      </c>
      <c r="E5499" s="917" t="s">
        <v>13470</v>
      </c>
      <c r="F5499" s="917"/>
      <c r="G5499" s="681" t="s">
        <v>19</v>
      </c>
      <c r="H5499" s="680">
        <v>1</v>
      </c>
      <c r="I5499" s="679">
        <v>17.07</v>
      </c>
      <c r="J5499" s="679">
        <v>17.07</v>
      </c>
    </row>
    <row r="5500" spans="1:10" ht="24" customHeight="1">
      <c r="A5500" s="677" t="s">
        <v>13472</v>
      </c>
      <c r="B5500" s="678" t="s">
        <v>13753</v>
      </c>
      <c r="C5500" s="677" t="s">
        <v>7</v>
      </c>
      <c r="D5500" s="677" t="s">
        <v>2795</v>
      </c>
      <c r="E5500" s="918" t="s">
        <v>13470</v>
      </c>
      <c r="F5500" s="918"/>
      <c r="G5500" s="676" t="s">
        <v>19</v>
      </c>
      <c r="H5500" s="675">
        <v>1</v>
      </c>
      <c r="I5500" s="674">
        <v>0.04</v>
      </c>
      <c r="J5500" s="674">
        <v>0.04</v>
      </c>
    </row>
    <row r="5501" spans="1:10" ht="24" customHeight="1">
      <c r="A5501" s="672" t="s">
        <v>13467</v>
      </c>
      <c r="B5501" s="673" t="s">
        <v>13562</v>
      </c>
      <c r="C5501" s="672" t="s">
        <v>7</v>
      </c>
      <c r="D5501" s="672" t="s">
        <v>13561</v>
      </c>
      <c r="E5501" s="919" t="s">
        <v>13556</v>
      </c>
      <c r="F5501" s="919"/>
      <c r="G5501" s="671" t="s">
        <v>19</v>
      </c>
      <c r="H5501" s="670">
        <v>1</v>
      </c>
      <c r="I5501" s="669">
        <v>0.96</v>
      </c>
      <c r="J5501" s="669">
        <v>0.96</v>
      </c>
    </row>
    <row r="5502" spans="1:10" ht="24" customHeight="1">
      <c r="A5502" s="672" t="s">
        <v>13467</v>
      </c>
      <c r="B5502" s="673" t="s">
        <v>13752</v>
      </c>
      <c r="C5502" s="672" t="s">
        <v>7</v>
      </c>
      <c r="D5502" s="672" t="s">
        <v>13751</v>
      </c>
      <c r="E5502" s="919" t="s">
        <v>13493</v>
      </c>
      <c r="F5502" s="919"/>
      <c r="G5502" s="671" t="s">
        <v>19</v>
      </c>
      <c r="H5502" s="670">
        <v>1</v>
      </c>
      <c r="I5502" s="669">
        <v>0.95</v>
      </c>
      <c r="J5502" s="669">
        <v>0.95</v>
      </c>
    </row>
    <row r="5503" spans="1:10" ht="24" customHeight="1">
      <c r="A5503" s="672" t="s">
        <v>13467</v>
      </c>
      <c r="B5503" s="673" t="s">
        <v>13558</v>
      </c>
      <c r="C5503" s="672" t="s">
        <v>7</v>
      </c>
      <c r="D5503" s="672" t="s">
        <v>13557</v>
      </c>
      <c r="E5503" s="919" t="s">
        <v>13556</v>
      </c>
      <c r="F5503" s="919"/>
      <c r="G5503" s="671" t="s">
        <v>19</v>
      </c>
      <c r="H5503" s="670">
        <v>1</v>
      </c>
      <c r="I5503" s="669">
        <v>0.55000000000000004</v>
      </c>
      <c r="J5503" s="669">
        <v>0.55000000000000004</v>
      </c>
    </row>
    <row r="5504" spans="1:10" ht="24" customHeight="1">
      <c r="A5504" s="672" t="s">
        <v>13467</v>
      </c>
      <c r="B5504" s="673" t="s">
        <v>13750</v>
      </c>
      <c r="C5504" s="672" t="s">
        <v>7</v>
      </c>
      <c r="D5504" s="672" t="s">
        <v>13749</v>
      </c>
      <c r="E5504" s="919" t="s">
        <v>13493</v>
      </c>
      <c r="F5504" s="919"/>
      <c r="G5504" s="671" t="s">
        <v>19</v>
      </c>
      <c r="H5504" s="670">
        <v>1</v>
      </c>
      <c r="I5504" s="669">
        <v>0.57999999999999996</v>
      </c>
      <c r="J5504" s="669">
        <v>0.57999999999999996</v>
      </c>
    </row>
    <row r="5505" spans="1:10" ht="24" customHeight="1">
      <c r="A5505" s="672" t="s">
        <v>13467</v>
      </c>
      <c r="B5505" s="673" t="s">
        <v>13748</v>
      </c>
      <c r="C5505" s="672" t="s">
        <v>7</v>
      </c>
      <c r="D5505" s="672" t="s">
        <v>13747</v>
      </c>
      <c r="E5505" s="919" t="s">
        <v>13548</v>
      </c>
      <c r="F5505" s="919"/>
      <c r="G5505" s="671" t="s">
        <v>19</v>
      </c>
      <c r="H5505" s="670">
        <v>1</v>
      </c>
      <c r="I5505" s="669">
        <v>13.22</v>
      </c>
      <c r="J5505" s="669">
        <v>13.22</v>
      </c>
    </row>
    <row r="5506" spans="1:10" ht="24" customHeight="1">
      <c r="A5506" s="672" t="s">
        <v>13467</v>
      </c>
      <c r="B5506" s="673" t="s">
        <v>13553</v>
      </c>
      <c r="C5506" s="672" t="s">
        <v>7</v>
      </c>
      <c r="D5506" s="672" t="s">
        <v>13552</v>
      </c>
      <c r="E5506" s="919" t="s">
        <v>13551</v>
      </c>
      <c r="F5506" s="919"/>
      <c r="G5506" s="671" t="s">
        <v>19</v>
      </c>
      <c r="H5506" s="670">
        <v>1</v>
      </c>
      <c r="I5506" s="669">
        <v>0.06</v>
      </c>
      <c r="J5506" s="669">
        <v>0.06</v>
      </c>
    </row>
    <row r="5507" spans="1:10" ht="24" customHeight="1">
      <c r="A5507" s="672" t="s">
        <v>13467</v>
      </c>
      <c r="B5507" s="673" t="s">
        <v>13547</v>
      </c>
      <c r="C5507" s="672" t="s">
        <v>7</v>
      </c>
      <c r="D5507" s="672" t="s">
        <v>13546</v>
      </c>
      <c r="E5507" s="919" t="s">
        <v>13545</v>
      </c>
      <c r="F5507" s="919"/>
      <c r="G5507" s="671" t="s">
        <v>19</v>
      </c>
      <c r="H5507" s="670">
        <v>1</v>
      </c>
      <c r="I5507" s="669">
        <v>0.71</v>
      </c>
      <c r="J5507" s="669">
        <v>0.71</v>
      </c>
    </row>
    <row r="5508" spans="1:10" ht="25.5">
      <c r="A5508" s="668"/>
      <c r="B5508" s="668"/>
      <c r="C5508" s="668"/>
      <c r="D5508" s="668"/>
      <c r="E5508" s="668" t="s">
        <v>13463</v>
      </c>
      <c r="F5508" s="667">
        <v>7.2041725999999997</v>
      </c>
      <c r="G5508" s="668" t="s">
        <v>13462</v>
      </c>
      <c r="H5508" s="667">
        <v>6.06</v>
      </c>
      <c r="I5508" s="668" t="s">
        <v>13461</v>
      </c>
      <c r="J5508" s="667">
        <v>13.26</v>
      </c>
    </row>
    <row r="5509" spans="1:10" ht="15" thickBot="1">
      <c r="A5509" s="668"/>
      <c r="B5509" s="668"/>
      <c r="C5509" s="668"/>
      <c r="D5509" s="668"/>
      <c r="E5509" s="668" t="s">
        <v>13460</v>
      </c>
      <c r="F5509" s="667">
        <v>4.82</v>
      </c>
      <c r="G5509" s="668"/>
      <c r="H5509" s="925" t="s">
        <v>13459</v>
      </c>
      <c r="I5509" s="925"/>
      <c r="J5509" s="667">
        <v>21.89</v>
      </c>
    </row>
    <row r="5510" spans="1:10" ht="0.95" customHeight="1" thickTop="1">
      <c r="A5510" s="666"/>
      <c r="B5510" s="666"/>
      <c r="C5510" s="666"/>
      <c r="D5510" s="666"/>
      <c r="E5510" s="666"/>
      <c r="F5510" s="666"/>
      <c r="G5510" s="666"/>
      <c r="H5510" s="666"/>
      <c r="I5510" s="666"/>
      <c r="J5510" s="666"/>
    </row>
    <row r="5511" spans="1:10" ht="18" customHeight="1">
      <c r="A5511" s="686"/>
      <c r="B5511" s="684" t="s">
        <v>13484</v>
      </c>
      <c r="C5511" s="686" t="s">
        <v>13483</v>
      </c>
      <c r="D5511" s="686" t="s">
        <v>13482</v>
      </c>
      <c r="E5511" s="924" t="s">
        <v>13481</v>
      </c>
      <c r="F5511" s="924"/>
      <c r="G5511" s="685" t="s">
        <v>13480</v>
      </c>
      <c r="H5511" s="684" t="s">
        <v>13479</v>
      </c>
      <c r="I5511" s="684" t="s">
        <v>13478</v>
      </c>
      <c r="J5511" s="684" t="s">
        <v>13477</v>
      </c>
    </row>
    <row r="5512" spans="1:10" ht="36" customHeight="1">
      <c r="A5512" s="682" t="s">
        <v>13476</v>
      </c>
      <c r="B5512" s="683" t="s">
        <v>13746</v>
      </c>
      <c r="C5512" s="682" t="s">
        <v>7</v>
      </c>
      <c r="D5512" s="682" t="s">
        <v>1689</v>
      </c>
      <c r="E5512" s="917" t="s">
        <v>13474</v>
      </c>
      <c r="F5512" s="917"/>
      <c r="G5512" s="681" t="s">
        <v>34</v>
      </c>
      <c r="H5512" s="680">
        <v>1</v>
      </c>
      <c r="I5512" s="679">
        <v>32.229999999999997</v>
      </c>
      <c r="J5512" s="679">
        <v>32.229999999999997</v>
      </c>
    </row>
    <row r="5513" spans="1:10" ht="48" customHeight="1">
      <c r="A5513" s="677" t="s">
        <v>13472</v>
      </c>
      <c r="B5513" s="678" t="s">
        <v>13745</v>
      </c>
      <c r="C5513" s="677" t="s">
        <v>7</v>
      </c>
      <c r="D5513" s="677" t="s">
        <v>1306</v>
      </c>
      <c r="E5513" s="918" t="s">
        <v>13474</v>
      </c>
      <c r="F5513" s="918"/>
      <c r="G5513" s="676" t="s">
        <v>34</v>
      </c>
      <c r="H5513" s="675">
        <v>2</v>
      </c>
      <c r="I5513" s="674">
        <v>5.22</v>
      </c>
      <c r="J5513" s="674">
        <v>10.44</v>
      </c>
    </row>
    <row r="5514" spans="1:10" ht="24" customHeight="1">
      <c r="A5514" s="677" t="s">
        <v>13472</v>
      </c>
      <c r="B5514" s="678" t="s">
        <v>13589</v>
      </c>
      <c r="C5514" s="677" t="s">
        <v>7</v>
      </c>
      <c r="D5514" s="677" t="s">
        <v>224</v>
      </c>
      <c r="E5514" s="918" t="s">
        <v>13474</v>
      </c>
      <c r="F5514" s="918"/>
      <c r="G5514" s="676" t="s">
        <v>34</v>
      </c>
      <c r="H5514" s="675">
        <v>1</v>
      </c>
      <c r="I5514" s="674">
        <v>21.79</v>
      </c>
      <c r="J5514" s="674">
        <v>21.79</v>
      </c>
    </row>
    <row r="5515" spans="1:10" ht="25.5">
      <c r="A5515" s="668"/>
      <c r="B5515" s="668"/>
      <c r="C5515" s="668"/>
      <c r="D5515" s="668"/>
      <c r="E5515" s="668" t="s">
        <v>13463</v>
      </c>
      <c r="F5515" s="667">
        <v>5.3026187</v>
      </c>
      <c r="G5515" s="668" t="s">
        <v>13462</v>
      </c>
      <c r="H5515" s="667">
        <v>4.46</v>
      </c>
      <c r="I5515" s="668" t="s">
        <v>13461</v>
      </c>
      <c r="J5515" s="667">
        <v>9.76</v>
      </c>
    </row>
    <row r="5516" spans="1:10" ht="15" thickBot="1">
      <c r="A5516" s="668"/>
      <c r="B5516" s="668"/>
      <c r="C5516" s="668"/>
      <c r="D5516" s="668"/>
      <c r="E5516" s="668" t="s">
        <v>13460</v>
      </c>
      <c r="F5516" s="667">
        <v>9.1</v>
      </c>
      <c r="G5516" s="668"/>
      <c r="H5516" s="925" t="s">
        <v>13459</v>
      </c>
      <c r="I5516" s="925"/>
      <c r="J5516" s="667">
        <v>41.33</v>
      </c>
    </row>
    <row r="5517" spans="1:10" ht="0.95" customHeight="1" thickTop="1">
      <c r="A5517" s="666"/>
      <c r="B5517" s="666"/>
      <c r="C5517" s="666"/>
      <c r="D5517" s="666"/>
      <c r="E5517" s="666"/>
      <c r="F5517" s="666"/>
      <c r="G5517" s="666"/>
      <c r="H5517" s="666"/>
      <c r="I5517" s="666"/>
      <c r="J5517" s="666"/>
    </row>
    <row r="5518" spans="1:10" ht="18" customHeight="1">
      <c r="A5518" s="686"/>
      <c r="B5518" s="684" t="s">
        <v>13484</v>
      </c>
      <c r="C5518" s="686" t="s">
        <v>13483</v>
      </c>
      <c r="D5518" s="686" t="s">
        <v>13482</v>
      </c>
      <c r="E5518" s="924" t="s">
        <v>13481</v>
      </c>
      <c r="F5518" s="924"/>
      <c r="G5518" s="685" t="s">
        <v>13480</v>
      </c>
      <c r="H5518" s="684" t="s">
        <v>13479</v>
      </c>
      <c r="I5518" s="684" t="s">
        <v>13478</v>
      </c>
      <c r="J5518" s="684" t="s">
        <v>13477</v>
      </c>
    </row>
    <row r="5519" spans="1:10" ht="48" customHeight="1">
      <c r="A5519" s="682" t="s">
        <v>13476</v>
      </c>
      <c r="B5519" s="683" t="s">
        <v>13744</v>
      </c>
      <c r="C5519" s="682" t="s">
        <v>7</v>
      </c>
      <c r="D5519" s="682" t="s">
        <v>3535</v>
      </c>
      <c r="E5519" s="917" t="s">
        <v>13491</v>
      </c>
      <c r="F5519" s="917"/>
      <c r="G5519" s="681" t="s">
        <v>38</v>
      </c>
      <c r="H5519" s="680">
        <v>1</v>
      </c>
      <c r="I5519" s="679">
        <v>1.42</v>
      </c>
      <c r="J5519" s="679">
        <v>1.42</v>
      </c>
    </row>
    <row r="5520" spans="1:10" ht="48" customHeight="1">
      <c r="A5520" s="677" t="s">
        <v>13472</v>
      </c>
      <c r="B5520" s="678" t="s">
        <v>13743</v>
      </c>
      <c r="C5520" s="677" t="s">
        <v>7</v>
      </c>
      <c r="D5520" s="677" t="s">
        <v>3543</v>
      </c>
      <c r="E5520" s="918" t="s">
        <v>13491</v>
      </c>
      <c r="F5520" s="918"/>
      <c r="G5520" s="676" t="s">
        <v>19</v>
      </c>
      <c r="H5520" s="675">
        <v>1</v>
      </c>
      <c r="I5520" s="674">
        <v>0.17</v>
      </c>
      <c r="J5520" s="674">
        <v>0.17</v>
      </c>
    </row>
    <row r="5521" spans="1:10" ht="48" customHeight="1">
      <c r="A5521" s="677" t="s">
        <v>13472</v>
      </c>
      <c r="B5521" s="678" t="s">
        <v>13742</v>
      </c>
      <c r="C5521" s="677" t="s">
        <v>7</v>
      </c>
      <c r="D5521" s="677" t="s">
        <v>3544</v>
      </c>
      <c r="E5521" s="918" t="s">
        <v>13491</v>
      </c>
      <c r="F5521" s="918"/>
      <c r="G5521" s="676" t="s">
        <v>19</v>
      </c>
      <c r="H5521" s="675">
        <v>1</v>
      </c>
      <c r="I5521" s="674">
        <v>0.02</v>
      </c>
      <c r="J5521" s="674">
        <v>0.02</v>
      </c>
    </row>
    <row r="5522" spans="1:10" ht="48" customHeight="1">
      <c r="A5522" s="677" t="s">
        <v>13472</v>
      </c>
      <c r="B5522" s="678" t="s">
        <v>13741</v>
      </c>
      <c r="C5522" s="677" t="s">
        <v>7</v>
      </c>
      <c r="D5522" s="677" t="s">
        <v>3545</v>
      </c>
      <c r="E5522" s="918" t="s">
        <v>13491</v>
      </c>
      <c r="F5522" s="918"/>
      <c r="G5522" s="676" t="s">
        <v>19</v>
      </c>
      <c r="H5522" s="675">
        <v>1</v>
      </c>
      <c r="I5522" s="674">
        <v>0.24</v>
      </c>
      <c r="J5522" s="674">
        <v>0.24</v>
      </c>
    </row>
    <row r="5523" spans="1:10" ht="48" customHeight="1">
      <c r="A5523" s="677" t="s">
        <v>13472</v>
      </c>
      <c r="B5523" s="678" t="s">
        <v>13738</v>
      </c>
      <c r="C5523" s="677" t="s">
        <v>7</v>
      </c>
      <c r="D5523" s="677" t="s">
        <v>3546</v>
      </c>
      <c r="E5523" s="918" t="s">
        <v>13491</v>
      </c>
      <c r="F5523" s="918"/>
      <c r="G5523" s="676" t="s">
        <v>19</v>
      </c>
      <c r="H5523" s="675">
        <v>1</v>
      </c>
      <c r="I5523" s="674">
        <v>0.99</v>
      </c>
      <c r="J5523" s="674">
        <v>0.99</v>
      </c>
    </row>
    <row r="5524" spans="1:10" ht="25.5">
      <c r="A5524" s="668"/>
      <c r="B5524" s="668"/>
      <c r="C5524" s="668"/>
      <c r="D5524" s="668"/>
      <c r="E5524" s="668" t="s">
        <v>13463</v>
      </c>
      <c r="F5524" s="667">
        <v>0</v>
      </c>
      <c r="G5524" s="668" t="s">
        <v>13462</v>
      </c>
      <c r="H5524" s="667">
        <v>0</v>
      </c>
      <c r="I5524" s="668" t="s">
        <v>13461</v>
      </c>
      <c r="J5524" s="667">
        <v>0</v>
      </c>
    </row>
    <row r="5525" spans="1:10" ht="15" thickBot="1">
      <c r="A5525" s="668"/>
      <c r="B5525" s="668"/>
      <c r="C5525" s="668"/>
      <c r="D5525" s="668"/>
      <c r="E5525" s="668" t="s">
        <v>13460</v>
      </c>
      <c r="F5525" s="667">
        <v>0.4</v>
      </c>
      <c r="G5525" s="668"/>
      <c r="H5525" s="925" t="s">
        <v>13459</v>
      </c>
      <c r="I5525" s="925"/>
      <c r="J5525" s="667">
        <v>1.82</v>
      </c>
    </row>
    <row r="5526" spans="1:10" ht="0.95" customHeight="1" thickTop="1">
      <c r="A5526" s="666"/>
      <c r="B5526" s="666"/>
      <c r="C5526" s="666"/>
      <c r="D5526" s="666"/>
      <c r="E5526" s="666"/>
      <c r="F5526" s="666"/>
      <c r="G5526" s="666"/>
      <c r="H5526" s="666"/>
      <c r="I5526" s="666"/>
      <c r="J5526" s="666"/>
    </row>
    <row r="5527" spans="1:10" ht="18" customHeight="1">
      <c r="A5527" s="686"/>
      <c r="B5527" s="684" t="s">
        <v>13484</v>
      </c>
      <c r="C5527" s="686" t="s">
        <v>13483</v>
      </c>
      <c r="D5527" s="686" t="s">
        <v>13482</v>
      </c>
      <c r="E5527" s="924" t="s">
        <v>13481</v>
      </c>
      <c r="F5527" s="924"/>
      <c r="G5527" s="685" t="s">
        <v>13480</v>
      </c>
      <c r="H5527" s="684" t="s">
        <v>13479</v>
      </c>
      <c r="I5527" s="684" t="s">
        <v>13478</v>
      </c>
      <c r="J5527" s="684" t="s">
        <v>13477</v>
      </c>
    </row>
    <row r="5528" spans="1:10" ht="48" customHeight="1">
      <c r="A5528" s="682" t="s">
        <v>13476</v>
      </c>
      <c r="B5528" s="683" t="s">
        <v>13743</v>
      </c>
      <c r="C5528" s="682" t="s">
        <v>7</v>
      </c>
      <c r="D5528" s="682" t="s">
        <v>3543</v>
      </c>
      <c r="E5528" s="917" t="s">
        <v>13491</v>
      </c>
      <c r="F5528" s="917"/>
      <c r="G5528" s="681" t="s">
        <v>19</v>
      </c>
      <c r="H5528" s="680">
        <v>1</v>
      </c>
      <c r="I5528" s="679">
        <v>0.17</v>
      </c>
      <c r="J5528" s="679">
        <v>0.17</v>
      </c>
    </row>
    <row r="5529" spans="1:10" ht="48" customHeight="1">
      <c r="A5529" s="672" t="s">
        <v>13467</v>
      </c>
      <c r="B5529" s="673" t="s">
        <v>13740</v>
      </c>
      <c r="C5529" s="672" t="s">
        <v>7</v>
      </c>
      <c r="D5529" s="672" t="s">
        <v>13739</v>
      </c>
      <c r="E5529" s="919" t="s">
        <v>13493</v>
      </c>
      <c r="F5529" s="919"/>
      <c r="G5529" s="671" t="s">
        <v>34</v>
      </c>
      <c r="H5529" s="670">
        <v>6.3999999999999997E-5</v>
      </c>
      <c r="I5529" s="669">
        <v>2730.9</v>
      </c>
      <c r="J5529" s="669">
        <v>0.17</v>
      </c>
    </row>
    <row r="5530" spans="1:10" ht="25.5">
      <c r="A5530" s="668"/>
      <c r="B5530" s="668"/>
      <c r="C5530" s="668"/>
      <c r="D5530" s="668"/>
      <c r="E5530" s="668" t="s">
        <v>13463</v>
      </c>
      <c r="F5530" s="667">
        <v>0</v>
      </c>
      <c r="G5530" s="668" t="s">
        <v>13462</v>
      </c>
      <c r="H5530" s="667">
        <v>0</v>
      </c>
      <c r="I5530" s="668" t="s">
        <v>13461</v>
      </c>
      <c r="J5530" s="667">
        <v>0</v>
      </c>
    </row>
    <row r="5531" spans="1:10" ht="15" thickBot="1">
      <c r="A5531" s="668"/>
      <c r="B5531" s="668"/>
      <c r="C5531" s="668"/>
      <c r="D5531" s="668"/>
      <c r="E5531" s="668" t="s">
        <v>13460</v>
      </c>
      <c r="F5531" s="667">
        <v>0.04</v>
      </c>
      <c r="G5531" s="668"/>
      <c r="H5531" s="925" t="s">
        <v>13459</v>
      </c>
      <c r="I5531" s="925"/>
      <c r="J5531" s="667">
        <v>0.21</v>
      </c>
    </row>
    <row r="5532" spans="1:10" ht="0.95" customHeight="1" thickTop="1">
      <c r="A5532" s="666"/>
      <c r="B5532" s="666"/>
      <c r="C5532" s="666"/>
      <c r="D5532" s="666"/>
      <c r="E5532" s="666"/>
      <c r="F5532" s="666"/>
      <c r="G5532" s="666"/>
      <c r="H5532" s="666"/>
      <c r="I5532" s="666"/>
      <c r="J5532" s="666"/>
    </row>
    <row r="5533" spans="1:10" ht="18" customHeight="1">
      <c r="A5533" s="686"/>
      <c r="B5533" s="684" t="s">
        <v>13484</v>
      </c>
      <c r="C5533" s="686" t="s">
        <v>13483</v>
      </c>
      <c r="D5533" s="686" t="s">
        <v>13482</v>
      </c>
      <c r="E5533" s="924" t="s">
        <v>13481</v>
      </c>
      <c r="F5533" s="924"/>
      <c r="G5533" s="685" t="s">
        <v>13480</v>
      </c>
      <c r="H5533" s="684" t="s">
        <v>13479</v>
      </c>
      <c r="I5533" s="684" t="s">
        <v>13478</v>
      </c>
      <c r="J5533" s="684" t="s">
        <v>13477</v>
      </c>
    </row>
    <row r="5534" spans="1:10" ht="48" customHeight="1">
      <c r="A5534" s="682" t="s">
        <v>13476</v>
      </c>
      <c r="B5534" s="683" t="s">
        <v>13742</v>
      </c>
      <c r="C5534" s="682" t="s">
        <v>7</v>
      </c>
      <c r="D5534" s="682" t="s">
        <v>3544</v>
      </c>
      <c r="E5534" s="917" t="s">
        <v>13491</v>
      </c>
      <c r="F5534" s="917"/>
      <c r="G5534" s="681" t="s">
        <v>19</v>
      </c>
      <c r="H5534" s="680">
        <v>1</v>
      </c>
      <c r="I5534" s="679">
        <v>0.02</v>
      </c>
      <c r="J5534" s="679">
        <v>0.02</v>
      </c>
    </row>
    <row r="5535" spans="1:10" ht="48" customHeight="1">
      <c r="A5535" s="672" t="s">
        <v>13467</v>
      </c>
      <c r="B5535" s="673" t="s">
        <v>13740</v>
      </c>
      <c r="C5535" s="672" t="s">
        <v>7</v>
      </c>
      <c r="D5535" s="672" t="s">
        <v>13739</v>
      </c>
      <c r="E5535" s="919" t="s">
        <v>13493</v>
      </c>
      <c r="F5535" s="919"/>
      <c r="G5535" s="671" t="s">
        <v>34</v>
      </c>
      <c r="H5535" s="670">
        <v>7.6000000000000001E-6</v>
      </c>
      <c r="I5535" s="669">
        <v>2730.9</v>
      </c>
      <c r="J5535" s="669">
        <v>0.02</v>
      </c>
    </row>
    <row r="5536" spans="1:10" ht="25.5">
      <c r="A5536" s="668"/>
      <c r="B5536" s="668"/>
      <c r="C5536" s="668"/>
      <c r="D5536" s="668"/>
      <c r="E5536" s="668" t="s">
        <v>13463</v>
      </c>
      <c r="F5536" s="667">
        <v>0</v>
      </c>
      <c r="G5536" s="668" t="s">
        <v>13462</v>
      </c>
      <c r="H5536" s="667">
        <v>0</v>
      </c>
      <c r="I5536" s="668" t="s">
        <v>13461</v>
      </c>
      <c r="J5536" s="667">
        <v>0</v>
      </c>
    </row>
    <row r="5537" spans="1:10" ht="15" thickBot="1">
      <c r="A5537" s="668"/>
      <c r="B5537" s="668"/>
      <c r="C5537" s="668"/>
      <c r="D5537" s="668"/>
      <c r="E5537" s="668" t="s">
        <v>13460</v>
      </c>
      <c r="F5537" s="667">
        <v>0</v>
      </c>
      <c r="G5537" s="668"/>
      <c r="H5537" s="925" t="s">
        <v>13459</v>
      </c>
      <c r="I5537" s="925"/>
      <c r="J5537" s="667">
        <v>0.02</v>
      </c>
    </row>
    <row r="5538" spans="1:10" ht="0.95" customHeight="1" thickTop="1">
      <c r="A5538" s="666"/>
      <c r="B5538" s="666"/>
      <c r="C5538" s="666"/>
      <c r="D5538" s="666"/>
      <c r="E5538" s="666"/>
      <c r="F5538" s="666"/>
      <c r="G5538" s="666"/>
      <c r="H5538" s="666"/>
      <c r="I5538" s="666"/>
      <c r="J5538" s="666"/>
    </row>
    <row r="5539" spans="1:10" ht="18" customHeight="1">
      <c r="A5539" s="686"/>
      <c r="B5539" s="684" t="s">
        <v>13484</v>
      </c>
      <c r="C5539" s="686" t="s">
        <v>13483</v>
      </c>
      <c r="D5539" s="686" t="s">
        <v>13482</v>
      </c>
      <c r="E5539" s="924" t="s">
        <v>13481</v>
      </c>
      <c r="F5539" s="924"/>
      <c r="G5539" s="685" t="s">
        <v>13480</v>
      </c>
      <c r="H5539" s="684" t="s">
        <v>13479</v>
      </c>
      <c r="I5539" s="684" t="s">
        <v>13478</v>
      </c>
      <c r="J5539" s="684" t="s">
        <v>13477</v>
      </c>
    </row>
    <row r="5540" spans="1:10" ht="48" customHeight="1">
      <c r="A5540" s="682" t="s">
        <v>13476</v>
      </c>
      <c r="B5540" s="683" t="s">
        <v>13741</v>
      </c>
      <c r="C5540" s="682" t="s">
        <v>7</v>
      </c>
      <c r="D5540" s="682" t="s">
        <v>3545</v>
      </c>
      <c r="E5540" s="917" t="s">
        <v>13491</v>
      </c>
      <c r="F5540" s="917"/>
      <c r="G5540" s="681" t="s">
        <v>19</v>
      </c>
      <c r="H5540" s="680">
        <v>1</v>
      </c>
      <c r="I5540" s="679">
        <v>0.24</v>
      </c>
      <c r="J5540" s="679">
        <v>0.24</v>
      </c>
    </row>
    <row r="5541" spans="1:10" ht="48" customHeight="1">
      <c r="A5541" s="672" t="s">
        <v>13467</v>
      </c>
      <c r="B5541" s="673" t="s">
        <v>13740</v>
      </c>
      <c r="C5541" s="672" t="s">
        <v>7</v>
      </c>
      <c r="D5541" s="672" t="s">
        <v>13739</v>
      </c>
      <c r="E5541" s="919" t="s">
        <v>13493</v>
      </c>
      <c r="F5541" s="919"/>
      <c r="G5541" s="671" t="s">
        <v>34</v>
      </c>
      <c r="H5541" s="670">
        <v>9.0000000000000006E-5</v>
      </c>
      <c r="I5541" s="669">
        <v>2730.9</v>
      </c>
      <c r="J5541" s="669">
        <v>0.24</v>
      </c>
    </row>
    <row r="5542" spans="1:10" ht="25.5">
      <c r="A5542" s="668"/>
      <c r="B5542" s="668"/>
      <c r="C5542" s="668"/>
      <c r="D5542" s="668"/>
      <c r="E5542" s="668" t="s">
        <v>13463</v>
      </c>
      <c r="F5542" s="667">
        <v>0</v>
      </c>
      <c r="G5542" s="668" t="s">
        <v>13462</v>
      </c>
      <c r="H5542" s="667">
        <v>0</v>
      </c>
      <c r="I5542" s="668" t="s">
        <v>13461</v>
      </c>
      <c r="J5542" s="667">
        <v>0</v>
      </c>
    </row>
    <row r="5543" spans="1:10" ht="15" thickBot="1">
      <c r="A5543" s="668"/>
      <c r="B5543" s="668"/>
      <c r="C5543" s="668"/>
      <c r="D5543" s="668"/>
      <c r="E5543" s="668" t="s">
        <v>13460</v>
      </c>
      <c r="F5543" s="667">
        <v>0.06</v>
      </c>
      <c r="G5543" s="668"/>
      <c r="H5543" s="925" t="s">
        <v>13459</v>
      </c>
      <c r="I5543" s="925"/>
      <c r="J5543" s="667">
        <v>0.3</v>
      </c>
    </row>
    <row r="5544" spans="1:10" ht="0.95" customHeight="1" thickTop="1">
      <c r="A5544" s="666"/>
      <c r="B5544" s="666"/>
      <c r="C5544" s="666"/>
      <c r="D5544" s="666"/>
      <c r="E5544" s="666"/>
      <c r="F5544" s="666"/>
      <c r="G5544" s="666"/>
      <c r="H5544" s="666"/>
      <c r="I5544" s="666"/>
      <c r="J5544" s="666"/>
    </row>
    <row r="5545" spans="1:10" ht="18" customHeight="1">
      <c r="A5545" s="686"/>
      <c r="B5545" s="684" t="s">
        <v>13484</v>
      </c>
      <c r="C5545" s="686" t="s">
        <v>13483</v>
      </c>
      <c r="D5545" s="686" t="s">
        <v>13482</v>
      </c>
      <c r="E5545" s="924" t="s">
        <v>13481</v>
      </c>
      <c r="F5545" s="924"/>
      <c r="G5545" s="685" t="s">
        <v>13480</v>
      </c>
      <c r="H5545" s="684" t="s">
        <v>13479</v>
      </c>
      <c r="I5545" s="684" t="s">
        <v>13478</v>
      </c>
      <c r="J5545" s="684" t="s">
        <v>13477</v>
      </c>
    </row>
    <row r="5546" spans="1:10" ht="48" customHeight="1">
      <c r="A5546" s="682" t="s">
        <v>13476</v>
      </c>
      <c r="B5546" s="683" t="s">
        <v>13738</v>
      </c>
      <c r="C5546" s="682" t="s">
        <v>7</v>
      </c>
      <c r="D5546" s="682" t="s">
        <v>3546</v>
      </c>
      <c r="E5546" s="917" t="s">
        <v>13491</v>
      </c>
      <c r="F5546" s="917"/>
      <c r="G5546" s="681" t="s">
        <v>19</v>
      </c>
      <c r="H5546" s="680">
        <v>1</v>
      </c>
      <c r="I5546" s="679">
        <v>0.99</v>
      </c>
      <c r="J5546" s="679">
        <v>0.99</v>
      </c>
    </row>
    <row r="5547" spans="1:10" ht="24" customHeight="1">
      <c r="A5547" s="672" t="s">
        <v>13467</v>
      </c>
      <c r="B5547" s="673" t="s">
        <v>13490</v>
      </c>
      <c r="C5547" s="672" t="s">
        <v>7</v>
      </c>
      <c r="D5547" s="672" t="s">
        <v>13489</v>
      </c>
      <c r="E5547" s="919" t="s">
        <v>13464</v>
      </c>
      <c r="F5547" s="919"/>
      <c r="G5547" s="671" t="s">
        <v>13488</v>
      </c>
      <c r="H5547" s="670">
        <v>1.19</v>
      </c>
      <c r="I5547" s="669">
        <v>0.84</v>
      </c>
      <c r="J5547" s="669">
        <v>0.99</v>
      </c>
    </row>
    <row r="5548" spans="1:10" ht="25.5">
      <c r="A5548" s="668"/>
      <c r="B5548" s="668"/>
      <c r="C5548" s="668"/>
      <c r="D5548" s="668"/>
      <c r="E5548" s="668" t="s">
        <v>13463</v>
      </c>
      <c r="F5548" s="667">
        <v>0</v>
      </c>
      <c r="G5548" s="668" t="s">
        <v>13462</v>
      </c>
      <c r="H5548" s="667">
        <v>0</v>
      </c>
      <c r="I5548" s="668" t="s">
        <v>13461</v>
      </c>
      <c r="J5548" s="667">
        <v>0</v>
      </c>
    </row>
    <row r="5549" spans="1:10" ht="15" thickBot="1">
      <c r="A5549" s="668"/>
      <c r="B5549" s="668"/>
      <c r="C5549" s="668"/>
      <c r="D5549" s="668"/>
      <c r="E5549" s="668" t="s">
        <v>13460</v>
      </c>
      <c r="F5549" s="667">
        <v>0.27</v>
      </c>
      <c r="G5549" s="668"/>
      <c r="H5549" s="925" t="s">
        <v>13459</v>
      </c>
      <c r="I5549" s="925"/>
      <c r="J5549" s="667">
        <v>1.26</v>
      </c>
    </row>
    <row r="5550" spans="1:10" ht="0.95" customHeight="1" thickTop="1">
      <c r="A5550" s="666"/>
      <c r="B5550" s="666"/>
      <c r="C5550" s="666"/>
      <c r="D5550" s="666"/>
      <c r="E5550" s="666"/>
      <c r="F5550" s="666"/>
      <c r="G5550" s="666"/>
      <c r="H5550" s="666"/>
      <c r="I5550" s="666"/>
      <c r="J5550" s="666"/>
    </row>
    <row r="5551" spans="1:10" ht="18" customHeight="1">
      <c r="A5551" s="686"/>
      <c r="B5551" s="684" t="s">
        <v>13484</v>
      </c>
      <c r="C5551" s="686" t="s">
        <v>13483</v>
      </c>
      <c r="D5551" s="686" t="s">
        <v>13482</v>
      </c>
      <c r="E5551" s="924" t="s">
        <v>13481</v>
      </c>
      <c r="F5551" s="924"/>
      <c r="G5551" s="685" t="s">
        <v>13480</v>
      </c>
      <c r="H5551" s="684" t="s">
        <v>13479</v>
      </c>
      <c r="I5551" s="684" t="s">
        <v>13478</v>
      </c>
      <c r="J5551" s="684" t="s">
        <v>13477</v>
      </c>
    </row>
    <row r="5552" spans="1:10" ht="36" customHeight="1">
      <c r="A5552" s="682" t="s">
        <v>13476</v>
      </c>
      <c r="B5552" s="683" t="s">
        <v>13737</v>
      </c>
      <c r="C5552" s="682" t="s">
        <v>7</v>
      </c>
      <c r="D5552" s="682" t="s">
        <v>5112</v>
      </c>
      <c r="E5552" s="917" t="s">
        <v>13474</v>
      </c>
      <c r="F5552" s="917"/>
      <c r="G5552" s="681" t="s">
        <v>34</v>
      </c>
      <c r="H5552" s="680">
        <v>1</v>
      </c>
      <c r="I5552" s="679">
        <v>227.01</v>
      </c>
      <c r="J5552" s="679">
        <v>227.01</v>
      </c>
    </row>
    <row r="5553" spans="1:10" ht="24" customHeight="1">
      <c r="A5553" s="677" t="s">
        <v>13472</v>
      </c>
      <c r="B5553" s="678" t="s">
        <v>13473</v>
      </c>
      <c r="C5553" s="677" t="s">
        <v>7</v>
      </c>
      <c r="D5553" s="677" t="s">
        <v>44</v>
      </c>
      <c r="E5553" s="918" t="s">
        <v>13470</v>
      </c>
      <c r="F5553" s="918"/>
      <c r="G5553" s="676" t="s">
        <v>19</v>
      </c>
      <c r="H5553" s="675">
        <v>0.87880000000000003</v>
      </c>
      <c r="I5553" s="674">
        <v>17.66</v>
      </c>
      <c r="J5553" s="674">
        <v>15.51</v>
      </c>
    </row>
    <row r="5554" spans="1:10" ht="24" customHeight="1">
      <c r="A5554" s="677" t="s">
        <v>13472</v>
      </c>
      <c r="B5554" s="678" t="s">
        <v>13471</v>
      </c>
      <c r="C5554" s="677" t="s">
        <v>7</v>
      </c>
      <c r="D5554" s="677" t="s">
        <v>21</v>
      </c>
      <c r="E5554" s="918" t="s">
        <v>13470</v>
      </c>
      <c r="F5554" s="918"/>
      <c r="G5554" s="676" t="s">
        <v>19</v>
      </c>
      <c r="H5554" s="675">
        <v>0.44429999999999997</v>
      </c>
      <c r="I5554" s="674">
        <v>14.02</v>
      </c>
      <c r="J5554" s="674">
        <v>6.22</v>
      </c>
    </row>
    <row r="5555" spans="1:10" ht="24" customHeight="1">
      <c r="A5555" s="672" t="s">
        <v>13467</v>
      </c>
      <c r="B5555" s="673" t="s">
        <v>13736</v>
      </c>
      <c r="C5555" s="672" t="s">
        <v>7</v>
      </c>
      <c r="D5555" s="672" t="s">
        <v>13735</v>
      </c>
      <c r="E5555" s="919" t="s">
        <v>13464</v>
      </c>
      <c r="F5555" s="919"/>
      <c r="G5555" s="671" t="s">
        <v>34</v>
      </c>
      <c r="H5555" s="670">
        <v>1</v>
      </c>
      <c r="I5555" s="669">
        <v>131.85</v>
      </c>
      <c r="J5555" s="669">
        <v>131.85</v>
      </c>
    </row>
    <row r="5556" spans="1:10" ht="36" customHeight="1">
      <c r="A5556" s="672" t="s">
        <v>13467</v>
      </c>
      <c r="B5556" s="673" t="s">
        <v>13568</v>
      </c>
      <c r="C5556" s="672" t="s">
        <v>7</v>
      </c>
      <c r="D5556" s="672" t="s">
        <v>13567</v>
      </c>
      <c r="E5556" s="919" t="s">
        <v>13464</v>
      </c>
      <c r="F5556" s="919"/>
      <c r="G5556" s="671" t="s">
        <v>34</v>
      </c>
      <c r="H5556" s="670">
        <v>6</v>
      </c>
      <c r="I5556" s="669">
        <v>11.01</v>
      </c>
      <c r="J5556" s="669">
        <v>66.06</v>
      </c>
    </row>
    <row r="5557" spans="1:10" ht="24" customHeight="1">
      <c r="A5557" s="672" t="s">
        <v>13467</v>
      </c>
      <c r="B5557" s="673" t="s">
        <v>13504</v>
      </c>
      <c r="C5557" s="672" t="s">
        <v>7</v>
      </c>
      <c r="D5557" s="672" t="s">
        <v>13503</v>
      </c>
      <c r="E5557" s="919" t="s">
        <v>13464</v>
      </c>
      <c r="F5557" s="919"/>
      <c r="G5557" s="671" t="s">
        <v>17</v>
      </c>
      <c r="H5557" s="670">
        <v>7.6499999999999999E-2</v>
      </c>
      <c r="I5557" s="669">
        <v>96.46</v>
      </c>
      <c r="J5557" s="669">
        <v>7.37</v>
      </c>
    </row>
    <row r="5558" spans="1:10" ht="25.5">
      <c r="A5558" s="668"/>
      <c r="B5558" s="668"/>
      <c r="C5558" s="668"/>
      <c r="D5558" s="668"/>
      <c r="E5558" s="668" t="s">
        <v>13463</v>
      </c>
      <c r="F5558" s="667">
        <v>9.3121808106052377</v>
      </c>
      <c r="G5558" s="668" t="s">
        <v>13462</v>
      </c>
      <c r="H5558" s="667">
        <v>7.83</v>
      </c>
      <c r="I5558" s="668" t="s">
        <v>13461</v>
      </c>
      <c r="J5558" s="667">
        <v>17.14</v>
      </c>
    </row>
    <row r="5559" spans="1:10" ht="15" thickBot="1">
      <c r="A5559" s="668"/>
      <c r="B5559" s="668"/>
      <c r="C5559" s="668"/>
      <c r="D5559" s="668"/>
      <c r="E5559" s="668" t="s">
        <v>13460</v>
      </c>
      <c r="F5559" s="667">
        <v>64.099999999999994</v>
      </c>
      <c r="G5559" s="668"/>
      <c r="H5559" s="925" t="s">
        <v>13459</v>
      </c>
      <c r="I5559" s="925"/>
      <c r="J5559" s="667">
        <v>291.11</v>
      </c>
    </row>
    <row r="5560" spans="1:10" ht="0.95" customHeight="1" thickTop="1">
      <c r="A5560" s="666"/>
      <c r="B5560" s="666"/>
      <c r="C5560" s="666"/>
      <c r="D5560" s="666"/>
      <c r="E5560" s="666"/>
      <c r="F5560" s="666"/>
      <c r="G5560" s="666"/>
      <c r="H5560" s="666"/>
      <c r="I5560" s="666"/>
      <c r="J5560" s="666"/>
    </row>
    <row r="5561" spans="1:10" ht="18" customHeight="1">
      <c r="A5561" s="686"/>
      <c r="B5561" s="684" t="s">
        <v>13484</v>
      </c>
      <c r="C5561" s="686" t="s">
        <v>13483</v>
      </c>
      <c r="D5561" s="686" t="s">
        <v>13482</v>
      </c>
      <c r="E5561" s="924" t="s">
        <v>13481</v>
      </c>
      <c r="F5561" s="924"/>
      <c r="G5561" s="685" t="s">
        <v>13480</v>
      </c>
      <c r="H5561" s="684" t="s">
        <v>13479</v>
      </c>
      <c r="I5561" s="684" t="s">
        <v>13478</v>
      </c>
      <c r="J5561" s="684" t="s">
        <v>13477</v>
      </c>
    </row>
    <row r="5562" spans="1:10" ht="36" customHeight="1">
      <c r="A5562" s="682" t="s">
        <v>13476</v>
      </c>
      <c r="B5562" s="683" t="s">
        <v>13734</v>
      </c>
      <c r="C5562" s="682" t="s">
        <v>7</v>
      </c>
      <c r="D5562" s="682" t="s">
        <v>2930</v>
      </c>
      <c r="E5562" s="917" t="s">
        <v>13540</v>
      </c>
      <c r="F5562" s="917"/>
      <c r="G5562" s="681" t="s">
        <v>34</v>
      </c>
      <c r="H5562" s="680">
        <v>1</v>
      </c>
      <c r="I5562" s="679">
        <v>7.62</v>
      </c>
      <c r="J5562" s="679">
        <v>7.62</v>
      </c>
    </row>
    <row r="5563" spans="1:10" ht="24" customHeight="1">
      <c r="A5563" s="677" t="s">
        <v>13472</v>
      </c>
      <c r="B5563" s="678" t="s">
        <v>13539</v>
      </c>
      <c r="C5563" s="677" t="s">
        <v>7</v>
      </c>
      <c r="D5563" s="677" t="s">
        <v>45</v>
      </c>
      <c r="E5563" s="918" t="s">
        <v>13470</v>
      </c>
      <c r="F5563" s="918"/>
      <c r="G5563" s="676" t="s">
        <v>19</v>
      </c>
      <c r="H5563" s="675">
        <v>0.1827</v>
      </c>
      <c r="I5563" s="674">
        <v>18.3</v>
      </c>
      <c r="J5563" s="674">
        <v>3.34</v>
      </c>
    </row>
    <row r="5564" spans="1:10" ht="24" customHeight="1">
      <c r="A5564" s="677" t="s">
        <v>13472</v>
      </c>
      <c r="B5564" s="678" t="s">
        <v>13538</v>
      </c>
      <c r="C5564" s="677" t="s">
        <v>7</v>
      </c>
      <c r="D5564" s="677" t="s">
        <v>47</v>
      </c>
      <c r="E5564" s="918" t="s">
        <v>13470</v>
      </c>
      <c r="F5564" s="918"/>
      <c r="G5564" s="676" t="s">
        <v>19</v>
      </c>
      <c r="H5564" s="675">
        <v>0.1827</v>
      </c>
      <c r="I5564" s="674">
        <v>14</v>
      </c>
      <c r="J5564" s="674">
        <v>2.5499999999999998</v>
      </c>
    </row>
    <row r="5565" spans="1:10" ht="24" customHeight="1">
      <c r="A5565" s="672" t="s">
        <v>13467</v>
      </c>
      <c r="B5565" s="673" t="s">
        <v>13733</v>
      </c>
      <c r="C5565" s="672" t="s">
        <v>7</v>
      </c>
      <c r="D5565" s="672" t="s">
        <v>13732</v>
      </c>
      <c r="E5565" s="919" t="s">
        <v>13464</v>
      </c>
      <c r="F5565" s="919"/>
      <c r="G5565" s="671" t="s">
        <v>34</v>
      </c>
      <c r="H5565" s="670">
        <v>1</v>
      </c>
      <c r="I5565" s="669">
        <v>1.73</v>
      </c>
      <c r="J5565" s="669">
        <v>1.73</v>
      </c>
    </row>
    <row r="5566" spans="1:10" ht="25.5">
      <c r="A5566" s="668"/>
      <c r="B5566" s="668"/>
      <c r="C5566" s="668"/>
      <c r="D5566" s="668"/>
      <c r="E5566" s="668" t="s">
        <v>13463</v>
      </c>
      <c r="F5566" s="667">
        <v>2.444854938606976</v>
      </c>
      <c r="G5566" s="668" t="s">
        <v>13462</v>
      </c>
      <c r="H5566" s="667">
        <v>2.06</v>
      </c>
      <c r="I5566" s="668" t="s">
        <v>13461</v>
      </c>
      <c r="J5566" s="667">
        <v>4.5</v>
      </c>
    </row>
    <row r="5567" spans="1:10" ht="15" thickBot="1">
      <c r="A5567" s="668"/>
      <c r="B5567" s="668"/>
      <c r="C5567" s="668"/>
      <c r="D5567" s="668"/>
      <c r="E5567" s="668" t="s">
        <v>13460</v>
      </c>
      <c r="F5567" s="667">
        <v>2.15</v>
      </c>
      <c r="G5567" s="668"/>
      <c r="H5567" s="925" t="s">
        <v>13459</v>
      </c>
      <c r="I5567" s="925"/>
      <c r="J5567" s="667">
        <v>9.77</v>
      </c>
    </row>
    <row r="5568" spans="1:10" ht="0.95" customHeight="1" thickTop="1">
      <c r="A5568" s="666"/>
      <c r="B5568" s="666"/>
      <c r="C5568" s="666"/>
      <c r="D5568" s="666"/>
      <c r="E5568" s="666"/>
      <c r="F5568" s="666"/>
      <c r="G5568" s="666"/>
      <c r="H5568" s="666"/>
      <c r="I5568" s="666"/>
      <c r="J5568" s="666"/>
    </row>
    <row r="5569" spans="1:10" ht="18" customHeight="1">
      <c r="A5569" s="686"/>
      <c r="B5569" s="684" t="s">
        <v>13484</v>
      </c>
      <c r="C5569" s="686" t="s">
        <v>13483</v>
      </c>
      <c r="D5569" s="686" t="s">
        <v>13482</v>
      </c>
      <c r="E5569" s="924" t="s">
        <v>13481</v>
      </c>
      <c r="F5569" s="924"/>
      <c r="G5569" s="685" t="s">
        <v>13480</v>
      </c>
      <c r="H5569" s="684" t="s">
        <v>13479</v>
      </c>
      <c r="I5569" s="684" t="s">
        <v>13478</v>
      </c>
      <c r="J5569" s="684" t="s">
        <v>13477</v>
      </c>
    </row>
    <row r="5570" spans="1:10" ht="36" customHeight="1">
      <c r="A5570" s="682" t="s">
        <v>13476</v>
      </c>
      <c r="B5570" s="683" t="s">
        <v>13731</v>
      </c>
      <c r="C5570" s="682" t="s">
        <v>7</v>
      </c>
      <c r="D5570" s="682" t="s">
        <v>1975</v>
      </c>
      <c r="E5570" s="917" t="s">
        <v>13540</v>
      </c>
      <c r="F5570" s="917"/>
      <c r="G5570" s="681" t="s">
        <v>34</v>
      </c>
      <c r="H5570" s="680">
        <v>1</v>
      </c>
      <c r="I5570" s="679">
        <v>8.6</v>
      </c>
      <c r="J5570" s="679">
        <v>8.6</v>
      </c>
    </row>
    <row r="5571" spans="1:10" ht="24" customHeight="1">
      <c r="A5571" s="677" t="s">
        <v>13472</v>
      </c>
      <c r="B5571" s="678" t="s">
        <v>13539</v>
      </c>
      <c r="C5571" s="677" t="s">
        <v>7</v>
      </c>
      <c r="D5571" s="677" t="s">
        <v>45</v>
      </c>
      <c r="E5571" s="918" t="s">
        <v>13470</v>
      </c>
      <c r="F5571" s="918"/>
      <c r="G5571" s="676" t="s">
        <v>19</v>
      </c>
      <c r="H5571" s="675">
        <v>0.20799999999999999</v>
      </c>
      <c r="I5571" s="674">
        <v>18.3</v>
      </c>
      <c r="J5571" s="674">
        <v>3.8</v>
      </c>
    </row>
    <row r="5572" spans="1:10" ht="24" customHeight="1">
      <c r="A5572" s="677" t="s">
        <v>13472</v>
      </c>
      <c r="B5572" s="678" t="s">
        <v>13538</v>
      </c>
      <c r="C5572" s="677" t="s">
        <v>7</v>
      </c>
      <c r="D5572" s="677" t="s">
        <v>47</v>
      </c>
      <c r="E5572" s="918" t="s">
        <v>13470</v>
      </c>
      <c r="F5572" s="918"/>
      <c r="G5572" s="676" t="s">
        <v>19</v>
      </c>
      <c r="H5572" s="675">
        <v>0.20799999999999999</v>
      </c>
      <c r="I5572" s="674">
        <v>14</v>
      </c>
      <c r="J5572" s="674">
        <v>2.91</v>
      </c>
    </row>
    <row r="5573" spans="1:10" ht="24" customHeight="1">
      <c r="A5573" s="672" t="s">
        <v>13467</v>
      </c>
      <c r="B5573" s="673" t="s">
        <v>13730</v>
      </c>
      <c r="C5573" s="672" t="s">
        <v>7</v>
      </c>
      <c r="D5573" s="672" t="s">
        <v>13729</v>
      </c>
      <c r="E5573" s="919" t="s">
        <v>13464</v>
      </c>
      <c r="F5573" s="919"/>
      <c r="G5573" s="671" t="s">
        <v>34</v>
      </c>
      <c r="H5573" s="670">
        <v>1</v>
      </c>
      <c r="I5573" s="669">
        <v>1.89</v>
      </c>
      <c r="J5573" s="669">
        <v>1.89</v>
      </c>
    </row>
    <row r="5574" spans="1:10" ht="25.5">
      <c r="A5574" s="668"/>
      <c r="B5574" s="668"/>
      <c r="C5574" s="668"/>
      <c r="D5574" s="668"/>
      <c r="E5574" s="668" t="s">
        <v>13463</v>
      </c>
      <c r="F5574" s="667">
        <v>2.7817016190372703</v>
      </c>
      <c r="G5574" s="668" t="s">
        <v>13462</v>
      </c>
      <c r="H5574" s="667">
        <v>2.34</v>
      </c>
      <c r="I5574" s="668" t="s">
        <v>13461</v>
      </c>
      <c r="J5574" s="667">
        <v>5.12</v>
      </c>
    </row>
    <row r="5575" spans="1:10" ht="15" thickBot="1">
      <c r="A5575" s="668"/>
      <c r="B5575" s="668"/>
      <c r="C5575" s="668"/>
      <c r="D5575" s="668"/>
      <c r="E5575" s="668" t="s">
        <v>13460</v>
      </c>
      <c r="F5575" s="667">
        <v>2.42</v>
      </c>
      <c r="G5575" s="668"/>
      <c r="H5575" s="925" t="s">
        <v>13459</v>
      </c>
      <c r="I5575" s="925"/>
      <c r="J5575" s="667">
        <v>11.02</v>
      </c>
    </row>
    <row r="5576" spans="1:10" ht="0.95" customHeight="1" thickTop="1">
      <c r="A5576" s="666"/>
      <c r="B5576" s="666"/>
      <c r="C5576" s="666"/>
      <c r="D5576" s="666"/>
      <c r="E5576" s="666"/>
      <c r="F5576" s="666"/>
      <c r="G5576" s="666"/>
      <c r="H5576" s="666"/>
      <c r="I5576" s="666"/>
      <c r="J5576" s="666"/>
    </row>
    <row r="5577" spans="1:10" ht="18" customHeight="1">
      <c r="A5577" s="686"/>
      <c r="B5577" s="684" t="s">
        <v>13484</v>
      </c>
      <c r="C5577" s="686" t="s">
        <v>13483</v>
      </c>
      <c r="D5577" s="686" t="s">
        <v>13482</v>
      </c>
      <c r="E5577" s="924" t="s">
        <v>13481</v>
      </c>
      <c r="F5577" s="924"/>
      <c r="G5577" s="685" t="s">
        <v>13480</v>
      </c>
      <c r="H5577" s="684" t="s">
        <v>13479</v>
      </c>
      <c r="I5577" s="684" t="s">
        <v>13478</v>
      </c>
      <c r="J5577" s="684" t="s">
        <v>13477</v>
      </c>
    </row>
    <row r="5578" spans="1:10" ht="36" customHeight="1">
      <c r="A5578" s="682" t="s">
        <v>13476</v>
      </c>
      <c r="B5578" s="683" t="s">
        <v>13728</v>
      </c>
      <c r="C5578" s="682" t="s">
        <v>7</v>
      </c>
      <c r="D5578" s="682" t="s">
        <v>3438</v>
      </c>
      <c r="E5578" s="917" t="s">
        <v>13646</v>
      </c>
      <c r="F5578" s="917"/>
      <c r="G5578" s="681" t="s">
        <v>17</v>
      </c>
      <c r="H5578" s="680">
        <v>1</v>
      </c>
      <c r="I5578" s="679">
        <v>14.77</v>
      </c>
      <c r="J5578" s="679">
        <v>14.77</v>
      </c>
    </row>
    <row r="5579" spans="1:10" ht="36" customHeight="1">
      <c r="A5579" s="677" t="s">
        <v>13472</v>
      </c>
      <c r="B5579" s="678" t="s">
        <v>13727</v>
      </c>
      <c r="C5579" s="677" t="s">
        <v>7</v>
      </c>
      <c r="D5579" s="677" t="s">
        <v>2209</v>
      </c>
      <c r="E5579" s="918" t="s">
        <v>13646</v>
      </c>
      <c r="F5579" s="918"/>
      <c r="G5579" s="676" t="s">
        <v>17</v>
      </c>
      <c r="H5579" s="675">
        <v>1</v>
      </c>
      <c r="I5579" s="674">
        <v>13.3</v>
      </c>
      <c r="J5579" s="674">
        <v>13.3</v>
      </c>
    </row>
    <row r="5580" spans="1:10" ht="24" customHeight="1">
      <c r="A5580" s="677" t="s">
        <v>13472</v>
      </c>
      <c r="B5580" s="678" t="s">
        <v>13724</v>
      </c>
      <c r="C5580" s="677" t="s">
        <v>7</v>
      </c>
      <c r="D5580" s="677" t="s">
        <v>125</v>
      </c>
      <c r="E5580" s="918" t="s">
        <v>13470</v>
      </c>
      <c r="F5580" s="918"/>
      <c r="G5580" s="676" t="s">
        <v>19</v>
      </c>
      <c r="H5580" s="675">
        <v>5.7000000000000002E-2</v>
      </c>
      <c r="I5580" s="674">
        <v>17.579999999999998</v>
      </c>
      <c r="J5580" s="674">
        <v>1</v>
      </c>
    </row>
    <row r="5581" spans="1:10" ht="24" customHeight="1">
      <c r="A5581" s="677" t="s">
        <v>13472</v>
      </c>
      <c r="B5581" s="678" t="s">
        <v>13723</v>
      </c>
      <c r="C5581" s="677" t="s">
        <v>7</v>
      </c>
      <c r="D5581" s="677" t="s">
        <v>120</v>
      </c>
      <c r="E5581" s="918" t="s">
        <v>13470</v>
      </c>
      <c r="F5581" s="918"/>
      <c r="G5581" s="676" t="s">
        <v>19</v>
      </c>
      <c r="H5581" s="675">
        <v>6.0000000000000001E-3</v>
      </c>
      <c r="I5581" s="674">
        <v>13.4</v>
      </c>
      <c r="J5581" s="674">
        <v>0.08</v>
      </c>
    </row>
    <row r="5582" spans="1:10" ht="24" customHeight="1">
      <c r="A5582" s="672" t="s">
        <v>13467</v>
      </c>
      <c r="B5582" s="673" t="s">
        <v>13722</v>
      </c>
      <c r="C5582" s="672" t="s">
        <v>7</v>
      </c>
      <c r="D5582" s="672" t="s">
        <v>13721</v>
      </c>
      <c r="E5582" s="919" t="s">
        <v>13464</v>
      </c>
      <c r="F5582" s="919"/>
      <c r="G5582" s="671" t="s">
        <v>17</v>
      </c>
      <c r="H5582" s="670">
        <v>0.02</v>
      </c>
      <c r="I5582" s="669">
        <v>19.989999999999998</v>
      </c>
      <c r="J5582" s="669">
        <v>0.39</v>
      </c>
    </row>
    <row r="5583" spans="1:10" ht="25.5">
      <c r="A5583" s="668"/>
      <c r="B5583" s="668"/>
      <c r="C5583" s="668"/>
      <c r="D5583" s="668"/>
      <c r="E5583" s="668" t="s">
        <v>13463</v>
      </c>
      <c r="F5583" s="667">
        <v>0.49983700967075956</v>
      </c>
      <c r="G5583" s="668" t="s">
        <v>13462</v>
      </c>
      <c r="H5583" s="667">
        <v>0.42</v>
      </c>
      <c r="I5583" s="668" t="s">
        <v>13461</v>
      </c>
      <c r="J5583" s="667">
        <v>0.92</v>
      </c>
    </row>
    <row r="5584" spans="1:10" ht="15" thickBot="1">
      <c r="A5584" s="668"/>
      <c r="B5584" s="668"/>
      <c r="C5584" s="668"/>
      <c r="D5584" s="668"/>
      <c r="E5584" s="668" t="s">
        <v>13460</v>
      </c>
      <c r="F5584" s="667">
        <v>4.17</v>
      </c>
      <c r="G5584" s="668"/>
      <c r="H5584" s="925" t="s">
        <v>13459</v>
      </c>
      <c r="I5584" s="925"/>
      <c r="J5584" s="667">
        <v>18.940000000000001</v>
      </c>
    </row>
    <row r="5585" spans="1:10" ht="0.95" customHeight="1" thickTop="1">
      <c r="A5585" s="666"/>
      <c r="B5585" s="666"/>
      <c r="C5585" s="666"/>
      <c r="D5585" s="666"/>
      <c r="E5585" s="666"/>
      <c r="F5585" s="666"/>
      <c r="G5585" s="666"/>
      <c r="H5585" s="666"/>
      <c r="I5585" s="666"/>
      <c r="J5585" s="666"/>
    </row>
    <row r="5586" spans="1:10" ht="18" customHeight="1">
      <c r="A5586" s="686"/>
      <c r="B5586" s="684" t="s">
        <v>13484</v>
      </c>
      <c r="C5586" s="686" t="s">
        <v>13483</v>
      </c>
      <c r="D5586" s="686" t="s">
        <v>13482</v>
      </c>
      <c r="E5586" s="924" t="s">
        <v>13481</v>
      </c>
      <c r="F5586" s="924"/>
      <c r="G5586" s="685" t="s">
        <v>13480</v>
      </c>
      <c r="H5586" s="684" t="s">
        <v>13479</v>
      </c>
      <c r="I5586" s="684" t="s">
        <v>13478</v>
      </c>
      <c r="J5586" s="684" t="s">
        <v>13477</v>
      </c>
    </row>
    <row r="5587" spans="1:10" ht="24" customHeight="1">
      <c r="A5587" s="682" t="s">
        <v>13476</v>
      </c>
      <c r="B5587" s="683" t="s">
        <v>13726</v>
      </c>
      <c r="C5587" s="682" t="s">
        <v>7</v>
      </c>
      <c r="D5587" s="682" t="s">
        <v>2846</v>
      </c>
      <c r="E5587" s="917" t="s">
        <v>13646</v>
      </c>
      <c r="F5587" s="917"/>
      <c r="G5587" s="681" t="s">
        <v>17</v>
      </c>
      <c r="H5587" s="680">
        <v>1</v>
      </c>
      <c r="I5587" s="679">
        <v>19.16</v>
      </c>
      <c r="J5587" s="679">
        <v>19.16</v>
      </c>
    </row>
    <row r="5588" spans="1:10" ht="36" customHeight="1">
      <c r="A5588" s="677" t="s">
        <v>13472</v>
      </c>
      <c r="B5588" s="678" t="s">
        <v>13725</v>
      </c>
      <c r="C5588" s="677" t="s">
        <v>7</v>
      </c>
      <c r="D5588" s="677" t="s">
        <v>2830</v>
      </c>
      <c r="E5588" s="918" t="s">
        <v>13646</v>
      </c>
      <c r="F5588" s="918"/>
      <c r="G5588" s="676" t="s">
        <v>17</v>
      </c>
      <c r="H5588" s="675">
        <v>1</v>
      </c>
      <c r="I5588" s="674">
        <v>13.46</v>
      </c>
      <c r="J5588" s="674">
        <v>13.46</v>
      </c>
    </row>
    <row r="5589" spans="1:10" ht="24" customHeight="1">
      <c r="A5589" s="677" t="s">
        <v>13472</v>
      </c>
      <c r="B5589" s="678" t="s">
        <v>13724</v>
      </c>
      <c r="C5589" s="677" t="s">
        <v>7</v>
      </c>
      <c r="D5589" s="677" t="s">
        <v>125</v>
      </c>
      <c r="E5589" s="918" t="s">
        <v>13470</v>
      </c>
      <c r="F5589" s="918"/>
      <c r="G5589" s="676" t="s">
        <v>19</v>
      </c>
      <c r="H5589" s="675">
        <v>0.27900000000000003</v>
      </c>
      <c r="I5589" s="674">
        <v>17.579999999999998</v>
      </c>
      <c r="J5589" s="674">
        <v>4.9000000000000004</v>
      </c>
    </row>
    <row r="5590" spans="1:10" ht="24" customHeight="1">
      <c r="A5590" s="677" t="s">
        <v>13472</v>
      </c>
      <c r="B5590" s="678" t="s">
        <v>13723</v>
      </c>
      <c r="C5590" s="677" t="s">
        <v>7</v>
      </c>
      <c r="D5590" s="677" t="s">
        <v>120</v>
      </c>
      <c r="E5590" s="918" t="s">
        <v>13470</v>
      </c>
      <c r="F5590" s="918"/>
      <c r="G5590" s="676" t="s">
        <v>19</v>
      </c>
      <c r="H5590" s="675">
        <v>3.1E-2</v>
      </c>
      <c r="I5590" s="674">
        <v>13.4</v>
      </c>
      <c r="J5590" s="674">
        <v>0.41</v>
      </c>
    </row>
    <row r="5591" spans="1:10" ht="24" customHeight="1">
      <c r="A5591" s="672" t="s">
        <v>13467</v>
      </c>
      <c r="B5591" s="673" t="s">
        <v>13722</v>
      </c>
      <c r="C5591" s="672" t="s">
        <v>7</v>
      </c>
      <c r="D5591" s="672" t="s">
        <v>13721</v>
      </c>
      <c r="E5591" s="919" t="s">
        <v>13464</v>
      </c>
      <c r="F5591" s="919"/>
      <c r="G5591" s="671" t="s">
        <v>17</v>
      </c>
      <c r="H5591" s="670">
        <v>0.02</v>
      </c>
      <c r="I5591" s="669">
        <v>19.989999999999998</v>
      </c>
      <c r="J5591" s="669">
        <v>0.39</v>
      </c>
    </row>
    <row r="5592" spans="1:10" ht="25.5">
      <c r="A5592" s="668"/>
      <c r="B5592" s="668"/>
      <c r="C5592" s="668"/>
      <c r="D5592" s="668"/>
      <c r="E5592" s="668" t="s">
        <v>13463</v>
      </c>
      <c r="F5592" s="667">
        <v>2.444854938606976</v>
      </c>
      <c r="G5592" s="668" t="s">
        <v>13462</v>
      </c>
      <c r="H5592" s="667">
        <v>2.06</v>
      </c>
      <c r="I5592" s="668" t="s">
        <v>13461</v>
      </c>
      <c r="J5592" s="667">
        <v>4.5</v>
      </c>
    </row>
    <row r="5593" spans="1:10" ht="15" thickBot="1">
      <c r="A5593" s="668"/>
      <c r="B5593" s="668"/>
      <c r="C5593" s="668"/>
      <c r="D5593" s="668"/>
      <c r="E5593" s="668" t="s">
        <v>13460</v>
      </c>
      <c r="F5593" s="667">
        <v>5.41</v>
      </c>
      <c r="G5593" s="668"/>
      <c r="H5593" s="925" t="s">
        <v>13459</v>
      </c>
      <c r="I5593" s="925"/>
      <c r="J5593" s="667">
        <v>24.57</v>
      </c>
    </row>
    <row r="5594" spans="1:10" ht="0.95" customHeight="1" thickTop="1">
      <c r="A5594" s="666"/>
      <c r="B5594" s="666"/>
      <c r="C5594" s="666"/>
      <c r="D5594" s="666"/>
      <c r="E5594" s="666"/>
      <c r="F5594" s="666"/>
      <c r="G5594" s="666"/>
      <c r="H5594" s="666"/>
      <c r="I5594" s="666"/>
      <c r="J5594" s="666"/>
    </row>
    <row r="5595" spans="1:10" ht="18" customHeight="1">
      <c r="A5595" s="686"/>
      <c r="B5595" s="684" t="s">
        <v>13484</v>
      </c>
      <c r="C5595" s="686" t="s">
        <v>13483</v>
      </c>
      <c r="D5595" s="686" t="s">
        <v>13482</v>
      </c>
      <c r="E5595" s="924" t="s">
        <v>13481</v>
      </c>
      <c r="F5595" s="924"/>
      <c r="G5595" s="685" t="s">
        <v>13480</v>
      </c>
      <c r="H5595" s="684" t="s">
        <v>13479</v>
      </c>
      <c r="I5595" s="684" t="s">
        <v>13478</v>
      </c>
      <c r="J5595" s="684" t="s">
        <v>13477</v>
      </c>
    </row>
    <row r="5596" spans="1:10" ht="24" customHeight="1">
      <c r="A5596" s="682" t="s">
        <v>13476</v>
      </c>
      <c r="B5596" s="683" t="s">
        <v>13720</v>
      </c>
      <c r="C5596" s="682" t="s">
        <v>7</v>
      </c>
      <c r="D5596" s="682" t="s">
        <v>146</v>
      </c>
      <c r="E5596" s="917" t="s">
        <v>13470</v>
      </c>
      <c r="F5596" s="917"/>
      <c r="G5596" s="681" t="s">
        <v>19</v>
      </c>
      <c r="H5596" s="680">
        <v>1</v>
      </c>
      <c r="I5596" s="679">
        <v>13.54</v>
      </c>
      <c r="J5596" s="679">
        <v>13.54</v>
      </c>
    </row>
    <row r="5597" spans="1:10" ht="24" customHeight="1">
      <c r="A5597" s="677" t="s">
        <v>13472</v>
      </c>
      <c r="B5597" s="678" t="s">
        <v>13719</v>
      </c>
      <c r="C5597" s="677" t="s">
        <v>7</v>
      </c>
      <c r="D5597" s="677" t="s">
        <v>2758</v>
      </c>
      <c r="E5597" s="918" t="s">
        <v>13470</v>
      </c>
      <c r="F5597" s="918"/>
      <c r="G5597" s="676" t="s">
        <v>19</v>
      </c>
      <c r="H5597" s="675">
        <v>1</v>
      </c>
      <c r="I5597" s="674">
        <v>0.03</v>
      </c>
      <c r="J5597" s="674">
        <v>0.03</v>
      </c>
    </row>
    <row r="5598" spans="1:10" ht="24" customHeight="1">
      <c r="A5598" s="672" t="s">
        <v>13467</v>
      </c>
      <c r="B5598" s="673" t="s">
        <v>13562</v>
      </c>
      <c r="C5598" s="672" t="s">
        <v>7</v>
      </c>
      <c r="D5598" s="672" t="s">
        <v>13561</v>
      </c>
      <c r="E5598" s="919" t="s">
        <v>13556</v>
      </c>
      <c r="F5598" s="919"/>
      <c r="G5598" s="671" t="s">
        <v>19</v>
      </c>
      <c r="H5598" s="670">
        <v>1</v>
      </c>
      <c r="I5598" s="669">
        <v>0.96</v>
      </c>
      <c r="J5598" s="669">
        <v>0.96</v>
      </c>
    </row>
    <row r="5599" spans="1:10" ht="24" customHeight="1">
      <c r="A5599" s="672" t="s">
        <v>13467</v>
      </c>
      <c r="B5599" s="673" t="s">
        <v>13665</v>
      </c>
      <c r="C5599" s="672" t="s">
        <v>7</v>
      </c>
      <c r="D5599" s="672" t="s">
        <v>13664</v>
      </c>
      <c r="E5599" s="919" t="s">
        <v>13493</v>
      </c>
      <c r="F5599" s="919"/>
      <c r="G5599" s="671" t="s">
        <v>19</v>
      </c>
      <c r="H5599" s="670">
        <v>1</v>
      </c>
      <c r="I5599" s="669">
        <v>0.63</v>
      </c>
      <c r="J5599" s="669">
        <v>0.63</v>
      </c>
    </row>
    <row r="5600" spans="1:10" ht="24" customHeight="1">
      <c r="A5600" s="672" t="s">
        <v>13467</v>
      </c>
      <c r="B5600" s="673" t="s">
        <v>13558</v>
      </c>
      <c r="C5600" s="672" t="s">
        <v>7</v>
      </c>
      <c r="D5600" s="672" t="s">
        <v>13557</v>
      </c>
      <c r="E5600" s="919" t="s">
        <v>13556</v>
      </c>
      <c r="F5600" s="919"/>
      <c r="G5600" s="671" t="s">
        <v>19</v>
      </c>
      <c r="H5600" s="670">
        <v>1</v>
      </c>
      <c r="I5600" s="669">
        <v>0.55000000000000004</v>
      </c>
      <c r="J5600" s="669">
        <v>0.55000000000000004</v>
      </c>
    </row>
    <row r="5601" spans="1:10" ht="24" customHeight="1">
      <c r="A5601" s="672" t="s">
        <v>13467</v>
      </c>
      <c r="B5601" s="673" t="s">
        <v>13663</v>
      </c>
      <c r="C5601" s="672" t="s">
        <v>7</v>
      </c>
      <c r="D5601" s="672" t="s">
        <v>13662</v>
      </c>
      <c r="E5601" s="919" t="s">
        <v>13493</v>
      </c>
      <c r="F5601" s="919"/>
      <c r="G5601" s="671" t="s">
        <v>19</v>
      </c>
      <c r="H5601" s="670">
        <v>1</v>
      </c>
      <c r="I5601" s="669">
        <v>0.01</v>
      </c>
      <c r="J5601" s="669">
        <v>0.01</v>
      </c>
    </row>
    <row r="5602" spans="1:10" ht="24" customHeight="1">
      <c r="A5602" s="672" t="s">
        <v>13467</v>
      </c>
      <c r="B5602" s="673" t="s">
        <v>13718</v>
      </c>
      <c r="C5602" s="672" t="s">
        <v>7</v>
      </c>
      <c r="D5602" s="672" t="s">
        <v>13717</v>
      </c>
      <c r="E5602" s="919" t="s">
        <v>13548</v>
      </c>
      <c r="F5602" s="919"/>
      <c r="G5602" s="671" t="s">
        <v>19</v>
      </c>
      <c r="H5602" s="670">
        <v>1</v>
      </c>
      <c r="I5602" s="669">
        <v>10.59</v>
      </c>
      <c r="J5602" s="669">
        <v>10.59</v>
      </c>
    </row>
    <row r="5603" spans="1:10" ht="24" customHeight="1">
      <c r="A5603" s="672" t="s">
        <v>13467</v>
      </c>
      <c r="B5603" s="673" t="s">
        <v>13553</v>
      </c>
      <c r="C5603" s="672" t="s">
        <v>7</v>
      </c>
      <c r="D5603" s="672" t="s">
        <v>13552</v>
      </c>
      <c r="E5603" s="919" t="s">
        <v>13551</v>
      </c>
      <c r="F5603" s="919"/>
      <c r="G5603" s="671" t="s">
        <v>19</v>
      </c>
      <c r="H5603" s="670">
        <v>1</v>
      </c>
      <c r="I5603" s="669">
        <v>0.06</v>
      </c>
      <c r="J5603" s="669">
        <v>0.06</v>
      </c>
    </row>
    <row r="5604" spans="1:10" ht="24" customHeight="1">
      <c r="A5604" s="672" t="s">
        <v>13467</v>
      </c>
      <c r="B5604" s="673" t="s">
        <v>13547</v>
      </c>
      <c r="C5604" s="672" t="s">
        <v>7</v>
      </c>
      <c r="D5604" s="672" t="s">
        <v>13546</v>
      </c>
      <c r="E5604" s="919" t="s">
        <v>13545</v>
      </c>
      <c r="F5604" s="919"/>
      <c r="G5604" s="671" t="s">
        <v>19</v>
      </c>
      <c r="H5604" s="670">
        <v>1</v>
      </c>
      <c r="I5604" s="669">
        <v>0.71</v>
      </c>
      <c r="J5604" s="669">
        <v>0.71</v>
      </c>
    </row>
    <row r="5605" spans="1:10" ht="25.5">
      <c r="A5605" s="668"/>
      <c r="B5605" s="668"/>
      <c r="C5605" s="668"/>
      <c r="D5605" s="668"/>
      <c r="E5605" s="668" t="s">
        <v>13463</v>
      </c>
      <c r="F5605" s="667">
        <v>5.7698577000000002</v>
      </c>
      <c r="G5605" s="668" t="s">
        <v>13462</v>
      </c>
      <c r="H5605" s="667">
        <v>4.8499999999999996</v>
      </c>
      <c r="I5605" s="668" t="s">
        <v>13461</v>
      </c>
      <c r="J5605" s="667">
        <v>10.62</v>
      </c>
    </row>
    <row r="5606" spans="1:10" ht="15" thickBot="1">
      <c r="A5606" s="668"/>
      <c r="B5606" s="668"/>
      <c r="C5606" s="668"/>
      <c r="D5606" s="668"/>
      <c r="E5606" s="668" t="s">
        <v>13460</v>
      </c>
      <c r="F5606" s="667">
        <v>3.82</v>
      </c>
      <c r="G5606" s="668"/>
      <c r="H5606" s="925" t="s">
        <v>13459</v>
      </c>
      <c r="I5606" s="925"/>
      <c r="J5606" s="667">
        <v>17.36</v>
      </c>
    </row>
    <row r="5607" spans="1:10" ht="0.95" customHeight="1" thickTop="1">
      <c r="A5607" s="666"/>
      <c r="B5607" s="666"/>
      <c r="C5607" s="666"/>
      <c r="D5607" s="666"/>
      <c r="E5607" s="666"/>
      <c r="F5607" s="666"/>
      <c r="G5607" s="666"/>
      <c r="H5607" s="666"/>
      <c r="I5607" s="666"/>
      <c r="J5607" s="666"/>
    </row>
    <row r="5608" spans="1:10" ht="18" customHeight="1">
      <c r="A5608" s="686"/>
      <c r="B5608" s="684" t="s">
        <v>13484</v>
      </c>
      <c r="C5608" s="686" t="s">
        <v>13483</v>
      </c>
      <c r="D5608" s="686" t="s">
        <v>13482</v>
      </c>
      <c r="E5608" s="924" t="s">
        <v>13481</v>
      </c>
      <c r="F5608" s="924"/>
      <c r="G5608" s="685" t="s">
        <v>13480</v>
      </c>
      <c r="H5608" s="684" t="s">
        <v>13479</v>
      </c>
      <c r="I5608" s="684" t="s">
        <v>13478</v>
      </c>
      <c r="J5608" s="684" t="s">
        <v>13477</v>
      </c>
    </row>
    <row r="5609" spans="1:10" ht="24" customHeight="1">
      <c r="A5609" s="682" t="s">
        <v>13476</v>
      </c>
      <c r="B5609" s="683" t="s">
        <v>13716</v>
      </c>
      <c r="C5609" s="682" t="s">
        <v>7</v>
      </c>
      <c r="D5609" s="682" t="s">
        <v>147</v>
      </c>
      <c r="E5609" s="917" t="s">
        <v>13470</v>
      </c>
      <c r="F5609" s="917"/>
      <c r="G5609" s="681" t="s">
        <v>19</v>
      </c>
      <c r="H5609" s="680">
        <v>1</v>
      </c>
      <c r="I5609" s="679">
        <v>14.19</v>
      </c>
      <c r="J5609" s="679">
        <v>14.19</v>
      </c>
    </row>
    <row r="5610" spans="1:10" ht="24" customHeight="1">
      <c r="A5610" s="677" t="s">
        <v>13472</v>
      </c>
      <c r="B5610" s="678" t="s">
        <v>13715</v>
      </c>
      <c r="C5610" s="677" t="s">
        <v>7</v>
      </c>
      <c r="D5610" s="677" t="s">
        <v>2759</v>
      </c>
      <c r="E5610" s="918" t="s">
        <v>13470</v>
      </c>
      <c r="F5610" s="918"/>
      <c r="G5610" s="676" t="s">
        <v>19</v>
      </c>
      <c r="H5610" s="675">
        <v>1</v>
      </c>
      <c r="I5610" s="674">
        <v>0.04</v>
      </c>
      <c r="J5610" s="674">
        <v>0.04</v>
      </c>
    </row>
    <row r="5611" spans="1:10" ht="24" customHeight="1">
      <c r="A5611" s="672" t="s">
        <v>13467</v>
      </c>
      <c r="B5611" s="673" t="s">
        <v>13562</v>
      </c>
      <c r="C5611" s="672" t="s">
        <v>7</v>
      </c>
      <c r="D5611" s="672" t="s">
        <v>13561</v>
      </c>
      <c r="E5611" s="919" t="s">
        <v>13556</v>
      </c>
      <c r="F5611" s="919"/>
      <c r="G5611" s="671" t="s">
        <v>19</v>
      </c>
      <c r="H5611" s="670">
        <v>1</v>
      </c>
      <c r="I5611" s="669">
        <v>0.96</v>
      </c>
      <c r="J5611" s="669">
        <v>0.96</v>
      </c>
    </row>
    <row r="5612" spans="1:10" ht="24" customHeight="1">
      <c r="A5612" s="672" t="s">
        <v>13467</v>
      </c>
      <c r="B5612" s="673" t="s">
        <v>13665</v>
      </c>
      <c r="C5612" s="672" t="s">
        <v>7</v>
      </c>
      <c r="D5612" s="672" t="s">
        <v>13664</v>
      </c>
      <c r="E5612" s="919" t="s">
        <v>13493</v>
      </c>
      <c r="F5612" s="919"/>
      <c r="G5612" s="671" t="s">
        <v>19</v>
      </c>
      <c r="H5612" s="670">
        <v>1</v>
      </c>
      <c r="I5612" s="669">
        <v>0.63</v>
      </c>
      <c r="J5612" s="669">
        <v>0.63</v>
      </c>
    </row>
    <row r="5613" spans="1:10" ht="24" customHeight="1">
      <c r="A5613" s="672" t="s">
        <v>13467</v>
      </c>
      <c r="B5613" s="673" t="s">
        <v>13558</v>
      </c>
      <c r="C5613" s="672" t="s">
        <v>7</v>
      </c>
      <c r="D5613" s="672" t="s">
        <v>13557</v>
      </c>
      <c r="E5613" s="919" t="s">
        <v>13556</v>
      </c>
      <c r="F5613" s="919"/>
      <c r="G5613" s="671" t="s">
        <v>19</v>
      </c>
      <c r="H5613" s="670">
        <v>1</v>
      </c>
      <c r="I5613" s="669">
        <v>0.55000000000000004</v>
      </c>
      <c r="J5613" s="669">
        <v>0.55000000000000004</v>
      </c>
    </row>
    <row r="5614" spans="1:10" ht="24" customHeight="1">
      <c r="A5614" s="672" t="s">
        <v>13467</v>
      </c>
      <c r="B5614" s="673" t="s">
        <v>13663</v>
      </c>
      <c r="C5614" s="672" t="s">
        <v>7</v>
      </c>
      <c r="D5614" s="672" t="s">
        <v>13662</v>
      </c>
      <c r="E5614" s="919" t="s">
        <v>13493</v>
      </c>
      <c r="F5614" s="919"/>
      <c r="G5614" s="671" t="s">
        <v>19</v>
      </c>
      <c r="H5614" s="670">
        <v>1</v>
      </c>
      <c r="I5614" s="669">
        <v>0.01</v>
      </c>
      <c r="J5614" s="669">
        <v>0.01</v>
      </c>
    </row>
    <row r="5615" spans="1:10" ht="24" customHeight="1">
      <c r="A5615" s="672" t="s">
        <v>13467</v>
      </c>
      <c r="B5615" s="673" t="s">
        <v>13714</v>
      </c>
      <c r="C5615" s="672" t="s">
        <v>7</v>
      </c>
      <c r="D5615" s="672" t="s">
        <v>13713</v>
      </c>
      <c r="E5615" s="919" t="s">
        <v>13548</v>
      </c>
      <c r="F5615" s="919"/>
      <c r="G5615" s="671" t="s">
        <v>19</v>
      </c>
      <c r="H5615" s="670">
        <v>1</v>
      </c>
      <c r="I5615" s="669">
        <v>11.23</v>
      </c>
      <c r="J5615" s="669">
        <v>11.23</v>
      </c>
    </row>
    <row r="5616" spans="1:10" ht="24" customHeight="1">
      <c r="A5616" s="672" t="s">
        <v>13467</v>
      </c>
      <c r="B5616" s="673" t="s">
        <v>13553</v>
      </c>
      <c r="C5616" s="672" t="s">
        <v>7</v>
      </c>
      <c r="D5616" s="672" t="s">
        <v>13552</v>
      </c>
      <c r="E5616" s="919" t="s">
        <v>13551</v>
      </c>
      <c r="F5616" s="919"/>
      <c r="G5616" s="671" t="s">
        <v>19</v>
      </c>
      <c r="H5616" s="670">
        <v>1</v>
      </c>
      <c r="I5616" s="669">
        <v>0.06</v>
      </c>
      <c r="J5616" s="669">
        <v>0.06</v>
      </c>
    </row>
    <row r="5617" spans="1:10" ht="24" customHeight="1">
      <c r="A5617" s="672" t="s">
        <v>13467</v>
      </c>
      <c r="B5617" s="673" t="s">
        <v>13547</v>
      </c>
      <c r="C5617" s="672" t="s">
        <v>7</v>
      </c>
      <c r="D5617" s="672" t="s">
        <v>13546</v>
      </c>
      <c r="E5617" s="919" t="s">
        <v>13545</v>
      </c>
      <c r="F5617" s="919"/>
      <c r="G5617" s="671" t="s">
        <v>19</v>
      </c>
      <c r="H5617" s="670">
        <v>1</v>
      </c>
      <c r="I5617" s="669">
        <v>0.71</v>
      </c>
      <c r="J5617" s="669">
        <v>0.71</v>
      </c>
    </row>
    <row r="5618" spans="1:10" ht="25.5">
      <c r="A5618" s="668"/>
      <c r="B5618" s="668"/>
      <c r="C5618" s="668"/>
      <c r="D5618" s="668"/>
      <c r="E5618" s="668" t="s">
        <v>13463</v>
      </c>
      <c r="F5618" s="667">
        <v>6.1230034</v>
      </c>
      <c r="G5618" s="668" t="s">
        <v>13462</v>
      </c>
      <c r="H5618" s="667">
        <v>5.15</v>
      </c>
      <c r="I5618" s="668" t="s">
        <v>13461</v>
      </c>
      <c r="J5618" s="667">
        <v>11.27</v>
      </c>
    </row>
    <row r="5619" spans="1:10" ht="15" thickBot="1">
      <c r="A5619" s="668"/>
      <c r="B5619" s="668"/>
      <c r="C5619" s="668"/>
      <c r="D5619" s="668"/>
      <c r="E5619" s="668" t="s">
        <v>13460</v>
      </c>
      <c r="F5619" s="667">
        <v>4</v>
      </c>
      <c r="G5619" s="668"/>
      <c r="H5619" s="925" t="s">
        <v>13459</v>
      </c>
      <c r="I5619" s="925"/>
      <c r="J5619" s="667">
        <v>18.190000000000001</v>
      </c>
    </row>
    <row r="5620" spans="1:10" ht="0.95" customHeight="1" thickTop="1">
      <c r="A5620" s="666"/>
      <c r="B5620" s="666"/>
      <c r="C5620" s="666"/>
      <c r="D5620" s="666"/>
      <c r="E5620" s="666"/>
      <c r="F5620" s="666"/>
      <c r="G5620" s="666"/>
      <c r="H5620" s="666"/>
      <c r="I5620" s="666"/>
      <c r="J5620" s="666"/>
    </row>
    <row r="5621" spans="1:10" ht="18" customHeight="1">
      <c r="A5621" s="686"/>
      <c r="B5621" s="684" t="s">
        <v>13484</v>
      </c>
      <c r="C5621" s="686" t="s">
        <v>13483</v>
      </c>
      <c r="D5621" s="686" t="s">
        <v>13482</v>
      </c>
      <c r="E5621" s="924" t="s">
        <v>13481</v>
      </c>
      <c r="F5621" s="924"/>
      <c r="G5621" s="685" t="s">
        <v>13480</v>
      </c>
      <c r="H5621" s="684" t="s">
        <v>13479</v>
      </c>
      <c r="I5621" s="684" t="s">
        <v>13478</v>
      </c>
      <c r="J5621" s="684" t="s">
        <v>13477</v>
      </c>
    </row>
    <row r="5622" spans="1:10" ht="24" customHeight="1">
      <c r="A5622" s="682" t="s">
        <v>13476</v>
      </c>
      <c r="B5622" s="683" t="s">
        <v>13712</v>
      </c>
      <c r="C5622" s="682" t="s">
        <v>7</v>
      </c>
      <c r="D5622" s="682" t="s">
        <v>151</v>
      </c>
      <c r="E5622" s="917" t="s">
        <v>13470</v>
      </c>
      <c r="F5622" s="917"/>
      <c r="G5622" s="681" t="s">
        <v>19</v>
      </c>
      <c r="H5622" s="680">
        <v>1</v>
      </c>
      <c r="I5622" s="679">
        <v>16.22</v>
      </c>
      <c r="J5622" s="679">
        <v>16.22</v>
      </c>
    </row>
    <row r="5623" spans="1:10" ht="24" customHeight="1">
      <c r="A5623" s="677" t="s">
        <v>13472</v>
      </c>
      <c r="B5623" s="678" t="s">
        <v>13711</v>
      </c>
      <c r="C5623" s="677" t="s">
        <v>7</v>
      </c>
      <c r="D5623" s="677" t="s">
        <v>2763</v>
      </c>
      <c r="E5623" s="918" t="s">
        <v>13470</v>
      </c>
      <c r="F5623" s="918"/>
      <c r="G5623" s="676" t="s">
        <v>19</v>
      </c>
      <c r="H5623" s="675">
        <v>1</v>
      </c>
      <c r="I5623" s="674">
        <v>0.15</v>
      </c>
      <c r="J5623" s="674">
        <v>0.15</v>
      </c>
    </row>
    <row r="5624" spans="1:10" ht="24" customHeight="1">
      <c r="A5624" s="672" t="s">
        <v>13467</v>
      </c>
      <c r="B5624" s="673" t="s">
        <v>13562</v>
      </c>
      <c r="C5624" s="672" t="s">
        <v>7</v>
      </c>
      <c r="D5624" s="672" t="s">
        <v>13561</v>
      </c>
      <c r="E5624" s="919" t="s">
        <v>13556</v>
      </c>
      <c r="F5624" s="919"/>
      <c r="G5624" s="671" t="s">
        <v>19</v>
      </c>
      <c r="H5624" s="670">
        <v>1</v>
      </c>
      <c r="I5624" s="669">
        <v>0.96</v>
      </c>
      <c r="J5624" s="669">
        <v>0.96</v>
      </c>
    </row>
    <row r="5625" spans="1:10" ht="24" customHeight="1">
      <c r="A5625" s="672" t="s">
        <v>13467</v>
      </c>
      <c r="B5625" s="673" t="s">
        <v>13665</v>
      </c>
      <c r="C5625" s="672" t="s">
        <v>7</v>
      </c>
      <c r="D5625" s="672" t="s">
        <v>13664</v>
      </c>
      <c r="E5625" s="919" t="s">
        <v>13493</v>
      </c>
      <c r="F5625" s="919"/>
      <c r="G5625" s="671" t="s">
        <v>19</v>
      </c>
      <c r="H5625" s="670">
        <v>1</v>
      </c>
      <c r="I5625" s="669">
        <v>0.63</v>
      </c>
      <c r="J5625" s="669">
        <v>0.63</v>
      </c>
    </row>
    <row r="5626" spans="1:10" ht="24" customHeight="1">
      <c r="A5626" s="672" t="s">
        <v>13467</v>
      </c>
      <c r="B5626" s="673" t="s">
        <v>13558</v>
      </c>
      <c r="C5626" s="672" t="s">
        <v>7</v>
      </c>
      <c r="D5626" s="672" t="s">
        <v>13557</v>
      </c>
      <c r="E5626" s="919" t="s">
        <v>13556</v>
      </c>
      <c r="F5626" s="919"/>
      <c r="G5626" s="671" t="s">
        <v>19</v>
      </c>
      <c r="H5626" s="670">
        <v>1</v>
      </c>
      <c r="I5626" s="669">
        <v>0.55000000000000004</v>
      </c>
      <c r="J5626" s="669">
        <v>0.55000000000000004</v>
      </c>
    </row>
    <row r="5627" spans="1:10" ht="24" customHeight="1">
      <c r="A5627" s="672" t="s">
        <v>13467</v>
      </c>
      <c r="B5627" s="673" t="s">
        <v>13663</v>
      </c>
      <c r="C5627" s="672" t="s">
        <v>7</v>
      </c>
      <c r="D5627" s="672" t="s">
        <v>13662</v>
      </c>
      <c r="E5627" s="919" t="s">
        <v>13493</v>
      </c>
      <c r="F5627" s="919"/>
      <c r="G5627" s="671" t="s">
        <v>19</v>
      </c>
      <c r="H5627" s="670">
        <v>1</v>
      </c>
      <c r="I5627" s="669">
        <v>0.01</v>
      </c>
      <c r="J5627" s="669">
        <v>0.01</v>
      </c>
    </row>
    <row r="5628" spans="1:10" ht="24" customHeight="1">
      <c r="A5628" s="672" t="s">
        <v>13467</v>
      </c>
      <c r="B5628" s="673" t="s">
        <v>13710</v>
      </c>
      <c r="C5628" s="672" t="s">
        <v>7</v>
      </c>
      <c r="D5628" s="672" t="s">
        <v>13709</v>
      </c>
      <c r="E5628" s="919" t="s">
        <v>13548</v>
      </c>
      <c r="F5628" s="919"/>
      <c r="G5628" s="671" t="s">
        <v>19</v>
      </c>
      <c r="H5628" s="670">
        <v>1</v>
      </c>
      <c r="I5628" s="669">
        <v>13.15</v>
      </c>
      <c r="J5628" s="669">
        <v>13.15</v>
      </c>
    </row>
    <row r="5629" spans="1:10" ht="24" customHeight="1">
      <c r="A5629" s="672" t="s">
        <v>13467</v>
      </c>
      <c r="B5629" s="673" t="s">
        <v>13553</v>
      </c>
      <c r="C5629" s="672" t="s">
        <v>7</v>
      </c>
      <c r="D5629" s="672" t="s">
        <v>13552</v>
      </c>
      <c r="E5629" s="919" t="s">
        <v>13551</v>
      </c>
      <c r="F5629" s="919"/>
      <c r="G5629" s="671" t="s">
        <v>19</v>
      </c>
      <c r="H5629" s="670">
        <v>1</v>
      </c>
      <c r="I5629" s="669">
        <v>0.06</v>
      </c>
      <c r="J5629" s="669">
        <v>0.06</v>
      </c>
    </row>
    <row r="5630" spans="1:10" ht="24" customHeight="1">
      <c r="A5630" s="672" t="s">
        <v>13467</v>
      </c>
      <c r="B5630" s="673" t="s">
        <v>13547</v>
      </c>
      <c r="C5630" s="672" t="s">
        <v>7</v>
      </c>
      <c r="D5630" s="672" t="s">
        <v>13546</v>
      </c>
      <c r="E5630" s="919" t="s">
        <v>13545</v>
      </c>
      <c r="F5630" s="919"/>
      <c r="G5630" s="671" t="s">
        <v>19</v>
      </c>
      <c r="H5630" s="670">
        <v>1</v>
      </c>
      <c r="I5630" s="669">
        <v>0.71</v>
      </c>
      <c r="J5630" s="669">
        <v>0.71</v>
      </c>
    </row>
    <row r="5631" spans="1:10" ht="25.5">
      <c r="A5631" s="668"/>
      <c r="B5631" s="668"/>
      <c r="C5631" s="668"/>
      <c r="D5631" s="668"/>
      <c r="E5631" s="668" t="s">
        <v>13463</v>
      </c>
      <c r="F5631" s="667">
        <v>7.2259045999999998</v>
      </c>
      <c r="G5631" s="668" t="s">
        <v>13462</v>
      </c>
      <c r="H5631" s="667">
        <v>6.07</v>
      </c>
      <c r="I5631" s="668" t="s">
        <v>13461</v>
      </c>
      <c r="J5631" s="667">
        <v>13.3</v>
      </c>
    </row>
    <row r="5632" spans="1:10" ht="15" thickBot="1">
      <c r="A5632" s="668"/>
      <c r="B5632" s="668"/>
      <c r="C5632" s="668"/>
      <c r="D5632" s="668"/>
      <c r="E5632" s="668" t="s">
        <v>13460</v>
      </c>
      <c r="F5632" s="667">
        <v>4.58</v>
      </c>
      <c r="G5632" s="668"/>
      <c r="H5632" s="925" t="s">
        <v>13459</v>
      </c>
      <c r="I5632" s="925"/>
      <c r="J5632" s="667">
        <v>20.8</v>
      </c>
    </row>
    <row r="5633" spans="1:10" ht="0.95" customHeight="1" thickTop="1">
      <c r="A5633" s="666"/>
      <c r="B5633" s="666"/>
      <c r="C5633" s="666"/>
      <c r="D5633" s="666"/>
      <c r="E5633" s="666"/>
      <c r="F5633" s="666"/>
      <c r="G5633" s="666"/>
      <c r="H5633" s="666"/>
      <c r="I5633" s="666"/>
      <c r="J5633" s="666"/>
    </row>
    <row r="5634" spans="1:10" ht="18" customHeight="1">
      <c r="A5634" s="686"/>
      <c r="B5634" s="684" t="s">
        <v>13484</v>
      </c>
      <c r="C5634" s="686" t="s">
        <v>13483</v>
      </c>
      <c r="D5634" s="686" t="s">
        <v>13482</v>
      </c>
      <c r="E5634" s="924" t="s">
        <v>13481</v>
      </c>
      <c r="F5634" s="924"/>
      <c r="G5634" s="685" t="s">
        <v>13480</v>
      </c>
      <c r="H5634" s="684" t="s">
        <v>13479</v>
      </c>
      <c r="I5634" s="684" t="s">
        <v>13478</v>
      </c>
      <c r="J5634" s="684" t="s">
        <v>13477</v>
      </c>
    </row>
    <row r="5635" spans="1:10" ht="36" customHeight="1">
      <c r="A5635" s="682" t="s">
        <v>13476</v>
      </c>
      <c r="B5635" s="683" t="s">
        <v>13708</v>
      </c>
      <c r="C5635" s="682" t="s">
        <v>7</v>
      </c>
      <c r="D5635" s="682" t="s">
        <v>2297</v>
      </c>
      <c r="E5635" s="917" t="s">
        <v>13491</v>
      </c>
      <c r="F5635" s="917"/>
      <c r="G5635" s="681" t="s">
        <v>53</v>
      </c>
      <c r="H5635" s="680">
        <v>1</v>
      </c>
      <c r="I5635" s="679">
        <v>3.97</v>
      </c>
      <c r="J5635" s="679">
        <v>3.97</v>
      </c>
    </row>
    <row r="5636" spans="1:10" ht="36" customHeight="1">
      <c r="A5636" s="677" t="s">
        <v>13472</v>
      </c>
      <c r="B5636" s="678" t="s">
        <v>13705</v>
      </c>
      <c r="C5636" s="677" t="s">
        <v>7</v>
      </c>
      <c r="D5636" s="677" t="s">
        <v>2293</v>
      </c>
      <c r="E5636" s="918" t="s">
        <v>13491</v>
      </c>
      <c r="F5636" s="918"/>
      <c r="G5636" s="676" t="s">
        <v>19</v>
      </c>
      <c r="H5636" s="675">
        <v>1</v>
      </c>
      <c r="I5636" s="674">
        <v>0.42</v>
      </c>
      <c r="J5636" s="674">
        <v>0.42</v>
      </c>
    </row>
    <row r="5637" spans="1:10" ht="36" customHeight="1">
      <c r="A5637" s="677" t="s">
        <v>13472</v>
      </c>
      <c r="B5637" s="678" t="s">
        <v>13706</v>
      </c>
      <c r="C5637" s="677" t="s">
        <v>7</v>
      </c>
      <c r="D5637" s="677" t="s">
        <v>2292</v>
      </c>
      <c r="E5637" s="918" t="s">
        <v>13491</v>
      </c>
      <c r="F5637" s="918"/>
      <c r="G5637" s="676" t="s">
        <v>19</v>
      </c>
      <c r="H5637" s="675">
        <v>1</v>
      </c>
      <c r="I5637" s="674">
        <v>3.55</v>
      </c>
      <c r="J5637" s="674">
        <v>3.55</v>
      </c>
    </row>
    <row r="5638" spans="1:10" ht="25.5">
      <c r="A5638" s="668"/>
      <c r="B5638" s="668"/>
      <c r="C5638" s="668"/>
      <c r="D5638" s="668"/>
      <c r="E5638" s="668" t="s">
        <v>13463</v>
      </c>
      <c r="F5638" s="667">
        <v>0</v>
      </c>
      <c r="G5638" s="668" t="s">
        <v>13462</v>
      </c>
      <c r="H5638" s="667">
        <v>0</v>
      </c>
      <c r="I5638" s="668" t="s">
        <v>13461</v>
      </c>
      <c r="J5638" s="667">
        <v>0</v>
      </c>
    </row>
    <row r="5639" spans="1:10" ht="15" thickBot="1">
      <c r="A5639" s="668"/>
      <c r="B5639" s="668"/>
      <c r="C5639" s="668"/>
      <c r="D5639" s="668"/>
      <c r="E5639" s="668" t="s">
        <v>13460</v>
      </c>
      <c r="F5639" s="667">
        <v>1.1200000000000001</v>
      </c>
      <c r="G5639" s="668"/>
      <c r="H5639" s="925" t="s">
        <v>13459</v>
      </c>
      <c r="I5639" s="925"/>
      <c r="J5639" s="667">
        <v>5.09</v>
      </c>
    </row>
    <row r="5640" spans="1:10" ht="0.95" customHeight="1" thickTop="1">
      <c r="A5640" s="666"/>
      <c r="B5640" s="666"/>
      <c r="C5640" s="666"/>
      <c r="D5640" s="666"/>
      <c r="E5640" s="666"/>
      <c r="F5640" s="666"/>
      <c r="G5640" s="666"/>
      <c r="H5640" s="666"/>
      <c r="I5640" s="666"/>
      <c r="J5640" s="666"/>
    </row>
    <row r="5641" spans="1:10" ht="18" customHeight="1">
      <c r="A5641" s="686"/>
      <c r="B5641" s="684" t="s">
        <v>13484</v>
      </c>
      <c r="C5641" s="686" t="s">
        <v>13483</v>
      </c>
      <c r="D5641" s="686" t="s">
        <v>13482</v>
      </c>
      <c r="E5641" s="924" t="s">
        <v>13481</v>
      </c>
      <c r="F5641" s="924"/>
      <c r="G5641" s="685" t="s">
        <v>13480</v>
      </c>
      <c r="H5641" s="684" t="s">
        <v>13479</v>
      </c>
      <c r="I5641" s="684" t="s">
        <v>13478</v>
      </c>
      <c r="J5641" s="684" t="s">
        <v>13477</v>
      </c>
    </row>
    <row r="5642" spans="1:10" ht="36" customHeight="1">
      <c r="A5642" s="682" t="s">
        <v>13476</v>
      </c>
      <c r="B5642" s="683" t="s">
        <v>13707</v>
      </c>
      <c r="C5642" s="682" t="s">
        <v>7</v>
      </c>
      <c r="D5642" s="682" t="s">
        <v>2296</v>
      </c>
      <c r="E5642" s="917" t="s">
        <v>13491</v>
      </c>
      <c r="F5642" s="917"/>
      <c r="G5642" s="681" t="s">
        <v>38</v>
      </c>
      <c r="H5642" s="680">
        <v>1</v>
      </c>
      <c r="I5642" s="679">
        <v>15.49</v>
      </c>
      <c r="J5642" s="679">
        <v>15.49</v>
      </c>
    </row>
    <row r="5643" spans="1:10" ht="36" customHeight="1">
      <c r="A5643" s="677" t="s">
        <v>13472</v>
      </c>
      <c r="B5643" s="678" t="s">
        <v>13701</v>
      </c>
      <c r="C5643" s="677" t="s">
        <v>7</v>
      </c>
      <c r="D5643" s="677" t="s">
        <v>2295</v>
      </c>
      <c r="E5643" s="918" t="s">
        <v>13491</v>
      </c>
      <c r="F5643" s="918"/>
      <c r="G5643" s="676" t="s">
        <v>19</v>
      </c>
      <c r="H5643" s="675">
        <v>1</v>
      </c>
      <c r="I5643" s="674">
        <v>7.64</v>
      </c>
      <c r="J5643" s="674">
        <v>7.64</v>
      </c>
    </row>
    <row r="5644" spans="1:10" ht="36" customHeight="1">
      <c r="A5644" s="677" t="s">
        <v>13472</v>
      </c>
      <c r="B5644" s="678" t="s">
        <v>13705</v>
      </c>
      <c r="C5644" s="677" t="s">
        <v>7</v>
      </c>
      <c r="D5644" s="677" t="s">
        <v>2293</v>
      </c>
      <c r="E5644" s="918" t="s">
        <v>13491</v>
      </c>
      <c r="F5644" s="918"/>
      <c r="G5644" s="676" t="s">
        <v>19</v>
      </c>
      <c r="H5644" s="675">
        <v>1</v>
      </c>
      <c r="I5644" s="674">
        <v>0.42</v>
      </c>
      <c r="J5644" s="674">
        <v>0.42</v>
      </c>
    </row>
    <row r="5645" spans="1:10" ht="36" customHeight="1">
      <c r="A5645" s="677" t="s">
        <v>13472</v>
      </c>
      <c r="B5645" s="678" t="s">
        <v>13706</v>
      </c>
      <c r="C5645" s="677" t="s">
        <v>7</v>
      </c>
      <c r="D5645" s="677" t="s">
        <v>2292</v>
      </c>
      <c r="E5645" s="918" t="s">
        <v>13491</v>
      </c>
      <c r="F5645" s="918"/>
      <c r="G5645" s="676" t="s">
        <v>19</v>
      </c>
      <c r="H5645" s="675">
        <v>1</v>
      </c>
      <c r="I5645" s="674">
        <v>3.55</v>
      </c>
      <c r="J5645" s="674">
        <v>3.55</v>
      </c>
    </row>
    <row r="5646" spans="1:10" ht="36" customHeight="1">
      <c r="A5646" s="677" t="s">
        <v>13472</v>
      </c>
      <c r="B5646" s="678" t="s">
        <v>13704</v>
      </c>
      <c r="C5646" s="677" t="s">
        <v>7</v>
      </c>
      <c r="D5646" s="677" t="s">
        <v>2294</v>
      </c>
      <c r="E5646" s="918" t="s">
        <v>13491</v>
      </c>
      <c r="F5646" s="918"/>
      <c r="G5646" s="676" t="s">
        <v>19</v>
      </c>
      <c r="H5646" s="675">
        <v>1</v>
      </c>
      <c r="I5646" s="674">
        <v>3.88</v>
      </c>
      <c r="J5646" s="674">
        <v>3.88</v>
      </c>
    </row>
    <row r="5647" spans="1:10" ht="25.5">
      <c r="A5647" s="668"/>
      <c r="B5647" s="668"/>
      <c r="C5647" s="668"/>
      <c r="D5647" s="668"/>
      <c r="E5647" s="668" t="s">
        <v>13463</v>
      </c>
      <c r="F5647" s="667">
        <v>0</v>
      </c>
      <c r="G5647" s="668" t="s">
        <v>13462</v>
      </c>
      <c r="H5647" s="667">
        <v>0</v>
      </c>
      <c r="I5647" s="668" t="s">
        <v>13461</v>
      </c>
      <c r="J5647" s="667">
        <v>0</v>
      </c>
    </row>
    <row r="5648" spans="1:10" ht="15" thickBot="1">
      <c r="A5648" s="668"/>
      <c r="B5648" s="668"/>
      <c r="C5648" s="668"/>
      <c r="D5648" s="668"/>
      <c r="E5648" s="668" t="s">
        <v>13460</v>
      </c>
      <c r="F5648" s="667">
        <v>4.37</v>
      </c>
      <c r="G5648" s="668"/>
      <c r="H5648" s="925" t="s">
        <v>13459</v>
      </c>
      <c r="I5648" s="925"/>
      <c r="J5648" s="667">
        <v>19.86</v>
      </c>
    </row>
    <row r="5649" spans="1:10" ht="0.95" customHeight="1" thickTop="1">
      <c r="A5649" s="666"/>
      <c r="B5649" s="666"/>
      <c r="C5649" s="666"/>
      <c r="D5649" s="666"/>
      <c r="E5649" s="666"/>
      <c r="F5649" s="666"/>
      <c r="G5649" s="666"/>
      <c r="H5649" s="666"/>
      <c r="I5649" s="666"/>
      <c r="J5649" s="666"/>
    </row>
    <row r="5650" spans="1:10" ht="18" customHeight="1">
      <c r="A5650" s="686"/>
      <c r="B5650" s="684" t="s">
        <v>13484</v>
      </c>
      <c r="C5650" s="686" t="s">
        <v>13483</v>
      </c>
      <c r="D5650" s="686" t="s">
        <v>13482</v>
      </c>
      <c r="E5650" s="924" t="s">
        <v>13481</v>
      </c>
      <c r="F5650" s="924"/>
      <c r="G5650" s="685" t="s">
        <v>13480</v>
      </c>
      <c r="H5650" s="684" t="s">
        <v>13479</v>
      </c>
      <c r="I5650" s="684" t="s">
        <v>13478</v>
      </c>
      <c r="J5650" s="684" t="s">
        <v>13477</v>
      </c>
    </row>
    <row r="5651" spans="1:10" ht="36" customHeight="1">
      <c r="A5651" s="682" t="s">
        <v>13476</v>
      </c>
      <c r="B5651" s="683" t="s">
        <v>13706</v>
      </c>
      <c r="C5651" s="682" t="s">
        <v>7</v>
      </c>
      <c r="D5651" s="682" t="s">
        <v>2292</v>
      </c>
      <c r="E5651" s="917" t="s">
        <v>13491</v>
      </c>
      <c r="F5651" s="917"/>
      <c r="G5651" s="681" t="s">
        <v>19</v>
      </c>
      <c r="H5651" s="680">
        <v>1</v>
      </c>
      <c r="I5651" s="679">
        <v>3.55</v>
      </c>
      <c r="J5651" s="679">
        <v>3.55</v>
      </c>
    </row>
    <row r="5652" spans="1:10" ht="24" customHeight="1">
      <c r="A5652" s="672" t="s">
        <v>13467</v>
      </c>
      <c r="B5652" s="673" t="s">
        <v>13703</v>
      </c>
      <c r="C5652" s="672" t="s">
        <v>7</v>
      </c>
      <c r="D5652" s="672" t="s">
        <v>13702</v>
      </c>
      <c r="E5652" s="919" t="s">
        <v>13464</v>
      </c>
      <c r="F5652" s="919"/>
      <c r="G5652" s="671" t="s">
        <v>34</v>
      </c>
      <c r="H5652" s="670">
        <v>6.3999999999999997E-5</v>
      </c>
      <c r="I5652" s="669">
        <v>55478.04</v>
      </c>
      <c r="J5652" s="669">
        <v>3.55</v>
      </c>
    </row>
    <row r="5653" spans="1:10" ht="25.5">
      <c r="A5653" s="668"/>
      <c r="B5653" s="668"/>
      <c r="C5653" s="668"/>
      <c r="D5653" s="668"/>
      <c r="E5653" s="668" t="s">
        <v>13463</v>
      </c>
      <c r="F5653" s="667">
        <v>0</v>
      </c>
      <c r="G5653" s="668" t="s">
        <v>13462</v>
      </c>
      <c r="H5653" s="667">
        <v>0</v>
      </c>
      <c r="I5653" s="668" t="s">
        <v>13461</v>
      </c>
      <c r="J5653" s="667">
        <v>0</v>
      </c>
    </row>
    <row r="5654" spans="1:10" ht="15" thickBot="1">
      <c r="A5654" s="668"/>
      <c r="B5654" s="668"/>
      <c r="C5654" s="668"/>
      <c r="D5654" s="668"/>
      <c r="E5654" s="668" t="s">
        <v>13460</v>
      </c>
      <c r="F5654" s="667">
        <v>1</v>
      </c>
      <c r="G5654" s="668"/>
      <c r="H5654" s="925" t="s">
        <v>13459</v>
      </c>
      <c r="I5654" s="925"/>
      <c r="J5654" s="667">
        <v>4.55</v>
      </c>
    </row>
    <row r="5655" spans="1:10" ht="0.95" customHeight="1" thickTop="1">
      <c r="A5655" s="666"/>
      <c r="B5655" s="666"/>
      <c r="C5655" s="666"/>
      <c r="D5655" s="666"/>
      <c r="E5655" s="666"/>
      <c r="F5655" s="666"/>
      <c r="G5655" s="666"/>
      <c r="H5655" s="666"/>
      <c r="I5655" s="666"/>
      <c r="J5655" s="666"/>
    </row>
    <row r="5656" spans="1:10" ht="18" customHeight="1">
      <c r="A5656" s="686"/>
      <c r="B5656" s="684" t="s">
        <v>13484</v>
      </c>
      <c r="C5656" s="686" t="s">
        <v>13483</v>
      </c>
      <c r="D5656" s="686" t="s">
        <v>13482</v>
      </c>
      <c r="E5656" s="924" t="s">
        <v>13481</v>
      </c>
      <c r="F5656" s="924"/>
      <c r="G5656" s="685" t="s">
        <v>13480</v>
      </c>
      <c r="H5656" s="684" t="s">
        <v>13479</v>
      </c>
      <c r="I5656" s="684" t="s">
        <v>13478</v>
      </c>
      <c r="J5656" s="684" t="s">
        <v>13477</v>
      </c>
    </row>
    <row r="5657" spans="1:10" ht="36" customHeight="1">
      <c r="A5657" s="682" t="s">
        <v>13476</v>
      </c>
      <c r="B5657" s="683" t="s">
        <v>13705</v>
      </c>
      <c r="C5657" s="682" t="s">
        <v>7</v>
      </c>
      <c r="D5657" s="682" t="s">
        <v>2293</v>
      </c>
      <c r="E5657" s="917" t="s">
        <v>13491</v>
      </c>
      <c r="F5657" s="917"/>
      <c r="G5657" s="681" t="s">
        <v>19</v>
      </c>
      <c r="H5657" s="680">
        <v>1</v>
      </c>
      <c r="I5657" s="679">
        <v>0.42</v>
      </c>
      <c r="J5657" s="679">
        <v>0.42</v>
      </c>
    </row>
    <row r="5658" spans="1:10" ht="24" customHeight="1">
      <c r="A5658" s="672" t="s">
        <v>13467</v>
      </c>
      <c r="B5658" s="673" t="s">
        <v>13703</v>
      </c>
      <c r="C5658" s="672" t="s">
        <v>7</v>
      </c>
      <c r="D5658" s="672" t="s">
        <v>13702</v>
      </c>
      <c r="E5658" s="919" t="s">
        <v>13464</v>
      </c>
      <c r="F5658" s="919"/>
      <c r="G5658" s="671" t="s">
        <v>34</v>
      </c>
      <c r="H5658" s="670">
        <v>7.6000000000000001E-6</v>
      </c>
      <c r="I5658" s="669">
        <v>55478.04</v>
      </c>
      <c r="J5658" s="669">
        <v>0.42</v>
      </c>
    </row>
    <row r="5659" spans="1:10" ht="25.5">
      <c r="A5659" s="668"/>
      <c r="B5659" s="668"/>
      <c r="C5659" s="668"/>
      <c r="D5659" s="668"/>
      <c r="E5659" s="668" t="s">
        <v>13463</v>
      </c>
      <c r="F5659" s="667">
        <v>0</v>
      </c>
      <c r="G5659" s="668" t="s">
        <v>13462</v>
      </c>
      <c r="H5659" s="667">
        <v>0</v>
      </c>
      <c r="I5659" s="668" t="s">
        <v>13461</v>
      </c>
      <c r="J5659" s="667">
        <v>0</v>
      </c>
    </row>
    <row r="5660" spans="1:10" ht="15" thickBot="1">
      <c r="A5660" s="668"/>
      <c r="B5660" s="668"/>
      <c r="C5660" s="668"/>
      <c r="D5660" s="668"/>
      <c r="E5660" s="668" t="s">
        <v>13460</v>
      </c>
      <c r="F5660" s="667">
        <v>0.11</v>
      </c>
      <c r="G5660" s="668"/>
      <c r="H5660" s="925" t="s">
        <v>13459</v>
      </c>
      <c r="I5660" s="925"/>
      <c r="J5660" s="667">
        <v>0.53</v>
      </c>
    </row>
    <row r="5661" spans="1:10" ht="0.95" customHeight="1" thickTop="1">
      <c r="A5661" s="666"/>
      <c r="B5661" s="666"/>
      <c r="C5661" s="666"/>
      <c r="D5661" s="666"/>
      <c r="E5661" s="666"/>
      <c r="F5661" s="666"/>
      <c r="G5661" s="666"/>
      <c r="H5661" s="666"/>
      <c r="I5661" s="666"/>
      <c r="J5661" s="666"/>
    </row>
    <row r="5662" spans="1:10" ht="18" customHeight="1">
      <c r="A5662" s="686"/>
      <c r="B5662" s="684" t="s">
        <v>13484</v>
      </c>
      <c r="C5662" s="686" t="s">
        <v>13483</v>
      </c>
      <c r="D5662" s="686" t="s">
        <v>13482</v>
      </c>
      <c r="E5662" s="924" t="s">
        <v>13481</v>
      </c>
      <c r="F5662" s="924"/>
      <c r="G5662" s="685" t="s">
        <v>13480</v>
      </c>
      <c r="H5662" s="684" t="s">
        <v>13479</v>
      </c>
      <c r="I5662" s="684" t="s">
        <v>13478</v>
      </c>
      <c r="J5662" s="684" t="s">
        <v>13477</v>
      </c>
    </row>
    <row r="5663" spans="1:10" ht="36" customHeight="1">
      <c r="A5663" s="682" t="s">
        <v>13476</v>
      </c>
      <c r="B5663" s="683" t="s">
        <v>13704</v>
      </c>
      <c r="C5663" s="682" t="s">
        <v>7</v>
      </c>
      <c r="D5663" s="682" t="s">
        <v>2294</v>
      </c>
      <c r="E5663" s="917" t="s">
        <v>13491</v>
      </c>
      <c r="F5663" s="917"/>
      <c r="G5663" s="681" t="s">
        <v>19</v>
      </c>
      <c r="H5663" s="680">
        <v>1</v>
      </c>
      <c r="I5663" s="679">
        <v>3.88</v>
      </c>
      <c r="J5663" s="679">
        <v>3.88</v>
      </c>
    </row>
    <row r="5664" spans="1:10" ht="24" customHeight="1">
      <c r="A5664" s="672" t="s">
        <v>13467</v>
      </c>
      <c r="B5664" s="673" t="s">
        <v>13703</v>
      </c>
      <c r="C5664" s="672" t="s">
        <v>7</v>
      </c>
      <c r="D5664" s="672" t="s">
        <v>13702</v>
      </c>
      <c r="E5664" s="919" t="s">
        <v>13464</v>
      </c>
      <c r="F5664" s="919"/>
      <c r="G5664" s="671" t="s">
        <v>34</v>
      </c>
      <c r="H5664" s="670">
        <v>6.9999999999999994E-5</v>
      </c>
      <c r="I5664" s="669">
        <v>55478.04</v>
      </c>
      <c r="J5664" s="669">
        <v>3.88</v>
      </c>
    </row>
    <row r="5665" spans="1:10" ht="25.5">
      <c r="A5665" s="668"/>
      <c r="B5665" s="668"/>
      <c r="C5665" s="668"/>
      <c r="D5665" s="668"/>
      <c r="E5665" s="668" t="s">
        <v>13463</v>
      </c>
      <c r="F5665" s="667">
        <v>0</v>
      </c>
      <c r="G5665" s="668" t="s">
        <v>13462</v>
      </c>
      <c r="H5665" s="667">
        <v>0</v>
      </c>
      <c r="I5665" s="668" t="s">
        <v>13461</v>
      </c>
      <c r="J5665" s="667">
        <v>0</v>
      </c>
    </row>
    <row r="5666" spans="1:10" ht="15" thickBot="1">
      <c r="A5666" s="668"/>
      <c r="B5666" s="668"/>
      <c r="C5666" s="668"/>
      <c r="D5666" s="668"/>
      <c r="E5666" s="668" t="s">
        <v>13460</v>
      </c>
      <c r="F5666" s="667">
        <v>1.0900000000000001</v>
      </c>
      <c r="G5666" s="668"/>
      <c r="H5666" s="925" t="s">
        <v>13459</v>
      </c>
      <c r="I5666" s="925"/>
      <c r="J5666" s="667">
        <v>4.97</v>
      </c>
    </row>
    <row r="5667" spans="1:10" ht="0.95" customHeight="1" thickTop="1">
      <c r="A5667" s="666"/>
      <c r="B5667" s="666"/>
      <c r="C5667" s="666"/>
      <c r="D5667" s="666"/>
      <c r="E5667" s="666"/>
      <c r="F5667" s="666"/>
      <c r="G5667" s="666"/>
      <c r="H5667" s="666"/>
      <c r="I5667" s="666"/>
      <c r="J5667" s="666"/>
    </row>
    <row r="5668" spans="1:10" ht="18" customHeight="1">
      <c r="A5668" s="686"/>
      <c r="B5668" s="684" t="s">
        <v>13484</v>
      </c>
      <c r="C5668" s="686" t="s">
        <v>13483</v>
      </c>
      <c r="D5668" s="686" t="s">
        <v>13482</v>
      </c>
      <c r="E5668" s="924" t="s">
        <v>13481</v>
      </c>
      <c r="F5668" s="924"/>
      <c r="G5668" s="685" t="s">
        <v>13480</v>
      </c>
      <c r="H5668" s="684" t="s">
        <v>13479</v>
      </c>
      <c r="I5668" s="684" t="s">
        <v>13478</v>
      </c>
      <c r="J5668" s="684" t="s">
        <v>13477</v>
      </c>
    </row>
    <row r="5669" spans="1:10" ht="36" customHeight="1">
      <c r="A5669" s="682" t="s">
        <v>13476</v>
      </c>
      <c r="B5669" s="683" t="s">
        <v>13701</v>
      </c>
      <c r="C5669" s="682" t="s">
        <v>7</v>
      </c>
      <c r="D5669" s="682" t="s">
        <v>2295</v>
      </c>
      <c r="E5669" s="917" t="s">
        <v>13491</v>
      </c>
      <c r="F5669" s="917"/>
      <c r="G5669" s="681" t="s">
        <v>19</v>
      </c>
      <c r="H5669" s="680">
        <v>1</v>
      </c>
      <c r="I5669" s="679">
        <v>7.64</v>
      </c>
      <c r="J5669" s="679">
        <v>7.64</v>
      </c>
    </row>
    <row r="5670" spans="1:10" ht="24" customHeight="1">
      <c r="A5670" s="672" t="s">
        <v>13467</v>
      </c>
      <c r="B5670" s="673" t="s">
        <v>13580</v>
      </c>
      <c r="C5670" s="672" t="s">
        <v>7</v>
      </c>
      <c r="D5670" s="672" t="s">
        <v>13579</v>
      </c>
      <c r="E5670" s="919" t="s">
        <v>13464</v>
      </c>
      <c r="F5670" s="919"/>
      <c r="G5670" s="671" t="s">
        <v>50</v>
      </c>
      <c r="H5670" s="670">
        <v>1.55</v>
      </c>
      <c r="I5670" s="669">
        <v>4.93</v>
      </c>
      <c r="J5670" s="669">
        <v>7.64</v>
      </c>
    </row>
    <row r="5671" spans="1:10" ht="25.5">
      <c r="A5671" s="668"/>
      <c r="B5671" s="668"/>
      <c r="C5671" s="668"/>
      <c r="D5671" s="668"/>
      <c r="E5671" s="668" t="s">
        <v>13463</v>
      </c>
      <c r="F5671" s="667">
        <v>0</v>
      </c>
      <c r="G5671" s="668" t="s">
        <v>13462</v>
      </c>
      <c r="H5671" s="667">
        <v>0</v>
      </c>
      <c r="I5671" s="668" t="s">
        <v>13461</v>
      </c>
      <c r="J5671" s="667">
        <v>0</v>
      </c>
    </row>
    <row r="5672" spans="1:10" ht="15" thickBot="1">
      <c r="A5672" s="668"/>
      <c r="B5672" s="668"/>
      <c r="C5672" s="668"/>
      <c r="D5672" s="668"/>
      <c r="E5672" s="668" t="s">
        <v>13460</v>
      </c>
      <c r="F5672" s="667">
        <v>2.15</v>
      </c>
      <c r="G5672" s="668"/>
      <c r="H5672" s="925" t="s">
        <v>13459</v>
      </c>
      <c r="I5672" s="925"/>
      <c r="J5672" s="667">
        <v>9.7899999999999991</v>
      </c>
    </row>
    <row r="5673" spans="1:10" ht="0.95" customHeight="1" thickTop="1">
      <c r="A5673" s="666"/>
      <c r="B5673" s="666"/>
      <c r="C5673" s="666"/>
      <c r="D5673" s="666"/>
      <c r="E5673" s="666"/>
      <c r="F5673" s="666"/>
      <c r="G5673" s="666"/>
      <c r="H5673" s="666"/>
      <c r="I5673" s="666"/>
      <c r="J5673" s="666"/>
    </row>
    <row r="5674" spans="1:10" ht="18" customHeight="1">
      <c r="A5674" s="686"/>
      <c r="B5674" s="684" t="s">
        <v>13484</v>
      </c>
      <c r="C5674" s="686" t="s">
        <v>13483</v>
      </c>
      <c r="D5674" s="686" t="s">
        <v>13482</v>
      </c>
      <c r="E5674" s="924" t="s">
        <v>13481</v>
      </c>
      <c r="F5674" s="924"/>
      <c r="G5674" s="685" t="s">
        <v>13480</v>
      </c>
      <c r="H5674" s="684" t="s">
        <v>13479</v>
      </c>
      <c r="I5674" s="684" t="s">
        <v>13478</v>
      </c>
      <c r="J5674" s="684" t="s">
        <v>13477</v>
      </c>
    </row>
    <row r="5675" spans="1:10" ht="60" customHeight="1">
      <c r="A5675" s="682" t="s">
        <v>13476</v>
      </c>
      <c r="B5675" s="683" t="s">
        <v>13700</v>
      </c>
      <c r="C5675" s="682" t="s">
        <v>7</v>
      </c>
      <c r="D5675" s="682" t="s">
        <v>4494</v>
      </c>
      <c r="E5675" s="917" t="s">
        <v>13491</v>
      </c>
      <c r="F5675" s="917"/>
      <c r="G5675" s="681" t="s">
        <v>53</v>
      </c>
      <c r="H5675" s="680">
        <v>1</v>
      </c>
      <c r="I5675" s="679">
        <v>22.4</v>
      </c>
      <c r="J5675" s="679">
        <v>22.4</v>
      </c>
    </row>
    <row r="5676" spans="1:10" ht="60" customHeight="1">
      <c r="A5676" s="677" t="s">
        <v>13472</v>
      </c>
      <c r="B5676" s="678" t="s">
        <v>13697</v>
      </c>
      <c r="C5676" s="677" t="s">
        <v>7</v>
      </c>
      <c r="D5676" s="677" t="s">
        <v>4498</v>
      </c>
      <c r="E5676" s="918" t="s">
        <v>13491</v>
      </c>
      <c r="F5676" s="918"/>
      <c r="G5676" s="676" t="s">
        <v>19</v>
      </c>
      <c r="H5676" s="675">
        <v>1</v>
      </c>
      <c r="I5676" s="674">
        <v>0.65</v>
      </c>
      <c r="J5676" s="674">
        <v>0.65</v>
      </c>
    </row>
    <row r="5677" spans="1:10" ht="60" customHeight="1">
      <c r="A5677" s="677" t="s">
        <v>13472</v>
      </c>
      <c r="B5677" s="678" t="s">
        <v>13698</v>
      </c>
      <c r="C5677" s="677" t="s">
        <v>7</v>
      </c>
      <c r="D5677" s="677" t="s">
        <v>4497</v>
      </c>
      <c r="E5677" s="918" t="s">
        <v>13491</v>
      </c>
      <c r="F5677" s="918"/>
      <c r="G5677" s="676" t="s">
        <v>19</v>
      </c>
      <c r="H5677" s="675">
        <v>1</v>
      </c>
      <c r="I5677" s="674">
        <v>6.5</v>
      </c>
      <c r="J5677" s="674">
        <v>6.5</v>
      </c>
    </row>
    <row r="5678" spans="1:10" ht="24" customHeight="1">
      <c r="A5678" s="677" t="s">
        <v>13472</v>
      </c>
      <c r="B5678" s="678" t="s">
        <v>13667</v>
      </c>
      <c r="C5678" s="677" t="s">
        <v>7</v>
      </c>
      <c r="D5678" s="677" t="s">
        <v>166</v>
      </c>
      <c r="E5678" s="918" t="s">
        <v>13470</v>
      </c>
      <c r="F5678" s="918"/>
      <c r="G5678" s="676" t="s">
        <v>19</v>
      </c>
      <c r="H5678" s="675">
        <v>1</v>
      </c>
      <c r="I5678" s="674">
        <v>15.25</v>
      </c>
      <c r="J5678" s="674">
        <v>15.25</v>
      </c>
    </row>
    <row r="5679" spans="1:10" ht="25.5">
      <c r="A5679" s="668"/>
      <c r="B5679" s="668"/>
      <c r="C5679" s="668"/>
      <c r="D5679" s="668"/>
      <c r="E5679" s="668" t="s">
        <v>13463</v>
      </c>
      <c r="F5679" s="667">
        <v>6.6989025</v>
      </c>
      <c r="G5679" s="668" t="s">
        <v>13462</v>
      </c>
      <c r="H5679" s="667">
        <v>5.63</v>
      </c>
      <c r="I5679" s="668" t="s">
        <v>13461</v>
      </c>
      <c r="J5679" s="667">
        <v>12.33</v>
      </c>
    </row>
    <row r="5680" spans="1:10" ht="15" thickBot="1">
      <c r="A5680" s="668"/>
      <c r="B5680" s="668"/>
      <c r="C5680" s="668"/>
      <c r="D5680" s="668"/>
      <c r="E5680" s="668" t="s">
        <v>13460</v>
      </c>
      <c r="F5680" s="667">
        <v>6.32</v>
      </c>
      <c r="G5680" s="668"/>
      <c r="H5680" s="925" t="s">
        <v>13459</v>
      </c>
      <c r="I5680" s="925"/>
      <c r="J5680" s="667">
        <v>28.72</v>
      </c>
    </row>
    <row r="5681" spans="1:10" ht="0.95" customHeight="1" thickTop="1">
      <c r="A5681" s="666"/>
      <c r="B5681" s="666"/>
      <c r="C5681" s="666"/>
      <c r="D5681" s="666"/>
      <c r="E5681" s="666"/>
      <c r="F5681" s="666"/>
      <c r="G5681" s="666"/>
      <c r="H5681" s="666"/>
      <c r="I5681" s="666"/>
      <c r="J5681" s="666"/>
    </row>
    <row r="5682" spans="1:10" ht="18" customHeight="1">
      <c r="A5682" s="686"/>
      <c r="B5682" s="684" t="s">
        <v>13484</v>
      </c>
      <c r="C5682" s="686" t="s">
        <v>13483</v>
      </c>
      <c r="D5682" s="686" t="s">
        <v>13482</v>
      </c>
      <c r="E5682" s="924" t="s">
        <v>13481</v>
      </c>
      <c r="F5682" s="924"/>
      <c r="G5682" s="685" t="s">
        <v>13480</v>
      </c>
      <c r="H5682" s="684" t="s">
        <v>13479</v>
      </c>
      <c r="I5682" s="684" t="s">
        <v>13478</v>
      </c>
      <c r="J5682" s="684" t="s">
        <v>13477</v>
      </c>
    </row>
    <row r="5683" spans="1:10" ht="60" customHeight="1">
      <c r="A5683" s="682" t="s">
        <v>13476</v>
      </c>
      <c r="B5683" s="683" t="s">
        <v>13699</v>
      </c>
      <c r="C5683" s="682" t="s">
        <v>7</v>
      </c>
      <c r="D5683" s="682" t="s">
        <v>4491</v>
      </c>
      <c r="E5683" s="917" t="s">
        <v>13491</v>
      </c>
      <c r="F5683" s="917"/>
      <c r="G5683" s="681" t="s">
        <v>38</v>
      </c>
      <c r="H5683" s="680">
        <v>1</v>
      </c>
      <c r="I5683" s="679">
        <v>69.37</v>
      </c>
      <c r="J5683" s="679">
        <v>69.37</v>
      </c>
    </row>
    <row r="5684" spans="1:10" ht="60" customHeight="1">
      <c r="A5684" s="677" t="s">
        <v>13472</v>
      </c>
      <c r="B5684" s="678" t="s">
        <v>13691</v>
      </c>
      <c r="C5684" s="677" t="s">
        <v>7</v>
      </c>
      <c r="D5684" s="677" t="s">
        <v>4500</v>
      </c>
      <c r="E5684" s="918" t="s">
        <v>13491</v>
      </c>
      <c r="F5684" s="918"/>
      <c r="G5684" s="676" t="s">
        <v>19</v>
      </c>
      <c r="H5684" s="675">
        <v>1</v>
      </c>
      <c r="I5684" s="674">
        <v>38.840000000000003</v>
      </c>
      <c r="J5684" s="674">
        <v>38.840000000000003</v>
      </c>
    </row>
    <row r="5685" spans="1:10" ht="60" customHeight="1">
      <c r="A5685" s="677" t="s">
        <v>13472</v>
      </c>
      <c r="B5685" s="678" t="s">
        <v>13697</v>
      </c>
      <c r="C5685" s="677" t="s">
        <v>7</v>
      </c>
      <c r="D5685" s="677" t="s">
        <v>4498</v>
      </c>
      <c r="E5685" s="918" t="s">
        <v>13491</v>
      </c>
      <c r="F5685" s="918"/>
      <c r="G5685" s="676" t="s">
        <v>19</v>
      </c>
      <c r="H5685" s="675">
        <v>1</v>
      </c>
      <c r="I5685" s="674">
        <v>0.65</v>
      </c>
      <c r="J5685" s="674">
        <v>0.65</v>
      </c>
    </row>
    <row r="5686" spans="1:10" ht="60" customHeight="1">
      <c r="A5686" s="677" t="s">
        <v>13472</v>
      </c>
      <c r="B5686" s="678" t="s">
        <v>13696</v>
      </c>
      <c r="C5686" s="677" t="s">
        <v>7</v>
      </c>
      <c r="D5686" s="677" t="s">
        <v>4499</v>
      </c>
      <c r="E5686" s="918" t="s">
        <v>13491</v>
      </c>
      <c r="F5686" s="918"/>
      <c r="G5686" s="676" t="s">
        <v>19</v>
      </c>
      <c r="H5686" s="675">
        <v>1</v>
      </c>
      <c r="I5686" s="674">
        <v>8.1300000000000008</v>
      </c>
      <c r="J5686" s="674">
        <v>8.1300000000000008</v>
      </c>
    </row>
    <row r="5687" spans="1:10" ht="60" customHeight="1">
      <c r="A5687" s="677" t="s">
        <v>13472</v>
      </c>
      <c r="B5687" s="678" t="s">
        <v>13698</v>
      </c>
      <c r="C5687" s="677" t="s">
        <v>7</v>
      </c>
      <c r="D5687" s="677" t="s">
        <v>4497</v>
      </c>
      <c r="E5687" s="918" t="s">
        <v>13491</v>
      </c>
      <c r="F5687" s="918"/>
      <c r="G5687" s="676" t="s">
        <v>19</v>
      </c>
      <c r="H5687" s="675">
        <v>1</v>
      </c>
      <c r="I5687" s="674">
        <v>6.5</v>
      </c>
      <c r="J5687" s="674">
        <v>6.5</v>
      </c>
    </row>
    <row r="5688" spans="1:10" ht="24" customHeight="1">
      <c r="A5688" s="677" t="s">
        <v>13472</v>
      </c>
      <c r="B5688" s="678" t="s">
        <v>13667</v>
      </c>
      <c r="C5688" s="677" t="s">
        <v>7</v>
      </c>
      <c r="D5688" s="677" t="s">
        <v>166</v>
      </c>
      <c r="E5688" s="918" t="s">
        <v>13470</v>
      </c>
      <c r="F5688" s="918"/>
      <c r="G5688" s="676" t="s">
        <v>19</v>
      </c>
      <c r="H5688" s="675">
        <v>1</v>
      </c>
      <c r="I5688" s="674">
        <v>15.25</v>
      </c>
      <c r="J5688" s="674">
        <v>15.25</v>
      </c>
    </row>
    <row r="5689" spans="1:10" ht="25.5">
      <c r="A5689" s="668"/>
      <c r="B5689" s="668"/>
      <c r="C5689" s="668"/>
      <c r="D5689" s="668"/>
      <c r="E5689" s="668" t="s">
        <v>13463</v>
      </c>
      <c r="F5689" s="667">
        <v>6.6989025</v>
      </c>
      <c r="G5689" s="668" t="s">
        <v>13462</v>
      </c>
      <c r="H5689" s="667">
        <v>5.63</v>
      </c>
      <c r="I5689" s="668" t="s">
        <v>13461</v>
      </c>
      <c r="J5689" s="667">
        <v>12.33</v>
      </c>
    </row>
    <row r="5690" spans="1:10" ht="15" thickBot="1">
      <c r="A5690" s="668"/>
      <c r="B5690" s="668"/>
      <c r="C5690" s="668"/>
      <c r="D5690" s="668"/>
      <c r="E5690" s="668" t="s">
        <v>13460</v>
      </c>
      <c r="F5690" s="667">
        <v>19.59</v>
      </c>
      <c r="G5690" s="668"/>
      <c r="H5690" s="925" t="s">
        <v>13459</v>
      </c>
      <c r="I5690" s="925"/>
      <c r="J5690" s="667">
        <v>88.96</v>
      </c>
    </row>
    <row r="5691" spans="1:10" ht="0.95" customHeight="1" thickTop="1">
      <c r="A5691" s="666"/>
      <c r="B5691" s="666"/>
      <c r="C5691" s="666"/>
      <c r="D5691" s="666"/>
      <c r="E5691" s="666"/>
      <c r="F5691" s="666"/>
      <c r="G5691" s="666"/>
      <c r="H5691" s="666"/>
      <c r="I5691" s="666"/>
      <c r="J5691" s="666"/>
    </row>
    <row r="5692" spans="1:10" ht="18" customHeight="1">
      <c r="A5692" s="686"/>
      <c r="B5692" s="684" t="s">
        <v>13484</v>
      </c>
      <c r="C5692" s="686" t="s">
        <v>13483</v>
      </c>
      <c r="D5692" s="686" t="s">
        <v>13482</v>
      </c>
      <c r="E5692" s="924" t="s">
        <v>13481</v>
      </c>
      <c r="F5692" s="924"/>
      <c r="G5692" s="685" t="s">
        <v>13480</v>
      </c>
      <c r="H5692" s="684" t="s">
        <v>13479</v>
      </c>
      <c r="I5692" s="684" t="s">
        <v>13478</v>
      </c>
      <c r="J5692" s="684" t="s">
        <v>13477</v>
      </c>
    </row>
    <row r="5693" spans="1:10" ht="60" customHeight="1">
      <c r="A5693" s="682" t="s">
        <v>13476</v>
      </c>
      <c r="B5693" s="683" t="s">
        <v>13698</v>
      </c>
      <c r="C5693" s="682" t="s">
        <v>7</v>
      </c>
      <c r="D5693" s="682" t="s">
        <v>4497</v>
      </c>
      <c r="E5693" s="917" t="s">
        <v>13491</v>
      </c>
      <c r="F5693" s="917"/>
      <c r="G5693" s="681" t="s">
        <v>19</v>
      </c>
      <c r="H5693" s="680">
        <v>1</v>
      </c>
      <c r="I5693" s="679">
        <v>6.5</v>
      </c>
      <c r="J5693" s="679">
        <v>6.5</v>
      </c>
    </row>
    <row r="5694" spans="1:10" ht="36" customHeight="1">
      <c r="A5694" s="672" t="s">
        <v>13467</v>
      </c>
      <c r="B5694" s="673" t="s">
        <v>13695</v>
      </c>
      <c r="C5694" s="672" t="s">
        <v>7</v>
      </c>
      <c r="D5694" s="672" t="s">
        <v>13694</v>
      </c>
      <c r="E5694" s="919" t="s">
        <v>13464</v>
      </c>
      <c r="F5694" s="919"/>
      <c r="G5694" s="671" t="s">
        <v>34</v>
      </c>
      <c r="H5694" s="670">
        <v>7.2000000000000002E-5</v>
      </c>
      <c r="I5694" s="669">
        <v>64825.82</v>
      </c>
      <c r="J5694" s="669">
        <v>4.66</v>
      </c>
    </row>
    <row r="5695" spans="1:10" ht="72" customHeight="1">
      <c r="A5695" s="672" t="s">
        <v>13467</v>
      </c>
      <c r="B5695" s="673" t="s">
        <v>13693</v>
      </c>
      <c r="C5695" s="672" t="s">
        <v>7</v>
      </c>
      <c r="D5695" s="672" t="s">
        <v>13692</v>
      </c>
      <c r="E5695" s="919" t="s">
        <v>13493</v>
      </c>
      <c r="F5695" s="919"/>
      <c r="G5695" s="671" t="s">
        <v>34</v>
      </c>
      <c r="H5695" s="670">
        <v>7.2000000000000002E-5</v>
      </c>
      <c r="I5695" s="669">
        <v>25604.76</v>
      </c>
      <c r="J5695" s="669">
        <v>1.84</v>
      </c>
    </row>
    <row r="5696" spans="1:10" ht="25.5">
      <c r="A5696" s="668"/>
      <c r="B5696" s="668"/>
      <c r="C5696" s="668"/>
      <c r="D5696" s="668"/>
      <c r="E5696" s="668" t="s">
        <v>13463</v>
      </c>
      <c r="F5696" s="667">
        <v>0</v>
      </c>
      <c r="G5696" s="668" t="s">
        <v>13462</v>
      </c>
      <c r="H5696" s="667">
        <v>0</v>
      </c>
      <c r="I5696" s="668" t="s">
        <v>13461</v>
      </c>
      <c r="J5696" s="667">
        <v>0</v>
      </c>
    </row>
    <row r="5697" spans="1:10" ht="15" thickBot="1">
      <c r="A5697" s="668"/>
      <c r="B5697" s="668"/>
      <c r="C5697" s="668"/>
      <c r="D5697" s="668"/>
      <c r="E5697" s="668" t="s">
        <v>13460</v>
      </c>
      <c r="F5697" s="667">
        <v>1.83</v>
      </c>
      <c r="G5697" s="668"/>
      <c r="H5697" s="925" t="s">
        <v>13459</v>
      </c>
      <c r="I5697" s="925"/>
      <c r="J5697" s="667">
        <v>8.33</v>
      </c>
    </row>
    <row r="5698" spans="1:10" ht="0.95" customHeight="1" thickTop="1">
      <c r="A5698" s="666"/>
      <c r="B5698" s="666"/>
      <c r="C5698" s="666"/>
      <c r="D5698" s="666"/>
      <c r="E5698" s="666"/>
      <c r="F5698" s="666"/>
      <c r="G5698" s="666"/>
      <c r="H5698" s="666"/>
      <c r="I5698" s="666"/>
      <c r="J5698" s="666"/>
    </row>
    <row r="5699" spans="1:10" ht="18" customHeight="1">
      <c r="A5699" s="686"/>
      <c r="B5699" s="684" t="s">
        <v>13484</v>
      </c>
      <c r="C5699" s="686" t="s">
        <v>13483</v>
      </c>
      <c r="D5699" s="686" t="s">
        <v>13482</v>
      </c>
      <c r="E5699" s="924" t="s">
        <v>13481</v>
      </c>
      <c r="F5699" s="924"/>
      <c r="G5699" s="685" t="s">
        <v>13480</v>
      </c>
      <c r="H5699" s="684" t="s">
        <v>13479</v>
      </c>
      <c r="I5699" s="684" t="s">
        <v>13478</v>
      </c>
      <c r="J5699" s="684" t="s">
        <v>13477</v>
      </c>
    </row>
    <row r="5700" spans="1:10" ht="60" customHeight="1">
      <c r="A5700" s="682" t="s">
        <v>13476</v>
      </c>
      <c r="B5700" s="683" t="s">
        <v>13697</v>
      </c>
      <c r="C5700" s="682" t="s">
        <v>7</v>
      </c>
      <c r="D5700" s="682" t="s">
        <v>4498</v>
      </c>
      <c r="E5700" s="917" t="s">
        <v>13491</v>
      </c>
      <c r="F5700" s="917"/>
      <c r="G5700" s="681" t="s">
        <v>19</v>
      </c>
      <c r="H5700" s="680">
        <v>1</v>
      </c>
      <c r="I5700" s="679">
        <v>0.65</v>
      </c>
      <c r="J5700" s="679">
        <v>0.65</v>
      </c>
    </row>
    <row r="5701" spans="1:10" ht="36" customHeight="1">
      <c r="A5701" s="672" t="s">
        <v>13467</v>
      </c>
      <c r="B5701" s="673" t="s">
        <v>13695</v>
      </c>
      <c r="C5701" s="672" t="s">
        <v>7</v>
      </c>
      <c r="D5701" s="672" t="s">
        <v>13694</v>
      </c>
      <c r="E5701" s="919" t="s">
        <v>13464</v>
      </c>
      <c r="F5701" s="919"/>
      <c r="G5701" s="671" t="s">
        <v>34</v>
      </c>
      <c r="H5701" s="670">
        <v>7.4000000000000003E-6</v>
      </c>
      <c r="I5701" s="669">
        <v>64825.82</v>
      </c>
      <c r="J5701" s="669">
        <v>0.47</v>
      </c>
    </row>
    <row r="5702" spans="1:10" ht="72" customHeight="1">
      <c r="A5702" s="672" t="s">
        <v>13467</v>
      </c>
      <c r="B5702" s="673" t="s">
        <v>13693</v>
      </c>
      <c r="C5702" s="672" t="s">
        <v>7</v>
      </c>
      <c r="D5702" s="672" t="s">
        <v>13692</v>
      </c>
      <c r="E5702" s="919" t="s">
        <v>13493</v>
      </c>
      <c r="F5702" s="919"/>
      <c r="G5702" s="671" t="s">
        <v>34</v>
      </c>
      <c r="H5702" s="670">
        <v>7.4000000000000003E-6</v>
      </c>
      <c r="I5702" s="669">
        <v>25604.76</v>
      </c>
      <c r="J5702" s="669">
        <v>0.18</v>
      </c>
    </row>
    <row r="5703" spans="1:10" ht="25.5">
      <c r="A5703" s="668"/>
      <c r="B5703" s="668"/>
      <c r="C5703" s="668"/>
      <c r="D5703" s="668"/>
      <c r="E5703" s="668" t="s">
        <v>13463</v>
      </c>
      <c r="F5703" s="667">
        <v>0</v>
      </c>
      <c r="G5703" s="668" t="s">
        <v>13462</v>
      </c>
      <c r="H5703" s="667">
        <v>0</v>
      </c>
      <c r="I5703" s="668" t="s">
        <v>13461</v>
      </c>
      <c r="J5703" s="667">
        <v>0</v>
      </c>
    </row>
    <row r="5704" spans="1:10" ht="15" thickBot="1">
      <c r="A5704" s="668"/>
      <c r="B5704" s="668"/>
      <c r="C5704" s="668"/>
      <c r="D5704" s="668"/>
      <c r="E5704" s="668" t="s">
        <v>13460</v>
      </c>
      <c r="F5704" s="667">
        <v>0.18</v>
      </c>
      <c r="G5704" s="668"/>
      <c r="H5704" s="925" t="s">
        <v>13459</v>
      </c>
      <c r="I5704" s="925"/>
      <c r="J5704" s="667">
        <v>0.83</v>
      </c>
    </row>
    <row r="5705" spans="1:10" ht="0.95" customHeight="1" thickTop="1">
      <c r="A5705" s="666"/>
      <c r="B5705" s="666"/>
      <c r="C5705" s="666"/>
      <c r="D5705" s="666"/>
      <c r="E5705" s="666"/>
      <c r="F5705" s="666"/>
      <c r="G5705" s="666"/>
      <c r="H5705" s="666"/>
      <c r="I5705" s="666"/>
      <c r="J5705" s="666"/>
    </row>
    <row r="5706" spans="1:10" ht="18" customHeight="1">
      <c r="A5706" s="686"/>
      <c r="B5706" s="684" t="s">
        <v>13484</v>
      </c>
      <c r="C5706" s="686" t="s">
        <v>13483</v>
      </c>
      <c r="D5706" s="686" t="s">
        <v>13482</v>
      </c>
      <c r="E5706" s="924" t="s">
        <v>13481</v>
      </c>
      <c r="F5706" s="924"/>
      <c r="G5706" s="685" t="s">
        <v>13480</v>
      </c>
      <c r="H5706" s="684" t="s">
        <v>13479</v>
      </c>
      <c r="I5706" s="684" t="s">
        <v>13478</v>
      </c>
      <c r="J5706" s="684" t="s">
        <v>13477</v>
      </c>
    </row>
    <row r="5707" spans="1:10" ht="60" customHeight="1">
      <c r="A5707" s="682" t="s">
        <v>13476</v>
      </c>
      <c r="B5707" s="683" t="s">
        <v>13696</v>
      </c>
      <c r="C5707" s="682" t="s">
        <v>7</v>
      </c>
      <c r="D5707" s="682" t="s">
        <v>4499</v>
      </c>
      <c r="E5707" s="917" t="s">
        <v>13491</v>
      </c>
      <c r="F5707" s="917"/>
      <c r="G5707" s="681" t="s">
        <v>19</v>
      </c>
      <c r="H5707" s="680">
        <v>1</v>
      </c>
      <c r="I5707" s="679">
        <v>8.1300000000000008</v>
      </c>
      <c r="J5707" s="679">
        <v>8.1300000000000008</v>
      </c>
    </row>
    <row r="5708" spans="1:10" ht="36" customHeight="1">
      <c r="A5708" s="672" t="s">
        <v>13467</v>
      </c>
      <c r="B5708" s="673" t="s">
        <v>13695</v>
      </c>
      <c r="C5708" s="672" t="s">
        <v>7</v>
      </c>
      <c r="D5708" s="672" t="s">
        <v>13694</v>
      </c>
      <c r="E5708" s="919" t="s">
        <v>13464</v>
      </c>
      <c r="F5708" s="919"/>
      <c r="G5708" s="671" t="s">
        <v>34</v>
      </c>
      <c r="H5708" s="670">
        <v>9.0000000000000006E-5</v>
      </c>
      <c r="I5708" s="669">
        <v>64825.82</v>
      </c>
      <c r="J5708" s="669">
        <v>5.83</v>
      </c>
    </row>
    <row r="5709" spans="1:10" ht="72" customHeight="1">
      <c r="A5709" s="672" t="s">
        <v>13467</v>
      </c>
      <c r="B5709" s="673" t="s">
        <v>13693</v>
      </c>
      <c r="C5709" s="672" t="s">
        <v>7</v>
      </c>
      <c r="D5709" s="672" t="s">
        <v>13692</v>
      </c>
      <c r="E5709" s="919" t="s">
        <v>13493</v>
      </c>
      <c r="F5709" s="919"/>
      <c r="G5709" s="671" t="s">
        <v>34</v>
      </c>
      <c r="H5709" s="670">
        <v>9.0000000000000006E-5</v>
      </c>
      <c r="I5709" s="669">
        <v>25604.76</v>
      </c>
      <c r="J5709" s="669">
        <v>2.2999999999999998</v>
      </c>
    </row>
    <row r="5710" spans="1:10" ht="25.5">
      <c r="A5710" s="668"/>
      <c r="B5710" s="668"/>
      <c r="C5710" s="668"/>
      <c r="D5710" s="668"/>
      <c r="E5710" s="668" t="s">
        <v>13463</v>
      </c>
      <c r="F5710" s="667">
        <v>0</v>
      </c>
      <c r="G5710" s="668" t="s">
        <v>13462</v>
      </c>
      <c r="H5710" s="667">
        <v>0</v>
      </c>
      <c r="I5710" s="668" t="s">
        <v>13461</v>
      </c>
      <c r="J5710" s="667">
        <v>0</v>
      </c>
    </row>
    <row r="5711" spans="1:10" ht="15" thickBot="1">
      <c r="A5711" s="668"/>
      <c r="B5711" s="668"/>
      <c r="C5711" s="668"/>
      <c r="D5711" s="668"/>
      <c r="E5711" s="668" t="s">
        <v>13460</v>
      </c>
      <c r="F5711" s="667">
        <v>2.29</v>
      </c>
      <c r="G5711" s="668"/>
      <c r="H5711" s="925" t="s">
        <v>13459</v>
      </c>
      <c r="I5711" s="925"/>
      <c r="J5711" s="667">
        <v>10.42</v>
      </c>
    </row>
    <row r="5712" spans="1:10" ht="0.95" customHeight="1" thickTop="1">
      <c r="A5712" s="666"/>
      <c r="B5712" s="666"/>
      <c r="C5712" s="666"/>
      <c r="D5712" s="666"/>
      <c r="E5712" s="666"/>
      <c r="F5712" s="666"/>
      <c r="G5712" s="666"/>
      <c r="H5712" s="666"/>
      <c r="I5712" s="666"/>
      <c r="J5712" s="666"/>
    </row>
    <row r="5713" spans="1:10" ht="18" customHeight="1">
      <c r="A5713" s="686"/>
      <c r="B5713" s="684" t="s">
        <v>13484</v>
      </c>
      <c r="C5713" s="686" t="s">
        <v>13483</v>
      </c>
      <c r="D5713" s="686" t="s">
        <v>13482</v>
      </c>
      <c r="E5713" s="924" t="s">
        <v>13481</v>
      </c>
      <c r="F5713" s="924"/>
      <c r="G5713" s="685" t="s">
        <v>13480</v>
      </c>
      <c r="H5713" s="684" t="s">
        <v>13479</v>
      </c>
      <c r="I5713" s="684" t="s">
        <v>13478</v>
      </c>
      <c r="J5713" s="684" t="s">
        <v>13477</v>
      </c>
    </row>
    <row r="5714" spans="1:10" ht="60" customHeight="1">
      <c r="A5714" s="682" t="s">
        <v>13476</v>
      </c>
      <c r="B5714" s="683" t="s">
        <v>13691</v>
      </c>
      <c r="C5714" s="682" t="s">
        <v>7</v>
      </c>
      <c r="D5714" s="682" t="s">
        <v>4500</v>
      </c>
      <c r="E5714" s="917" t="s">
        <v>13491</v>
      </c>
      <c r="F5714" s="917"/>
      <c r="G5714" s="681" t="s">
        <v>19</v>
      </c>
      <c r="H5714" s="680">
        <v>1</v>
      </c>
      <c r="I5714" s="679">
        <v>38.840000000000003</v>
      </c>
      <c r="J5714" s="679">
        <v>38.840000000000003</v>
      </c>
    </row>
    <row r="5715" spans="1:10" ht="24" customHeight="1">
      <c r="A5715" s="672" t="s">
        <v>13467</v>
      </c>
      <c r="B5715" s="673" t="s">
        <v>13580</v>
      </c>
      <c r="C5715" s="672" t="s">
        <v>7</v>
      </c>
      <c r="D5715" s="672" t="s">
        <v>13579</v>
      </c>
      <c r="E5715" s="919" t="s">
        <v>13464</v>
      </c>
      <c r="F5715" s="919"/>
      <c r="G5715" s="671" t="s">
        <v>50</v>
      </c>
      <c r="H5715" s="670">
        <v>7.88</v>
      </c>
      <c r="I5715" s="669">
        <v>4.93</v>
      </c>
      <c r="J5715" s="669">
        <v>38.840000000000003</v>
      </c>
    </row>
    <row r="5716" spans="1:10" ht="25.5">
      <c r="A5716" s="668"/>
      <c r="B5716" s="668"/>
      <c r="C5716" s="668"/>
      <c r="D5716" s="668"/>
      <c r="E5716" s="668" t="s">
        <v>13463</v>
      </c>
      <c r="F5716" s="667">
        <v>0</v>
      </c>
      <c r="G5716" s="668" t="s">
        <v>13462</v>
      </c>
      <c r="H5716" s="667">
        <v>0</v>
      </c>
      <c r="I5716" s="668" t="s">
        <v>13461</v>
      </c>
      <c r="J5716" s="667">
        <v>0</v>
      </c>
    </row>
    <row r="5717" spans="1:10" ht="15" thickBot="1">
      <c r="A5717" s="668"/>
      <c r="B5717" s="668"/>
      <c r="C5717" s="668"/>
      <c r="D5717" s="668"/>
      <c r="E5717" s="668" t="s">
        <v>13460</v>
      </c>
      <c r="F5717" s="667">
        <v>10.96</v>
      </c>
      <c r="G5717" s="668"/>
      <c r="H5717" s="925" t="s">
        <v>13459</v>
      </c>
      <c r="I5717" s="925"/>
      <c r="J5717" s="667">
        <v>49.8</v>
      </c>
    </row>
    <row r="5718" spans="1:10" ht="0.95" customHeight="1" thickTop="1">
      <c r="A5718" s="666"/>
      <c r="B5718" s="666"/>
      <c r="C5718" s="666"/>
      <c r="D5718" s="666"/>
      <c r="E5718" s="666"/>
      <c r="F5718" s="666"/>
      <c r="G5718" s="666"/>
      <c r="H5718" s="666"/>
      <c r="I5718" s="666"/>
      <c r="J5718" s="666"/>
    </row>
    <row r="5719" spans="1:10" ht="18" customHeight="1">
      <c r="A5719" s="686"/>
      <c r="B5719" s="684" t="s">
        <v>13484</v>
      </c>
      <c r="C5719" s="686" t="s">
        <v>13483</v>
      </c>
      <c r="D5719" s="686" t="s">
        <v>13482</v>
      </c>
      <c r="E5719" s="924" t="s">
        <v>13481</v>
      </c>
      <c r="F5719" s="924"/>
      <c r="G5719" s="685" t="s">
        <v>13480</v>
      </c>
      <c r="H5719" s="684" t="s">
        <v>13479</v>
      </c>
      <c r="I5719" s="684" t="s">
        <v>13478</v>
      </c>
      <c r="J5719" s="684" t="s">
        <v>13477</v>
      </c>
    </row>
    <row r="5720" spans="1:10" ht="24" customHeight="1">
      <c r="A5720" s="682" t="s">
        <v>13476</v>
      </c>
      <c r="B5720" s="683" t="s">
        <v>13690</v>
      </c>
      <c r="C5720" s="682" t="s">
        <v>7</v>
      </c>
      <c r="D5720" s="682" t="s">
        <v>1097</v>
      </c>
      <c r="E5720" s="917" t="s">
        <v>13470</v>
      </c>
      <c r="F5720" s="917"/>
      <c r="G5720" s="681" t="s">
        <v>19</v>
      </c>
      <c r="H5720" s="680">
        <v>1</v>
      </c>
      <c r="I5720" s="679">
        <v>12.73</v>
      </c>
      <c r="J5720" s="679">
        <v>12.73</v>
      </c>
    </row>
    <row r="5721" spans="1:10" ht="36" customHeight="1">
      <c r="A5721" s="677" t="s">
        <v>13472</v>
      </c>
      <c r="B5721" s="678" t="s">
        <v>13689</v>
      </c>
      <c r="C5721" s="677" t="s">
        <v>7</v>
      </c>
      <c r="D5721" s="677" t="s">
        <v>2794</v>
      </c>
      <c r="E5721" s="918" t="s">
        <v>13470</v>
      </c>
      <c r="F5721" s="918"/>
      <c r="G5721" s="676" t="s">
        <v>19</v>
      </c>
      <c r="H5721" s="675">
        <v>1</v>
      </c>
      <c r="I5721" s="674">
        <v>0.05</v>
      </c>
      <c r="J5721" s="674">
        <v>0.05</v>
      </c>
    </row>
    <row r="5722" spans="1:10" ht="24" customHeight="1">
      <c r="A5722" s="672" t="s">
        <v>13467</v>
      </c>
      <c r="B5722" s="673" t="s">
        <v>13562</v>
      </c>
      <c r="C5722" s="672" t="s">
        <v>7</v>
      </c>
      <c r="D5722" s="672" t="s">
        <v>13561</v>
      </c>
      <c r="E5722" s="919" t="s">
        <v>13556</v>
      </c>
      <c r="F5722" s="919"/>
      <c r="G5722" s="671" t="s">
        <v>19</v>
      </c>
      <c r="H5722" s="670">
        <v>1</v>
      </c>
      <c r="I5722" s="669">
        <v>0.96</v>
      </c>
      <c r="J5722" s="669">
        <v>0.96</v>
      </c>
    </row>
    <row r="5723" spans="1:10" ht="24" customHeight="1">
      <c r="A5723" s="672" t="s">
        <v>13467</v>
      </c>
      <c r="B5723" s="673" t="s">
        <v>13665</v>
      </c>
      <c r="C5723" s="672" t="s">
        <v>7</v>
      </c>
      <c r="D5723" s="672" t="s">
        <v>13664</v>
      </c>
      <c r="E5723" s="919" t="s">
        <v>13493</v>
      </c>
      <c r="F5723" s="919"/>
      <c r="G5723" s="671" t="s">
        <v>19</v>
      </c>
      <c r="H5723" s="670">
        <v>1</v>
      </c>
      <c r="I5723" s="669">
        <v>0.63</v>
      </c>
      <c r="J5723" s="669">
        <v>0.63</v>
      </c>
    </row>
    <row r="5724" spans="1:10" ht="24" customHeight="1">
      <c r="A5724" s="672" t="s">
        <v>13467</v>
      </c>
      <c r="B5724" s="673" t="s">
        <v>13558</v>
      </c>
      <c r="C5724" s="672" t="s">
        <v>7</v>
      </c>
      <c r="D5724" s="672" t="s">
        <v>13557</v>
      </c>
      <c r="E5724" s="919" t="s">
        <v>13556</v>
      </c>
      <c r="F5724" s="919"/>
      <c r="G5724" s="671" t="s">
        <v>19</v>
      </c>
      <c r="H5724" s="670">
        <v>1</v>
      </c>
      <c r="I5724" s="669">
        <v>0.55000000000000004</v>
      </c>
      <c r="J5724" s="669">
        <v>0.55000000000000004</v>
      </c>
    </row>
    <row r="5725" spans="1:10" ht="24" customHeight="1">
      <c r="A5725" s="672" t="s">
        <v>13467</v>
      </c>
      <c r="B5725" s="673" t="s">
        <v>13663</v>
      </c>
      <c r="C5725" s="672" t="s">
        <v>7</v>
      </c>
      <c r="D5725" s="672" t="s">
        <v>13662</v>
      </c>
      <c r="E5725" s="919" t="s">
        <v>13493</v>
      </c>
      <c r="F5725" s="919"/>
      <c r="G5725" s="671" t="s">
        <v>19</v>
      </c>
      <c r="H5725" s="670">
        <v>1</v>
      </c>
      <c r="I5725" s="669">
        <v>0.01</v>
      </c>
      <c r="J5725" s="669">
        <v>0.01</v>
      </c>
    </row>
    <row r="5726" spans="1:10" ht="24" customHeight="1">
      <c r="A5726" s="672" t="s">
        <v>13467</v>
      </c>
      <c r="B5726" s="673" t="s">
        <v>13688</v>
      </c>
      <c r="C5726" s="672" t="s">
        <v>7</v>
      </c>
      <c r="D5726" s="672" t="s">
        <v>13687</v>
      </c>
      <c r="E5726" s="919" t="s">
        <v>13548</v>
      </c>
      <c r="F5726" s="919"/>
      <c r="G5726" s="671" t="s">
        <v>19</v>
      </c>
      <c r="H5726" s="670">
        <v>1</v>
      </c>
      <c r="I5726" s="669">
        <v>9.76</v>
      </c>
      <c r="J5726" s="669">
        <v>9.76</v>
      </c>
    </row>
    <row r="5727" spans="1:10" ht="24" customHeight="1">
      <c r="A5727" s="672" t="s">
        <v>13467</v>
      </c>
      <c r="B5727" s="673" t="s">
        <v>13553</v>
      </c>
      <c r="C5727" s="672" t="s">
        <v>7</v>
      </c>
      <c r="D5727" s="672" t="s">
        <v>13552</v>
      </c>
      <c r="E5727" s="919" t="s">
        <v>13551</v>
      </c>
      <c r="F5727" s="919"/>
      <c r="G5727" s="671" t="s">
        <v>19</v>
      </c>
      <c r="H5727" s="670">
        <v>1</v>
      </c>
      <c r="I5727" s="669">
        <v>0.06</v>
      </c>
      <c r="J5727" s="669">
        <v>0.06</v>
      </c>
    </row>
    <row r="5728" spans="1:10" ht="24" customHeight="1">
      <c r="A5728" s="672" t="s">
        <v>13467</v>
      </c>
      <c r="B5728" s="673" t="s">
        <v>13547</v>
      </c>
      <c r="C5728" s="672" t="s">
        <v>7</v>
      </c>
      <c r="D5728" s="672" t="s">
        <v>13546</v>
      </c>
      <c r="E5728" s="919" t="s">
        <v>13545</v>
      </c>
      <c r="F5728" s="919"/>
      <c r="G5728" s="671" t="s">
        <v>19</v>
      </c>
      <c r="H5728" s="670">
        <v>1</v>
      </c>
      <c r="I5728" s="669">
        <v>0.71</v>
      </c>
      <c r="J5728" s="669">
        <v>0.71</v>
      </c>
    </row>
    <row r="5729" spans="1:10" ht="25.5">
      <c r="A5729" s="668"/>
      <c r="B5729" s="668"/>
      <c r="C5729" s="668"/>
      <c r="D5729" s="668"/>
      <c r="E5729" s="668" t="s">
        <v>13463</v>
      </c>
      <c r="F5729" s="667">
        <v>5.3297838000000004</v>
      </c>
      <c r="G5729" s="668" t="s">
        <v>13462</v>
      </c>
      <c r="H5729" s="667">
        <v>4.4800000000000004</v>
      </c>
      <c r="I5729" s="668" t="s">
        <v>13461</v>
      </c>
      <c r="J5729" s="667">
        <v>9.81</v>
      </c>
    </row>
    <row r="5730" spans="1:10" ht="15" thickBot="1">
      <c r="A5730" s="668"/>
      <c r="B5730" s="668"/>
      <c r="C5730" s="668"/>
      <c r="D5730" s="668"/>
      <c r="E5730" s="668" t="s">
        <v>13460</v>
      </c>
      <c r="F5730" s="667">
        <v>3.59</v>
      </c>
      <c r="G5730" s="668"/>
      <c r="H5730" s="925" t="s">
        <v>13459</v>
      </c>
      <c r="I5730" s="925"/>
      <c r="J5730" s="667">
        <v>16.32</v>
      </c>
    </row>
    <row r="5731" spans="1:10" ht="0.95" customHeight="1" thickTop="1">
      <c r="A5731" s="666"/>
      <c r="B5731" s="666"/>
      <c r="C5731" s="666"/>
      <c r="D5731" s="666"/>
      <c r="E5731" s="666"/>
      <c r="F5731" s="666"/>
      <c r="G5731" s="666"/>
      <c r="H5731" s="666"/>
      <c r="I5731" s="666"/>
      <c r="J5731" s="666"/>
    </row>
    <row r="5732" spans="1:10" ht="18" customHeight="1">
      <c r="A5732" s="686"/>
      <c r="B5732" s="684" t="s">
        <v>13484</v>
      </c>
      <c r="C5732" s="686" t="s">
        <v>13483</v>
      </c>
      <c r="D5732" s="686" t="s">
        <v>13482</v>
      </c>
      <c r="E5732" s="924" t="s">
        <v>13481</v>
      </c>
      <c r="F5732" s="924"/>
      <c r="G5732" s="685" t="s">
        <v>13480</v>
      </c>
      <c r="H5732" s="684" t="s">
        <v>13479</v>
      </c>
      <c r="I5732" s="684" t="s">
        <v>13478</v>
      </c>
      <c r="J5732" s="684" t="s">
        <v>13477</v>
      </c>
    </row>
    <row r="5733" spans="1:10" ht="24" customHeight="1">
      <c r="A5733" s="682" t="s">
        <v>13476</v>
      </c>
      <c r="B5733" s="683" t="s">
        <v>13686</v>
      </c>
      <c r="C5733" s="682" t="s">
        <v>7</v>
      </c>
      <c r="D5733" s="682" t="s">
        <v>156</v>
      </c>
      <c r="E5733" s="917" t="s">
        <v>13470</v>
      </c>
      <c r="F5733" s="917"/>
      <c r="G5733" s="681" t="s">
        <v>19</v>
      </c>
      <c r="H5733" s="680">
        <v>1</v>
      </c>
      <c r="I5733" s="679">
        <v>16.690000000000001</v>
      </c>
      <c r="J5733" s="679">
        <v>16.690000000000001</v>
      </c>
    </row>
    <row r="5734" spans="1:10" ht="24" customHeight="1">
      <c r="A5734" s="677" t="s">
        <v>13472</v>
      </c>
      <c r="B5734" s="678" t="s">
        <v>13685</v>
      </c>
      <c r="C5734" s="677" t="s">
        <v>7</v>
      </c>
      <c r="D5734" s="677" t="s">
        <v>2768</v>
      </c>
      <c r="E5734" s="918" t="s">
        <v>13470</v>
      </c>
      <c r="F5734" s="918"/>
      <c r="G5734" s="676" t="s">
        <v>19</v>
      </c>
      <c r="H5734" s="675">
        <v>1</v>
      </c>
      <c r="I5734" s="674">
        <v>0.11</v>
      </c>
      <c r="J5734" s="674">
        <v>0.11</v>
      </c>
    </row>
    <row r="5735" spans="1:10" ht="24" customHeight="1">
      <c r="A5735" s="672" t="s">
        <v>13467</v>
      </c>
      <c r="B5735" s="673" t="s">
        <v>13562</v>
      </c>
      <c r="C5735" s="672" t="s">
        <v>7</v>
      </c>
      <c r="D5735" s="672" t="s">
        <v>13561</v>
      </c>
      <c r="E5735" s="919" t="s">
        <v>13556</v>
      </c>
      <c r="F5735" s="919"/>
      <c r="G5735" s="671" t="s">
        <v>19</v>
      </c>
      <c r="H5735" s="670">
        <v>1</v>
      </c>
      <c r="I5735" s="669">
        <v>0.96</v>
      </c>
      <c r="J5735" s="669">
        <v>0.96</v>
      </c>
    </row>
    <row r="5736" spans="1:10" ht="24" customHeight="1">
      <c r="A5736" s="672" t="s">
        <v>13467</v>
      </c>
      <c r="B5736" s="673" t="s">
        <v>13665</v>
      </c>
      <c r="C5736" s="672" t="s">
        <v>7</v>
      </c>
      <c r="D5736" s="672" t="s">
        <v>13664</v>
      </c>
      <c r="E5736" s="919" t="s">
        <v>13493</v>
      </c>
      <c r="F5736" s="919"/>
      <c r="G5736" s="671" t="s">
        <v>19</v>
      </c>
      <c r="H5736" s="670">
        <v>1</v>
      </c>
      <c r="I5736" s="669">
        <v>0.63</v>
      </c>
      <c r="J5736" s="669">
        <v>0.63</v>
      </c>
    </row>
    <row r="5737" spans="1:10" ht="24" customHeight="1">
      <c r="A5737" s="672" t="s">
        <v>13467</v>
      </c>
      <c r="B5737" s="673" t="s">
        <v>13558</v>
      </c>
      <c r="C5737" s="672" t="s">
        <v>7</v>
      </c>
      <c r="D5737" s="672" t="s">
        <v>13557</v>
      </c>
      <c r="E5737" s="919" t="s">
        <v>13556</v>
      </c>
      <c r="F5737" s="919"/>
      <c r="G5737" s="671" t="s">
        <v>19</v>
      </c>
      <c r="H5737" s="670">
        <v>1</v>
      </c>
      <c r="I5737" s="669">
        <v>0.55000000000000004</v>
      </c>
      <c r="J5737" s="669">
        <v>0.55000000000000004</v>
      </c>
    </row>
    <row r="5738" spans="1:10" ht="24" customHeight="1">
      <c r="A5738" s="672" t="s">
        <v>13467</v>
      </c>
      <c r="B5738" s="673" t="s">
        <v>13663</v>
      </c>
      <c r="C5738" s="672" t="s">
        <v>7</v>
      </c>
      <c r="D5738" s="672" t="s">
        <v>13662</v>
      </c>
      <c r="E5738" s="919" t="s">
        <v>13493</v>
      </c>
      <c r="F5738" s="919"/>
      <c r="G5738" s="671" t="s">
        <v>19</v>
      </c>
      <c r="H5738" s="670">
        <v>1</v>
      </c>
      <c r="I5738" s="669">
        <v>0.01</v>
      </c>
      <c r="J5738" s="669">
        <v>0.01</v>
      </c>
    </row>
    <row r="5739" spans="1:10" ht="24" customHeight="1">
      <c r="A5739" s="672" t="s">
        <v>13467</v>
      </c>
      <c r="B5739" s="673" t="s">
        <v>13684</v>
      </c>
      <c r="C5739" s="672" t="s">
        <v>7</v>
      </c>
      <c r="D5739" s="672" t="s">
        <v>13683</v>
      </c>
      <c r="E5739" s="919" t="s">
        <v>13548</v>
      </c>
      <c r="F5739" s="919"/>
      <c r="G5739" s="671" t="s">
        <v>19</v>
      </c>
      <c r="H5739" s="670">
        <v>1</v>
      </c>
      <c r="I5739" s="669">
        <v>13.66</v>
      </c>
      <c r="J5739" s="669">
        <v>13.66</v>
      </c>
    </row>
    <row r="5740" spans="1:10" ht="24" customHeight="1">
      <c r="A5740" s="672" t="s">
        <v>13467</v>
      </c>
      <c r="B5740" s="673" t="s">
        <v>13553</v>
      </c>
      <c r="C5740" s="672" t="s">
        <v>7</v>
      </c>
      <c r="D5740" s="672" t="s">
        <v>13552</v>
      </c>
      <c r="E5740" s="919" t="s">
        <v>13551</v>
      </c>
      <c r="F5740" s="919"/>
      <c r="G5740" s="671" t="s">
        <v>19</v>
      </c>
      <c r="H5740" s="670">
        <v>1</v>
      </c>
      <c r="I5740" s="669">
        <v>0.06</v>
      </c>
      <c r="J5740" s="669">
        <v>0.06</v>
      </c>
    </row>
    <row r="5741" spans="1:10" ht="24" customHeight="1">
      <c r="A5741" s="672" t="s">
        <v>13467</v>
      </c>
      <c r="B5741" s="673" t="s">
        <v>13547</v>
      </c>
      <c r="C5741" s="672" t="s">
        <v>7</v>
      </c>
      <c r="D5741" s="672" t="s">
        <v>13546</v>
      </c>
      <c r="E5741" s="919" t="s">
        <v>13545</v>
      </c>
      <c r="F5741" s="919"/>
      <c r="G5741" s="671" t="s">
        <v>19</v>
      </c>
      <c r="H5741" s="670">
        <v>1</v>
      </c>
      <c r="I5741" s="669">
        <v>0.71</v>
      </c>
      <c r="J5741" s="669">
        <v>0.71</v>
      </c>
    </row>
    <row r="5742" spans="1:10" ht="25.5">
      <c r="A5742" s="668"/>
      <c r="B5742" s="668"/>
      <c r="C5742" s="668"/>
      <c r="D5742" s="668"/>
      <c r="E5742" s="668" t="s">
        <v>13463</v>
      </c>
      <c r="F5742" s="667">
        <v>7.4812561000000004</v>
      </c>
      <c r="G5742" s="668" t="s">
        <v>13462</v>
      </c>
      <c r="H5742" s="667">
        <v>6.29</v>
      </c>
      <c r="I5742" s="668" t="s">
        <v>13461</v>
      </c>
      <c r="J5742" s="667">
        <v>13.77</v>
      </c>
    </row>
    <row r="5743" spans="1:10" ht="15" thickBot="1">
      <c r="A5743" s="668"/>
      <c r="B5743" s="668"/>
      <c r="C5743" s="668"/>
      <c r="D5743" s="668"/>
      <c r="E5743" s="668" t="s">
        <v>13460</v>
      </c>
      <c r="F5743" s="667">
        <v>4.71</v>
      </c>
      <c r="G5743" s="668"/>
      <c r="H5743" s="925" t="s">
        <v>13459</v>
      </c>
      <c r="I5743" s="925"/>
      <c r="J5743" s="667">
        <v>21.4</v>
      </c>
    </row>
    <row r="5744" spans="1:10" ht="0.95" customHeight="1" thickTop="1">
      <c r="A5744" s="666"/>
      <c r="B5744" s="666"/>
      <c r="C5744" s="666"/>
      <c r="D5744" s="666"/>
      <c r="E5744" s="666"/>
      <c r="F5744" s="666"/>
      <c r="G5744" s="666"/>
      <c r="H5744" s="666"/>
      <c r="I5744" s="666"/>
      <c r="J5744" s="666"/>
    </row>
    <row r="5745" spans="1:10" ht="18" customHeight="1">
      <c r="A5745" s="686"/>
      <c r="B5745" s="684" t="s">
        <v>13484</v>
      </c>
      <c r="C5745" s="686" t="s">
        <v>13483</v>
      </c>
      <c r="D5745" s="686" t="s">
        <v>13482</v>
      </c>
      <c r="E5745" s="924" t="s">
        <v>13481</v>
      </c>
      <c r="F5745" s="924"/>
      <c r="G5745" s="685" t="s">
        <v>13480</v>
      </c>
      <c r="H5745" s="684" t="s">
        <v>13479</v>
      </c>
      <c r="I5745" s="684" t="s">
        <v>13478</v>
      </c>
      <c r="J5745" s="684" t="s">
        <v>13477</v>
      </c>
    </row>
    <row r="5746" spans="1:10" ht="24" customHeight="1">
      <c r="A5746" s="682" t="s">
        <v>13476</v>
      </c>
      <c r="B5746" s="683" t="s">
        <v>13682</v>
      </c>
      <c r="C5746" s="682" t="s">
        <v>7</v>
      </c>
      <c r="D5746" s="682" t="s">
        <v>157</v>
      </c>
      <c r="E5746" s="917" t="s">
        <v>13470</v>
      </c>
      <c r="F5746" s="917"/>
      <c r="G5746" s="681" t="s">
        <v>19</v>
      </c>
      <c r="H5746" s="680">
        <v>1</v>
      </c>
      <c r="I5746" s="679">
        <v>12.85</v>
      </c>
      <c r="J5746" s="679">
        <v>12.85</v>
      </c>
    </row>
    <row r="5747" spans="1:10" ht="24" customHeight="1">
      <c r="A5747" s="677" t="s">
        <v>13472</v>
      </c>
      <c r="B5747" s="678" t="s">
        <v>13681</v>
      </c>
      <c r="C5747" s="677" t="s">
        <v>7</v>
      </c>
      <c r="D5747" s="677" t="s">
        <v>2769</v>
      </c>
      <c r="E5747" s="918" t="s">
        <v>13470</v>
      </c>
      <c r="F5747" s="918"/>
      <c r="G5747" s="676" t="s">
        <v>19</v>
      </c>
      <c r="H5747" s="675">
        <v>1</v>
      </c>
      <c r="I5747" s="674">
        <v>0.11</v>
      </c>
      <c r="J5747" s="674">
        <v>0.11</v>
      </c>
    </row>
    <row r="5748" spans="1:10" ht="24" customHeight="1">
      <c r="A5748" s="672" t="s">
        <v>13467</v>
      </c>
      <c r="B5748" s="673" t="s">
        <v>13562</v>
      </c>
      <c r="C5748" s="672" t="s">
        <v>7</v>
      </c>
      <c r="D5748" s="672" t="s">
        <v>13561</v>
      </c>
      <c r="E5748" s="919" t="s">
        <v>13556</v>
      </c>
      <c r="F5748" s="919"/>
      <c r="G5748" s="671" t="s">
        <v>19</v>
      </c>
      <c r="H5748" s="670">
        <v>1</v>
      </c>
      <c r="I5748" s="669">
        <v>0.96</v>
      </c>
      <c r="J5748" s="669">
        <v>0.96</v>
      </c>
    </row>
    <row r="5749" spans="1:10" ht="24" customHeight="1">
      <c r="A5749" s="672" t="s">
        <v>13467</v>
      </c>
      <c r="B5749" s="673" t="s">
        <v>13665</v>
      </c>
      <c r="C5749" s="672" t="s">
        <v>7</v>
      </c>
      <c r="D5749" s="672" t="s">
        <v>13664</v>
      </c>
      <c r="E5749" s="919" t="s">
        <v>13493</v>
      </c>
      <c r="F5749" s="919"/>
      <c r="G5749" s="671" t="s">
        <v>19</v>
      </c>
      <c r="H5749" s="670">
        <v>1</v>
      </c>
      <c r="I5749" s="669">
        <v>0.63</v>
      </c>
      <c r="J5749" s="669">
        <v>0.63</v>
      </c>
    </row>
    <row r="5750" spans="1:10" ht="24" customHeight="1">
      <c r="A5750" s="672" t="s">
        <v>13467</v>
      </c>
      <c r="B5750" s="673" t="s">
        <v>13558</v>
      </c>
      <c r="C5750" s="672" t="s">
        <v>7</v>
      </c>
      <c r="D5750" s="672" t="s">
        <v>13557</v>
      </c>
      <c r="E5750" s="919" t="s">
        <v>13556</v>
      </c>
      <c r="F5750" s="919"/>
      <c r="G5750" s="671" t="s">
        <v>19</v>
      </c>
      <c r="H5750" s="670">
        <v>1</v>
      </c>
      <c r="I5750" s="669">
        <v>0.55000000000000004</v>
      </c>
      <c r="J5750" s="669">
        <v>0.55000000000000004</v>
      </c>
    </row>
    <row r="5751" spans="1:10" ht="24" customHeight="1">
      <c r="A5751" s="672" t="s">
        <v>13467</v>
      </c>
      <c r="B5751" s="673" t="s">
        <v>13663</v>
      </c>
      <c r="C5751" s="672" t="s">
        <v>7</v>
      </c>
      <c r="D5751" s="672" t="s">
        <v>13662</v>
      </c>
      <c r="E5751" s="919" t="s">
        <v>13493</v>
      </c>
      <c r="F5751" s="919"/>
      <c r="G5751" s="671" t="s">
        <v>19</v>
      </c>
      <c r="H5751" s="670">
        <v>1</v>
      </c>
      <c r="I5751" s="669">
        <v>0.01</v>
      </c>
      <c r="J5751" s="669">
        <v>0.01</v>
      </c>
    </row>
    <row r="5752" spans="1:10" ht="24" customHeight="1">
      <c r="A5752" s="672" t="s">
        <v>13467</v>
      </c>
      <c r="B5752" s="673" t="s">
        <v>13680</v>
      </c>
      <c r="C5752" s="672" t="s">
        <v>7</v>
      </c>
      <c r="D5752" s="672" t="s">
        <v>13679</v>
      </c>
      <c r="E5752" s="919" t="s">
        <v>13548</v>
      </c>
      <c r="F5752" s="919"/>
      <c r="G5752" s="671" t="s">
        <v>19</v>
      </c>
      <c r="H5752" s="670">
        <v>1</v>
      </c>
      <c r="I5752" s="669">
        <v>9.82</v>
      </c>
      <c r="J5752" s="669">
        <v>9.82</v>
      </c>
    </row>
    <row r="5753" spans="1:10" ht="24" customHeight="1">
      <c r="A5753" s="672" t="s">
        <v>13467</v>
      </c>
      <c r="B5753" s="673" t="s">
        <v>13553</v>
      </c>
      <c r="C5753" s="672" t="s">
        <v>7</v>
      </c>
      <c r="D5753" s="672" t="s">
        <v>13552</v>
      </c>
      <c r="E5753" s="919" t="s">
        <v>13551</v>
      </c>
      <c r="F5753" s="919"/>
      <c r="G5753" s="671" t="s">
        <v>19</v>
      </c>
      <c r="H5753" s="670">
        <v>1</v>
      </c>
      <c r="I5753" s="669">
        <v>0.06</v>
      </c>
      <c r="J5753" s="669">
        <v>0.06</v>
      </c>
    </row>
    <row r="5754" spans="1:10" ht="24" customHeight="1">
      <c r="A5754" s="672" t="s">
        <v>13467</v>
      </c>
      <c r="B5754" s="673" t="s">
        <v>13547</v>
      </c>
      <c r="C5754" s="672" t="s">
        <v>7</v>
      </c>
      <c r="D5754" s="672" t="s">
        <v>13546</v>
      </c>
      <c r="E5754" s="919" t="s">
        <v>13545</v>
      </c>
      <c r="F5754" s="919"/>
      <c r="G5754" s="671" t="s">
        <v>19</v>
      </c>
      <c r="H5754" s="670">
        <v>1</v>
      </c>
      <c r="I5754" s="669">
        <v>0.71</v>
      </c>
      <c r="J5754" s="669">
        <v>0.71</v>
      </c>
    </row>
    <row r="5755" spans="1:10" ht="25.5">
      <c r="A5755" s="668"/>
      <c r="B5755" s="668"/>
      <c r="C5755" s="668"/>
      <c r="D5755" s="668"/>
      <c r="E5755" s="668" t="s">
        <v>13463</v>
      </c>
      <c r="F5755" s="667">
        <v>5.3949799000000001</v>
      </c>
      <c r="G5755" s="668" t="s">
        <v>13462</v>
      </c>
      <c r="H5755" s="667">
        <v>4.54</v>
      </c>
      <c r="I5755" s="668" t="s">
        <v>13461</v>
      </c>
      <c r="J5755" s="667">
        <v>9.93</v>
      </c>
    </row>
    <row r="5756" spans="1:10" ht="15" thickBot="1">
      <c r="A5756" s="668"/>
      <c r="B5756" s="668"/>
      <c r="C5756" s="668"/>
      <c r="D5756" s="668"/>
      <c r="E5756" s="668" t="s">
        <v>13460</v>
      </c>
      <c r="F5756" s="667">
        <v>3.62</v>
      </c>
      <c r="G5756" s="668"/>
      <c r="H5756" s="925" t="s">
        <v>13459</v>
      </c>
      <c r="I5756" s="925"/>
      <c r="J5756" s="667">
        <v>16.47</v>
      </c>
    </row>
    <row r="5757" spans="1:10" ht="0.95" customHeight="1" thickTop="1">
      <c r="A5757" s="666"/>
      <c r="B5757" s="666"/>
      <c r="C5757" s="666"/>
      <c r="D5757" s="666"/>
      <c r="E5757" s="666"/>
      <c r="F5757" s="666"/>
      <c r="G5757" s="666"/>
      <c r="H5757" s="666"/>
      <c r="I5757" s="666"/>
      <c r="J5757" s="666"/>
    </row>
    <row r="5758" spans="1:10" ht="18" customHeight="1">
      <c r="A5758" s="686"/>
      <c r="B5758" s="684" t="s">
        <v>13484</v>
      </c>
      <c r="C5758" s="686" t="s">
        <v>13483</v>
      </c>
      <c r="D5758" s="686" t="s">
        <v>13482</v>
      </c>
      <c r="E5758" s="924" t="s">
        <v>13481</v>
      </c>
      <c r="F5758" s="924"/>
      <c r="G5758" s="685" t="s">
        <v>13480</v>
      </c>
      <c r="H5758" s="684" t="s">
        <v>13479</v>
      </c>
      <c r="I5758" s="684" t="s">
        <v>13478</v>
      </c>
      <c r="J5758" s="684" t="s">
        <v>13477</v>
      </c>
    </row>
    <row r="5759" spans="1:10" ht="24" customHeight="1">
      <c r="A5759" s="682" t="s">
        <v>13476</v>
      </c>
      <c r="B5759" s="683" t="s">
        <v>13678</v>
      </c>
      <c r="C5759" s="682" t="s">
        <v>7</v>
      </c>
      <c r="D5759" s="682" t="s">
        <v>158</v>
      </c>
      <c r="E5759" s="917" t="s">
        <v>13470</v>
      </c>
      <c r="F5759" s="917"/>
      <c r="G5759" s="681" t="s">
        <v>19</v>
      </c>
      <c r="H5759" s="680">
        <v>1</v>
      </c>
      <c r="I5759" s="679">
        <v>12.9</v>
      </c>
      <c r="J5759" s="679">
        <v>12.9</v>
      </c>
    </row>
    <row r="5760" spans="1:10" ht="24" customHeight="1">
      <c r="A5760" s="677" t="s">
        <v>13472</v>
      </c>
      <c r="B5760" s="678" t="s">
        <v>13677</v>
      </c>
      <c r="C5760" s="677" t="s">
        <v>7</v>
      </c>
      <c r="D5760" s="677" t="s">
        <v>2770</v>
      </c>
      <c r="E5760" s="918" t="s">
        <v>13470</v>
      </c>
      <c r="F5760" s="918"/>
      <c r="G5760" s="676" t="s">
        <v>19</v>
      </c>
      <c r="H5760" s="675">
        <v>1</v>
      </c>
      <c r="I5760" s="674">
        <v>0.11</v>
      </c>
      <c r="J5760" s="674">
        <v>0.11</v>
      </c>
    </row>
    <row r="5761" spans="1:10" ht="24" customHeight="1">
      <c r="A5761" s="672" t="s">
        <v>13467</v>
      </c>
      <c r="B5761" s="673" t="s">
        <v>13562</v>
      </c>
      <c r="C5761" s="672" t="s">
        <v>7</v>
      </c>
      <c r="D5761" s="672" t="s">
        <v>13561</v>
      </c>
      <c r="E5761" s="919" t="s">
        <v>13556</v>
      </c>
      <c r="F5761" s="919"/>
      <c r="G5761" s="671" t="s">
        <v>19</v>
      </c>
      <c r="H5761" s="670">
        <v>1</v>
      </c>
      <c r="I5761" s="669">
        <v>0.96</v>
      </c>
      <c r="J5761" s="669">
        <v>0.96</v>
      </c>
    </row>
    <row r="5762" spans="1:10" ht="24" customHeight="1">
      <c r="A5762" s="672" t="s">
        <v>13467</v>
      </c>
      <c r="B5762" s="673" t="s">
        <v>13665</v>
      </c>
      <c r="C5762" s="672" t="s">
        <v>7</v>
      </c>
      <c r="D5762" s="672" t="s">
        <v>13664</v>
      </c>
      <c r="E5762" s="919" t="s">
        <v>13493</v>
      </c>
      <c r="F5762" s="919"/>
      <c r="G5762" s="671" t="s">
        <v>19</v>
      </c>
      <c r="H5762" s="670">
        <v>1</v>
      </c>
      <c r="I5762" s="669">
        <v>0.63</v>
      </c>
      <c r="J5762" s="669">
        <v>0.63</v>
      </c>
    </row>
    <row r="5763" spans="1:10" ht="24" customHeight="1">
      <c r="A5763" s="672" t="s">
        <v>13467</v>
      </c>
      <c r="B5763" s="673" t="s">
        <v>13558</v>
      </c>
      <c r="C5763" s="672" t="s">
        <v>7</v>
      </c>
      <c r="D5763" s="672" t="s">
        <v>13557</v>
      </c>
      <c r="E5763" s="919" t="s">
        <v>13556</v>
      </c>
      <c r="F5763" s="919"/>
      <c r="G5763" s="671" t="s">
        <v>19</v>
      </c>
      <c r="H5763" s="670">
        <v>1</v>
      </c>
      <c r="I5763" s="669">
        <v>0.55000000000000004</v>
      </c>
      <c r="J5763" s="669">
        <v>0.55000000000000004</v>
      </c>
    </row>
    <row r="5764" spans="1:10" ht="24" customHeight="1">
      <c r="A5764" s="672" t="s">
        <v>13467</v>
      </c>
      <c r="B5764" s="673" t="s">
        <v>13663</v>
      </c>
      <c r="C5764" s="672" t="s">
        <v>7</v>
      </c>
      <c r="D5764" s="672" t="s">
        <v>13662</v>
      </c>
      <c r="E5764" s="919" t="s">
        <v>13493</v>
      </c>
      <c r="F5764" s="919"/>
      <c r="G5764" s="671" t="s">
        <v>19</v>
      </c>
      <c r="H5764" s="670">
        <v>1</v>
      </c>
      <c r="I5764" s="669">
        <v>0.01</v>
      </c>
      <c r="J5764" s="669">
        <v>0.01</v>
      </c>
    </row>
    <row r="5765" spans="1:10" ht="24" customHeight="1">
      <c r="A5765" s="672" t="s">
        <v>13467</v>
      </c>
      <c r="B5765" s="673" t="s">
        <v>13676</v>
      </c>
      <c r="C5765" s="672" t="s">
        <v>7</v>
      </c>
      <c r="D5765" s="672" t="s">
        <v>13675</v>
      </c>
      <c r="E5765" s="919" t="s">
        <v>13548</v>
      </c>
      <c r="F5765" s="919"/>
      <c r="G5765" s="671" t="s">
        <v>19</v>
      </c>
      <c r="H5765" s="670">
        <v>1</v>
      </c>
      <c r="I5765" s="669">
        <v>9.8699999999999992</v>
      </c>
      <c r="J5765" s="669">
        <v>9.8699999999999992</v>
      </c>
    </row>
    <row r="5766" spans="1:10" ht="24" customHeight="1">
      <c r="A5766" s="672" t="s">
        <v>13467</v>
      </c>
      <c r="B5766" s="673" t="s">
        <v>13553</v>
      </c>
      <c r="C5766" s="672" t="s">
        <v>7</v>
      </c>
      <c r="D5766" s="672" t="s">
        <v>13552</v>
      </c>
      <c r="E5766" s="919" t="s">
        <v>13551</v>
      </c>
      <c r="F5766" s="919"/>
      <c r="G5766" s="671" t="s">
        <v>19</v>
      </c>
      <c r="H5766" s="670">
        <v>1</v>
      </c>
      <c r="I5766" s="669">
        <v>0.06</v>
      </c>
      <c r="J5766" s="669">
        <v>0.06</v>
      </c>
    </row>
    <row r="5767" spans="1:10" ht="24" customHeight="1">
      <c r="A5767" s="672" t="s">
        <v>13467</v>
      </c>
      <c r="B5767" s="673" t="s">
        <v>13547</v>
      </c>
      <c r="C5767" s="672" t="s">
        <v>7</v>
      </c>
      <c r="D5767" s="672" t="s">
        <v>13546</v>
      </c>
      <c r="E5767" s="919" t="s">
        <v>13545</v>
      </c>
      <c r="F5767" s="919"/>
      <c r="G5767" s="671" t="s">
        <v>19</v>
      </c>
      <c r="H5767" s="670">
        <v>1</v>
      </c>
      <c r="I5767" s="669">
        <v>0.71</v>
      </c>
      <c r="J5767" s="669">
        <v>0.71</v>
      </c>
    </row>
    <row r="5768" spans="1:10" ht="25.5">
      <c r="A5768" s="668"/>
      <c r="B5768" s="668"/>
      <c r="C5768" s="668"/>
      <c r="D5768" s="668"/>
      <c r="E5768" s="668" t="s">
        <v>13463</v>
      </c>
      <c r="F5768" s="667">
        <v>5.4221449527328041</v>
      </c>
      <c r="G5768" s="668" t="s">
        <v>13462</v>
      </c>
      <c r="H5768" s="667">
        <v>4.5599999999999996</v>
      </c>
      <c r="I5768" s="668" t="s">
        <v>13461</v>
      </c>
      <c r="J5768" s="667">
        <v>9.9799999999999986</v>
      </c>
    </row>
    <row r="5769" spans="1:10" ht="15" thickBot="1">
      <c r="A5769" s="668"/>
      <c r="B5769" s="668"/>
      <c r="C5769" s="668"/>
      <c r="D5769" s="668"/>
      <c r="E5769" s="668" t="s">
        <v>13460</v>
      </c>
      <c r="F5769" s="667">
        <v>3.64</v>
      </c>
      <c r="G5769" s="668"/>
      <c r="H5769" s="925" t="s">
        <v>13459</v>
      </c>
      <c r="I5769" s="925"/>
      <c r="J5769" s="667">
        <v>16.54</v>
      </c>
    </row>
    <row r="5770" spans="1:10" ht="0.95" customHeight="1" thickTop="1">
      <c r="A5770" s="666"/>
      <c r="B5770" s="666"/>
      <c r="C5770" s="666"/>
      <c r="D5770" s="666"/>
      <c r="E5770" s="666"/>
      <c r="F5770" s="666"/>
      <c r="G5770" s="666"/>
      <c r="H5770" s="666"/>
      <c r="I5770" s="666"/>
      <c r="J5770" s="666"/>
    </row>
    <row r="5771" spans="1:10" ht="18" customHeight="1">
      <c r="A5771" s="686"/>
      <c r="B5771" s="684" t="s">
        <v>13484</v>
      </c>
      <c r="C5771" s="686" t="s">
        <v>13483</v>
      </c>
      <c r="D5771" s="686" t="s">
        <v>13482</v>
      </c>
      <c r="E5771" s="924" t="s">
        <v>13481</v>
      </c>
      <c r="F5771" s="924"/>
      <c r="G5771" s="685" t="s">
        <v>13480</v>
      </c>
      <c r="H5771" s="684" t="s">
        <v>13479</v>
      </c>
      <c r="I5771" s="684" t="s">
        <v>13478</v>
      </c>
      <c r="J5771" s="684" t="s">
        <v>13477</v>
      </c>
    </row>
    <row r="5772" spans="1:10" ht="24" customHeight="1">
      <c r="A5772" s="682" t="s">
        <v>13476</v>
      </c>
      <c r="B5772" s="683" t="s">
        <v>13674</v>
      </c>
      <c r="C5772" s="682" t="s">
        <v>7</v>
      </c>
      <c r="D5772" s="682" t="s">
        <v>160</v>
      </c>
      <c r="E5772" s="917" t="s">
        <v>13470</v>
      </c>
      <c r="F5772" s="917"/>
      <c r="G5772" s="681" t="s">
        <v>19</v>
      </c>
      <c r="H5772" s="680">
        <v>1</v>
      </c>
      <c r="I5772" s="679">
        <v>11.16</v>
      </c>
      <c r="J5772" s="679">
        <v>11.16</v>
      </c>
    </row>
    <row r="5773" spans="1:10" ht="24" customHeight="1">
      <c r="A5773" s="677" t="s">
        <v>13472</v>
      </c>
      <c r="B5773" s="678" t="s">
        <v>13673</v>
      </c>
      <c r="C5773" s="677" t="s">
        <v>7</v>
      </c>
      <c r="D5773" s="677" t="s">
        <v>2772</v>
      </c>
      <c r="E5773" s="918" t="s">
        <v>13470</v>
      </c>
      <c r="F5773" s="918"/>
      <c r="G5773" s="676" t="s">
        <v>19</v>
      </c>
      <c r="H5773" s="675">
        <v>1</v>
      </c>
      <c r="I5773" s="674">
        <v>0.04</v>
      </c>
      <c r="J5773" s="674">
        <v>0.04</v>
      </c>
    </row>
    <row r="5774" spans="1:10" ht="24" customHeight="1">
      <c r="A5774" s="672" t="s">
        <v>13467</v>
      </c>
      <c r="B5774" s="673" t="s">
        <v>13562</v>
      </c>
      <c r="C5774" s="672" t="s">
        <v>7</v>
      </c>
      <c r="D5774" s="672" t="s">
        <v>13561</v>
      </c>
      <c r="E5774" s="919" t="s">
        <v>13556</v>
      </c>
      <c r="F5774" s="919"/>
      <c r="G5774" s="671" t="s">
        <v>19</v>
      </c>
      <c r="H5774" s="670">
        <v>1</v>
      </c>
      <c r="I5774" s="669">
        <v>0.96</v>
      </c>
      <c r="J5774" s="669">
        <v>0.96</v>
      </c>
    </row>
    <row r="5775" spans="1:10" ht="24" customHeight="1">
      <c r="A5775" s="672" t="s">
        <v>13467</v>
      </c>
      <c r="B5775" s="673" t="s">
        <v>13665</v>
      </c>
      <c r="C5775" s="672" t="s">
        <v>7</v>
      </c>
      <c r="D5775" s="672" t="s">
        <v>13664</v>
      </c>
      <c r="E5775" s="919" t="s">
        <v>13493</v>
      </c>
      <c r="F5775" s="919"/>
      <c r="G5775" s="671" t="s">
        <v>19</v>
      </c>
      <c r="H5775" s="670">
        <v>1</v>
      </c>
      <c r="I5775" s="669">
        <v>0.63</v>
      </c>
      <c r="J5775" s="669">
        <v>0.63</v>
      </c>
    </row>
    <row r="5776" spans="1:10" ht="24" customHeight="1">
      <c r="A5776" s="672" t="s">
        <v>13467</v>
      </c>
      <c r="B5776" s="673" t="s">
        <v>13558</v>
      </c>
      <c r="C5776" s="672" t="s">
        <v>7</v>
      </c>
      <c r="D5776" s="672" t="s">
        <v>13557</v>
      </c>
      <c r="E5776" s="919" t="s">
        <v>13556</v>
      </c>
      <c r="F5776" s="919"/>
      <c r="G5776" s="671" t="s">
        <v>19</v>
      </c>
      <c r="H5776" s="670">
        <v>1</v>
      </c>
      <c r="I5776" s="669">
        <v>0.55000000000000004</v>
      </c>
      <c r="J5776" s="669">
        <v>0.55000000000000004</v>
      </c>
    </row>
    <row r="5777" spans="1:10" ht="24" customHeight="1">
      <c r="A5777" s="672" t="s">
        <v>13467</v>
      </c>
      <c r="B5777" s="673" t="s">
        <v>13663</v>
      </c>
      <c r="C5777" s="672" t="s">
        <v>7</v>
      </c>
      <c r="D5777" s="672" t="s">
        <v>13662</v>
      </c>
      <c r="E5777" s="919" t="s">
        <v>13493</v>
      </c>
      <c r="F5777" s="919"/>
      <c r="G5777" s="671" t="s">
        <v>19</v>
      </c>
      <c r="H5777" s="670">
        <v>1</v>
      </c>
      <c r="I5777" s="669">
        <v>0.01</v>
      </c>
      <c r="J5777" s="669">
        <v>0.01</v>
      </c>
    </row>
    <row r="5778" spans="1:10" ht="24" customHeight="1">
      <c r="A5778" s="672" t="s">
        <v>13467</v>
      </c>
      <c r="B5778" s="673" t="s">
        <v>13672</v>
      </c>
      <c r="C5778" s="672" t="s">
        <v>7</v>
      </c>
      <c r="D5778" s="672" t="s">
        <v>13671</v>
      </c>
      <c r="E5778" s="919" t="s">
        <v>13548</v>
      </c>
      <c r="F5778" s="919"/>
      <c r="G5778" s="671" t="s">
        <v>19</v>
      </c>
      <c r="H5778" s="670">
        <v>1</v>
      </c>
      <c r="I5778" s="669">
        <v>8.1999999999999993</v>
      </c>
      <c r="J5778" s="669">
        <v>8.1999999999999993</v>
      </c>
    </row>
    <row r="5779" spans="1:10" ht="24" customHeight="1">
      <c r="A5779" s="672" t="s">
        <v>13467</v>
      </c>
      <c r="B5779" s="673" t="s">
        <v>13553</v>
      </c>
      <c r="C5779" s="672" t="s">
        <v>7</v>
      </c>
      <c r="D5779" s="672" t="s">
        <v>13552</v>
      </c>
      <c r="E5779" s="919" t="s">
        <v>13551</v>
      </c>
      <c r="F5779" s="919"/>
      <c r="G5779" s="671" t="s">
        <v>19</v>
      </c>
      <c r="H5779" s="670">
        <v>1</v>
      </c>
      <c r="I5779" s="669">
        <v>0.06</v>
      </c>
      <c r="J5779" s="669">
        <v>0.06</v>
      </c>
    </row>
    <row r="5780" spans="1:10" ht="24" customHeight="1">
      <c r="A5780" s="672" t="s">
        <v>13467</v>
      </c>
      <c r="B5780" s="673" t="s">
        <v>13547</v>
      </c>
      <c r="C5780" s="672" t="s">
        <v>7</v>
      </c>
      <c r="D5780" s="672" t="s">
        <v>13546</v>
      </c>
      <c r="E5780" s="919" t="s">
        <v>13545</v>
      </c>
      <c r="F5780" s="919"/>
      <c r="G5780" s="671" t="s">
        <v>19</v>
      </c>
      <c r="H5780" s="670">
        <v>1</v>
      </c>
      <c r="I5780" s="669">
        <v>0.71</v>
      </c>
      <c r="J5780" s="669">
        <v>0.71</v>
      </c>
    </row>
    <row r="5781" spans="1:10" ht="25.5">
      <c r="A5781" s="668"/>
      <c r="B5781" s="668"/>
      <c r="C5781" s="668"/>
      <c r="D5781" s="668"/>
      <c r="E5781" s="668" t="s">
        <v>13463</v>
      </c>
      <c r="F5781" s="667">
        <v>4.4768010431381065</v>
      </c>
      <c r="G5781" s="668" t="s">
        <v>13462</v>
      </c>
      <c r="H5781" s="667">
        <v>3.76</v>
      </c>
      <c r="I5781" s="668" t="s">
        <v>13461</v>
      </c>
      <c r="J5781" s="667">
        <v>8.2399999999999984</v>
      </c>
    </row>
    <row r="5782" spans="1:10" ht="15" thickBot="1">
      <c r="A5782" s="668"/>
      <c r="B5782" s="668"/>
      <c r="C5782" s="668"/>
      <c r="D5782" s="668"/>
      <c r="E5782" s="668" t="s">
        <v>13460</v>
      </c>
      <c r="F5782" s="667">
        <v>3.15</v>
      </c>
      <c r="G5782" s="668"/>
      <c r="H5782" s="925" t="s">
        <v>13459</v>
      </c>
      <c r="I5782" s="925"/>
      <c r="J5782" s="667">
        <v>14.31</v>
      </c>
    </row>
    <row r="5783" spans="1:10" ht="0.95" customHeight="1" thickTop="1">
      <c r="A5783" s="666"/>
      <c r="B5783" s="666"/>
      <c r="C5783" s="666"/>
      <c r="D5783" s="666"/>
      <c r="E5783" s="666"/>
      <c r="F5783" s="666"/>
      <c r="G5783" s="666"/>
      <c r="H5783" s="666"/>
      <c r="I5783" s="666"/>
      <c r="J5783" s="666"/>
    </row>
    <row r="5784" spans="1:10" ht="18" customHeight="1">
      <c r="A5784" s="686"/>
      <c r="B5784" s="684" t="s">
        <v>13484</v>
      </c>
      <c r="C5784" s="686" t="s">
        <v>13483</v>
      </c>
      <c r="D5784" s="686" t="s">
        <v>13482</v>
      </c>
      <c r="E5784" s="924" t="s">
        <v>13481</v>
      </c>
      <c r="F5784" s="924"/>
      <c r="G5784" s="685" t="s">
        <v>13480</v>
      </c>
      <c r="H5784" s="684" t="s">
        <v>13479</v>
      </c>
      <c r="I5784" s="684" t="s">
        <v>13478</v>
      </c>
      <c r="J5784" s="684" t="s">
        <v>13477</v>
      </c>
    </row>
    <row r="5785" spans="1:10" ht="24" customHeight="1">
      <c r="A5785" s="682" t="s">
        <v>13476</v>
      </c>
      <c r="B5785" s="683" t="s">
        <v>13576</v>
      </c>
      <c r="C5785" s="682" t="s">
        <v>7</v>
      </c>
      <c r="D5785" s="682" t="s">
        <v>159</v>
      </c>
      <c r="E5785" s="917" t="s">
        <v>13470</v>
      </c>
      <c r="F5785" s="917"/>
      <c r="G5785" s="681" t="s">
        <v>19</v>
      </c>
      <c r="H5785" s="680">
        <v>1</v>
      </c>
      <c r="I5785" s="679">
        <v>13.4</v>
      </c>
      <c r="J5785" s="679">
        <v>13.4</v>
      </c>
    </row>
    <row r="5786" spans="1:10" ht="24" customHeight="1">
      <c r="A5786" s="677" t="s">
        <v>13472</v>
      </c>
      <c r="B5786" s="678" t="s">
        <v>13670</v>
      </c>
      <c r="C5786" s="677" t="s">
        <v>7</v>
      </c>
      <c r="D5786" s="677" t="s">
        <v>2771</v>
      </c>
      <c r="E5786" s="918" t="s">
        <v>13470</v>
      </c>
      <c r="F5786" s="918"/>
      <c r="G5786" s="676" t="s">
        <v>19</v>
      </c>
      <c r="H5786" s="675">
        <v>1</v>
      </c>
      <c r="I5786" s="674">
        <v>0.08</v>
      </c>
      <c r="J5786" s="674">
        <v>0.08</v>
      </c>
    </row>
    <row r="5787" spans="1:10" ht="24" customHeight="1">
      <c r="A5787" s="672" t="s">
        <v>13467</v>
      </c>
      <c r="B5787" s="673" t="s">
        <v>13562</v>
      </c>
      <c r="C5787" s="672" t="s">
        <v>7</v>
      </c>
      <c r="D5787" s="672" t="s">
        <v>13561</v>
      </c>
      <c r="E5787" s="919" t="s">
        <v>13556</v>
      </c>
      <c r="F5787" s="919"/>
      <c r="G5787" s="671" t="s">
        <v>19</v>
      </c>
      <c r="H5787" s="670">
        <v>1</v>
      </c>
      <c r="I5787" s="669">
        <v>0.96</v>
      </c>
      <c r="J5787" s="669">
        <v>0.96</v>
      </c>
    </row>
    <row r="5788" spans="1:10" ht="24" customHeight="1">
      <c r="A5788" s="672" t="s">
        <v>13467</v>
      </c>
      <c r="B5788" s="673" t="s">
        <v>13665</v>
      </c>
      <c r="C5788" s="672" t="s">
        <v>7</v>
      </c>
      <c r="D5788" s="672" t="s">
        <v>13664</v>
      </c>
      <c r="E5788" s="919" t="s">
        <v>13493</v>
      </c>
      <c r="F5788" s="919"/>
      <c r="G5788" s="671" t="s">
        <v>19</v>
      </c>
      <c r="H5788" s="670">
        <v>1</v>
      </c>
      <c r="I5788" s="669">
        <v>0.63</v>
      </c>
      <c r="J5788" s="669">
        <v>0.63</v>
      </c>
    </row>
    <row r="5789" spans="1:10" ht="24" customHeight="1">
      <c r="A5789" s="672" t="s">
        <v>13467</v>
      </c>
      <c r="B5789" s="673" t="s">
        <v>13558</v>
      </c>
      <c r="C5789" s="672" t="s">
        <v>7</v>
      </c>
      <c r="D5789" s="672" t="s">
        <v>13557</v>
      </c>
      <c r="E5789" s="919" t="s">
        <v>13556</v>
      </c>
      <c r="F5789" s="919"/>
      <c r="G5789" s="671" t="s">
        <v>19</v>
      </c>
      <c r="H5789" s="670">
        <v>1</v>
      </c>
      <c r="I5789" s="669">
        <v>0.55000000000000004</v>
      </c>
      <c r="J5789" s="669">
        <v>0.55000000000000004</v>
      </c>
    </row>
    <row r="5790" spans="1:10" ht="24" customHeight="1">
      <c r="A5790" s="672" t="s">
        <v>13467</v>
      </c>
      <c r="B5790" s="673" t="s">
        <v>13663</v>
      </c>
      <c r="C5790" s="672" t="s">
        <v>7</v>
      </c>
      <c r="D5790" s="672" t="s">
        <v>13662</v>
      </c>
      <c r="E5790" s="919" t="s">
        <v>13493</v>
      </c>
      <c r="F5790" s="919"/>
      <c r="G5790" s="671" t="s">
        <v>19</v>
      </c>
      <c r="H5790" s="670">
        <v>1</v>
      </c>
      <c r="I5790" s="669">
        <v>0.01</v>
      </c>
      <c r="J5790" s="669">
        <v>0.01</v>
      </c>
    </row>
    <row r="5791" spans="1:10" ht="24" customHeight="1">
      <c r="A5791" s="672" t="s">
        <v>13467</v>
      </c>
      <c r="B5791" s="673" t="s">
        <v>13669</v>
      </c>
      <c r="C5791" s="672" t="s">
        <v>7</v>
      </c>
      <c r="D5791" s="672" t="s">
        <v>13668</v>
      </c>
      <c r="E5791" s="919" t="s">
        <v>13548</v>
      </c>
      <c r="F5791" s="919"/>
      <c r="G5791" s="671" t="s">
        <v>19</v>
      </c>
      <c r="H5791" s="670">
        <v>1</v>
      </c>
      <c r="I5791" s="669">
        <v>10.4</v>
      </c>
      <c r="J5791" s="669">
        <v>10.4</v>
      </c>
    </row>
    <row r="5792" spans="1:10" ht="24" customHeight="1">
      <c r="A5792" s="672" t="s">
        <v>13467</v>
      </c>
      <c r="B5792" s="673" t="s">
        <v>13553</v>
      </c>
      <c r="C5792" s="672" t="s">
        <v>7</v>
      </c>
      <c r="D5792" s="672" t="s">
        <v>13552</v>
      </c>
      <c r="E5792" s="919" t="s">
        <v>13551</v>
      </c>
      <c r="F5792" s="919"/>
      <c r="G5792" s="671" t="s">
        <v>19</v>
      </c>
      <c r="H5792" s="670">
        <v>1</v>
      </c>
      <c r="I5792" s="669">
        <v>0.06</v>
      </c>
      <c r="J5792" s="669">
        <v>0.06</v>
      </c>
    </row>
    <row r="5793" spans="1:10" ht="24" customHeight="1">
      <c r="A5793" s="672" t="s">
        <v>13467</v>
      </c>
      <c r="B5793" s="673" t="s">
        <v>13547</v>
      </c>
      <c r="C5793" s="672" t="s">
        <v>7</v>
      </c>
      <c r="D5793" s="672" t="s">
        <v>13546</v>
      </c>
      <c r="E5793" s="919" t="s">
        <v>13545</v>
      </c>
      <c r="F5793" s="919"/>
      <c r="G5793" s="671" t="s">
        <v>19</v>
      </c>
      <c r="H5793" s="670">
        <v>1</v>
      </c>
      <c r="I5793" s="669">
        <v>0.71</v>
      </c>
      <c r="J5793" s="669">
        <v>0.71</v>
      </c>
    </row>
    <row r="5794" spans="1:10" ht="25.5">
      <c r="A5794" s="668"/>
      <c r="B5794" s="668"/>
      <c r="C5794" s="668"/>
      <c r="D5794" s="668"/>
      <c r="E5794" s="668" t="s">
        <v>13463</v>
      </c>
      <c r="F5794" s="667">
        <v>5.6937955000000002</v>
      </c>
      <c r="G5794" s="668" t="s">
        <v>13462</v>
      </c>
      <c r="H5794" s="667">
        <v>4.79</v>
      </c>
      <c r="I5794" s="668" t="s">
        <v>13461</v>
      </c>
      <c r="J5794" s="667">
        <v>10.48</v>
      </c>
    </row>
    <row r="5795" spans="1:10" ht="15" thickBot="1">
      <c r="A5795" s="668"/>
      <c r="B5795" s="668"/>
      <c r="C5795" s="668"/>
      <c r="D5795" s="668"/>
      <c r="E5795" s="668" t="s">
        <v>13460</v>
      </c>
      <c r="F5795" s="667">
        <v>3.78</v>
      </c>
      <c r="G5795" s="668"/>
      <c r="H5795" s="925" t="s">
        <v>13459</v>
      </c>
      <c r="I5795" s="925"/>
      <c r="J5795" s="667">
        <v>17.18</v>
      </c>
    </row>
    <row r="5796" spans="1:10" ht="0.95" customHeight="1" thickTop="1">
      <c r="A5796" s="666"/>
      <c r="B5796" s="666"/>
      <c r="C5796" s="666"/>
      <c r="D5796" s="666"/>
      <c r="E5796" s="666"/>
      <c r="F5796" s="666"/>
      <c r="G5796" s="666"/>
      <c r="H5796" s="666"/>
      <c r="I5796" s="666"/>
      <c r="J5796" s="666"/>
    </row>
    <row r="5797" spans="1:10" ht="18" customHeight="1">
      <c r="A5797" s="686"/>
      <c r="B5797" s="684" t="s">
        <v>13484</v>
      </c>
      <c r="C5797" s="686" t="s">
        <v>13483</v>
      </c>
      <c r="D5797" s="686" t="s">
        <v>13482</v>
      </c>
      <c r="E5797" s="924" t="s">
        <v>13481</v>
      </c>
      <c r="F5797" s="924"/>
      <c r="G5797" s="685" t="s">
        <v>13480</v>
      </c>
      <c r="H5797" s="684" t="s">
        <v>13479</v>
      </c>
      <c r="I5797" s="684" t="s">
        <v>13478</v>
      </c>
      <c r="J5797" s="684" t="s">
        <v>13477</v>
      </c>
    </row>
    <row r="5798" spans="1:10" ht="24" customHeight="1">
      <c r="A5798" s="682" t="s">
        <v>13476</v>
      </c>
      <c r="B5798" s="683" t="s">
        <v>13667</v>
      </c>
      <c r="C5798" s="682" t="s">
        <v>7</v>
      </c>
      <c r="D5798" s="682" t="s">
        <v>166</v>
      </c>
      <c r="E5798" s="917" t="s">
        <v>13470</v>
      </c>
      <c r="F5798" s="917"/>
      <c r="G5798" s="681" t="s">
        <v>19</v>
      </c>
      <c r="H5798" s="680">
        <v>1</v>
      </c>
      <c r="I5798" s="679">
        <v>15.25</v>
      </c>
      <c r="J5798" s="679">
        <v>15.25</v>
      </c>
    </row>
    <row r="5799" spans="1:10" ht="24" customHeight="1">
      <c r="A5799" s="677" t="s">
        <v>13472</v>
      </c>
      <c r="B5799" s="678" t="s">
        <v>13666</v>
      </c>
      <c r="C5799" s="677" t="s">
        <v>7</v>
      </c>
      <c r="D5799" s="677" t="s">
        <v>2779</v>
      </c>
      <c r="E5799" s="918" t="s">
        <v>13470</v>
      </c>
      <c r="F5799" s="918"/>
      <c r="G5799" s="676" t="s">
        <v>19</v>
      </c>
      <c r="H5799" s="675">
        <v>1</v>
      </c>
      <c r="I5799" s="674">
        <v>0.1</v>
      </c>
      <c r="J5799" s="674">
        <v>0.1</v>
      </c>
    </row>
    <row r="5800" spans="1:10" ht="24" customHeight="1">
      <c r="A5800" s="672" t="s">
        <v>13467</v>
      </c>
      <c r="B5800" s="673" t="s">
        <v>13562</v>
      </c>
      <c r="C5800" s="672" t="s">
        <v>7</v>
      </c>
      <c r="D5800" s="672" t="s">
        <v>13561</v>
      </c>
      <c r="E5800" s="919" t="s">
        <v>13556</v>
      </c>
      <c r="F5800" s="919"/>
      <c r="G5800" s="671" t="s">
        <v>19</v>
      </c>
      <c r="H5800" s="670">
        <v>1</v>
      </c>
      <c r="I5800" s="669">
        <v>0.96</v>
      </c>
      <c r="J5800" s="669">
        <v>0.96</v>
      </c>
    </row>
    <row r="5801" spans="1:10" ht="24" customHeight="1">
      <c r="A5801" s="672" t="s">
        <v>13467</v>
      </c>
      <c r="B5801" s="673" t="s">
        <v>13665</v>
      </c>
      <c r="C5801" s="672" t="s">
        <v>7</v>
      </c>
      <c r="D5801" s="672" t="s">
        <v>13664</v>
      </c>
      <c r="E5801" s="919" t="s">
        <v>13493</v>
      </c>
      <c r="F5801" s="919"/>
      <c r="G5801" s="671" t="s">
        <v>19</v>
      </c>
      <c r="H5801" s="670">
        <v>1</v>
      </c>
      <c r="I5801" s="669">
        <v>0.63</v>
      </c>
      <c r="J5801" s="669">
        <v>0.63</v>
      </c>
    </row>
    <row r="5802" spans="1:10" ht="24" customHeight="1">
      <c r="A5802" s="672" t="s">
        <v>13467</v>
      </c>
      <c r="B5802" s="673" t="s">
        <v>13558</v>
      </c>
      <c r="C5802" s="672" t="s">
        <v>7</v>
      </c>
      <c r="D5802" s="672" t="s">
        <v>13557</v>
      </c>
      <c r="E5802" s="919" t="s">
        <v>13556</v>
      </c>
      <c r="F5802" s="919"/>
      <c r="G5802" s="671" t="s">
        <v>19</v>
      </c>
      <c r="H5802" s="670">
        <v>1</v>
      </c>
      <c r="I5802" s="669">
        <v>0.55000000000000004</v>
      </c>
      <c r="J5802" s="669">
        <v>0.55000000000000004</v>
      </c>
    </row>
    <row r="5803" spans="1:10" ht="24" customHeight="1">
      <c r="A5803" s="672" t="s">
        <v>13467</v>
      </c>
      <c r="B5803" s="673" t="s">
        <v>13663</v>
      </c>
      <c r="C5803" s="672" t="s">
        <v>7</v>
      </c>
      <c r="D5803" s="672" t="s">
        <v>13662</v>
      </c>
      <c r="E5803" s="919" t="s">
        <v>13493</v>
      </c>
      <c r="F5803" s="919"/>
      <c r="G5803" s="671" t="s">
        <v>19</v>
      </c>
      <c r="H5803" s="670">
        <v>1</v>
      </c>
      <c r="I5803" s="669">
        <v>0.01</v>
      </c>
      <c r="J5803" s="669">
        <v>0.01</v>
      </c>
    </row>
    <row r="5804" spans="1:10" ht="24" customHeight="1">
      <c r="A5804" s="672" t="s">
        <v>13467</v>
      </c>
      <c r="B5804" s="673" t="s">
        <v>13661</v>
      </c>
      <c r="C5804" s="672" t="s">
        <v>7</v>
      </c>
      <c r="D5804" s="672" t="s">
        <v>13660</v>
      </c>
      <c r="E5804" s="919" t="s">
        <v>13548</v>
      </c>
      <c r="F5804" s="919"/>
      <c r="G5804" s="671" t="s">
        <v>19</v>
      </c>
      <c r="H5804" s="670">
        <v>1</v>
      </c>
      <c r="I5804" s="669">
        <v>12.23</v>
      </c>
      <c r="J5804" s="669">
        <v>12.23</v>
      </c>
    </row>
    <row r="5805" spans="1:10" ht="24" customHeight="1">
      <c r="A5805" s="672" t="s">
        <v>13467</v>
      </c>
      <c r="B5805" s="673" t="s">
        <v>13553</v>
      </c>
      <c r="C5805" s="672" t="s">
        <v>7</v>
      </c>
      <c r="D5805" s="672" t="s">
        <v>13552</v>
      </c>
      <c r="E5805" s="919" t="s">
        <v>13551</v>
      </c>
      <c r="F5805" s="919"/>
      <c r="G5805" s="671" t="s">
        <v>19</v>
      </c>
      <c r="H5805" s="670">
        <v>1</v>
      </c>
      <c r="I5805" s="669">
        <v>0.06</v>
      </c>
      <c r="J5805" s="669">
        <v>0.06</v>
      </c>
    </row>
    <row r="5806" spans="1:10" ht="24" customHeight="1">
      <c r="A5806" s="672" t="s">
        <v>13467</v>
      </c>
      <c r="B5806" s="673" t="s">
        <v>13547</v>
      </c>
      <c r="C5806" s="672" t="s">
        <v>7</v>
      </c>
      <c r="D5806" s="672" t="s">
        <v>13546</v>
      </c>
      <c r="E5806" s="919" t="s">
        <v>13545</v>
      </c>
      <c r="F5806" s="919"/>
      <c r="G5806" s="671" t="s">
        <v>19</v>
      </c>
      <c r="H5806" s="670">
        <v>1</v>
      </c>
      <c r="I5806" s="669">
        <v>0.71</v>
      </c>
      <c r="J5806" s="669">
        <v>0.71</v>
      </c>
    </row>
    <row r="5807" spans="1:10" ht="25.5">
      <c r="A5807" s="668"/>
      <c r="B5807" s="668"/>
      <c r="C5807" s="668"/>
      <c r="D5807" s="668"/>
      <c r="E5807" s="668" t="s">
        <v>13463</v>
      </c>
      <c r="F5807" s="667">
        <v>6.6989025</v>
      </c>
      <c r="G5807" s="668" t="s">
        <v>13462</v>
      </c>
      <c r="H5807" s="667">
        <v>5.63</v>
      </c>
      <c r="I5807" s="668" t="s">
        <v>13461</v>
      </c>
      <c r="J5807" s="667">
        <v>12.33</v>
      </c>
    </row>
    <row r="5808" spans="1:10" ht="15" thickBot="1">
      <c r="A5808" s="668"/>
      <c r="B5808" s="668"/>
      <c r="C5808" s="668"/>
      <c r="D5808" s="668"/>
      <c r="E5808" s="668" t="s">
        <v>13460</v>
      </c>
      <c r="F5808" s="667">
        <v>4.3</v>
      </c>
      <c r="G5808" s="668"/>
      <c r="H5808" s="925" t="s">
        <v>13459</v>
      </c>
      <c r="I5808" s="925"/>
      <c r="J5808" s="667">
        <v>19.55</v>
      </c>
    </row>
    <row r="5809" spans="1:10" ht="0.95" customHeight="1" thickTop="1">
      <c r="A5809" s="666"/>
      <c r="B5809" s="666"/>
      <c r="C5809" s="666"/>
      <c r="D5809" s="666"/>
      <c r="E5809" s="666"/>
      <c r="F5809" s="666"/>
      <c r="G5809" s="666"/>
      <c r="H5809" s="666"/>
      <c r="I5809" s="666"/>
      <c r="J5809" s="666"/>
    </row>
    <row r="5810" spans="1:10" ht="18" customHeight="1">
      <c r="A5810" s="686"/>
      <c r="B5810" s="684" t="s">
        <v>13484</v>
      </c>
      <c r="C5810" s="686" t="s">
        <v>13483</v>
      </c>
      <c r="D5810" s="686" t="s">
        <v>13482</v>
      </c>
      <c r="E5810" s="924" t="s">
        <v>13481</v>
      </c>
      <c r="F5810" s="924"/>
      <c r="G5810" s="685" t="s">
        <v>13480</v>
      </c>
      <c r="H5810" s="684" t="s">
        <v>13479</v>
      </c>
      <c r="I5810" s="684" t="s">
        <v>13478</v>
      </c>
      <c r="J5810" s="684" t="s">
        <v>13477</v>
      </c>
    </row>
    <row r="5811" spans="1:10" ht="48" customHeight="1">
      <c r="A5811" s="682" t="s">
        <v>13476</v>
      </c>
      <c r="B5811" s="683" t="s">
        <v>13659</v>
      </c>
      <c r="C5811" s="682" t="s">
        <v>7</v>
      </c>
      <c r="D5811" s="682" t="s">
        <v>2855</v>
      </c>
      <c r="E5811" s="917" t="s">
        <v>13491</v>
      </c>
      <c r="F5811" s="917"/>
      <c r="G5811" s="681" t="s">
        <v>19</v>
      </c>
      <c r="H5811" s="680">
        <v>1</v>
      </c>
      <c r="I5811" s="679">
        <v>1.1399999999999999</v>
      </c>
      <c r="J5811" s="679">
        <v>1.1399999999999999</v>
      </c>
    </row>
    <row r="5812" spans="1:10" ht="36" customHeight="1">
      <c r="A5812" s="672" t="s">
        <v>13467</v>
      </c>
      <c r="B5812" s="673" t="s">
        <v>13656</v>
      </c>
      <c r="C5812" s="672" t="s">
        <v>7</v>
      </c>
      <c r="D5812" s="672" t="s">
        <v>13655</v>
      </c>
      <c r="E5812" s="919" t="s">
        <v>13464</v>
      </c>
      <c r="F5812" s="919"/>
      <c r="G5812" s="671" t="s">
        <v>34</v>
      </c>
      <c r="H5812" s="670">
        <v>6.3999999999999997E-5</v>
      </c>
      <c r="I5812" s="669">
        <v>17894.63</v>
      </c>
      <c r="J5812" s="669">
        <v>1.1399999999999999</v>
      </c>
    </row>
    <row r="5813" spans="1:10" ht="25.5">
      <c r="A5813" s="668"/>
      <c r="B5813" s="668"/>
      <c r="C5813" s="668"/>
      <c r="D5813" s="668"/>
      <c r="E5813" s="668" t="s">
        <v>13463</v>
      </c>
      <c r="F5813" s="667">
        <v>0</v>
      </c>
      <c r="G5813" s="668" t="s">
        <v>13462</v>
      </c>
      <c r="H5813" s="667">
        <v>0</v>
      </c>
      <c r="I5813" s="668" t="s">
        <v>13461</v>
      </c>
      <c r="J5813" s="667">
        <v>0</v>
      </c>
    </row>
    <row r="5814" spans="1:10" ht="15" thickBot="1">
      <c r="A5814" s="668"/>
      <c r="B5814" s="668"/>
      <c r="C5814" s="668"/>
      <c r="D5814" s="668"/>
      <c r="E5814" s="668" t="s">
        <v>13460</v>
      </c>
      <c r="F5814" s="667">
        <v>0.32</v>
      </c>
      <c r="G5814" s="668"/>
      <c r="H5814" s="925" t="s">
        <v>13459</v>
      </c>
      <c r="I5814" s="925"/>
      <c r="J5814" s="667">
        <v>1.46</v>
      </c>
    </row>
    <row r="5815" spans="1:10" ht="0.95" customHeight="1" thickTop="1">
      <c r="A5815" s="666"/>
      <c r="B5815" s="666"/>
      <c r="C5815" s="666"/>
      <c r="D5815" s="666"/>
      <c r="E5815" s="666"/>
      <c r="F5815" s="666"/>
      <c r="G5815" s="666"/>
      <c r="H5815" s="666"/>
      <c r="I5815" s="666"/>
      <c r="J5815" s="666"/>
    </row>
    <row r="5816" spans="1:10" ht="18" customHeight="1">
      <c r="A5816" s="686"/>
      <c r="B5816" s="684" t="s">
        <v>13484</v>
      </c>
      <c r="C5816" s="686" t="s">
        <v>13483</v>
      </c>
      <c r="D5816" s="686" t="s">
        <v>13482</v>
      </c>
      <c r="E5816" s="924" t="s">
        <v>13481</v>
      </c>
      <c r="F5816" s="924"/>
      <c r="G5816" s="685" t="s">
        <v>13480</v>
      </c>
      <c r="H5816" s="684" t="s">
        <v>13479</v>
      </c>
      <c r="I5816" s="684" t="s">
        <v>13478</v>
      </c>
      <c r="J5816" s="684" t="s">
        <v>13477</v>
      </c>
    </row>
    <row r="5817" spans="1:10" ht="36" customHeight="1">
      <c r="A5817" s="682" t="s">
        <v>13476</v>
      </c>
      <c r="B5817" s="683" t="s">
        <v>13658</v>
      </c>
      <c r="C5817" s="682" t="s">
        <v>7</v>
      </c>
      <c r="D5817" s="682" t="s">
        <v>2856</v>
      </c>
      <c r="E5817" s="917" t="s">
        <v>13491</v>
      </c>
      <c r="F5817" s="917"/>
      <c r="G5817" s="681" t="s">
        <v>19</v>
      </c>
      <c r="H5817" s="680">
        <v>1</v>
      </c>
      <c r="I5817" s="679">
        <v>0.13</v>
      </c>
      <c r="J5817" s="679">
        <v>0.13</v>
      </c>
    </row>
    <row r="5818" spans="1:10" ht="36" customHeight="1">
      <c r="A5818" s="672" t="s">
        <v>13467</v>
      </c>
      <c r="B5818" s="673" t="s">
        <v>13656</v>
      </c>
      <c r="C5818" s="672" t="s">
        <v>7</v>
      </c>
      <c r="D5818" s="672" t="s">
        <v>13655</v>
      </c>
      <c r="E5818" s="919" t="s">
        <v>13464</v>
      </c>
      <c r="F5818" s="919"/>
      <c r="G5818" s="671" t="s">
        <v>34</v>
      </c>
      <c r="H5818" s="670">
        <v>7.6000000000000001E-6</v>
      </c>
      <c r="I5818" s="669">
        <v>17894.63</v>
      </c>
      <c r="J5818" s="669">
        <v>0.13</v>
      </c>
    </row>
    <row r="5819" spans="1:10" ht="25.5">
      <c r="A5819" s="668"/>
      <c r="B5819" s="668"/>
      <c r="C5819" s="668"/>
      <c r="D5819" s="668"/>
      <c r="E5819" s="668" t="s">
        <v>13463</v>
      </c>
      <c r="F5819" s="667">
        <v>0</v>
      </c>
      <c r="G5819" s="668" t="s">
        <v>13462</v>
      </c>
      <c r="H5819" s="667">
        <v>0</v>
      </c>
      <c r="I5819" s="668" t="s">
        <v>13461</v>
      </c>
      <c r="J5819" s="667">
        <v>0</v>
      </c>
    </row>
    <row r="5820" spans="1:10" ht="15" thickBot="1">
      <c r="A5820" s="668"/>
      <c r="B5820" s="668"/>
      <c r="C5820" s="668"/>
      <c r="D5820" s="668"/>
      <c r="E5820" s="668" t="s">
        <v>13460</v>
      </c>
      <c r="F5820" s="667">
        <v>0.03</v>
      </c>
      <c r="G5820" s="668"/>
      <c r="H5820" s="925" t="s">
        <v>13459</v>
      </c>
      <c r="I5820" s="925"/>
      <c r="J5820" s="667">
        <v>0.16</v>
      </c>
    </row>
    <row r="5821" spans="1:10" ht="0.95" customHeight="1" thickTop="1">
      <c r="A5821" s="666"/>
      <c r="B5821" s="666"/>
      <c r="C5821" s="666"/>
      <c r="D5821" s="666"/>
      <c r="E5821" s="666"/>
      <c r="F5821" s="666"/>
      <c r="G5821" s="666"/>
      <c r="H5821" s="666"/>
      <c r="I5821" s="666"/>
      <c r="J5821" s="666"/>
    </row>
    <row r="5822" spans="1:10" ht="18" customHeight="1">
      <c r="A5822" s="686"/>
      <c r="B5822" s="684" t="s">
        <v>13484</v>
      </c>
      <c r="C5822" s="686" t="s">
        <v>13483</v>
      </c>
      <c r="D5822" s="686" t="s">
        <v>13482</v>
      </c>
      <c r="E5822" s="924" t="s">
        <v>13481</v>
      </c>
      <c r="F5822" s="924"/>
      <c r="G5822" s="685" t="s">
        <v>13480</v>
      </c>
      <c r="H5822" s="684" t="s">
        <v>13479</v>
      </c>
      <c r="I5822" s="684" t="s">
        <v>13478</v>
      </c>
      <c r="J5822" s="684" t="s">
        <v>13477</v>
      </c>
    </row>
    <row r="5823" spans="1:10" ht="48" customHeight="1">
      <c r="A5823" s="682" t="s">
        <v>13476</v>
      </c>
      <c r="B5823" s="683" t="s">
        <v>13657</v>
      </c>
      <c r="C5823" s="682" t="s">
        <v>7</v>
      </c>
      <c r="D5823" s="682" t="s">
        <v>2857</v>
      </c>
      <c r="E5823" s="917" t="s">
        <v>13491</v>
      </c>
      <c r="F5823" s="917"/>
      <c r="G5823" s="681" t="s">
        <v>19</v>
      </c>
      <c r="H5823" s="680">
        <v>1</v>
      </c>
      <c r="I5823" s="679">
        <v>1.43</v>
      </c>
      <c r="J5823" s="679">
        <v>1.43</v>
      </c>
    </row>
    <row r="5824" spans="1:10" ht="36" customHeight="1">
      <c r="A5824" s="672" t="s">
        <v>13467</v>
      </c>
      <c r="B5824" s="673" t="s">
        <v>13656</v>
      </c>
      <c r="C5824" s="672" t="s">
        <v>7</v>
      </c>
      <c r="D5824" s="672" t="s">
        <v>13655</v>
      </c>
      <c r="E5824" s="919" t="s">
        <v>13464</v>
      </c>
      <c r="F5824" s="919"/>
      <c r="G5824" s="671" t="s">
        <v>34</v>
      </c>
      <c r="H5824" s="670">
        <v>8.0000000000000007E-5</v>
      </c>
      <c r="I5824" s="669">
        <v>17894.63</v>
      </c>
      <c r="J5824" s="669">
        <v>1.43</v>
      </c>
    </row>
    <row r="5825" spans="1:10" ht="25.5">
      <c r="A5825" s="668"/>
      <c r="B5825" s="668"/>
      <c r="C5825" s="668"/>
      <c r="D5825" s="668"/>
      <c r="E5825" s="668" t="s">
        <v>13463</v>
      </c>
      <c r="F5825" s="667">
        <v>0</v>
      </c>
      <c r="G5825" s="668" t="s">
        <v>13462</v>
      </c>
      <c r="H5825" s="667">
        <v>0</v>
      </c>
      <c r="I5825" s="668" t="s">
        <v>13461</v>
      </c>
      <c r="J5825" s="667">
        <v>0</v>
      </c>
    </row>
    <row r="5826" spans="1:10" ht="15" thickBot="1">
      <c r="A5826" s="668"/>
      <c r="B5826" s="668"/>
      <c r="C5826" s="668"/>
      <c r="D5826" s="668"/>
      <c r="E5826" s="668" t="s">
        <v>13460</v>
      </c>
      <c r="F5826" s="667">
        <v>0.4</v>
      </c>
      <c r="G5826" s="668"/>
      <c r="H5826" s="925" t="s">
        <v>13459</v>
      </c>
      <c r="I5826" s="925"/>
      <c r="J5826" s="667">
        <v>1.83</v>
      </c>
    </row>
    <row r="5827" spans="1:10" ht="0.95" customHeight="1" thickTop="1">
      <c r="A5827" s="666"/>
      <c r="B5827" s="666"/>
      <c r="C5827" s="666"/>
      <c r="D5827" s="666"/>
      <c r="E5827" s="666"/>
      <c r="F5827" s="666"/>
      <c r="G5827" s="666"/>
      <c r="H5827" s="666"/>
      <c r="I5827" s="666"/>
      <c r="J5827" s="666"/>
    </row>
    <row r="5828" spans="1:10" ht="18" customHeight="1">
      <c r="A5828" s="686"/>
      <c r="B5828" s="684" t="s">
        <v>13484</v>
      </c>
      <c r="C5828" s="686" t="s">
        <v>13483</v>
      </c>
      <c r="D5828" s="686" t="s">
        <v>13482</v>
      </c>
      <c r="E5828" s="924" t="s">
        <v>13481</v>
      </c>
      <c r="F5828" s="924"/>
      <c r="G5828" s="685" t="s">
        <v>13480</v>
      </c>
      <c r="H5828" s="684" t="s">
        <v>13479</v>
      </c>
      <c r="I5828" s="684" t="s">
        <v>13478</v>
      </c>
      <c r="J5828" s="684" t="s">
        <v>13477</v>
      </c>
    </row>
    <row r="5829" spans="1:10" ht="36" customHeight="1">
      <c r="A5829" s="682" t="s">
        <v>13476</v>
      </c>
      <c r="B5829" s="683" t="s">
        <v>13654</v>
      </c>
      <c r="C5829" s="682" t="s">
        <v>7</v>
      </c>
      <c r="D5829" s="682" t="s">
        <v>3770</v>
      </c>
      <c r="E5829" s="917" t="s">
        <v>13646</v>
      </c>
      <c r="F5829" s="917"/>
      <c r="G5829" s="681" t="s">
        <v>13515</v>
      </c>
      <c r="H5829" s="680">
        <v>1</v>
      </c>
      <c r="I5829" s="679">
        <v>2300.73</v>
      </c>
      <c r="J5829" s="679">
        <v>2300.73</v>
      </c>
    </row>
    <row r="5830" spans="1:10" ht="36" customHeight="1">
      <c r="A5830" s="677" t="s">
        <v>13472</v>
      </c>
      <c r="B5830" s="678" t="s">
        <v>13577</v>
      </c>
      <c r="C5830" s="677" t="s">
        <v>7</v>
      </c>
      <c r="D5830" s="677" t="s">
        <v>1932</v>
      </c>
      <c r="E5830" s="918" t="s">
        <v>13491</v>
      </c>
      <c r="F5830" s="918"/>
      <c r="G5830" s="676" t="s">
        <v>38</v>
      </c>
      <c r="H5830" s="675">
        <v>0.48770000000000002</v>
      </c>
      <c r="I5830" s="674">
        <v>16.260000000000002</v>
      </c>
      <c r="J5830" s="674">
        <v>7.93</v>
      </c>
    </row>
    <row r="5831" spans="1:10" ht="36" customHeight="1">
      <c r="A5831" s="677" t="s">
        <v>13472</v>
      </c>
      <c r="B5831" s="678" t="s">
        <v>13499</v>
      </c>
      <c r="C5831" s="677" t="s">
        <v>7</v>
      </c>
      <c r="D5831" s="677" t="s">
        <v>1739</v>
      </c>
      <c r="E5831" s="918" t="s">
        <v>13491</v>
      </c>
      <c r="F5831" s="918"/>
      <c r="G5831" s="676" t="s">
        <v>38</v>
      </c>
      <c r="H5831" s="675">
        <v>6.6349999999999998</v>
      </c>
      <c r="I5831" s="674">
        <v>1.77</v>
      </c>
      <c r="J5831" s="674">
        <v>11.74</v>
      </c>
    </row>
    <row r="5832" spans="1:10" ht="36" customHeight="1">
      <c r="A5832" s="677" t="s">
        <v>13472</v>
      </c>
      <c r="B5832" s="678" t="s">
        <v>13500</v>
      </c>
      <c r="C5832" s="677" t="s">
        <v>7</v>
      </c>
      <c r="D5832" s="677" t="s">
        <v>1740</v>
      </c>
      <c r="E5832" s="918" t="s">
        <v>13491</v>
      </c>
      <c r="F5832" s="918"/>
      <c r="G5832" s="676" t="s">
        <v>53</v>
      </c>
      <c r="H5832" s="675">
        <v>18.246200000000002</v>
      </c>
      <c r="I5832" s="674">
        <v>0.42</v>
      </c>
      <c r="J5832" s="674">
        <v>7.66</v>
      </c>
    </row>
    <row r="5833" spans="1:10" ht="36" customHeight="1">
      <c r="A5833" s="677" t="s">
        <v>13472</v>
      </c>
      <c r="B5833" s="678" t="s">
        <v>13578</v>
      </c>
      <c r="C5833" s="677" t="s">
        <v>7</v>
      </c>
      <c r="D5833" s="677" t="s">
        <v>1933</v>
      </c>
      <c r="E5833" s="918" t="s">
        <v>13491</v>
      </c>
      <c r="F5833" s="918"/>
      <c r="G5833" s="676" t="s">
        <v>53</v>
      </c>
      <c r="H5833" s="675">
        <v>0.70430000000000004</v>
      </c>
      <c r="I5833" s="674">
        <v>13.53</v>
      </c>
      <c r="J5833" s="674">
        <v>9.52</v>
      </c>
    </row>
    <row r="5834" spans="1:10" ht="48" customHeight="1">
      <c r="A5834" s="677" t="s">
        <v>13472</v>
      </c>
      <c r="B5834" s="678" t="s">
        <v>13648</v>
      </c>
      <c r="C5834" s="677" t="s">
        <v>7</v>
      </c>
      <c r="D5834" s="677" t="s">
        <v>2197</v>
      </c>
      <c r="E5834" s="918" t="s">
        <v>13646</v>
      </c>
      <c r="F5834" s="918"/>
      <c r="G5834" s="676" t="s">
        <v>17</v>
      </c>
      <c r="H5834" s="675">
        <v>27.898800000000001</v>
      </c>
      <c r="I5834" s="674">
        <v>20.5</v>
      </c>
      <c r="J5834" s="674">
        <v>571.91999999999996</v>
      </c>
    </row>
    <row r="5835" spans="1:10" ht="36" customHeight="1">
      <c r="A5835" s="677" t="s">
        <v>13472</v>
      </c>
      <c r="B5835" s="678" t="s">
        <v>13647</v>
      </c>
      <c r="C5835" s="677" t="s">
        <v>7</v>
      </c>
      <c r="D5835" s="677" t="s">
        <v>7011</v>
      </c>
      <c r="E5835" s="918" t="s">
        <v>13646</v>
      </c>
      <c r="F5835" s="918"/>
      <c r="G5835" s="676" t="s">
        <v>13515</v>
      </c>
      <c r="H5835" s="675">
        <v>1.2</v>
      </c>
      <c r="I5835" s="674">
        <v>382.79</v>
      </c>
      <c r="J5835" s="674">
        <v>459.34</v>
      </c>
    </row>
    <row r="5836" spans="1:10" ht="24" customHeight="1">
      <c r="A5836" s="677" t="s">
        <v>13472</v>
      </c>
      <c r="B5836" s="678" t="s">
        <v>13645</v>
      </c>
      <c r="C5836" s="677" t="s">
        <v>7</v>
      </c>
      <c r="D5836" s="677" t="s">
        <v>46</v>
      </c>
      <c r="E5836" s="918" t="s">
        <v>13470</v>
      </c>
      <c r="F5836" s="918"/>
      <c r="G5836" s="676" t="s">
        <v>19</v>
      </c>
      <c r="H5836" s="675">
        <v>5.96</v>
      </c>
      <c r="I5836" s="674">
        <v>18.77</v>
      </c>
      <c r="J5836" s="674">
        <v>111.86</v>
      </c>
    </row>
    <row r="5837" spans="1:10" ht="24" customHeight="1">
      <c r="A5837" s="677" t="s">
        <v>13472</v>
      </c>
      <c r="B5837" s="678" t="s">
        <v>13644</v>
      </c>
      <c r="C5837" s="677" t="s">
        <v>7</v>
      </c>
      <c r="D5837" s="677" t="s">
        <v>39</v>
      </c>
      <c r="E5837" s="918" t="s">
        <v>13470</v>
      </c>
      <c r="F5837" s="918"/>
      <c r="G5837" s="676" t="s">
        <v>19</v>
      </c>
      <c r="H5837" s="675">
        <v>1.1919999999999999</v>
      </c>
      <c r="I5837" s="674">
        <v>14.57</v>
      </c>
      <c r="J5837" s="674">
        <v>17.36</v>
      </c>
    </row>
    <row r="5838" spans="1:10" ht="24" customHeight="1">
      <c r="A5838" s="677" t="s">
        <v>13472</v>
      </c>
      <c r="B5838" s="678" t="s">
        <v>13600</v>
      </c>
      <c r="C5838" s="677" t="s">
        <v>7</v>
      </c>
      <c r="D5838" s="677" t="s">
        <v>41</v>
      </c>
      <c r="E5838" s="918" t="s">
        <v>13470</v>
      </c>
      <c r="F5838" s="918"/>
      <c r="G5838" s="676" t="s">
        <v>19</v>
      </c>
      <c r="H5838" s="675">
        <v>31.5459</v>
      </c>
      <c r="I5838" s="674">
        <v>17.670000000000002</v>
      </c>
      <c r="J5838" s="674">
        <v>557.41</v>
      </c>
    </row>
    <row r="5839" spans="1:10" ht="24" customHeight="1">
      <c r="A5839" s="677" t="s">
        <v>13472</v>
      </c>
      <c r="B5839" s="678" t="s">
        <v>13471</v>
      </c>
      <c r="C5839" s="677" t="s">
        <v>7</v>
      </c>
      <c r="D5839" s="677" t="s">
        <v>21</v>
      </c>
      <c r="E5839" s="918" t="s">
        <v>13470</v>
      </c>
      <c r="F5839" s="918"/>
      <c r="G5839" s="676" t="s">
        <v>19</v>
      </c>
      <c r="H5839" s="675">
        <v>31.5459</v>
      </c>
      <c r="I5839" s="674">
        <v>14.02</v>
      </c>
      <c r="J5839" s="674">
        <v>442.27</v>
      </c>
    </row>
    <row r="5840" spans="1:10" ht="24" customHeight="1">
      <c r="A5840" s="672" t="s">
        <v>13467</v>
      </c>
      <c r="B5840" s="673" t="s">
        <v>13643</v>
      </c>
      <c r="C5840" s="672" t="s">
        <v>7</v>
      </c>
      <c r="D5840" s="672" t="s">
        <v>13642</v>
      </c>
      <c r="E5840" s="919" t="s">
        <v>13464</v>
      </c>
      <c r="F5840" s="919"/>
      <c r="G5840" s="671" t="s">
        <v>13610</v>
      </c>
      <c r="H5840" s="670">
        <v>1.9403999999999999</v>
      </c>
      <c r="I5840" s="669">
        <v>40.409999999999997</v>
      </c>
      <c r="J5840" s="669">
        <v>78.41</v>
      </c>
    </row>
    <row r="5841" spans="1:10" ht="24" customHeight="1">
      <c r="A5841" s="672" t="s">
        <v>13467</v>
      </c>
      <c r="B5841" s="673" t="s">
        <v>13641</v>
      </c>
      <c r="C5841" s="672" t="s">
        <v>7</v>
      </c>
      <c r="D5841" s="672" t="s">
        <v>13640</v>
      </c>
      <c r="E5841" s="919" t="s">
        <v>13464</v>
      </c>
      <c r="F5841" s="919"/>
      <c r="G5841" s="671" t="s">
        <v>50</v>
      </c>
      <c r="H5841" s="670">
        <v>8.3299999999999999E-2</v>
      </c>
      <c r="I5841" s="669">
        <v>5.22</v>
      </c>
      <c r="J5841" s="669">
        <v>0.43</v>
      </c>
    </row>
    <row r="5842" spans="1:10" ht="24" customHeight="1">
      <c r="A5842" s="672" t="s">
        <v>13467</v>
      </c>
      <c r="B5842" s="673" t="s">
        <v>13639</v>
      </c>
      <c r="C5842" s="672" t="s">
        <v>7</v>
      </c>
      <c r="D5842" s="672" t="s">
        <v>13638</v>
      </c>
      <c r="E5842" s="919" t="s">
        <v>13464</v>
      </c>
      <c r="F5842" s="919"/>
      <c r="G5842" s="671" t="s">
        <v>17</v>
      </c>
      <c r="H5842" s="670">
        <v>0.4365</v>
      </c>
      <c r="I5842" s="669">
        <v>20.27</v>
      </c>
      <c r="J5842" s="669">
        <v>8.84</v>
      </c>
    </row>
    <row r="5843" spans="1:10" ht="24" customHeight="1">
      <c r="A5843" s="672" t="s">
        <v>13467</v>
      </c>
      <c r="B5843" s="673" t="s">
        <v>13651</v>
      </c>
      <c r="C5843" s="672" t="s">
        <v>7</v>
      </c>
      <c r="D5843" s="672" t="s">
        <v>13650</v>
      </c>
      <c r="E5843" s="919" t="s">
        <v>13464</v>
      </c>
      <c r="F5843" s="919"/>
      <c r="G5843" s="671" t="s">
        <v>14</v>
      </c>
      <c r="H5843" s="670">
        <v>5.6283000000000003</v>
      </c>
      <c r="I5843" s="669">
        <v>2.85</v>
      </c>
      <c r="J5843" s="669">
        <v>16.04</v>
      </c>
    </row>
    <row r="5844" spans="1:10" ht="25.5">
      <c r="A5844" s="668"/>
      <c r="B5844" s="668"/>
      <c r="C5844" s="668"/>
      <c r="D5844" s="668"/>
      <c r="E5844" s="668" t="s">
        <v>13463</v>
      </c>
      <c r="F5844" s="667">
        <v>563.46843420623713</v>
      </c>
      <c r="G5844" s="668" t="s">
        <v>13462</v>
      </c>
      <c r="H5844" s="667">
        <v>473.65</v>
      </c>
      <c r="I5844" s="668" t="s">
        <v>13461</v>
      </c>
      <c r="J5844" s="667">
        <v>1037.1199999999999</v>
      </c>
    </row>
    <row r="5845" spans="1:10" ht="15" thickBot="1">
      <c r="A5845" s="668"/>
      <c r="B5845" s="668"/>
      <c r="C5845" s="668"/>
      <c r="D5845" s="668"/>
      <c r="E5845" s="668" t="s">
        <v>13460</v>
      </c>
      <c r="F5845" s="667">
        <v>649.72</v>
      </c>
      <c r="G5845" s="668"/>
      <c r="H5845" s="925" t="s">
        <v>13459</v>
      </c>
      <c r="I5845" s="925"/>
      <c r="J5845" s="667">
        <v>2950.45</v>
      </c>
    </row>
    <row r="5846" spans="1:10" ht="0.95" customHeight="1" thickTop="1">
      <c r="A5846" s="666"/>
      <c r="B5846" s="666"/>
      <c r="C5846" s="666"/>
      <c r="D5846" s="666"/>
      <c r="E5846" s="666"/>
      <c r="F5846" s="666"/>
      <c r="G5846" s="666"/>
      <c r="H5846" s="666"/>
      <c r="I5846" s="666"/>
      <c r="J5846" s="666"/>
    </row>
    <row r="5847" spans="1:10" ht="18" customHeight="1">
      <c r="A5847" s="686"/>
      <c r="B5847" s="684" t="s">
        <v>13484</v>
      </c>
      <c r="C5847" s="686" t="s">
        <v>13483</v>
      </c>
      <c r="D5847" s="686" t="s">
        <v>13482</v>
      </c>
      <c r="E5847" s="924" t="s">
        <v>13481</v>
      </c>
      <c r="F5847" s="924"/>
      <c r="G5847" s="685" t="s">
        <v>13480</v>
      </c>
      <c r="H5847" s="684" t="s">
        <v>13479</v>
      </c>
      <c r="I5847" s="684" t="s">
        <v>13478</v>
      </c>
      <c r="J5847" s="684" t="s">
        <v>13477</v>
      </c>
    </row>
    <row r="5848" spans="1:10" ht="36" customHeight="1">
      <c r="A5848" s="682" t="s">
        <v>13476</v>
      </c>
      <c r="B5848" s="683" t="s">
        <v>13653</v>
      </c>
      <c r="C5848" s="682" t="s">
        <v>7</v>
      </c>
      <c r="D5848" s="682" t="s">
        <v>3771</v>
      </c>
      <c r="E5848" s="917" t="s">
        <v>13646</v>
      </c>
      <c r="F5848" s="917"/>
      <c r="G5848" s="681" t="s">
        <v>13515</v>
      </c>
      <c r="H5848" s="680">
        <v>1</v>
      </c>
      <c r="I5848" s="679">
        <v>1971.46</v>
      </c>
      <c r="J5848" s="679">
        <v>1971.46</v>
      </c>
    </row>
    <row r="5849" spans="1:10" ht="36" customHeight="1">
      <c r="A5849" s="677" t="s">
        <v>13472</v>
      </c>
      <c r="B5849" s="678" t="s">
        <v>13499</v>
      </c>
      <c r="C5849" s="677" t="s">
        <v>7</v>
      </c>
      <c r="D5849" s="677" t="s">
        <v>1739</v>
      </c>
      <c r="E5849" s="918" t="s">
        <v>13491</v>
      </c>
      <c r="F5849" s="918"/>
      <c r="G5849" s="676" t="s">
        <v>38</v>
      </c>
      <c r="H5849" s="675">
        <v>4.7533000000000003</v>
      </c>
      <c r="I5849" s="674">
        <v>1.77</v>
      </c>
      <c r="J5849" s="674">
        <v>8.41</v>
      </c>
    </row>
    <row r="5850" spans="1:10" ht="36" customHeight="1">
      <c r="A5850" s="677" t="s">
        <v>13472</v>
      </c>
      <c r="B5850" s="678" t="s">
        <v>13577</v>
      </c>
      <c r="C5850" s="677" t="s">
        <v>7</v>
      </c>
      <c r="D5850" s="677" t="s">
        <v>1932</v>
      </c>
      <c r="E5850" s="918" t="s">
        <v>13491</v>
      </c>
      <c r="F5850" s="918"/>
      <c r="G5850" s="676" t="s">
        <v>38</v>
      </c>
      <c r="H5850" s="675">
        <v>0.313</v>
      </c>
      <c r="I5850" s="674">
        <v>16.260000000000002</v>
      </c>
      <c r="J5850" s="674">
        <v>5.08</v>
      </c>
    </row>
    <row r="5851" spans="1:10" ht="36" customHeight="1">
      <c r="A5851" s="677" t="s">
        <v>13472</v>
      </c>
      <c r="B5851" s="678" t="s">
        <v>13578</v>
      </c>
      <c r="C5851" s="677" t="s">
        <v>7</v>
      </c>
      <c r="D5851" s="677" t="s">
        <v>1933</v>
      </c>
      <c r="E5851" s="918" t="s">
        <v>13491</v>
      </c>
      <c r="F5851" s="918"/>
      <c r="G5851" s="676" t="s">
        <v>53</v>
      </c>
      <c r="H5851" s="675">
        <v>0.42259999999999998</v>
      </c>
      <c r="I5851" s="674">
        <v>13.53</v>
      </c>
      <c r="J5851" s="674">
        <v>5.71</v>
      </c>
    </row>
    <row r="5852" spans="1:10" ht="36" customHeight="1">
      <c r="A5852" s="677" t="s">
        <v>13472</v>
      </c>
      <c r="B5852" s="678" t="s">
        <v>13500</v>
      </c>
      <c r="C5852" s="677" t="s">
        <v>7</v>
      </c>
      <c r="D5852" s="677" t="s">
        <v>1740</v>
      </c>
      <c r="E5852" s="918" t="s">
        <v>13491</v>
      </c>
      <c r="F5852" s="918"/>
      <c r="G5852" s="676" t="s">
        <v>53</v>
      </c>
      <c r="H5852" s="675">
        <v>13.0715</v>
      </c>
      <c r="I5852" s="674">
        <v>0.42</v>
      </c>
      <c r="J5852" s="674">
        <v>5.49</v>
      </c>
    </row>
    <row r="5853" spans="1:10" ht="48" customHeight="1">
      <c r="A5853" s="677" t="s">
        <v>13472</v>
      </c>
      <c r="B5853" s="678" t="s">
        <v>13648</v>
      </c>
      <c r="C5853" s="677" t="s">
        <v>7</v>
      </c>
      <c r="D5853" s="677" t="s">
        <v>2197</v>
      </c>
      <c r="E5853" s="918" t="s">
        <v>13646</v>
      </c>
      <c r="F5853" s="918"/>
      <c r="G5853" s="676" t="s">
        <v>17</v>
      </c>
      <c r="H5853" s="675">
        <v>28.936900000000001</v>
      </c>
      <c r="I5853" s="674">
        <v>20.5</v>
      </c>
      <c r="J5853" s="674">
        <v>593.20000000000005</v>
      </c>
    </row>
    <row r="5854" spans="1:10" ht="36" customHeight="1">
      <c r="A5854" s="677" t="s">
        <v>13472</v>
      </c>
      <c r="B5854" s="678" t="s">
        <v>13652</v>
      </c>
      <c r="C5854" s="677" t="s">
        <v>7</v>
      </c>
      <c r="D5854" s="677" t="s">
        <v>7012</v>
      </c>
      <c r="E5854" s="918" t="s">
        <v>13646</v>
      </c>
      <c r="F5854" s="918"/>
      <c r="G5854" s="676" t="s">
        <v>13515</v>
      </c>
      <c r="H5854" s="675">
        <v>1.2</v>
      </c>
      <c r="I5854" s="674">
        <v>397.66</v>
      </c>
      <c r="J5854" s="674">
        <v>477.19</v>
      </c>
    </row>
    <row r="5855" spans="1:10" ht="24" customHeight="1">
      <c r="A5855" s="677" t="s">
        <v>13472</v>
      </c>
      <c r="B5855" s="678" t="s">
        <v>13644</v>
      </c>
      <c r="C5855" s="677" t="s">
        <v>7</v>
      </c>
      <c r="D5855" s="677" t="s">
        <v>39</v>
      </c>
      <c r="E5855" s="918" t="s">
        <v>13470</v>
      </c>
      <c r="F5855" s="918"/>
      <c r="G5855" s="676" t="s">
        <v>19</v>
      </c>
      <c r="H5855" s="675">
        <v>0.73560000000000003</v>
      </c>
      <c r="I5855" s="674">
        <v>14.57</v>
      </c>
      <c r="J5855" s="674">
        <v>10.71</v>
      </c>
    </row>
    <row r="5856" spans="1:10" ht="24" customHeight="1">
      <c r="A5856" s="677" t="s">
        <v>13472</v>
      </c>
      <c r="B5856" s="678" t="s">
        <v>13645</v>
      </c>
      <c r="C5856" s="677" t="s">
        <v>7</v>
      </c>
      <c r="D5856" s="677" t="s">
        <v>46</v>
      </c>
      <c r="E5856" s="918" t="s">
        <v>13470</v>
      </c>
      <c r="F5856" s="918"/>
      <c r="G5856" s="676" t="s">
        <v>19</v>
      </c>
      <c r="H5856" s="675">
        <v>3.6779999999999999</v>
      </c>
      <c r="I5856" s="674">
        <v>18.77</v>
      </c>
      <c r="J5856" s="674">
        <v>69.03</v>
      </c>
    </row>
    <row r="5857" spans="1:10" ht="24" customHeight="1">
      <c r="A5857" s="677" t="s">
        <v>13472</v>
      </c>
      <c r="B5857" s="678" t="s">
        <v>13471</v>
      </c>
      <c r="C5857" s="677" t="s">
        <v>7</v>
      </c>
      <c r="D5857" s="677" t="s">
        <v>21</v>
      </c>
      <c r="E5857" s="918" t="s">
        <v>13470</v>
      </c>
      <c r="F5857" s="918"/>
      <c r="G5857" s="676" t="s">
        <v>19</v>
      </c>
      <c r="H5857" s="675">
        <v>22.888400000000001</v>
      </c>
      <c r="I5857" s="674">
        <v>14.02</v>
      </c>
      <c r="J5857" s="674">
        <v>320.89</v>
      </c>
    </row>
    <row r="5858" spans="1:10" ht="24" customHeight="1">
      <c r="A5858" s="677" t="s">
        <v>13472</v>
      </c>
      <c r="B5858" s="678" t="s">
        <v>13600</v>
      </c>
      <c r="C5858" s="677" t="s">
        <v>7</v>
      </c>
      <c r="D5858" s="677" t="s">
        <v>41</v>
      </c>
      <c r="E5858" s="918" t="s">
        <v>13470</v>
      </c>
      <c r="F5858" s="918"/>
      <c r="G5858" s="676" t="s">
        <v>19</v>
      </c>
      <c r="H5858" s="675">
        <v>22.888400000000001</v>
      </c>
      <c r="I5858" s="674">
        <v>17.670000000000002</v>
      </c>
      <c r="J5858" s="674">
        <v>404.43</v>
      </c>
    </row>
    <row r="5859" spans="1:10" ht="24" customHeight="1">
      <c r="A5859" s="672" t="s">
        <v>13467</v>
      </c>
      <c r="B5859" s="673" t="s">
        <v>13643</v>
      </c>
      <c r="C5859" s="672" t="s">
        <v>7</v>
      </c>
      <c r="D5859" s="672" t="s">
        <v>13642</v>
      </c>
      <c r="E5859" s="919" t="s">
        <v>13464</v>
      </c>
      <c r="F5859" s="919"/>
      <c r="G5859" s="671" t="s">
        <v>13610</v>
      </c>
      <c r="H5859" s="670">
        <v>1.3111999999999999</v>
      </c>
      <c r="I5859" s="669">
        <v>40.409999999999997</v>
      </c>
      <c r="J5859" s="669">
        <v>52.98</v>
      </c>
    </row>
    <row r="5860" spans="1:10" ht="24" customHeight="1">
      <c r="A5860" s="672" t="s">
        <v>13467</v>
      </c>
      <c r="B5860" s="673" t="s">
        <v>13641</v>
      </c>
      <c r="C5860" s="672" t="s">
        <v>7</v>
      </c>
      <c r="D5860" s="672" t="s">
        <v>13640</v>
      </c>
      <c r="E5860" s="919" t="s">
        <v>13464</v>
      </c>
      <c r="F5860" s="919"/>
      <c r="G5860" s="671" t="s">
        <v>50</v>
      </c>
      <c r="H5860" s="670">
        <v>5.67E-2</v>
      </c>
      <c r="I5860" s="669">
        <v>5.22</v>
      </c>
      <c r="J5860" s="669">
        <v>0.28999999999999998</v>
      </c>
    </row>
    <row r="5861" spans="1:10" ht="24" customHeight="1">
      <c r="A5861" s="672" t="s">
        <v>13467</v>
      </c>
      <c r="B5861" s="673" t="s">
        <v>13639</v>
      </c>
      <c r="C5861" s="672" t="s">
        <v>7</v>
      </c>
      <c r="D5861" s="672" t="s">
        <v>13638</v>
      </c>
      <c r="E5861" s="919" t="s">
        <v>13464</v>
      </c>
      <c r="F5861" s="919"/>
      <c r="G5861" s="671" t="s">
        <v>17</v>
      </c>
      <c r="H5861" s="670">
        <v>0.26190000000000002</v>
      </c>
      <c r="I5861" s="669">
        <v>20.27</v>
      </c>
      <c r="J5861" s="669">
        <v>5.3</v>
      </c>
    </row>
    <row r="5862" spans="1:10" ht="24" customHeight="1">
      <c r="A5862" s="672" t="s">
        <v>13467</v>
      </c>
      <c r="B5862" s="673" t="s">
        <v>13651</v>
      </c>
      <c r="C5862" s="672" t="s">
        <v>7</v>
      </c>
      <c r="D5862" s="672" t="s">
        <v>13650</v>
      </c>
      <c r="E5862" s="919" t="s">
        <v>13464</v>
      </c>
      <c r="F5862" s="919"/>
      <c r="G5862" s="671" t="s">
        <v>14</v>
      </c>
      <c r="H5862" s="670">
        <v>4.4770000000000003</v>
      </c>
      <c r="I5862" s="669">
        <v>2.85</v>
      </c>
      <c r="J5862" s="669">
        <v>12.75</v>
      </c>
    </row>
    <row r="5863" spans="1:10" ht="25.5">
      <c r="A5863" s="668"/>
      <c r="B5863" s="668"/>
      <c r="C5863" s="668"/>
      <c r="D5863" s="668"/>
      <c r="E5863" s="668" t="s">
        <v>13463</v>
      </c>
      <c r="F5863" s="667">
        <v>428.02347060741062</v>
      </c>
      <c r="G5863" s="668" t="s">
        <v>13462</v>
      </c>
      <c r="H5863" s="667">
        <v>359.8</v>
      </c>
      <c r="I5863" s="668" t="s">
        <v>13461</v>
      </c>
      <c r="J5863" s="667">
        <v>787.82</v>
      </c>
    </row>
    <row r="5864" spans="1:10" ht="15" thickBot="1">
      <c r="A5864" s="668"/>
      <c r="B5864" s="668"/>
      <c r="C5864" s="668"/>
      <c r="D5864" s="668"/>
      <c r="E5864" s="668" t="s">
        <v>13460</v>
      </c>
      <c r="F5864" s="667">
        <v>556.74</v>
      </c>
      <c r="G5864" s="668"/>
      <c r="H5864" s="925" t="s">
        <v>13459</v>
      </c>
      <c r="I5864" s="925"/>
      <c r="J5864" s="667">
        <v>2528.1999999999998</v>
      </c>
    </row>
    <row r="5865" spans="1:10" ht="0.95" customHeight="1" thickTop="1">
      <c r="A5865" s="666"/>
      <c r="B5865" s="666"/>
      <c r="C5865" s="666"/>
      <c r="D5865" s="666"/>
      <c r="E5865" s="666"/>
      <c r="F5865" s="666"/>
      <c r="G5865" s="666"/>
      <c r="H5865" s="666"/>
      <c r="I5865" s="666"/>
      <c r="J5865" s="666"/>
    </row>
    <row r="5866" spans="1:10" ht="18" customHeight="1">
      <c r="A5866" s="686"/>
      <c r="B5866" s="684" t="s">
        <v>13484</v>
      </c>
      <c r="C5866" s="686" t="s">
        <v>13483</v>
      </c>
      <c r="D5866" s="686" t="s">
        <v>13482</v>
      </c>
      <c r="E5866" s="924" t="s">
        <v>13481</v>
      </c>
      <c r="F5866" s="924"/>
      <c r="G5866" s="685" t="s">
        <v>13480</v>
      </c>
      <c r="H5866" s="684" t="s">
        <v>13479</v>
      </c>
      <c r="I5866" s="684" t="s">
        <v>13478</v>
      </c>
      <c r="J5866" s="684" t="s">
        <v>13477</v>
      </c>
    </row>
    <row r="5867" spans="1:10" ht="36" customHeight="1">
      <c r="A5867" s="682" t="s">
        <v>13476</v>
      </c>
      <c r="B5867" s="683" t="s">
        <v>13649</v>
      </c>
      <c r="C5867" s="682" t="s">
        <v>7</v>
      </c>
      <c r="D5867" s="682" t="s">
        <v>3769</v>
      </c>
      <c r="E5867" s="917" t="s">
        <v>13646</v>
      </c>
      <c r="F5867" s="917"/>
      <c r="G5867" s="681" t="s">
        <v>13515</v>
      </c>
      <c r="H5867" s="680">
        <v>1</v>
      </c>
      <c r="I5867" s="679">
        <v>2730.49</v>
      </c>
      <c r="J5867" s="679">
        <v>2730.49</v>
      </c>
    </row>
    <row r="5868" spans="1:10" ht="36" customHeight="1">
      <c r="A5868" s="677" t="s">
        <v>13472</v>
      </c>
      <c r="B5868" s="678" t="s">
        <v>13577</v>
      </c>
      <c r="C5868" s="677" t="s">
        <v>7</v>
      </c>
      <c r="D5868" s="677" t="s">
        <v>1932</v>
      </c>
      <c r="E5868" s="918" t="s">
        <v>13491</v>
      </c>
      <c r="F5868" s="918"/>
      <c r="G5868" s="676" t="s">
        <v>38</v>
      </c>
      <c r="H5868" s="675">
        <v>0.77359999999999995</v>
      </c>
      <c r="I5868" s="674">
        <v>16.260000000000002</v>
      </c>
      <c r="J5868" s="674">
        <v>12.57</v>
      </c>
    </row>
    <row r="5869" spans="1:10" ht="36" customHeight="1">
      <c r="A5869" s="677" t="s">
        <v>13472</v>
      </c>
      <c r="B5869" s="678" t="s">
        <v>13499</v>
      </c>
      <c r="C5869" s="677" t="s">
        <v>7</v>
      </c>
      <c r="D5869" s="677" t="s">
        <v>1739</v>
      </c>
      <c r="E5869" s="918" t="s">
        <v>13491</v>
      </c>
      <c r="F5869" s="918"/>
      <c r="G5869" s="676" t="s">
        <v>38</v>
      </c>
      <c r="H5869" s="675">
        <v>6.6319999999999997</v>
      </c>
      <c r="I5869" s="674">
        <v>1.77</v>
      </c>
      <c r="J5869" s="674">
        <v>11.73</v>
      </c>
    </row>
    <row r="5870" spans="1:10" ht="36" customHeight="1">
      <c r="A5870" s="677" t="s">
        <v>13472</v>
      </c>
      <c r="B5870" s="678" t="s">
        <v>13500</v>
      </c>
      <c r="C5870" s="677" t="s">
        <v>7</v>
      </c>
      <c r="D5870" s="677" t="s">
        <v>1740</v>
      </c>
      <c r="E5870" s="918" t="s">
        <v>13491</v>
      </c>
      <c r="F5870" s="918"/>
      <c r="G5870" s="676" t="s">
        <v>53</v>
      </c>
      <c r="H5870" s="675">
        <v>18.246200000000002</v>
      </c>
      <c r="I5870" s="674">
        <v>0.42</v>
      </c>
      <c r="J5870" s="674">
        <v>7.66</v>
      </c>
    </row>
    <row r="5871" spans="1:10" ht="36" customHeight="1">
      <c r="A5871" s="677" t="s">
        <v>13472</v>
      </c>
      <c r="B5871" s="678" t="s">
        <v>13578</v>
      </c>
      <c r="C5871" s="677" t="s">
        <v>7</v>
      </c>
      <c r="D5871" s="677" t="s">
        <v>1933</v>
      </c>
      <c r="E5871" s="918" t="s">
        <v>13491</v>
      </c>
      <c r="F5871" s="918"/>
      <c r="G5871" s="676" t="s">
        <v>53</v>
      </c>
      <c r="H5871" s="675">
        <v>1.0401</v>
      </c>
      <c r="I5871" s="674">
        <v>13.53</v>
      </c>
      <c r="J5871" s="674">
        <v>14.07</v>
      </c>
    </row>
    <row r="5872" spans="1:10" ht="48" customHeight="1">
      <c r="A5872" s="677" t="s">
        <v>13472</v>
      </c>
      <c r="B5872" s="678" t="s">
        <v>13648</v>
      </c>
      <c r="C5872" s="677" t="s">
        <v>7</v>
      </c>
      <c r="D5872" s="677" t="s">
        <v>2197</v>
      </c>
      <c r="E5872" s="918" t="s">
        <v>13646</v>
      </c>
      <c r="F5872" s="918"/>
      <c r="G5872" s="676" t="s">
        <v>17</v>
      </c>
      <c r="H5872" s="675">
        <v>42.646299999999997</v>
      </c>
      <c r="I5872" s="674">
        <v>20.5</v>
      </c>
      <c r="J5872" s="674">
        <v>874.24</v>
      </c>
    </row>
    <row r="5873" spans="1:10" ht="36" customHeight="1">
      <c r="A5873" s="677" t="s">
        <v>13472</v>
      </c>
      <c r="B5873" s="678" t="s">
        <v>13647</v>
      </c>
      <c r="C5873" s="677" t="s">
        <v>7</v>
      </c>
      <c r="D5873" s="677" t="s">
        <v>7011</v>
      </c>
      <c r="E5873" s="918" t="s">
        <v>13646</v>
      </c>
      <c r="F5873" s="918"/>
      <c r="G5873" s="676" t="s">
        <v>13515</v>
      </c>
      <c r="H5873" s="675">
        <v>1.2</v>
      </c>
      <c r="I5873" s="674">
        <v>382.79</v>
      </c>
      <c r="J5873" s="674">
        <v>459.34</v>
      </c>
    </row>
    <row r="5874" spans="1:10" ht="24" customHeight="1">
      <c r="A5874" s="677" t="s">
        <v>13472</v>
      </c>
      <c r="B5874" s="678" t="s">
        <v>13645</v>
      </c>
      <c r="C5874" s="677" t="s">
        <v>7</v>
      </c>
      <c r="D5874" s="677" t="s">
        <v>46</v>
      </c>
      <c r="E5874" s="918" t="s">
        <v>13470</v>
      </c>
      <c r="F5874" s="918"/>
      <c r="G5874" s="676" t="s">
        <v>19</v>
      </c>
      <c r="H5874" s="675">
        <v>9.0685000000000002</v>
      </c>
      <c r="I5874" s="674">
        <v>18.77</v>
      </c>
      <c r="J5874" s="674">
        <v>170.21</v>
      </c>
    </row>
    <row r="5875" spans="1:10" ht="24" customHeight="1">
      <c r="A5875" s="677" t="s">
        <v>13472</v>
      </c>
      <c r="B5875" s="678" t="s">
        <v>13644</v>
      </c>
      <c r="C5875" s="677" t="s">
        <v>7</v>
      </c>
      <c r="D5875" s="677" t="s">
        <v>39</v>
      </c>
      <c r="E5875" s="918" t="s">
        <v>13470</v>
      </c>
      <c r="F5875" s="918"/>
      <c r="G5875" s="676" t="s">
        <v>19</v>
      </c>
      <c r="H5875" s="675">
        <v>1.8137000000000001</v>
      </c>
      <c r="I5875" s="674">
        <v>14.57</v>
      </c>
      <c r="J5875" s="674">
        <v>26.42</v>
      </c>
    </row>
    <row r="5876" spans="1:10" ht="24" customHeight="1">
      <c r="A5876" s="677" t="s">
        <v>13472</v>
      </c>
      <c r="B5876" s="678" t="s">
        <v>13600</v>
      </c>
      <c r="C5876" s="677" t="s">
        <v>7</v>
      </c>
      <c r="D5876" s="677" t="s">
        <v>41</v>
      </c>
      <c r="E5876" s="918" t="s">
        <v>13470</v>
      </c>
      <c r="F5876" s="918"/>
      <c r="G5876" s="676" t="s">
        <v>19</v>
      </c>
      <c r="H5876" s="675">
        <v>32.192999999999998</v>
      </c>
      <c r="I5876" s="674">
        <v>17.670000000000002</v>
      </c>
      <c r="J5876" s="674">
        <v>568.85</v>
      </c>
    </row>
    <row r="5877" spans="1:10" ht="24" customHeight="1">
      <c r="A5877" s="677" t="s">
        <v>13472</v>
      </c>
      <c r="B5877" s="678" t="s">
        <v>13471</v>
      </c>
      <c r="C5877" s="677" t="s">
        <v>7</v>
      </c>
      <c r="D5877" s="677" t="s">
        <v>21</v>
      </c>
      <c r="E5877" s="918" t="s">
        <v>13470</v>
      </c>
      <c r="F5877" s="918"/>
      <c r="G5877" s="676" t="s">
        <v>19</v>
      </c>
      <c r="H5877" s="675">
        <v>32.192999999999998</v>
      </c>
      <c r="I5877" s="674">
        <v>14.02</v>
      </c>
      <c r="J5877" s="674">
        <v>451.34</v>
      </c>
    </row>
    <row r="5878" spans="1:10" ht="24" customHeight="1">
      <c r="A5878" s="672" t="s">
        <v>13467</v>
      </c>
      <c r="B5878" s="673" t="s">
        <v>13643</v>
      </c>
      <c r="C5878" s="672" t="s">
        <v>7</v>
      </c>
      <c r="D5878" s="672" t="s">
        <v>13642</v>
      </c>
      <c r="E5878" s="919" t="s">
        <v>13464</v>
      </c>
      <c r="F5878" s="919"/>
      <c r="G5878" s="671" t="s">
        <v>13610</v>
      </c>
      <c r="H5878" s="670">
        <v>2.9790000000000001</v>
      </c>
      <c r="I5878" s="669">
        <v>40.409999999999997</v>
      </c>
      <c r="J5878" s="669">
        <v>120.38</v>
      </c>
    </row>
    <row r="5879" spans="1:10" ht="24" customHeight="1">
      <c r="A5879" s="672" t="s">
        <v>13467</v>
      </c>
      <c r="B5879" s="673" t="s">
        <v>13641</v>
      </c>
      <c r="C5879" s="672" t="s">
        <v>7</v>
      </c>
      <c r="D5879" s="672" t="s">
        <v>13640</v>
      </c>
      <c r="E5879" s="919" t="s">
        <v>13464</v>
      </c>
      <c r="F5879" s="919"/>
      <c r="G5879" s="671" t="s">
        <v>50</v>
      </c>
      <c r="H5879" s="670">
        <v>0.12</v>
      </c>
      <c r="I5879" s="669">
        <v>5.22</v>
      </c>
      <c r="J5879" s="669">
        <v>0.62</v>
      </c>
    </row>
    <row r="5880" spans="1:10" ht="24" customHeight="1">
      <c r="A5880" s="672" t="s">
        <v>13467</v>
      </c>
      <c r="B5880" s="673" t="s">
        <v>13639</v>
      </c>
      <c r="C5880" s="672" t="s">
        <v>7</v>
      </c>
      <c r="D5880" s="672" t="s">
        <v>13638</v>
      </c>
      <c r="E5880" s="919" t="s">
        <v>13464</v>
      </c>
      <c r="F5880" s="919"/>
      <c r="G5880" s="671" t="s">
        <v>17</v>
      </c>
      <c r="H5880" s="670">
        <v>0.64449999999999996</v>
      </c>
      <c r="I5880" s="669">
        <v>20.27</v>
      </c>
      <c r="J5880" s="669">
        <v>13.06</v>
      </c>
    </row>
    <row r="5881" spans="1:10" ht="25.5">
      <c r="A5881" s="668"/>
      <c r="B5881" s="668"/>
      <c r="C5881" s="668"/>
      <c r="D5881" s="668"/>
      <c r="E5881" s="668" t="s">
        <v>13463</v>
      </c>
      <c r="F5881" s="667">
        <v>639.06334890796484</v>
      </c>
      <c r="G5881" s="668" t="s">
        <v>13462</v>
      </c>
      <c r="H5881" s="667">
        <v>537.20000000000005</v>
      </c>
      <c r="I5881" s="668" t="s">
        <v>13461</v>
      </c>
      <c r="J5881" s="667">
        <v>1176.26</v>
      </c>
    </row>
    <row r="5882" spans="1:10" ht="15" thickBot="1">
      <c r="A5882" s="668"/>
      <c r="B5882" s="668"/>
      <c r="C5882" s="668"/>
      <c r="D5882" s="668"/>
      <c r="E5882" s="668" t="s">
        <v>13460</v>
      </c>
      <c r="F5882" s="667">
        <v>771.09</v>
      </c>
      <c r="G5882" s="668"/>
      <c r="H5882" s="925" t="s">
        <v>13459</v>
      </c>
      <c r="I5882" s="925"/>
      <c r="J5882" s="667">
        <v>3501.58</v>
      </c>
    </row>
    <row r="5883" spans="1:10" ht="0.95" customHeight="1" thickTop="1">
      <c r="A5883" s="666"/>
      <c r="B5883" s="666"/>
      <c r="C5883" s="666"/>
      <c r="D5883" s="666"/>
      <c r="E5883" s="666"/>
      <c r="F5883" s="666"/>
      <c r="G5883" s="666"/>
      <c r="H5883" s="666"/>
      <c r="I5883" s="666"/>
      <c r="J5883" s="666"/>
    </row>
    <row r="5884" spans="1:10" ht="18" customHeight="1">
      <c r="A5884" s="686"/>
      <c r="B5884" s="684" t="s">
        <v>13484</v>
      </c>
      <c r="C5884" s="686" t="s">
        <v>13483</v>
      </c>
      <c r="D5884" s="686" t="s">
        <v>13482</v>
      </c>
      <c r="E5884" s="924" t="s">
        <v>13481</v>
      </c>
      <c r="F5884" s="924"/>
      <c r="G5884" s="685" t="s">
        <v>13480</v>
      </c>
      <c r="H5884" s="684" t="s">
        <v>13479</v>
      </c>
      <c r="I5884" s="684" t="s">
        <v>13478</v>
      </c>
      <c r="J5884" s="684" t="s">
        <v>13477</v>
      </c>
    </row>
    <row r="5885" spans="1:10" ht="24" customHeight="1">
      <c r="A5885" s="682" t="s">
        <v>13476</v>
      </c>
      <c r="B5885" s="683" t="s">
        <v>13637</v>
      </c>
      <c r="C5885" s="682" t="s">
        <v>7</v>
      </c>
      <c r="D5885" s="682" t="s">
        <v>171</v>
      </c>
      <c r="E5885" s="917" t="s">
        <v>13470</v>
      </c>
      <c r="F5885" s="917"/>
      <c r="G5885" s="681" t="s">
        <v>19</v>
      </c>
      <c r="H5885" s="680">
        <v>1</v>
      </c>
      <c r="I5885" s="679">
        <v>19.72</v>
      </c>
      <c r="J5885" s="679">
        <v>19.72</v>
      </c>
    </row>
    <row r="5886" spans="1:10" ht="24" customHeight="1">
      <c r="A5886" s="677" t="s">
        <v>13472</v>
      </c>
      <c r="B5886" s="678" t="s">
        <v>13636</v>
      </c>
      <c r="C5886" s="677" t="s">
        <v>7</v>
      </c>
      <c r="D5886" s="677" t="s">
        <v>2783</v>
      </c>
      <c r="E5886" s="918" t="s">
        <v>13470</v>
      </c>
      <c r="F5886" s="918"/>
      <c r="G5886" s="676" t="s">
        <v>19</v>
      </c>
      <c r="H5886" s="675">
        <v>1</v>
      </c>
      <c r="I5886" s="674">
        <v>0.15</v>
      </c>
      <c r="J5886" s="674">
        <v>0.15</v>
      </c>
    </row>
    <row r="5887" spans="1:10" ht="24" customHeight="1">
      <c r="A5887" s="672" t="s">
        <v>13467</v>
      </c>
      <c r="B5887" s="673" t="s">
        <v>13562</v>
      </c>
      <c r="C5887" s="672" t="s">
        <v>7</v>
      </c>
      <c r="D5887" s="672" t="s">
        <v>13561</v>
      </c>
      <c r="E5887" s="919" t="s">
        <v>13556</v>
      </c>
      <c r="F5887" s="919"/>
      <c r="G5887" s="671" t="s">
        <v>19</v>
      </c>
      <c r="H5887" s="670">
        <v>1</v>
      </c>
      <c r="I5887" s="669">
        <v>0.96</v>
      </c>
      <c r="J5887" s="669">
        <v>0.96</v>
      </c>
    </row>
    <row r="5888" spans="1:10" ht="24" customHeight="1">
      <c r="A5888" s="672" t="s">
        <v>13467</v>
      </c>
      <c r="B5888" s="673" t="s">
        <v>13635</v>
      </c>
      <c r="C5888" s="672" t="s">
        <v>7</v>
      </c>
      <c r="D5888" s="672" t="s">
        <v>13634</v>
      </c>
      <c r="E5888" s="919" t="s">
        <v>13493</v>
      </c>
      <c r="F5888" s="919"/>
      <c r="G5888" s="671" t="s">
        <v>19</v>
      </c>
      <c r="H5888" s="670">
        <v>1</v>
      </c>
      <c r="I5888" s="669">
        <v>1.33</v>
      </c>
      <c r="J5888" s="669">
        <v>1.33</v>
      </c>
    </row>
    <row r="5889" spans="1:10" ht="24" customHeight="1">
      <c r="A5889" s="672" t="s">
        <v>13467</v>
      </c>
      <c r="B5889" s="673" t="s">
        <v>13558</v>
      </c>
      <c r="C5889" s="672" t="s">
        <v>7</v>
      </c>
      <c r="D5889" s="672" t="s">
        <v>13557</v>
      </c>
      <c r="E5889" s="919" t="s">
        <v>13556</v>
      </c>
      <c r="F5889" s="919"/>
      <c r="G5889" s="671" t="s">
        <v>19</v>
      </c>
      <c r="H5889" s="670">
        <v>1</v>
      </c>
      <c r="I5889" s="669">
        <v>0.55000000000000004</v>
      </c>
      <c r="J5889" s="669">
        <v>0.55000000000000004</v>
      </c>
    </row>
    <row r="5890" spans="1:10" ht="24" customHeight="1">
      <c r="A5890" s="672" t="s">
        <v>13467</v>
      </c>
      <c r="B5890" s="673" t="s">
        <v>13633</v>
      </c>
      <c r="C5890" s="672" t="s">
        <v>7</v>
      </c>
      <c r="D5890" s="672" t="s">
        <v>13632</v>
      </c>
      <c r="E5890" s="919" t="s">
        <v>13493</v>
      </c>
      <c r="F5890" s="919"/>
      <c r="G5890" s="671" t="s">
        <v>19</v>
      </c>
      <c r="H5890" s="670">
        <v>1</v>
      </c>
      <c r="I5890" s="669">
        <v>1.27</v>
      </c>
      <c r="J5890" s="669">
        <v>1.27</v>
      </c>
    </row>
    <row r="5891" spans="1:10" ht="24" customHeight="1">
      <c r="A5891" s="672" t="s">
        <v>13467</v>
      </c>
      <c r="B5891" s="673" t="s">
        <v>13631</v>
      </c>
      <c r="C5891" s="672" t="s">
        <v>7</v>
      </c>
      <c r="D5891" s="672" t="s">
        <v>13630</v>
      </c>
      <c r="E5891" s="919" t="s">
        <v>13548</v>
      </c>
      <c r="F5891" s="919"/>
      <c r="G5891" s="671" t="s">
        <v>19</v>
      </c>
      <c r="H5891" s="670">
        <v>1</v>
      </c>
      <c r="I5891" s="669">
        <v>14.69</v>
      </c>
      <c r="J5891" s="669">
        <v>14.69</v>
      </c>
    </row>
    <row r="5892" spans="1:10" ht="24" customHeight="1">
      <c r="A5892" s="672" t="s">
        <v>13467</v>
      </c>
      <c r="B5892" s="673" t="s">
        <v>13553</v>
      </c>
      <c r="C5892" s="672" t="s">
        <v>7</v>
      </c>
      <c r="D5892" s="672" t="s">
        <v>13552</v>
      </c>
      <c r="E5892" s="919" t="s">
        <v>13551</v>
      </c>
      <c r="F5892" s="919"/>
      <c r="G5892" s="671" t="s">
        <v>19</v>
      </c>
      <c r="H5892" s="670">
        <v>1</v>
      </c>
      <c r="I5892" s="669">
        <v>0.06</v>
      </c>
      <c r="J5892" s="669">
        <v>0.06</v>
      </c>
    </row>
    <row r="5893" spans="1:10" ht="24" customHeight="1">
      <c r="A5893" s="672" t="s">
        <v>13467</v>
      </c>
      <c r="B5893" s="673" t="s">
        <v>13547</v>
      </c>
      <c r="C5893" s="672" t="s">
        <v>7</v>
      </c>
      <c r="D5893" s="672" t="s">
        <v>13546</v>
      </c>
      <c r="E5893" s="919" t="s">
        <v>13545</v>
      </c>
      <c r="F5893" s="919"/>
      <c r="G5893" s="671" t="s">
        <v>19</v>
      </c>
      <c r="H5893" s="670">
        <v>1</v>
      </c>
      <c r="I5893" s="669">
        <v>0.71</v>
      </c>
      <c r="J5893" s="669">
        <v>0.71</v>
      </c>
    </row>
    <row r="5894" spans="1:10" ht="25.5">
      <c r="A5894" s="668"/>
      <c r="B5894" s="668"/>
      <c r="C5894" s="668"/>
      <c r="D5894" s="668"/>
      <c r="E5894" s="668" t="s">
        <v>13463</v>
      </c>
      <c r="F5894" s="667">
        <v>8.0625882999999998</v>
      </c>
      <c r="G5894" s="668" t="s">
        <v>13462</v>
      </c>
      <c r="H5894" s="667">
        <v>6.78</v>
      </c>
      <c r="I5894" s="668" t="s">
        <v>13461</v>
      </c>
      <c r="J5894" s="667">
        <v>14.84</v>
      </c>
    </row>
    <row r="5895" spans="1:10" ht="15" thickBot="1">
      <c r="A5895" s="668"/>
      <c r="B5895" s="668"/>
      <c r="C5895" s="668"/>
      <c r="D5895" s="668"/>
      <c r="E5895" s="668" t="s">
        <v>13460</v>
      </c>
      <c r="F5895" s="667">
        <v>5.56</v>
      </c>
      <c r="G5895" s="668"/>
      <c r="H5895" s="925" t="s">
        <v>13459</v>
      </c>
      <c r="I5895" s="925"/>
      <c r="J5895" s="667">
        <v>25.28</v>
      </c>
    </row>
    <row r="5896" spans="1:10" ht="0.95" customHeight="1" thickTop="1">
      <c r="A5896" s="666"/>
      <c r="B5896" s="666"/>
      <c r="C5896" s="666"/>
      <c r="D5896" s="666"/>
      <c r="E5896" s="666"/>
      <c r="F5896" s="666"/>
      <c r="G5896" s="666"/>
      <c r="H5896" s="666"/>
      <c r="I5896" s="666"/>
      <c r="J5896" s="666"/>
    </row>
    <row r="5897" spans="1:10" ht="18" customHeight="1">
      <c r="A5897" s="686"/>
      <c r="B5897" s="684" t="s">
        <v>13484</v>
      </c>
      <c r="C5897" s="686" t="s">
        <v>13483</v>
      </c>
      <c r="D5897" s="686" t="s">
        <v>13482</v>
      </c>
      <c r="E5897" s="924" t="s">
        <v>13481</v>
      </c>
      <c r="F5897" s="924"/>
      <c r="G5897" s="685" t="s">
        <v>13480</v>
      </c>
      <c r="H5897" s="684" t="s">
        <v>13479</v>
      </c>
      <c r="I5897" s="684" t="s">
        <v>13478</v>
      </c>
      <c r="J5897" s="684" t="s">
        <v>13477</v>
      </c>
    </row>
    <row r="5898" spans="1:10" ht="36" customHeight="1">
      <c r="A5898" s="682" t="s">
        <v>13476</v>
      </c>
      <c r="B5898" s="683" t="s">
        <v>13629</v>
      </c>
      <c r="C5898" s="682" t="s">
        <v>7</v>
      </c>
      <c r="D5898" s="682" t="s">
        <v>1864</v>
      </c>
      <c r="E5898" s="917" t="s">
        <v>13491</v>
      </c>
      <c r="F5898" s="917"/>
      <c r="G5898" s="681" t="s">
        <v>53</v>
      </c>
      <c r="H5898" s="680">
        <v>1</v>
      </c>
      <c r="I5898" s="679">
        <v>0.52</v>
      </c>
      <c r="J5898" s="679">
        <v>0.52</v>
      </c>
    </row>
    <row r="5899" spans="1:10" ht="36" customHeight="1">
      <c r="A5899" s="677" t="s">
        <v>13472</v>
      </c>
      <c r="B5899" s="678" t="s">
        <v>13627</v>
      </c>
      <c r="C5899" s="677" t="s">
        <v>7</v>
      </c>
      <c r="D5899" s="677" t="s">
        <v>1859</v>
      </c>
      <c r="E5899" s="918" t="s">
        <v>13491</v>
      </c>
      <c r="F5899" s="918"/>
      <c r="G5899" s="676" t="s">
        <v>19</v>
      </c>
      <c r="H5899" s="675">
        <v>1</v>
      </c>
      <c r="I5899" s="674">
        <v>0.46</v>
      </c>
      <c r="J5899" s="674">
        <v>0.46</v>
      </c>
    </row>
    <row r="5900" spans="1:10" ht="36" customHeight="1">
      <c r="A5900" s="677" t="s">
        <v>13472</v>
      </c>
      <c r="B5900" s="678" t="s">
        <v>13626</v>
      </c>
      <c r="C5900" s="677" t="s">
        <v>7</v>
      </c>
      <c r="D5900" s="677" t="s">
        <v>1860</v>
      </c>
      <c r="E5900" s="918" t="s">
        <v>13491</v>
      </c>
      <c r="F5900" s="918"/>
      <c r="G5900" s="676" t="s">
        <v>19</v>
      </c>
      <c r="H5900" s="675">
        <v>1</v>
      </c>
      <c r="I5900" s="674">
        <v>0.06</v>
      </c>
      <c r="J5900" s="674">
        <v>0.06</v>
      </c>
    </row>
    <row r="5901" spans="1:10" ht="25.5">
      <c r="A5901" s="668"/>
      <c r="B5901" s="668"/>
      <c r="C5901" s="668"/>
      <c r="D5901" s="668"/>
      <c r="E5901" s="668" t="s">
        <v>13463</v>
      </c>
      <c r="F5901" s="667">
        <v>0</v>
      </c>
      <c r="G5901" s="668" t="s">
        <v>13462</v>
      </c>
      <c r="H5901" s="667">
        <v>0</v>
      </c>
      <c r="I5901" s="668" t="s">
        <v>13461</v>
      </c>
      <c r="J5901" s="667">
        <v>0</v>
      </c>
    </row>
    <row r="5902" spans="1:10" ht="15" thickBot="1">
      <c r="A5902" s="668"/>
      <c r="B5902" s="668"/>
      <c r="C5902" s="668"/>
      <c r="D5902" s="668"/>
      <c r="E5902" s="668" t="s">
        <v>13460</v>
      </c>
      <c r="F5902" s="667">
        <v>0.14000000000000001</v>
      </c>
      <c r="G5902" s="668"/>
      <c r="H5902" s="925" t="s">
        <v>13459</v>
      </c>
      <c r="I5902" s="925"/>
      <c r="J5902" s="667">
        <v>0.66</v>
      </c>
    </row>
    <row r="5903" spans="1:10" ht="0.95" customHeight="1" thickTop="1">
      <c r="A5903" s="666"/>
      <c r="B5903" s="666"/>
      <c r="C5903" s="666"/>
      <c r="D5903" s="666"/>
      <c r="E5903" s="666"/>
      <c r="F5903" s="666"/>
      <c r="G5903" s="666"/>
      <c r="H5903" s="666"/>
      <c r="I5903" s="666"/>
      <c r="J5903" s="666"/>
    </row>
    <row r="5904" spans="1:10" ht="18" customHeight="1">
      <c r="A5904" s="686"/>
      <c r="B5904" s="684" t="s">
        <v>13484</v>
      </c>
      <c r="C5904" s="686" t="s">
        <v>13483</v>
      </c>
      <c r="D5904" s="686" t="s">
        <v>13482</v>
      </c>
      <c r="E5904" s="924" t="s">
        <v>13481</v>
      </c>
      <c r="F5904" s="924"/>
      <c r="G5904" s="685" t="s">
        <v>13480</v>
      </c>
      <c r="H5904" s="684" t="s">
        <v>13479</v>
      </c>
      <c r="I5904" s="684" t="s">
        <v>13478</v>
      </c>
      <c r="J5904" s="684" t="s">
        <v>13477</v>
      </c>
    </row>
    <row r="5905" spans="1:10" ht="36" customHeight="1">
      <c r="A5905" s="682" t="s">
        <v>13476</v>
      </c>
      <c r="B5905" s="683" t="s">
        <v>13628</v>
      </c>
      <c r="C5905" s="682" t="s">
        <v>7</v>
      </c>
      <c r="D5905" s="682" t="s">
        <v>1863</v>
      </c>
      <c r="E5905" s="917" t="s">
        <v>13491</v>
      </c>
      <c r="F5905" s="917"/>
      <c r="G5905" s="681" t="s">
        <v>38</v>
      </c>
      <c r="H5905" s="680">
        <v>1</v>
      </c>
      <c r="I5905" s="679">
        <v>9.49</v>
      </c>
      <c r="J5905" s="679">
        <v>9.49</v>
      </c>
    </row>
    <row r="5906" spans="1:10" ht="36" customHeight="1">
      <c r="A5906" s="677" t="s">
        <v>13472</v>
      </c>
      <c r="B5906" s="678" t="s">
        <v>13622</v>
      </c>
      <c r="C5906" s="677" t="s">
        <v>7</v>
      </c>
      <c r="D5906" s="677" t="s">
        <v>1862</v>
      </c>
      <c r="E5906" s="918" t="s">
        <v>13491</v>
      </c>
      <c r="F5906" s="918"/>
      <c r="G5906" s="676" t="s">
        <v>19</v>
      </c>
      <c r="H5906" s="675">
        <v>1</v>
      </c>
      <c r="I5906" s="674">
        <v>8.39</v>
      </c>
      <c r="J5906" s="674">
        <v>8.39</v>
      </c>
    </row>
    <row r="5907" spans="1:10" ht="36" customHeight="1">
      <c r="A5907" s="677" t="s">
        <v>13472</v>
      </c>
      <c r="B5907" s="678" t="s">
        <v>13625</v>
      </c>
      <c r="C5907" s="677" t="s">
        <v>7</v>
      </c>
      <c r="D5907" s="677" t="s">
        <v>1861</v>
      </c>
      <c r="E5907" s="918" t="s">
        <v>13491</v>
      </c>
      <c r="F5907" s="918"/>
      <c r="G5907" s="676" t="s">
        <v>19</v>
      </c>
      <c r="H5907" s="675">
        <v>1</v>
      </c>
      <c r="I5907" s="674">
        <v>0.57999999999999996</v>
      </c>
      <c r="J5907" s="674">
        <v>0.57999999999999996</v>
      </c>
    </row>
    <row r="5908" spans="1:10" ht="36" customHeight="1">
      <c r="A5908" s="677" t="s">
        <v>13472</v>
      </c>
      <c r="B5908" s="678" t="s">
        <v>13627</v>
      </c>
      <c r="C5908" s="677" t="s">
        <v>7</v>
      </c>
      <c r="D5908" s="677" t="s">
        <v>1859</v>
      </c>
      <c r="E5908" s="918" t="s">
        <v>13491</v>
      </c>
      <c r="F5908" s="918"/>
      <c r="G5908" s="676" t="s">
        <v>19</v>
      </c>
      <c r="H5908" s="675">
        <v>1</v>
      </c>
      <c r="I5908" s="674">
        <v>0.46</v>
      </c>
      <c r="J5908" s="674">
        <v>0.46</v>
      </c>
    </row>
    <row r="5909" spans="1:10" ht="36" customHeight="1">
      <c r="A5909" s="677" t="s">
        <v>13472</v>
      </c>
      <c r="B5909" s="678" t="s">
        <v>13626</v>
      </c>
      <c r="C5909" s="677" t="s">
        <v>7</v>
      </c>
      <c r="D5909" s="677" t="s">
        <v>1860</v>
      </c>
      <c r="E5909" s="918" t="s">
        <v>13491</v>
      </c>
      <c r="F5909" s="918"/>
      <c r="G5909" s="676" t="s">
        <v>19</v>
      </c>
      <c r="H5909" s="675">
        <v>1</v>
      </c>
      <c r="I5909" s="674">
        <v>0.06</v>
      </c>
      <c r="J5909" s="674">
        <v>0.06</v>
      </c>
    </row>
    <row r="5910" spans="1:10" ht="25.5">
      <c r="A5910" s="668"/>
      <c r="B5910" s="668"/>
      <c r="C5910" s="668"/>
      <c r="D5910" s="668"/>
      <c r="E5910" s="668" t="s">
        <v>13463</v>
      </c>
      <c r="F5910" s="667">
        <v>0</v>
      </c>
      <c r="G5910" s="668" t="s">
        <v>13462</v>
      </c>
      <c r="H5910" s="667">
        <v>0</v>
      </c>
      <c r="I5910" s="668" t="s">
        <v>13461</v>
      </c>
      <c r="J5910" s="667">
        <v>0</v>
      </c>
    </row>
    <row r="5911" spans="1:10" ht="15" thickBot="1">
      <c r="A5911" s="668"/>
      <c r="B5911" s="668"/>
      <c r="C5911" s="668"/>
      <c r="D5911" s="668"/>
      <c r="E5911" s="668" t="s">
        <v>13460</v>
      </c>
      <c r="F5911" s="667">
        <v>2.67</v>
      </c>
      <c r="G5911" s="668"/>
      <c r="H5911" s="925" t="s">
        <v>13459</v>
      </c>
      <c r="I5911" s="925"/>
      <c r="J5911" s="667">
        <v>12.16</v>
      </c>
    </row>
    <row r="5912" spans="1:10" ht="0.95" customHeight="1" thickTop="1">
      <c r="A5912" s="666"/>
      <c r="B5912" s="666"/>
      <c r="C5912" s="666"/>
      <c r="D5912" s="666"/>
      <c r="E5912" s="666"/>
      <c r="F5912" s="666"/>
      <c r="G5912" s="666"/>
      <c r="H5912" s="666"/>
      <c r="I5912" s="666"/>
      <c r="J5912" s="666"/>
    </row>
    <row r="5913" spans="1:10" ht="18" customHeight="1">
      <c r="A5913" s="686"/>
      <c r="B5913" s="684" t="s">
        <v>13484</v>
      </c>
      <c r="C5913" s="686" t="s">
        <v>13483</v>
      </c>
      <c r="D5913" s="686" t="s">
        <v>13482</v>
      </c>
      <c r="E5913" s="924" t="s">
        <v>13481</v>
      </c>
      <c r="F5913" s="924"/>
      <c r="G5913" s="685" t="s">
        <v>13480</v>
      </c>
      <c r="H5913" s="684" t="s">
        <v>13479</v>
      </c>
      <c r="I5913" s="684" t="s">
        <v>13478</v>
      </c>
      <c r="J5913" s="684" t="s">
        <v>13477</v>
      </c>
    </row>
    <row r="5914" spans="1:10" ht="36" customHeight="1">
      <c r="A5914" s="682" t="s">
        <v>13476</v>
      </c>
      <c r="B5914" s="683" t="s">
        <v>13627</v>
      </c>
      <c r="C5914" s="682" t="s">
        <v>7</v>
      </c>
      <c r="D5914" s="682" t="s">
        <v>1859</v>
      </c>
      <c r="E5914" s="917" t="s">
        <v>13491</v>
      </c>
      <c r="F5914" s="917"/>
      <c r="G5914" s="681" t="s">
        <v>19</v>
      </c>
      <c r="H5914" s="680">
        <v>1</v>
      </c>
      <c r="I5914" s="679">
        <v>0.46</v>
      </c>
      <c r="J5914" s="679">
        <v>0.46</v>
      </c>
    </row>
    <row r="5915" spans="1:10" ht="72" customHeight="1">
      <c r="A5915" s="672" t="s">
        <v>13467</v>
      </c>
      <c r="B5915" s="673" t="s">
        <v>13624</v>
      </c>
      <c r="C5915" s="672" t="s">
        <v>7</v>
      </c>
      <c r="D5915" s="672" t="s">
        <v>13623</v>
      </c>
      <c r="E5915" s="919" t="s">
        <v>13493</v>
      </c>
      <c r="F5915" s="919"/>
      <c r="G5915" s="671" t="s">
        <v>34</v>
      </c>
      <c r="H5915" s="670">
        <v>5.3300000000000001E-5</v>
      </c>
      <c r="I5915" s="669">
        <v>8730.2999999999993</v>
      </c>
      <c r="J5915" s="669">
        <v>0.46</v>
      </c>
    </row>
    <row r="5916" spans="1:10" ht="25.5">
      <c r="A5916" s="668"/>
      <c r="B5916" s="668"/>
      <c r="C5916" s="668"/>
      <c r="D5916" s="668"/>
      <c r="E5916" s="668" t="s">
        <v>13463</v>
      </c>
      <c r="F5916" s="667">
        <v>0</v>
      </c>
      <c r="G5916" s="668" t="s">
        <v>13462</v>
      </c>
      <c r="H5916" s="667">
        <v>0</v>
      </c>
      <c r="I5916" s="668" t="s">
        <v>13461</v>
      </c>
      <c r="J5916" s="667">
        <v>0</v>
      </c>
    </row>
    <row r="5917" spans="1:10" ht="15" thickBot="1">
      <c r="A5917" s="668"/>
      <c r="B5917" s="668"/>
      <c r="C5917" s="668"/>
      <c r="D5917" s="668"/>
      <c r="E5917" s="668" t="s">
        <v>13460</v>
      </c>
      <c r="F5917" s="667">
        <v>0.12</v>
      </c>
      <c r="G5917" s="668"/>
      <c r="H5917" s="925" t="s">
        <v>13459</v>
      </c>
      <c r="I5917" s="925"/>
      <c r="J5917" s="667">
        <v>0.57999999999999996</v>
      </c>
    </row>
    <row r="5918" spans="1:10" ht="0.95" customHeight="1" thickTop="1">
      <c r="A5918" s="666"/>
      <c r="B5918" s="666"/>
      <c r="C5918" s="666"/>
      <c r="D5918" s="666"/>
      <c r="E5918" s="666"/>
      <c r="F5918" s="666"/>
      <c r="G5918" s="666"/>
      <c r="H5918" s="666"/>
      <c r="I5918" s="666"/>
      <c r="J5918" s="666"/>
    </row>
    <row r="5919" spans="1:10" ht="18" customHeight="1">
      <c r="A5919" s="686"/>
      <c r="B5919" s="684" t="s">
        <v>13484</v>
      </c>
      <c r="C5919" s="686" t="s">
        <v>13483</v>
      </c>
      <c r="D5919" s="686" t="s">
        <v>13482</v>
      </c>
      <c r="E5919" s="924" t="s">
        <v>13481</v>
      </c>
      <c r="F5919" s="924"/>
      <c r="G5919" s="685" t="s">
        <v>13480</v>
      </c>
      <c r="H5919" s="684" t="s">
        <v>13479</v>
      </c>
      <c r="I5919" s="684" t="s">
        <v>13478</v>
      </c>
      <c r="J5919" s="684" t="s">
        <v>13477</v>
      </c>
    </row>
    <row r="5920" spans="1:10" ht="36" customHeight="1">
      <c r="A5920" s="682" t="s">
        <v>13476</v>
      </c>
      <c r="B5920" s="683" t="s">
        <v>13626</v>
      </c>
      <c r="C5920" s="682" t="s">
        <v>7</v>
      </c>
      <c r="D5920" s="682" t="s">
        <v>1860</v>
      </c>
      <c r="E5920" s="917" t="s">
        <v>13491</v>
      </c>
      <c r="F5920" s="917"/>
      <c r="G5920" s="681" t="s">
        <v>19</v>
      </c>
      <c r="H5920" s="680">
        <v>1</v>
      </c>
      <c r="I5920" s="679">
        <v>0.06</v>
      </c>
      <c r="J5920" s="679">
        <v>0.06</v>
      </c>
    </row>
    <row r="5921" spans="1:10" ht="72" customHeight="1">
      <c r="A5921" s="672" t="s">
        <v>13467</v>
      </c>
      <c r="B5921" s="673" t="s">
        <v>13624</v>
      </c>
      <c r="C5921" s="672" t="s">
        <v>7</v>
      </c>
      <c r="D5921" s="672" t="s">
        <v>13623</v>
      </c>
      <c r="E5921" s="919" t="s">
        <v>13493</v>
      </c>
      <c r="F5921" s="919"/>
      <c r="G5921" s="671" t="s">
        <v>34</v>
      </c>
      <c r="H5921" s="670">
        <v>7.4000000000000003E-6</v>
      </c>
      <c r="I5921" s="669">
        <v>8730.2999999999993</v>
      </c>
      <c r="J5921" s="669">
        <v>0.06</v>
      </c>
    </row>
    <row r="5922" spans="1:10" ht="25.5">
      <c r="A5922" s="668"/>
      <c r="B5922" s="668"/>
      <c r="C5922" s="668"/>
      <c r="D5922" s="668"/>
      <c r="E5922" s="668" t="s">
        <v>13463</v>
      </c>
      <c r="F5922" s="667">
        <v>0</v>
      </c>
      <c r="G5922" s="668" t="s">
        <v>13462</v>
      </c>
      <c r="H5922" s="667">
        <v>0</v>
      </c>
      <c r="I5922" s="668" t="s">
        <v>13461</v>
      </c>
      <c r="J5922" s="667">
        <v>0</v>
      </c>
    </row>
    <row r="5923" spans="1:10" ht="15" thickBot="1">
      <c r="A5923" s="668"/>
      <c r="B5923" s="668"/>
      <c r="C5923" s="668"/>
      <c r="D5923" s="668"/>
      <c r="E5923" s="668" t="s">
        <v>13460</v>
      </c>
      <c r="F5923" s="667">
        <v>0.01</v>
      </c>
      <c r="G5923" s="668"/>
      <c r="H5923" s="925" t="s">
        <v>13459</v>
      </c>
      <c r="I5923" s="925"/>
      <c r="J5923" s="667">
        <v>7.0000000000000007E-2</v>
      </c>
    </row>
    <row r="5924" spans="1:10" ht="0.95" customHeight="1" thickTop="1">
      <c r="A5924" s="666"/>
      <c r="B5924" s="666"/>
      <c r="C5924" s="666"/>
      <c r="D5924" s="666"/>
      <c r="E5924" s="666"/>
      <c r="F5924" s="666"/>
      <c r="G5924" s="666"/>
      <c r="H5924" s="666"/>
      <c r="I5924" s="666"/>
      <c r="J5924" s="666"/>
    </row>
    <row r="5925" spans="1:10" ht="18" customHeight="1">
      <c r="A5925" s="686"/>
      <c r="B5925" s="684" t="s">
        <v>13484</v>
      </c>
      <c r="C5925" s="686" t="s">
        <v>13483</v>
      </c>
      <c r="D5925" s="686" t="s">
        <v>13482</v>
      </c>
      <c r="E5925" s="924" t="s">
        <v>13481</v>
      </c>
      <c r="F5925" s="924"/>
      <c r="G5925" s="685" t="s">
        <v>13480</v>
      </c>
      <c r="H5925" s="684" t="s">
        <v>13479</v>
      </c>
      <c r="I5925" s="684" t="s">
        <v>13478</v>
      </c>
      <c r="J5925" s="684" t="s">
        <v>13477</v>
      </c>
    </row>
    <row r="5926" spans="1:10" ht="36" customHeight="1">
      <c r="A5926" s="682" t="s">
        <v>13476</v>
      </c>
      <c r="B5926" s="683" t="s">
        <v>13625</v>
      </c>
      <c r="C5926" s="682" t="s">
        <v>7</v>
      </c>
      <c r="D5926" s="682" t="s">
        <v>1861</v>
      </c>
      <c r="E5926" s="917" t="s">
        <v>13491</v>
      </c>
      <c r="F5926" s="917"/>
      <c r="G5926" s="681" t="s">
        <v>19</v>
      </c>
      <c r="H5926" s="680">
        <v>1</v>
      </c>
      <c r="I5926" s="679">
        <v>0.57999999999999996</v>
      </c>
      <c r="J5926" s="679">
        <v>0.57999999999999996</v>
      </c>
    </row>
    <row r="5927" spans="1:10" ht="72" customHeight="1">
      <c r="A5927" s="672" t="s">
        <v>13467</v>
      </c>
      <c r="B5927" s="673" t="s">
        <v>13624</v>
      </c>
      <c r="C5927" s="672" t="s">
        <v>7</v>
      </c>
      <c r="D5927" s="672" t="s">
        <v>13623</v>
      </c>
      <c r="E5927" s="919" t="s">
        <v>13493</v>
      </c>
      <c r="F5927" s="919"/>
      <c r="G5927" s="671" t="s">
        <v>34</v>
      </c>
      <c r="H5927" s="670">
        <v>6.6699999999999995E-5</v>
      </c>
      <c r="I5927" s="669">
        <v>8730.2999999999993</v>
      </c>
      <c r="J5927" s="669">
        <v>0.57999999999999996</v>
      </c>
    </row>
    <row r="5928" spans="1:10" ht="25.5">
      <c r="A5928" s="668"/>
      <c r="B5928" s="668"/>
      <c r="C5928" s="668"/>
      <c r="D5928" s="668"/>
      <c r="E5928" s="668" t="s">
        <v>13463</v>
      </c>
      <c r="F5928" s="667">
        <v>0</v>
      </c>
      <c r="G5928" s="668" t="s">
        <v>13462</v>
      </c>
      <c r="H5928" s="667">
        <v>0</v>
      </c>
      <c r="I5928" s="668" t="s">
        <v>13461</v>
      </c>
      <c r="J5928" s="667">
        <v>0</v>
      </c>
    </row>
    <row r="5929" spans="1:10" ht="15" thickBot="1">
      <c r="A5929" s="668"/>
      <c r="B5929" s="668"/>
      <c r="C5929" s="668"/>
      <c r="D5929" s="668"/>
      <c r="E5929" s="668" t="s">
        <v>13460</v>
      </c>
      <c r="F5929" s="667">
        <v>0.16</v>
      </c>
      <c r="G5929" s="668"/>
      <c r="H5929" s="925" t="s">
        <v>13459</v>
      </c>
      <c r="I5929" s="925"/>
      <c r="J5929" s="667">
        <v>0.74</v>
      </c>
    </row>
    <row r="5930" spans="1:10" ht="0.95" customHeight="1" thickTop="1">
      <c r="A5930" s="666"/>
      <c r="B5930" s="666"/>
      <c r="C5930" s="666"/>
      <c r="D5930" s="666"/>
      <c r="E5930" s="666"/>
      <c r="F5930" s="666"/>
      <c r="G5930" s="666"/>
      <c r="H5930" s="666"/>
      <c r="I5930" s="666"/>
      <c r="J5930" s="666"/>
    </row>
    <row r="5931" spans="1:10" ht="18" customHeight="1">
      <c r="A5931" s="686"/>
      <c r="B5931" s="684" t="s">
        <v>13484</v>
      </c>
      <c r="C5931" s="686" t="s">
        <v>13483</v>
      </c>
      <c r="D5931" s="686" t="s">
        <v>13482</v>
      </c>
      <c r="E5931" s="924" t="s">
        <v>13481</v>
      </c>
      <c r="F5931" s="924"/>
      <c r="G5931" s="685" t="s">
        <v>13480</v>
      </c>
      <c r="H5931" s="684" t="s">
        <v>13479</v>
      </c>
      <c r="I5931" s="684" t="s">
        <v>13478</v>
      </c>
      <c r="J5931" s="684" t="s">
        <v>13477</v>
      </c>
    </row>
    <row r="5932" spans="1:10" ht="36" customHeight="1">
      <c r="A5932" s="682" t="s">
        <v>13476</v>
      </c>
      <c r="B5932" s="683" t="s">
        <v>13622</v>
      </c>
      <c r="C5932" s="682" t="s">
        <v>7</v>
      </c>
      <c r="D5932" s="682" t="s">
        <v>1862</v>
      </c>
      <c r="E5932" s="917" t="s">
        <v>13491</v>
      </c>
      <c r="F5932" s="917"/>
      <c r="G5932" s="681" t="s">
        <v>19</v>
      </c>
      <c r="H5932" s="680">
        <v>1</v>
      </c>
      <c r="I5932" s="679">
        <v>8.39</v>
      </c>
      <c r="J5932" s="679">
        <v>8.39</v>
      </c>
    </row>
    <row r="5933" spans="1:10" ht="24" customHeight="1">
      <c r="A5933" s="672" t="s">
        <v>13467</v>
      </c>
      <c r="B5933" s="673" t="s">
        <v>13621</v>
      </c>
      <c r="C5933" s="672" t="s">
        <v>7</v>
      </c>
      <c r="D5933" s="672" t="s">
        <v>13620</v>
      </c>
      <c r="E5933" s="919" t="s">
        <v>13464</v>
      </c>
      <c r="F5933" s="919"/>
      <c r="G5933" s="671" t="s">
        <v>50</v>
      </c>
      <c r="H5933" s="670">
        <v>1.42</v>
      </c>
      <c r="I5933" s="669">
        <v>5.91</v>
      </c>
      <c r="J5933" s="669">
        <v>8.39</v>
      </c>
    </row>
    <row r="5934" spans="1:10" ht="25.5">
      <c r="A5934" s="668"/>
      <c r="B5934" s="668"/>
      <c r="C5934" s="668"/>
      <c r="D5934" s="668"/>
      <c r="E5934" s="668" t="s">
        <v>13463</v>
      </c>
      <c r="F5934" s="667">
        <v>0</v>
      </c>
      <c r="G5934" s="668" t="s">
        <v>13462</v>
      </c>
      <c r="H5934" s="667">
        <v>0</v>
      </c>
      <c r="I5934" s="668" t="s">
        <v>13461</v>
      </c>
      <c r="J5934" s="667">
        <v>0</v>
      </c>
    </row>
    <row r="5935" spans="1:10" ht="15" thickBot="1">
      <c r="A5935" s="668"/>
      <c r="B5935" s="668"/>
      <c r="C5935" s="668"/>
      <c r="D5935" s="668"/>
      <c r="E5935" s="668" t="s">
        <v>13460</v>
      </c>
      <c r="F5935" s="667">
        <v>2.36</v>
      </c>
      <c r="G5935" s="668"/>
      <c r="H5935" s="925" t="s">
        <v>13459</v>
      </c>
      <c r="I5935" s="925"/>
      <c r="J5935" s="667">
        <v>10.75</v>
      </c>
    </row>
    <row r="5936" spans="1:10" ht="0.95" customHeight="1" thickTop="1">
      <c r="A5936" s="666"/>
      <c r="B5936" s="666"/>
      <c r="C5936" s="666"/>
      <c r="D5936" s="666"/>
      <c r="E5936" s="666"/>
      <c r="F5936" s="666"/>
      <c r="G5936" s="666"/>
      <c r="H5936" s="666"/>
      <c r="I5936" s="666"/>
      <c r="J5936" s="666"/>
    </row>
    <row r="5937" spans="1:10" ht="18" customHeight="1">
      <c r="A5937" s="686"/>
      <c r="B5937" s="684" t="s">
        <v>13484</v>
      </c>
      <c r="C5937" s="686" t="s">
        <v>13483</v>
      </c>
      <c r="D5937" s="686" t="s">
        <v>13482</v>
      </c>
      <c r="E5937" s="924" t="s">
        <v>13481</v>
      </c>
      <c r="F5937" s="924"/>
      <c r="G5937" s="685" t="s">
        <v>13480</v>
      </c>
      <c r="H5937" s="684" t="s">
        <v>13479</v>
      </c>
      <c r="I5937" s="684" t="s">
        <v>13478</v>
      </c>
      <c r="J5937" s="684" t="s">
        <v>13477</v>
      </c>
    </row>
    <row r="5938" spans="1:10" ht="36" customHeight="1">
      <c r="A5938" s="682" t="s">
        <v>13476</v>
      </c>
      <c r="B5938" s="683" t="s">
        <v>13619</v>
      </c>
      <c r="C5938" s="682" t="s">
        <v>7</v>
      </c>
      <c r="D5938" s="682" t="s">
        <v>2717</v>
      </c>
      <c r="E5938" s="917" t="s">
        <v>13491</v>
      </c>
      <c r="F5938" s="917"/>
      <c r="G5938" s="681" t="s">
        <v>53</v>
      </c>
      <c r="H5938" s="680">
        <v>1</v>
      </c>
      <c r="I5938" s="679">
        <v>0.45</v>
      </c>
      <c r="J5938" s="679">
        <v>0.45</v>
      </c>
    </row>
    <row r="5939" spans="1:10" ht="36" customHeight="1">
      <c r="A5939" s="677" t="s">
        <v>13472</v>
      </c>
      <c r="B5939" s="678" t="s">
        <v>13616</v>
      </c>
      <c r="C5939" s="677" t="s">
        <v>7</v>
      </c>
      <c r="D5939" s="677" t="s">
        <v>2713</v>
      </c>
      <c r="E5939" s="918" t="s">
        <v>13491</v>
      </c>
      <c r="F5939" s="918"/>
      <c r="G5939" s="676" t="s">
        <v>19</v>
      </c>
      <c r="H5939" s="675">
        <v>1</v>
      </c>
      <c r="I5939" s="674">
        <v>0.04</v>
      </c>
      <c r="J5939" s="674">
        <v>0.04</v>
      </c>
    </row>
    <row r="5940" spans="1:10" ht="36" customHeight="1">
      <c r="A5940" s="677" t="s">
        <v>13472</v>
      </c>
      <c r="B5940" s="678" t="s">
        <v>13617</v>
      </c>
      <c r="C5940" s="677" t="s">
        <v>7</v>
      </c>
      <c r="D5940" s="677" t="s">
        <v>2712</v>
      </c>
      <c r="E5940" s="918" t="s">
        <v>13491</v>
      </c>
      <c r="F5940" s="918"/>
      <c r="G5940" s="676" t="s">
        <v>19</v>
      </c>
      <c r="H5940" s="675">
        <v>1</v>
      </c>
      <c r="I5940" s="674">
        <v>0.41</v>
      </c>
      <c r="J5940" s="674">
        <v>0.41</v>
      </c>
    </row>
    <row r="5941" spans="1:10" ht="25.5">
      <c r="A5941" s="668"/>
      <c r="B5941" s="668"/>
      <c r="C5941" s="668"/>
      <c r="D5941" s="668"/>
      <c r="E5941" s="668" t="s">
        <v>13463</v>
      </c>
      <c r="F5941" s="667">
        <v>0</v>
      </c>
      <c r="G5941" s="668" t="s">
        <v>13462</v>
      </c>
      <c r="H5941" s="667">
        <v>0</v>
      </c>
      <c r="I5941" s="668" t="s">
        <v>13461</v>
      </c>
      <c r="J5941" s="667">
        <v>0</v>
      </c>
    </row>
    <row r="5942" spans="1:10" ht="15" thickBot="1">
      <c r="A5942" s="668"/>
      <c r="B5942" s="668"/>
      <c r="C5942" s="668"/>
      <c r="D5942" s="668"/>
      <c r="E5942" s="668" t="s">
        <v>13460</v>
      </c>
      <c r="F5942" s="667">
        <v>0.12</v>
      </c>
      <c r="G5942" s="668"/>
      <c r="H5942" s="925" t="s">
        <v>13459</v>
      </c>
      <c r="I5942" s="925"/>
      <c r="J5942" s="667">
        <v>0.56999999999999995</v>
      </c>
    </row>
    <row r="5943" spans="1:10" ht="0.95" customHeight="1" thickTop="1">
      <c r="A5943" s="666"/>
      <c r="B5943" s="666"/>
      <c r="C5943" s="666"/>
      <c r="D5943" s="666"/>
      <c r="E5943" s="666"/>
      <c r="F5943" s="666"/>
      <c r="G5943" s="666"/>
      <c r="H5943" s="666"/>
      <c r="I5943" s="666"/>
      <c r="J5943" s="666"/>
    </row>
    <row r="5944" spans="1:10" ht="18" customHeight="1">
      <c r="A5944" s="686"/>
      <c r="B5944" s="684" t="s">
        <v>13484</v>
      </c>
      <c r="C5944" s="686" t="s">
        <v>13483</v>
      </c>
      <c r="D5944" s="686" t="s">
        <v>13482</v>
      </c>
      <c r="E5944" s="924" t="s">
        <v>13481</v>
      </c>
      <c r="F5944" s="924"/>
      <c r="G5944" s="685" t="s">
        <v>13480</v>
      </c>
      <c r="H5944" s="684" t="s">
        <v>13479</v>
      </c>
      <c r="I5944" s="684" t="s">
        <v>13478</v>
      </c>
      <c r="J5944" s="684" t="s">
        <v>13477</v>
      </c>
    </row>
    <row r="5945" spans="1:10" ht="36" customHeight="1">
      <c r="A5945" s="682" t="s">
        <v>13476</v>
      </c>
      <c r="B5945" s="683" t="s">
        <v>13618</v>
      </c>
      <c r="C5945" s="682" t="s">
        <v>7</v>
      </c>
      <c r="D5945" s="682" t="s">
        <v>2716</v>
      </c>
      <c r="E5945" s="917" t="s">
        <v>13491</v>
      </c>
      <c r="F5945" s="917"/>
      <c r="G5945" s="681" t="s">
        <v>38</v>
      </c>
      <c r="H5945" s="680">
        <v>1</v>
      </c>
      <c r="I5945" s="679">
        <v>2.9</v>
      </c>
      <c r="J5945" s="679">
        <v>2.9</v>
      </c>
    </row>
    <row r="5946" spans="1:10" ht="36" customHeight="1">
      <c r="A5946" s="677" t="s">
        <v>13472</v>
      </c>
      <c r="B5946" s="678" t="s">
        <v>13616</v>
      </c>
      <c r="C5946" s="677" t="s">
        <v>7</v>
      </c>
      <c r="D5946" s="677" t="s">
        <v>2713</v>
      </c>
      <c r="E5946" s="918" t="s">
        <v>13491</v>
      </c>
      <c r="F5946" s="918"/>
      <c r="G5946" s="676" t="s">
        <v>19</v>
      </c>
      <c r="H5946" s="675">
        <v>1</v>
      </c>
      <c r="I5946" s="674">
        <v>0.04</v>
      </c>
      <c r="J5946" s="674">
        <v>0.04</v>
      </c>
    </row>
    <row r="5947" spans="1:10" ht="36" customHeight="1">
      <c r="A5947" s="677" t="s">
        <v>13472</v>
      </c>
      <c r="B5947" s="678" t="s">
        <v>13612</v>
      </c>
      <c r="C5947" s="677" t="s">
        <v>7</v>
      </c>
      <c r="D5947" s="677" t="s">
        <v>2715</v>
      </c>
      <c r="E5947" s="918" t="s">
        <v>13491</v>
      </c>
      <c r="F5947" s="918"/>
      <c r="G5947" s="676" t="s">
        <v>19</v>
      </c>
      <c r="H5947" s="675">
        <v>1</v>
      </c>
      <c r="I5947" s="674">
        <v>2.13</v>
      </c>
      <c r="J5947" s="674">
        <v>2.13</v>
      </c>
    </row>
    <row r="5948" spans="1:10" ht="36" customHeight="1">
      <c r="A5948" s="677" t="s">
        <v>13472</v>
      </c>
      <c r="B5948" s="678" t="s">
        <v>13615</v>
      </c>
      <c r="C5948" s="677" t="s">
        <v>7</v>
      </c>
      <c r="D5948" s="677" t="s">
        <v>2714</v>
      </c>
      <c r="E5948" s="918" t="s">
        <v>13491</v>
      </c>
      <c r="F5948" s="918"/>
      <c r="G5948" s="676" t="s">
        <v>19</v>
      </c>
      <c r="H5948" s="675">
        <v>1</v>
      </c>
      <c r="I5948" s="674">
        <v>0.32</v>
      </c>
      <c r="J5948" s="674">
        <v>0.32</v>
      </c>
    </row>
    <row r="5949" spans="1:10" ht="36" customHeight="1">
      <c r="A5949" s="677" t="s">
        <v>13472</v>
      </c>
      <c r="B5949" s="678" t="s">
        <v>13617</v>
      </c>
      <c r="C5949" s="677" t="s">
        <v>7</v>
      </c>
      <c r="D5949" s="677" t="s">
        <v>2712</v>
      </c>
      <c r="E5949" s="918" t="s">
        <v>13491</v>
      </c>
      <c r="F5949" s="918"/>
      <c r="G5949" s="676" t="s">
        <v>19</v>
      </c>
      <c r="H5949" s="675">
        <v>1</v>
      </c>
      <c r="I5949" s="674">
        <v>0.41</v>
      </c>
      <c r="J5949" s="674">
        <v>0.41</v>
      </c>
    </row>
    <row r="5950" spans="1:10" ht="25.5">
      <c r="A5950" s="668"/>
      <c r="B5950" s="668"/>
      <c r="C5950" s="668"/>
      <c r="D5950" s="668"/>
      <c r="E5950" s="668" t="s">
        <v>13463</v>
      </c>
      <c r="F5950" s="667">
        <v>0</v>
      </c>
      <c r="G5950" s="668" t="s">
        <v>13462</v>
      </c>
      <c r="H5950" s="667">
        <v>0</v>
      </c>
      <c r="I5950" s="668" t="s">
        <v>13461</v>
      </c>
      <c r="J5950" s="667">
        <v>0</v>
      </c>
    </row>
    <row r="5951" spans="1:10" ht="15" thickBot="1">
      <c r="A5951" s="668"/>
      <c r="B5951" s="668"/>
      <c r="C5951" s="668"/>
      <c r="D5951" s="668"/>
      <c r="E5951" s="668" t="s">
        <v>13460</v>
      </c>
      <c r="F5951" s="667">
        <v>0.81</v>
      </c>
      <c r="G5951" s="668"/>
      <c r="H5951" s="925" t="s">
        <v>13459</v>
      </c>
      <c r="I5951" s="925"/>
      <c r="J5951" s="667">
        <v>3.71</v>
      </c>
    </row>
    <row r="5952" spans="1:10" ht="0.95" customHeight="1" thickTop="1">
      <c r="A5952" s="666"/>
      <c r="B5952" s="666"/>
      <c r="C5952" s="666"/>
      <c r="D5952" s="666"/>
      <c r="E5952" s="666"/>
      <c r="F5952" s="666"/>
      <c r="G5952" s="666"/>
      <c r="H5952" s="666"/>
      <c r="I5952" s="666"/>
      <c r="J5952" s="666"/>
    </row>
    <row r="5953" spans="1:10" ht="18" customHeight="1">
      <c r="A5953" s="686"/>
      <c r="B5953" s="684" t="s">
        <v>13484</v>
      </c>
      <c r="C5953" s="686" t="s">
        <v>13483</v>
      </c>
      <c r="D5953" s="686" t="s">
        <v>13482</v>
      </c>
      <c r="E5953" s="924" t="s">
        <v>13481</v>
      </c>
      <c r="F5953" s="924"/>
      <c r="G5953" s="685" t="s">
        <v>13480</v>
      </c>
      <c r="H5953" s="684" t="s">
        <v>13479</v>
      </c>
      <c r="I5953" s="684" t="s">
        <v>13478</v>
      </c>
      <c r="J5953" s="684" t="s">
        <v>13477</v>
      </c>
    </row>
    <row r="5954" spans="1:10" ht="36" customHeight="1">
      <c r="A5954" s="682" t="s">
        <v>13476</v>
      </c>
      <c r="B5954" s="683" t="s">
        <v>13617</v>
      </c>
      <c r="C5954" s="682" t="s">
        <v>7</v>
      </c>
      <c r="D5954" s="682" t="s">
        <v>2712</v>
      </c>
      <c r="E5954" s="917" t="s">
        <v>13491</v>
      </c>
      <c r="F5954" s="917"/>
      <c r="G5954" s="681" t="s">
        <v>19</v>
      </c>
      <c r="H5954" s="680">
        <v>1</v>
      </c>
      <c r="I5954" s="679">
        <v>0.41</v>
      </c>
      <c r="J5954" s="679">
        <v>0.41</v>
      </c>
    </row>
    <row r="5955" spans="1:10" ht="36" customHeight="1">
      <c r="A5955" s="672" t="s">
        <v>13467</v>
      </c>
      <c r="B5955" s="673" t="s">
        <v>13614</v>
      </c>
      <c r="C5955" s="672" t="s">
        <v>7</v>
      </c>
      <c r="D5955" s="672" t="s">
        <v>13613</v>
      </c>
      <c r="E5955" s="919" t="s">
        <v>13493</v>
      </c>
      <c r="F5955" s="919"/>
      <c r="G5955" s="671" t="s">
        <v>34</v>
      </c>
      <c r="H5955" s="670">
        <v>6.3999999999999997E-5</v>
      </c>
      <c r="I5955" s="669">
        <v>6438.55</v>
      </c>
      <c r="J5955" s="669">
        <v>0.41</v>
      </c>
    </row>
    <row r="5956" spans="1:10" ht="25.5">
      <c r="A5956" s="668"/>
      <c r="B5956" s="668"/>
      <c r="C5956" s="668"/>
      <c r="D5956" s="668"/>
      <c r="E5956" s="668" t="s">
        <v>13463</v>
      </c>
      <c r="F5956" s="667">
        <v>0</v>
      </c>
      <c r="G5956" s="668" t="s">
        <v>13462</v>
      </c>
      <c r="H5956" s="667">
        <v>0</v>
      </c>
      <c r="I5956" s="668" t="s">
        <v>13461</v>
      </c>
      <c r="J5956" s="667">
        <v>0</v>
      </c>
    </row>
    <row r="5957" spans="1:10" ht="15" thickBot="1">
      <c r="A5957" s="668"/>
      <c r="B5957" s="668"/>
      <c r="C5957" s="668"/>
      <c r="D5957" s="668"/>
      <c r="E5957" s="668" t="s">
        <v>13460</v>
      </c>
      <c r="F5957" s="667">
        <v>0.11</v>
      </c>
      <c r="G5957" s="668"/>
      <c r="H5957" s="925" t="s">
        <v>13459</v>
      </c>
      <c r="I5957" s="925"/>
      <c r="J5957" s="667">
        <v>0.52</v>
      </c>
    </row>
    <row r="5958" spans="1:10" ht="0.95" customHeight="1" thickTop="1">
      <c r="A5958" s="666"/>
      <c r="B5958" s="666"/>
      <c r="C5958" s="666"/>
      <c r="D5958" s="666"/>
      <c r="E5958" s="666"/>
      <c r="F5958" s="666"/>
      <c r="G5958" s="666"/>
      <c r="H5958" s="666"/>
      <c r="I5958" s="666"/>
      <c r="J5958" s="666"/>
    </row>
    <row r="5959" spans="1:10" ht="18" customHeight="1">
      <c r="A5959" s="686"/>
      <c r="B5959" s="684" t="s">
        <v>13484</v>
      </c>
      <c r="C5959" s="686" t="s">
        <v>13483</v>
      </c>
      <c r="D5959" s="686" t="s">
        <v>13482</v>
      </c>
      <c r="E5959" s="924" t="s">
        <v>13481</v>
      </c>
      <c r="F5959" s="924"/>
      <c r="G5959" s="685" t="s">
        <v>13480</v>
      </c>
      <c r="H5959" s="684" t="s">
        <v>13479</v>
      </c>
      <c r="I5959" s="684" t="s">
        <v>13478</v>
      </c>
      <c r="J5959" s="684" t="s">
        <v>13477</v>
      </c>
    </row>
    <row r="5960" spans="1:10" ht="36" customHeight="1">
      <c r="A5960" s="682" t="s">
        <v>13476</v>
      </c>
      <c r="B5960" s="683" t="s">
        <v>13616</v>
      </c>
      <c r="C5960" s="682" t="s">
        <v>7</v>
      </c>
      <c r="D5960" s="682" t="s">
        <v>2713</v>
      </c>
      <c r="E5960" s="917" t="s">
        <v>13491</v>
      </c>
      <c r="F5960" s="917"/>
      <c r="G5960" s="681" t="s">
        <v>19</v>
      </c>
      <c r="H5960" s="680">
        <v>1</v>
      </c>
      <c r="I5960" s="679">
        <v>0.04</v>
      </c>
      <c r="J5960" s="679">
        <v>0.04</v>
      </c>
    </row>
    <row r="5961" spans="1:10" ht="36" customHeight="1">
      <c r="A5961" s="672" t="s">
        <v>13467</v>
      </c>
      <c r="B5961" s="673" t="s">
        <v>13614</v>
      </c>
      <c r="C5961" s="672" t="s">
        <v>7</v>
      </c>
      <c r="D5961" s="672" t="s">
        <v>13613</v>
      </c>
      <c r="E5961" s="919" t="s">
        <v>13493</v>
      </c>
      <c r="F5961" s="919"/>
      <c r="G5961" s="671" t="s">
        <v>34</v>
      </c>
      <c r="H5961" s="670">
        <v>7.6000000000000001E-6</v>
      </c>
      <c r="I5961" s="669">
        <v>6438.55</v>
      </c>
      <c r="J5961" s="669">
        <v>0.04</v>
      </c>
    </row>
    <row r="5962" spans="1:10" ht="25.5">
      <c r="A5962" s="668"/>
      <c r="B5962" s="668"/>
      <c r="C5962" s="668"/>
      <c r="D5962" s="668"/>
      <c r="E5962" s="668" t="s">
        <v>13463</v>
      </c>
      <c r="F5962" s="667">
        <v>0</v>
      </c>
      <c r="G5962" s="668" t="s">
        <v>13462</v>
      </c>
      <c r="H5962" s="667">
        <v>0</v>
      </c>
      <c r="I5962" s="668" t="s">
        <v>13461</v>
      </c>
      <c r="J5962" s="667">
        <v>0</v>
      </c>
    </row>
    <row r="5963" spans="1:10" ht="15" thickBot="1">
      <c r="A5963" s="668"/>
      <c r="B5963" s="668"/>
      <c r="C5963" s="668"/>
      <c r="D5963" s="668"/>
      <c r="E5963" s="668" t="s">
        <v>13460</v>
      </c>
      <c r="F5963" s="667">
        <v>0.01</v>
      </c>
      <c r="G5963" s="668"/>
      <c r="H5963" s="925" t="s">
        <v>13459</v>
      </c>
      <c r="I5963" s="925"/>
      <c r="J5963" s="667">
        <v>0.05</v>
      </c>
    </row>
    <row r="5964" spans="1:10" ht="0.95" customHeight="1" thickTop="1">
      <c r="A5964" s="666"/>
      <c r="B5964" s="666"/>
      <c r="C5964" s="666"/>
      <c r="D5964" s="666"/>
      <c r="E5964" s="666"/>
      <c r="F5964" s="666"/>
      <c r="G5964" s="666"/>
      <c r="H5964" s="666"/>
      <c r="I5964" s="666"/>
      <c r="J5964" s="666"/>
    </row>
    <row r="5965" spans="1:10" ht="18" customHeight="1">
      <c r="A5965" s="686"/>
      <c r="B5965" s="684" t="s">
        <v>13484</v>
      </c>
      <c r="C5965" s="686" t="s">
        <v>13483</v>
      </c>
      <c r="D5965" s="686" t="s">
        <v>13482</v>
      </c>
      <c r="E5965" s="924" t="s">
        <v>13481</v>
      </c>
      <c r="F5965" s="924"/>
      <c r="G5965" s="685" t="s">
        <v>13480</v>
      </c>
      <c r="H5965" s="684" t="s">
        <v>13479</v>
      </c>
      <c r="I5965" s="684" t="s">
        <v>13478</v>
      </c>
      <c r="J5965" s="684" t="s">
        <v>13477</v>
      </c>
    </row>
    <row r="5966" spans="1:10" ht="36" customHeight="1">
      <c r="A5966" s="682" t="s">
        <v>13476</v>
      </c>
      <c r="B5966" s="683" t="s">
        <v>13615</v>
      </c>
      <c r="C5966" s="682" t="s">
        <v>7</v>
      </c>
      <c r="D5966" s="682" t="s">
        <v>2714</v>
      </c>
      <c r="E5966" s="917" t="s">
        <v>13491</v>
      </c>
      <c r="F5966" s="917"/>
      <c r="G5966" s="681" t="s">
        <v>19</v>
      </c>
      <c r="H5966" s="680">
        <v>1</v>
      </c>
      <c r="I5966" s="679">
        <v>0.32</v>
      </c>
      <c r="J5966" s="679">
        <v>0.32</v>
      </c>
    </row>
    <row r="5967" spans="1:10" ht="36" customHeight="1">
      <c r="A5967" s="672" t="s">
        <v>13467</v>
      </c>
      <c r="B5967" s="673" t="s">
        <v>13614</v>
      </c>
      <c r="C5967" s="672" t="s">
        <v>7</v>
      </c>
      <c r="D5967" s="672" t="s">
        <v>13613</v>
      </c>
      <c r="E5967" s="919" t="s">
        <v>13493</v>
      </c>
      <c r="F5967" s="919"/>
      <c r="G5967" s="671" t="s">
        <v>34</v>
      </c>
      <c r="H5967" s="670">
        <v>5.0000000000000002E-5</v>
      </c>
      <c r="I5967" s="669">
        <v>6438.55</v>
      </c>
      <c r="J5967" s="669">
        <v>0.32</v>
      </c>
    </row>
    <row r="5968" spans="1:10" ht="25.5">
      <c r="A5968" s="668"/>
      <c r="B5968" s="668"/>
      <c r="C5968" s="668"/>
      <c r="D5968" s="668"/>
      <c r="E5968" s="668" t="s">
        <v>13463</v>
      </c>
      <c r="F5968" s="667">
        <v>0</v>
      </c>
      <c r="G5968" s="668" t="s">
        <v>13462</v>
      </c>
      <c r="H5968" s="667">
        <v>0</v>
      </c>
      <c r="I5968" s="668" t="s">
        <v>13461</v>
      </c>
      <c r="J5968" s="667">
        <v>0</v>
      </c>
    </row>
    <row r="5969" spans="1:10" ht="15" thickBot="1">
      <c r="A5969" s="668"/>
      <c r="B5969" s="668"/>
      <c r="C5969" s="668"/>
      <c r="D5969" s="668"/>
      <c r="E5969" s="668" t="s">
        <v>13460</v>
      </c>
      <c r="F5969" s="667">
        <v>0.09</v>
      </c>
      <c r="G5969" s="668"/>
      <c r="H5969" s="925" t="s">
        <v>13459</v>
      </c>
      <c r="I5969" s="925"/>
      <c r="J5969" s="667">
        <v>0.41</v>
      </c>
    </row>
    <row r="5970" spans="1:10" ht="0.95" customHeight="1" thickTop="1">
      <c r="A5970" s="666"/>
      <c r="B5970" s="666"/>
      <c r="C5970" s="666"/>
      <c r="D5970" s="666"/>
      <c r="E5970" s="666"/>
      <c r="F5970" s="666"/>
      <c r="G5970" s="666"/>
      <c r="H5970" s="666"/>
      <c r="I5970" s="666"/>
      <c r="J5970" s="666"/>
    </row>
    <row r="5971" spans="1:10" ht="18" customHeight="1">
      <c r="A5971" s="686"/>
      <c r="B5971" s="684" t="s">
        <v>13484</v>
      </c>
      <c r="C5971" s="686" t="s">
        <v>13483</v>
      </c>
      <c r="D5971" s="686" t="s">
        <v>13482</v>
      </c>
      <c r="E5971" s="924" t="s">
        <v>13481</v>
      </c>
      <c r="F5971" s="924"/>
      <c r="G5971" s="685" t="s">
        <v>13480</v>
      </c>
      <c r="H5971" s="684" t="s">
        <v>13479</v>
      </c>
      <c r="I5971" s="684" t="s">
        <v>13478</v>
      </c>
      <c r="J5971" s="684" t="s">
        <v>13477</v>
      </c>
    </row>
    <row r="5972" spans="1:10" ht="36" customHeight="1">
      <c r="A5972" s="682" t="s">
        <v>13476</v>
      </c>
      <c r="B5972" s="683" t="s">
        <v>13612</v>
      </c>
      <c r="C5972" s="682" t="s">
        <v>7</v>
      </c>
      <c r="D5972" s="682" t="s">
        <v>2715</v>
      </c>
      <c r="E5972" s="917" t="s">
        <v>13491</v>
      </c>
      <c r="F5972" s="917"/>
      <c r="G5972" s="681" t="s">
        <v>19</v>
      </c>
      <c r="H5972" s="680">
        <v>1</v>
      </c>
      <c r="I5972" s="679">
        <v>2.13</v>
      </c>
      <c r="J5972" s="679">
        <v>2.13</v>
      </c>
    </row>
    <row r="5973" spans="1:10" ht="24" customHeight="1">
      <c r="A5973" s="672" t="s">
        <v>13467</v>
      </c>
      <c r="B5973" s="673" t="s">
        <v>13490</v>
      </c>
      <c r="C5973" s="672" t="s">
        <v>7</v>
      </c>
      <c r="D5973" s="672" t="s">
        <v>13489</v>
      </c>
      <c r="E5973" s="919" t="s">
        <v>13464</v>
      </c>
      <c r="F5973" s="919"/>
      <c r="G5973" s="671" t="s">
        <v>13488</v>
      </c>
      <c r="H5973" s="670">
        <v>2.54</v>
      </c>
      <c r="I5973" s="669">
        <v>0.84</v>
      </c>
      <c r="J5973" s="669">
        <v>2.13</v>
      </c>
    </row>
    <row r="5974" spans="1:10" ht="25.5">
      <c r="A5974" s="668"/>
      <c r="B5974" s="668"/>
      <c r="C5974" s="668"/>
      <c r="D5974" s="668"/>
      <c r="E5974" s="668" t="s">
        <v>13463</v>
      </c>
      <c r="F5974" s="667">
        <v>0</v>
      </c>
      <c r="G5974" s="668" t="s">
        <v>13462</v>
      </c>
      <c r="H5974" s="667">
        <v>0</v>
      </c>
      <c r="I5974" s="668" t="s">
        <v>13461</v>
      </c>
      <c r="J5974" s="667">
        <v>0</v>
      </c>
    </row>
    <row r="5975" spans="1:10" ht="15" thickBot="1">
      <c r="A5975" s="668"/>
      <c r="B5975" s="668"/>
      <c r="C5975" s="668"/>
      <c r="D5975" s="668"/>
      <c r="E5975" s="668" t="s">
        <v>13460</v>
      </c>
      <c r="F5975" s="667">
        <v>0.6</v>
      </c>
      <c r="G5975" s="668"/>
      <c r="H5975" s="925" t="s">
        <v>13459</v>
      </c>
      <c r="I5975" s="925"/>
      <c r="J5975" s="667">
        <v>2.73</v>
      </c>
    </row>
    <row r="5976" spans="1:10" ht="0.95" customHeight="1" thickTop="1">
      <c r="A5976" s="666"/>
      <c r="B5976" s="666"/>
      <c r="C5976" s="666"/>
      <c r="D5976" s="666"/>
      <c r="E5976" s="666"/>
      <c r="F5976" s="666"/>
      <c r="G5976" s="666"/>
      <c r="H5976" s="666"/>
      <c r="I5976" s="666"/>
      <c r="J5976" s="666"/>
    </row>
    <row r="5977" spans="1:10" ht="18" customHeight="1">
      <c r="A5977" s="686"/>
      <c r="B5977" s="684" t="s">
        <v>13484</v>
      </c>
      <c r="C5977" s="686" t="s">
        <v>13483</v>
      </c>
      <c r="D5977" s="686" t="s">
        <v>13482</v>
      </c>
      <c r="E5977" s="924" t="s">
        <v>13481</v>
      </c>
      <c r="F5977" s="924"/>
      <c r="G5977" s="685" t="s">
        <v>13480</v>
      </c>
      <c r="H5977" s="684" t="s">
        <v>13479</v>
      </c>
      <c r="I5977" s="684" t="s">
        <v>13478</v>
      </c>
      <c r="J5977" s="684" t="s">
        <v>13477</v>
      </c>
    </row>
    <row r="5978" spans="1:10" ht="24" customHeight="1">
      <c r="A5978" s="682" t="s">
        <v>13476</v>
      </c>
      <c r="B5978" s="683" t="s">
        <v>13611</v>
      </c>
      <c r="C5978" s="682" t="s">
        <v>7</v>
      </c>
      <c r="D5978" s="682" t="s">
        <v>5315</v>
      </c>
      <c r="E5978" s="917" t="s">
        <v>13516</v>
      </c>
      <c r="F5978" s="917"/>
      <c r="G5978" s="681" t="s">
        <v>13610</v>
      </c>
      <c r="H5978" s="680">
        <v>1</v>
      </c>
      <c r="I5978" s="679">
        <v>4.0599999999999996</v>
      </c>
      <c r="J5978" s="679">
        <v>4.0599999999999996</v>
      </c>
    </row>
    <row r="5979" spans="1:10" ht="36" customHeight="1">
      <c r="A5979" s="677" t="s">
        <v>13472</v>
      </c>
      <c r="B5979" s="678" t="s">
        <v>13603</v>
      </c>
      <c r="C5979" s="677" t="s">
        <v>7</v>
      </c>
      <c r="D5979" s="677" t="s">
        <v>1912</v>
      </c>
      <c r="E5979" s="918" t="s">
        <v>13491</v>
      </c>
      <c r="F5979" s="918"/>
      <c r="G5979" s="676" t="s">
        <v>38</v>
      </c>
      <c r="H5979" s="675">
        <v>3.5999999999999999E-3</v>
      </c>
      <c r="I5979" s="674">
        <v>21.1</v>
      </c>
      <c r="J5979" s="674">
        <v>7.0000000000000007E-2</v>
      </c>
    </row>
    <row r="5980" spans="1:10" ht="36" customHeight="1">
      <c r="A5980" s="677" t="s">
        <v>13472</v>
      </c>
      <c r="B5980" s="678" t="s">
        <v>13601</v>
      </c>
      <c r="C5980" s="677" t="s">
        <v>7</v>
      </c>
      <c r="D5980" s="677" t="s">
        <v>1913</v>
      </c>
      <c r="E5980" s="918" t="s">
        <v>13491</v>
      </c>
      <c r="F5980" s="918"/>
      <c r="G5980" s="676" t="s">
        <v>53</v>
      </c>
      <c r="H5980" s="675">
        <v>3.5999999999999999E-3</v>
      </c>
      <c r="I5980" s="674">
        <v>14.17</v>
      </c>
      <c r="J5980" s="674">
        <v>0.05</v>
      </c>
    </row>
    <row r="5981" spans="1:10" ht="24" customHeight="1">
      <c r="A5981" s="677" t="s">
        <v>13472</v>
      </c>
      <c r="B5981" s="678" t="s">
        <v>13600</v>
      </c>
      <c r="C5981" s="677" t="s">
        <v>7</v>
      </c>
      <c r="D5981" s="677" t="s">
        <v>41</v>
      </c>
      <c r="E5981" s="918" t="s">
        <v>13470</v>
      </c>
      <c r="F5981" s="918"/>
      <c r="G5981" s="676" t="s">
        <v>19</v>
      </c>
      <c r="H5981" s="675">
        <v>0.10199999999999999</v>
      </c>
      <c r="I5981" s="674">
        <v>17.670000000000002</v>
      </c>
      <c r="J5981" s="674">
        <v>1.8</v>
      </c>
    </row>
    <row r="5982" spans="1:10" ht="24" customHeight="1">
      <c r="A5982" s="677" t="s">
        <v>13472</v>
      </c>
      <c r="B5982" s="678" t="s">
        <v>13471</v>
      </c>
      <c r="C5982" s="677" t="s">
        <v>7</v>
      </c>
      <c r="D5982" s="677" t="s">
        <v>21</v>
      </c>
      <c r="E5982" s="918" t="s">
        <v>13470</v>
      </c>
      <c r="F5982" s="918"/>
      <c r="G5982" s="676" t="s">
        <v>19</v>
      </c>
      <c r="H5982" s="675">
        <v>0.15310000000000001</v>
      </c>
      <c r="I5982" s="674">
        <v>14.02</v>
      </c>
      <c r="J5982" s="674">
        <v>2.14</v>
      </c>
    </row>
    <row r="5983" spans="1:10" ht="25.5">
      <c r="A5983" s="668"/>
      <c r="B5983" s="668"/>
      <c r="C5983" s="668"/>
      <c r="D5983" s="668"/>
      <c r="E5983" s="668" t="s">
        <v>13463</v>
      </c>
      <c r="F5983" s="667">
        <v>1.6516353363033793</v>
      </c>
      <c r="G5983" s="668" t="s">
        <v>13462</v>
      </c>
      <c r="H5983" s="667">
        <v>1.39</v>
      </c>
      <c r="I5983" s="668" t="s">
        <v>13461</v>
      </c>
      <c r="J5983" s="667">
        <v>3.04</v>
      </c>
    </row>
    <row r="5984" spans="1:10" ht="15" thickBot="1">
      <c r="A5984" s="668"/>
      <c r="B5984" s="668"/>
      <c r="C5984" s="668"/>
      <c r="D5984" s="668"/>
      <c r="E5984" s="668" t="s">
        <v>13460</v>
      </c>
      <c r="F5984" s="667">
        <v>1.1399999999999999</v>
      </c>
      <c r="G5984" s="668"/>
      <c r="H5984" s="925" t="s">
        <v>13459</v>
      </c>
      <c r="I5984" s="925"/>
      <c r="J5984" s="667">
        <v>5.2</v>
      </c>
    </row>
    <row r="5985" spans="1:10" ht="0.95" customHeight="1" thickTop="1">
      <c r="A5985" s="666"/>
      <c r="B5985" s="666"/>
      <c r="C5985" s="666"/>
      <c r="D5985" s="666"/>
      <c r="E5985" s="666"/>
      <c r="F5985" s="666"/>
      <c r="G5985" s="666"/>
      <c r="H5985" s="666"/>
      <c r="I5985" s="666"/>
      <c r="J5985" s="666"/>
    </row>
    <row r="5986" spans="1:10" ht="18" customHeight="1">
      <c r="A5986" s="686"/>
      <c r="B5986" s="684" t="s">
        <v>13484</v>
      </c>
      <c r="C5986" s="686" t="s">
        <v>13483</v>
      </c>
      <c r="D5986" s="686" t="s">
        <v>13482</v>
      </c>
      <c r="E5986" s="924" t="s">
        <v>13481</v>
      </c>
      <c r="F5986" s="924"/>
      <c r="G5986" s="685" t="s">
        <v>13480</v>
      </c>
      <c r="H5986" s="684" t="s">
        <v>13479</v>
      </c>
      <c r="I5986" s="684" t="s">
        <v>13478</v>
      </c>
      <c r="J5986" s="684" t="s">
        <v>13477</v>
      </c>
    </row>
    <row r="5987" spans="1:10" ht="36" customHeight="1">
      <c r="A5987" s="682" t="s">
        <v>13476</v>
      </c>
      <c r="B5987" s="683" t="s">
        <v>13609</v>
      </c>
      <c r="C5987" s="682" t="s">
        <v>7</v>
      </c>
      <c r="D5987" s="682" t="s">
        <v>5317</v>
      </c>
      <c r="E5987" s="917" t="s">
        <v>13516</v>
      </c>
      <c r="F5987" s="917"/>
      <c r="G5987" s="681" t="s">
        <v>13515</v>
      </c>
      <c r="H5987" s="680">
        <v>1</v>
      </c>
      <c r="I5987" s="679">
        <v>162.72999999999999</v>
      </c>
      <c r="J5987" s="679">
        <v>162.72999999999999</v>
      </c>
    </row>
    <row r="5988" spans="1:10" ht="36" customHeight="1">
      <c r="A5988" s="677" t="s">
        <v>13472</v>
      </c>
      <c r="B5988" s="678" t="s">
        <v>13603</v>
      </c>
      <c r="C5988" s="677" t="s">
        <v>7</v>
      </c>
      <c r="D5988" s="677" t="s">
        <v>1912</v>
      </c>
      <c r="E5988" s="918" t="s">
        <v>13491</v>
      </c>
      <c r="F5988" s="918"/>
      <c r="G5988" s="676" t="s">
        <v>38</v>
      </c>
      <c r="H5988" s="675">
        <v>7.1800000000000003E-2</v>
      </c>
      <c r="I5988" s="674">
        <v>21.1</v>
      </c>
      <c r="J5988" s="674">
        <v>1.51</v>
      </c>
    </row>
    <row r="5989" spans="1:10" ht="36" customHeight="1">
      <c r="A5989" s="677" t="s">
        <v>13472</v>
      </c>
      <c r="B5989" s="678" t="s">
        <v>13601</v>
      </c>
      <c r="C5989" s="677" t="s">
        <v>7</v>
      </c>
      <c r="D5989" s="677" t="s">
        <v>1913</v>
      </c>
      <c r="E5989" s="918" t="s">
        <v>13491</v>
      </c>
      <c r="F5989" s="918"/>
      <c r="G5989" s="676" t="s">
        <v>53</v>
      </c>
      <c r="H5989" s="675">
        <v>6.6600000000000006E-2</v>
      </c>
      <c r="I5989" s="674">
        <v>14.17</v>
      </c>
      <c r="J5989" s="674">
        <v>0.94</v>
      </c>
    </row>
    <row r="5990" spans="1:10" ht="24" customHeight="1">
      <c r="A5990" s="677" t="s">
        <v>13472</v>
      </c>
      <c r="B5990" s="678" t="s">
        <v>13600</v>
      </c>
      <c r="C5990" s="677" t="s">
        <v>7</v>
      </c>
      <c r="D5990" s="677" t="s">
        <v>41</v>
      </c>
      <c r="E5990" s="918" t="s">
        <v>13470</v>
      </c>
      <c r="F5990" s="918"/>
      <c r="G5990" s="676" t="s">
        <v>19</v>
      </c>
      <c r="H5990" s="675">
        <v>2.0219</v>
      </c>
      <c r="I5990" s="674">
        <v>17.670000000000002</v>
      </c>
      <c r="J5990" s="674">
        <v>35.72</v>
      </c>
    </row>
    <row r="5991" spans="1:10" ht="24" customHeight="1">
      <c r="A5991" s="677" t="s">
        <v>13472</v>
      </c>
      <c r="B5991" s="678" t="s">
        <v>13471</v>
      </c>
      <c r="C5991" s="677" t="s">
        <v>7</v>
      </c>
      <c r="D5991" s="677" t="s">
        <v>21</v>
      </c>
      <c r="E5991" s="918" t="s">
        <v>13470</v>
      </c>
      <c r="F5991" s="918"/>
      <c r="G5991" s="676" t="s">
        <v>19</v>
      </c>
      <c r="H5991" s="675">
        <v>3.0329000000000002</v>
      </c>
      <c r="I5991" s="674">
        <v>14.02</v>
      </c>
      <c r="J5991" s="674">
        <v>42.52</v>
      </c>
    </row>
    <row r="5992" spans="1:10" ht="24" customHeight="1">
      <c r="A5992" s="672" t="s">
        <v>13467</v>
      </c>
      <c r="B5992" s="673" t="s">
        <v>13608</v>
      </c>
      <c r="C5992" s="672" t="s">
        <v>7</v>
      </c>
      <c r="D5992" s="672" t="s">
        <v>13607</v>
      </c>
      <c r="E5992" s="919" t="s">
        <v>13464</v>
      </c>
      <c r="F5992" s="919"/>
      <c r="G5992" s="671" t="s">
        <v>13515</v>
      </c>
      <c r="H5992" s="670">
        <v>1.1000000000000001</v>
      </c>
      <c r="I5992" s="669">
        <v>74.59</v>
      </c>
      <c r="J5992" s="669">
        <v>82.04</v>
      </c>
    </row>
    <row r="5993" spans="1:10" ht="25.5">
      <c r="A5993" s="668"/>
      <c r="B5993" s="668"/>
      <c r="C5993" s="668"/>
      <c r="D5993" s="668"/>
      <c r="E5993" s="668" t="s">
        <v>13463</v>
      </c>
      <c r="F5993" s="667">
        <v>33.005541671194173</v>
      </c>
      <c r="G5993" s="668" t="s">
        <v>13462</v>
      </c>
      <c r="H5993" s="667">
        <v>27.74</v>
      </c>
      <c r="I5993" s="668" t="s">
        <v>13461</v>
      </c>
      <c r="J5993" s="667">
        <v>60.75</v>
      </c>
    </row>
    <row r="5994" spans="1:10" ht="15" thickBot="1">
      <c r="A5994" s="668"/>
      <c r="B5994" s="668"/>
      <c r="C5994" s="668"/>
      <c r="D5994" s="668"/>
      <c r="E5994" s="668" t="s">
        <v>13460</v>
      </c>
      <c r="F5994" s="667">
        <v>45.95</v>
      </c>
      <c r="G5994" s="668"/>
      <c r="H5994" s="925" t="s">
        <v>13459</v>
      </c>
      <c r="I5994" s="925"/>
      <c r="J5994" s="667">
        <v>208.68</v>
      </c>
    </row>
    <row r="5995" spans="1:10" ht="0.95" customHeight="1" thickTop="1">
      <c r="A5995" s="666"/>
      <c r="B5995" s="666"/>
      <c r="C5995" s="666"/>
      <c r="D5995" s="666"/>
      <c r="E5995" s="666"/>
      <c r="F5995" s="666"/>
      <c r="G5995" s="666"/>
      <c r="H5995" s="666"/>
      <c r="I5995" s="666"/>
      <c r="J5995" s="666"/>
    </row>
    <row r="5996" spans="1:10" ht="18" customHeight="1">
      <c r="A5996" s="686"/>
      <c r="B5996" s="684" t="s">
        <v>13484</v>
      </c>
      <c r="C5996" s="686" t="s">
        <v>13483</v>
      </c>
      <c r="D5996" s="686" t="s">
        <v>13482</v>
      </c>
      <c r="E5996" s="924" t="s">
        <v>13481</v>
      </c>
      <c r="F5996" s="924"/>
      <c r="G5996" s="685" t="s">
        <v>13480</v>
      </c>
      <c r="H5996" s="684" t="s">
        <v>13479</v>
      </c>
      <c r="I5996" s="684" t="s">
        <v>13478</v>
      </c>
      <c r="J5996" s="684" t="s">
        <v>13477</v>
      </c>
    </row>
    <row r="5997" spans="1:10" ht="36" customHeight="1">
      <c r="A5997" s="682" t="s">
        <v>13476</v>
      </c>
      <c r="B5997" s="683" t="s">
        <v>13606</v>
      </c>
      <c r="C5997" s="682" t="s">
        <v>7</v>
      </c>
      <c r="D5997" s="682" t="s">
        <v>5318</v>
      </c>
      <c r="E5997" s="917" t="s">
        <v>13516</v>
      </c>
      <c r="F5997" s="917"/>
      <c r="G5997" s="681" t="s">
        <v>13515</v>
      </c>
      <c r="H5997" s="680">
        <v>1</v>
      </c>
      <c r="I5997" s="679">
        <v>199.82</v>
      </c>
      <c r="J5997" s="679">
        <v>199.82</v>
      </c>
    </row>
    <row r="5998" spans="1:10" ht="36" customHeight="1">
      <c r="A5998" s="677" t="s">
        <v>13472</v>
      </c>
      <c r="B5998" s="678" t="s">
        <v>13603</v>
      </c>
      <c r="C5998" s="677" t="s">
        <v>7</v>
      </c>
      <c r="D5998" s="677" t="s">
        <v>1912</v>
      </c>
      <c r="E5998" s="918" t="s">
        <v>13491</v>
      </c>
      <c r="F5998" s="918"/>
      <c r="G5998" s="676" t="s">
        <v>38</v>
      </c>
      <c r="H5998" s="675">
        <v>7.1800000000000003E-2</v>
      </c>
      <c r="I5998" s="674">
        <v>21.1</v>
      </c>
      <c r="J5998" s="674">
        <v>1.51</v>
      </c>
    </row>
    <row r="5999" spans="1:10" ht="36" customHeight="1">
      <c r="A5999" s="677" t="s">
        <v>13472</v>
      </c>
      <c r="B5999" s="678" t="s">
        <v>13601</v>
      </c>
      <c r="C5999" s="677" t="s">
        <v>7</v>
      </c>
      <c r="D5999" s="677" t="s">
        <v>1913</v>
      </c>
      <c r="E5999" s="918" t="s">
        <v>13491</v>
      </c>
      <c r="F5999" s="918"/>
      <c r="G5999" s="676" t="s">
        <v>53</v>
      </c>
      <c r="H5999" s="675">
        <v>6.6600000000000006E-2</v>
      </c>
      <c r="I5999" s="674">
        <v>14.17</v>
      </c>
      <c r="J5999" s="674">
        <v>0.94</v>
      </c>
    </row>
    <row r="6000" spans="1:10" ht="24" customHeight="1">
      <c r="A6000" s="677" t="s">
        <v>13472</v>
      </c>
      <c r="B6000" s="678" t="s">
        <v>13600</v>
      </c>
      <c r="C6000" s="677" t="s">
        <v>7</v>
      </c>
      <c r="D6000" s="677" t="s">
        <v>41</v>
      </c>
      <c r="E6000" s="918" t="s">
        <v>13470</v>
      </c>
      <c r="F6000" s="918"/>
      <c r="G6000" s="676" t="s">
        <v>19</v>
      </c>
      <c r="H6000" s="675">
        <v>2.4937999999999998</v>
      </c>
      <c r="I6000" s="674">
        <v>17.670000000000002</v>
      </c>
      <c r="J6000" s="674">
        <v>44.06</v>
      </c>
    </row>
    <row r="6001" spans="1:10" ht="24" customHeight="1">
      <c r="A6001" s="677" t="s">
        <v>13472</v>
      </c>
      <c r="B6001" s="678" t="s">
        <v>13471</v>
      </c>
      <c r="C6001" s="677" t="s">
        <v>7</v>
      </c>
      <c r="D6001" s="677" t="s">
        <v>21</v>
      </c>
      <c r="E6001" s="918" t="s">
        <v>13470</v>
      </c>
      <c r="F6001" s="918"/>
      <c r="G6001" s="676" t="s">
        <v>19</v>
      </c>
      <c r="H6001" s="675">
        <v>3.7406999999999999</v>
      </c>
      <c r="I6001" s="674">
        <v>14.02</v>
      </c>
      <c r="J6001" s="674">
        <v>52.44</v>
      </c>
    </row>
    <row r="6002" spans="1:10" ht="24" customHeight="1">
      <c r="A6002" s="672" t="s">
        <v>13467</v>
      </c>
      <c r="B6002" s="673" t="s">
        <v>13599</v>
      </c>
      <c r="C6002" s="672" t="s">
        <v>7</v>
      </c>
      <c r="D6002" s="672" t="s">
        <v>13598</v>
      </c>
      <c r="E6002" s="919" t="s">
        <v>13464</v>
      </c>
      <c r="F6002" s="919"/>
      <c r="G6002" s="671" t="s">
        <v>13515</v>
      </c>
      <c r="H6002" s="670">
        <v>1.1000000000000001</v>
      </c>
      <c r="I6002" s="669">
        <v>91.7</v>
      </c>
      <c r="J6002" s="669">
        <v>100.87</v>
      </c>
    </row>
    <row r="6003" spans="1:10" ht="25.5">
      <c r="A6003" s="668"/>
      <c r="B6003" s="668"/>
      <c r="C6003" s="668"/>
      <c r="D6003" s="668"/>
      <c r="E6003" s="668" t="s">
        <v>13463</v>
      </c>
      <c r="F6003" s="667">
        <v>40.530261871128978</v>
      </c>
      <c r="G6003" s="668" t="s">
        <v>13462</v>
      </c>
      <c r="H6003" s="667">
        <v>34.07</v>
      </c>
      <c r="I6003" s="668" t="s">
        <v>13461</v>
      </c>
      <c r="J6003" s="667">
        <v>74.599999999999994</v>
      </c>
    </row>
    <row r="6004" spans="1:10" ht="15" thickBot="1">
      <c r="A6004" s="668"/>
      <c r="B6004" s="668"/>
      <c r="C6004" s="668"/>
      <c r="D6004" s="668"/>
      <c r="E6004" s="668" t="s">
        <v>13460</v>
      </c>
      <c r="F6004" s="667">
        <v>56.42</v>
      </c>
      <c r="G6004" s="668"/>
      <c r="H6004" s="925" t="s">
        <v>13459</v>
      </c>
      <c r="I6004" s="925"/>
      <c r="J6004" s="667">
        <v>256.24</v>
      </c>
    </row>
    <row r="6005" spans="1:10" ht="0.95" customHeight="1" thickTop="1">
      <c r="A6005" s="666"/>
      <c r="B6005" s="666"/>
      <c r="C6005" s="666"/>
      <c r="D6005" s="666"/>
      <c r="E6005" s="666"/>
      <c r="F6005" s="666"/>
      <c r="G6005" s="666"/>
      <c r="H6005" s="666"/>
      <c r="I6005" s="666"/>
      <c r="J6005" s="666"/>
    </row>
    <row r="6006" spans="1:10" ht="18" customHeight="1">
      <c r="A6006" s="686"/>
      <c r="B6006" s="684" t="s">
        <v>13484</v>
      </c>
      <c r="C6006" s="686" t="s">
        <v>13483</v>
      </c>
      <c r="D6006" s="686" t="s">
        <v>13482</v>
      </c>
      <c r="E6006" s="924" t="s">
        <v>13481</v>
      </c>
      <c r="F6006" s="924"/>
      <c r="G6006" s="685" t="s">
        <v>13480</v>
      </c>
      <c r="H6006" s="684" t="s">
        <v>13479</v>
      </c>
      <c r="I6006" s="684" t="s">
        <v>13478</v>
      </c>
      <c r="J6006" s="684" t="s">
        <v>13477</v>
      </c>
    </row>
    <row r="6007" spans="1:10" ht="36" customHeight="1">
      <c r="A6007" s="682" t="s">
        <v>13476</v>
      </c>
      <c r="B6007" s="683" t="s">
        <v>13605</v>
      </c>
      <c r="C6007" s="682" t="s">
        <v>7</v>
      </c>
      <c r="D6007" s="682" t="s">
        <v>5322</v>
      </c>
      <c r="E6007" s="917" t="s">
        <v>13516</v>
      </c>
      <c r="F6007" s="917"/>
      <c r="G6007" s="681" t="s">
        <v>13515</v>
      </c>
      <c r="H6007" s="680">
        <v>1</v>
      </c>
      <c r="I6007" s="679">
        <v>175.25</v>
      </c>
      <c r="J6007" s="679">
        <v>175.25</v>
      </c>
    </row>
    <row r="6008" spans="1:10" ht="60" customHeight="1">
      <c r="A6008" s="677" t="s">
        <v>13472</v>
      </c>
      <c r="B6008" s="678" t="s">
        <v>13604</v>
      </c>
      <c r="C6008" s="677" t="s">
        <v>7</v>
      </c>
      <c r="D6008" s="677" t="s">
        <v>702</v>
      </c>
      <c r="E6008" s="918" t="s">
        <v>13491</v>
      </c>
      <c r="F6008" s="918"/>
      <c r="G6008" s="676" t="s">
        <v>38</v>
      </c>
      <c r="H6008" s="675">
        <v>0.128</v>
      </c>
      <c r="I6008" s="674">
        <v>101.95</v>
      </c>
      <c r="J6008" s="674">
        <v>13.04</v>
      </c>
    </row>
    <row r="6009" spans="1:10" ht="36" customHeight="1">
      <c r="A6009" s="677" t="s">
        <v>13472</v>
      </c>
      <c r="B6009" s="678" t="s">
        <v>13603</v>
      </c>
      <c r="C6009" s="677" t="s">
        <v>7</v>
      </c>
      <c r="D6009" s="677" t="s">
        <v>1912</v>
      </c>
      <c r="E6009" s="918" t="s">
        <v>13491</v>
      </c>
      <c r="F6009" s="918"/>
      <c r="G6009" s="676" t="s">
        <v>38</v>
      </c>
      <c r="H6009" s="675">
        <v>7.1800000000000003E-2</v>
      </c>
      <c r="I6009" s="674">
        <v>21.1</v>
      </c>
      <c r="J6009" s="674">
        <v>1.51</v>
      </c>
    </row>
    <row r="6010" spans="1:10" ht="60" customHeight="1">
      <c r="A6010" s="677" t="s">
        <v>13472</v>
      </c>
      <c r="B6010" s="678" t="s">
        <v>13602</v>
      </c>
      <c r="C6010" s="677" t="s">
        <v>7</v>
      </c>
      <c r="D6010" s="677" t="s">
        <v>703</v>
      </c>
      <c r="E6010" s="918" t="s">
        <v>13491</v>
      </c>
      <c r="F6010" s="918"/>
      <c r="G6010" s="676" t="s">
        <v>53</v>
      </c>
      <c r="H6010" s="675">
        <v>0.63980000000000004</v>
      </c>
      <c r="I6010" s="674">
        <v>36.340000000000003</v>
      </c>
      <c r="J6010" s="674">
        <v>23.25</v>
      </c>
    </row>
    <row r="6011" spans="1:10" ht="36" customHeight="1">
      <c r="A6011" s="677" t="s">
        <v>13472</v>
      </c>
      <c r="B6011" s="678" t="s">
        <v>13601</v>
      </c>
      <c r="C6011" s="677" t="s">
        <v>7</v>
      </c>
      <c r="D6011" s="677" t="s">
        <v>1913</v>
      </c>
      <c r="E6011" s="918" t="s">
        <v>13491</v>
      </c>
      <c r="F6011" s="918"/>
      <c r="G6011" s="676" t="s">
        <v>53</v>
      </c>
      <c r="H6011" s="675">
        <v>6.6600000000000006E-2</v>
      </c>
      <c r="I6011" s="674">
        <v>14.17</v>
      </c>
      <c r="J6011" s="674">
        <v>0.94</v>
      </c>
    </row>
    <row r="6012" spans="1:10" ht="24" customHeight="1">
      <c r="A6012" s="677" t="s">
        <v>13472</v>
      </c>
      <c r="B6012" s="678" t="s">
        <v>13600</v>
      </c>
      <c r="C6012" s="677" t="s">
        <v>7</v>
      </c>
      <c r="D6012" s="677" t="s">
        <v>41</v>
      </c>
      <c r="E6012" s="918" t="s">
        <v>13470</v>
      </c>
      <c r="F6012" s="918"/>
      <c r="G6012" s="676" t="s">
        <v>19</v>
      </c>
      <c r="H6012" s="675">
        <v>0.92130000000000001</v>
      </c>
      <c r="I6012" s="674">
        <v>17.670000000000002</v>
      </c>
      <c r="J6012" s="674">
        <v>16.27</v>
      </c>
    </row>
    <row r="6013" spans="1:10" ht="24" customHeight="1">
      <c r="A6013" s="677" t="s">
        <v>13472</v>
      </c>
      <c r="B6013" s="678" t="s">
        <v>13471</v>
      </c>
      <c r="C6013" s="677" t="s">
        <v>7</v>
      </c>
      <c r="D6013" s="677" t="s">
        <v>21</v>
      </c>
      <c r="E6013" s="918" t="s">
        <v>13470</v>
      </c>
      <c r="F6013" s="918"/>
      <c r="G6013" s="676" t="s">
        <v>19</v>
      </c>
      <c r="H6013" s="675">
        <v>1.3818999999999999</v>
      </c>
      <c r="I6013" s="674">
        <v>14.02</v>
      </c>
      <c r="J6013" s="674">
        <v>19.37</v>
      </c>
    </row>
    <row r="6014" spans="1:10" ht="24" customHeight="1">
      <c r="A6014" s="672" t="s">
        <v>13467</v>
      </c>
      <c r="B6014" s="673" t="s">
        <v>13599</v>
      </c>
      <c r="C6014" s="672" t="s">
        <v>7</v>
      </c>
      <c r="D6014" s="672" t="s">
        <v>13598</v>
      </c>
      <c r="E6014" s="919" t="s">
        <v>13464</v>
      </c>
      <c r="F6014" s="919"/>
      <c r="G6014" s="671" t="s">
        <v>13515</v>
      </c>
      <c r="H6014" s="670">
        <v>1.1000000000000001</v>
      </c>
      <c r="I6014" s="669">
        <v>91.7</v>
      </c>
      <c r="J6014" s="669">
        <v>100.87</v>
      </c>
    </row>
    <row r="6015" spans="1:10" ht="25.5">
      <c r="A6015" s="668"/>
      <c r="B6015" s="668"/>
      <c r="C6015" s="668"/>
      <c r="D6015" s="668"/>
      <c r="E6015" s="668" t="s">
        <v>13463</v>
      </c>
      <c r="F6015" s="667">
        <v>21.205041834184506</v>
      </c>
      <c r="G6015" s="668" t="s">
        <v>13462</v>
      </c>
      <c r="H6015" s="667">
        <v>17.82</v>
      </c>
      <c r="I6015" s="668" t="s">
        <v>13461</v>
      </c>
      <c r="J6015" s="667">
        <v>39.03</v>
      </c>
    </row>
    <row r="6016" spans="1:10" ht="15" thickBot="1">
      <c r="A6016" s="668"/>
      <c r="B6016" s="668"/>
      <c r="C6016" s="668"/>
      <c r="D6016" s="668"/>
      <c r="E6016" s="668" t="s">
        <v>13460</v>
      </c>
      <c r="F6016" s="667">
        <v>49.49</v>
      </c>
      <c r="G6016" s="668"/>
      <c r="H6016" s="925" t="s">
        <v>13459</v>
      </c>
      <c r="I6016" s="925"/>
      <c r="J6016" s="667">
        <v>224.74</v>
      </c>
    </row>
    <row r="6017" spans="1:10" ht="0.95" customHeight="1" thickTop="1">
      <c r="A6017" s="666"/>
      <c r="B6017" s="666"/>
      <c r="C6017" s="666"/>
      <c r="D6017" s="666"/>
      <c r="E6017" s="666"/>
      <c r="F6017" s="666"/>
      <c r="G6017" s="666"/>
      <c r="H6017" s="666"/>
      <c r="I6017" s="666"/>
      <c r="J6017" s="666"/>
    </row>
    <row r="6018" spans="1:10" ht="18" customHeight="1">
      <c r="A6018" s="686"/>
      <c r="B6018" s="684" t="s">
        <v>13484</v>
      </c>
      <c r="C6018" s="686" t="s">
        <v>13483</v>
      </c>
      <c r="D6018" s="686" t="s">
        <v>13482</v>
      </c>
      <c r="E6018" s="924" t="s">
        <v>13481</v>
      </c>
      <c r="F6018" s="924"/>
      <c r="G6018" s="685" t="s">
        <v>13480</v>
      </c>
      <c r="H6018" s="684" t="s">
        <v>13479</v>
      </c>
      <c r="I6018" s="684" t="s">
        <v>13478</v>
      </c>
      <c r="J6018" s="684" t="s">
        <v>13477</v>
      </c>
    </row>
    <row r="6019" spans="1:10" ht="36" customHeight="1">
      <c r="A6019" s="682" t="s">
        <v>13476</v>
      </c>
      <c r="B6019" s="683" t="s">
        <v>13597</v>
      </c>
      <c r="C6019" s="682" t="s">
        <v>7</v>
      </c>
      <c r="D6019" s="682" t="s">
        <v>189</v>
      </c>
      <c r="E6019" s="917" t="s">
        <v>13491</v>
      </c>
      <c r="F6019" s="917"/>
      <c r="G6019" s="681" t="s">
        <v>53</v>
      </c>
      <c r="H6019" s="680">
        <v>1</v>
      </c>
      <c r="I6019" s="679">
        <v>5.71</v>
      </c>
      <c r="J6019" s="679">
        <v>5.71</v>
      </c>
    </row>
    <row r="6020" spans="1:10" ht="36" customHeight="1">
      <c r="A6020" s="677" t="s">
        <v>13472</v>
      </c>
      <c r="B6020" s="678" t="s">
        <v>13595</v>
      </c>
      <c r="C6020" s="677" t="s">
        <v>7</v>
      </c>
      <c r="D6020" s="677" t="s">
        <v>185</v>
      </c>
      <c r="E6020" s="918" t="s">
        <v>13491</v>
      </c>
      <c r="F6020" s="918"/>
      <c r="G6020" s="676" t="s">
        <v>19</v>
      </c>
      <c r="H6020" s="675">
        <v>1</v>
      </c>
      <c r="I6020" s="674">
        <v>5.1100000000000003</v>
      </c>
      <c r="J6020" s="674">
        <v>5.1100000000000003</v>
      </c>
    </row>
    <row r="6021" spans="1:10" ht="36" customHeight="1">
      <c r="A6021" s="677" t="s">
        <v>13472</v>
      </c>
      <c r="B6021" s="678" t="s">
        <v>13594</v>
      </c>
      <c r="C6021" s="677" t="s">
        <v>7</v>
      </c>
      <c r="D6021" s="677" t="s">
        <v>186</v>
      </c>
      <c r="E6021" s="918" t="s">
        <v>13491</v>
      </c>
      <c r="F6021" s="918"/>
      <c r="G6021" s="676" t="s">
        <v>19</v>
      </c>
      <c r="H6021" s="675">
        <v>1</v>
      </c>
      <c r="I6021" s="674">
        <v>0.6</v>
      </c>
      <c r="J6021" s="674">
        <v>0.6</v>
      </c>
    </row>
    <row r="6022" spans="1:10" ht="25.5">
      <c r="A6022" s="668"/>
      <c r="B6022" s="668"/>
      <c r="C6022" s="668"/>
      <c r="D6022" s="668"/>
      <c r="E6022" s="668" t="s">
        <v>13463</v>
      </c>
      <c r="F6022" s="667">
        <v>0</v>
      </c>
      <c r="G6022" s="668" t="s">
        <v>13462</v>
      </c>
      <c r="H6022" s="667">
        <v>0</v>
      </c>
      <c r="I6022" s="668" t="s">
        <v>13461</v>
      </c>
      <c r="J6022" s="667">
        <v>0</v>
      </c>
    </row>
    <row r="6023" spans="1:10" ht="15" thickBot="1">
      <c r="A6023" s="668"/>
      <c r="B6023" s="668"/>
      <c r="C6023" s="668"/>
      <c r="D6023" s="668"/>
      <c r="E6023" s="668" t="s">
        <v>13460</v>
      </c>
      <c r="F6023" s="667">
        <v>1.61</v>
      </c>
      <c r="G6023" s="668"/>
      <c r="H6023" s="925" t="s">
        <v>13459</v>
      </c>
      <c r="I6023" s="925"/>
      <c r="J6023" s="667">
        <v>7.32</v>
      </c>
    </row>
    <row r="6024" spans="1:10" ht="0.95" customHeight="1" thickTop="1">
      <c r="A6024" s="666"/>
      <c r="B6024" s="666"/>
      <c r="C6024" s="666"/>
      <c r="D6024" s="666"/>
      <c r="E6024" s="666"/>
      <c r="F6024" s="666"/>
      <c r="G6024" s="666"/>
      <c r="H6024" s="666"/>
      <c r="I6024" s="666"/>
      <c r="J6024" s="666"/>
    </row>
    <row r="6025" spans="1:10" ht="18" customHeight="1">
      <c r="A6025" s="686"/>
      <c r="B6025" s="684" t="s">
        <v>13484</v>
      </c>
      <c r="C6025" s="686" t="s">
        <v>13483</v>
      </c>
      <c r="D6025" s="686" t="s">
        <v>13482</v>
      </c>
      <c r="E6025" s="924" t="s">
        <v>13481</v>
      </c>
      <c r="F6025" s="924"/>
      <c r="G6025" s="685" t="s">
        <v>13480</v>
      </c>
      <c r="H6025" s="684" t="s">
        <v>13479</v>
      </c>
      <c r="I6025" s="684" t="s">
        <v>13478</v>
      </c>
      <c r="J6025" s="684" t="s">
        <v>13477</v>
      </c>
    </row>
    <row r="6026" spans="1:10" ht="36" customHeight="1">
      <c r="A6026" s="682" t="s">
        <v>13476</v>
      </c>
      <c r="B6026" s="683" t="s">
        <v>13596</v>
      </c>
      <c r="C6026" s="682" t="s">
        <v>7</v>
      </c>
      <c r="D6026" s="682" t="s">
        <v>184</v>
      </c>
      <c r="E6026" s="917" t="s">
        <v>13491</v>
      </c>
      <c r="F6026" s="917"/>
      <c r="G6026" s="681" t="s">
        <v>38</v>
      </c>
      <c r="H6026" s="680">
        <v>1</v>
      </c>
      <c r="I6026" s="679">
        <v>15.29</v>
      </c>
      <c r="J6026" s="679">
        <v>15.29</v>
      </c>
    </row>
    <row r="6027" spans="1:10" ht="36" customHeight="1">
      <c r="A6027" s="677" t="s">
        <v>13472</v>
      </c>
      <c r="B6027" s="678" t="s">
        <v>13595</v>
      </c>
      <c r="C6027" s="677" t="s">
        <v>7</v>
      </c>
      <c r="D6027" s="677" t="s">
        <v>185</v>
      </c>
      <c r="E6027" s="918" t="s">
        <v>13491</v>
      </c>
      <c r="F6027" s="918"/>
      <c r="G6027" s="676" t="s">
        <v>19</v>
      </c>
      <c r="H6027" s="675">
        <v>1</v>
      </c>
      <c r="I6027" s="674">
        <v>5.1100000000000003</v>
      </c>
      <c r="J6027" s="674">
        <v>5.1100000000000003</v>
      </c>
    </row>
    <row r="6028" spans="1:10" ht="36" customHeight="1">
      <c r="A6028" s="677" t="s">
        <v>13472</v>
      </c>
      <c r="B6028" s="678" t="s">
        <v>13590</v>
      </c>
      <c r="C6028" s="677" t="s">
        <v>7</v>
      </c>
      <c r="D6028" s="677" t="s">
        <v>1125</v>
      </c>
      <c r="E6028" s="918" t="s">
        <v>13491</v>
      </c>
      <c r="F6028" s="918"/>
      <c r="G6028" s="676" t="s">
        <v>19</v>
      </c>
      <c r="H6028" s="675">
        <v>1</v>
      </c>
      <c r="I6028" s="674">
        <v>3.99</v>
      </c>
      <c r="J6028" s="674">
        <v>3.99</v>
      </c>
    </row>
    <row r="6029" spans="1:10" ht="36" customHeight="1">
      <c r="A6029" s="677" t="s">
        <v>13472</v>
      </c>
      <c r="B6029" s="678" t="s">
        <v>13594</v>
      </c>
      <c r="C6029" s="677" t="s">
        <v>7</v>
      </c>
      <c r="D6029" s="677" t="s">
        <v>186</v>
      </c>
      <c r="E6029" s="918" t="s">
        <v>13491</v>
      </c>
      <c r="F6029" s="918"/>
      <c r="G6029" s="676" t="s">
        <v>19</v>
      </c>
      <c r="H6029" s="675">
        <v>1</v>
      </c>
      <c r="I6029" s="674">
        <v>0.6</v>
      </c>
      <c r="J6029" s="674">
        <v>0.6</v>
      </c>
    </row>
    <row r="6030" spans="1:10" ht="36" customHeight="1">
      <c r="A6030" s="677" t="s">
        <v>13472</v>
      </c>
      <c r="B6030" s="678" t="s">
        <v>13593</v>
      </c>
      <c r="C6030" s="677" t="s">
        <v>7</v>
      </c>
      <c r="D6030" s="677" t="s">
        <v>188</v>
      </c>
      <c r="E6030" s="918" t="s">
        <v>13491</v>
      </c>
      <c r="F6030" s="918"/>
      <c r="G6030" s="676" t="s">
        <v>19</v>
      </c>
      <c r="H6030" s="675">
        <v>1</v>
      </c>
      <c r="I6030" s="674">
        <v>5.59</v>
      </c>
      <c r="J6030" s="674">
        <v>5.59</v>
      </c>
    </row>
    <row r="6031" spans="1:10" ht="25.5">
      <c r="A6031" s="668"/>
      <c r="B6031" s="668"/>
      <c r="C6031" s="668"/>
      <c r="D6031" s="668"/>
      <c r="E6031" s="668" t="s">
        <v>13463</v>
      </c>
      <c r="F6031" s="667">
        <v>0</v>
      </c>
      <c r="G6031" s="668" t="s">
        <v>13462</v>
      </c>
      <c r="H6031" s="667">
        <v>0</v>
      </c>
      <c r="I6031" s="668" t="s">
        <v>13461</v>
      </c>
      <c r="J6031" s="667">
        <v>0</v>
      </c>
    </row>
    <row r="6032" spans="1:10" ht="15" thickBot="1">
      <c r="A6032" s="668"/>
      <c r="B6032" s="668"/>
      <c r="C6032" s="668"/>
      <c r="D6032" s="668"/>
      <c r="E6032" s="668" t="s">
        <v>13460</v>
      </c>
      <c r="F6032" s="667">
        <v>4.3099999999999996</v>
      </c>
      <c r="G6032" s="668"/>
      <c r="H6032" s="925" t="s">
        <v>13459</v>
      </c>
      <c r="I6032" s="925"/>
      <c r="J6032" s="667">
        <v>19.600000000000001</v>
      </c>
    </row>
    <row r="6033" spans="1:10" ht="0.95" customHeight="1" thickTop="1">
      <c r="A6033" s="666"/>
      <c r="B6033" s="666"/>
      <c r="C6033" s="666"/>
      <c r="D6033" s="666"/>
      <c r="E6033" s="666"/>
      <c r="F6033" s="666"/>
      <c r="G6033" s="666"/>
      <c r="H6033" s="666"/>
      <c r="I6033" s="666"/>
      <c r="J6033" s="666"/>
    </row>
    <row r="6034" spans="1:10" ht="18" customHeight="1">
      <c r="A6034" s="686"/>
      <c r="B6034" s="684" t="s">
        <v>13484</v>
      </c>
      <c r="C6034" s="686" t="s">
        <v>13483</v>
      </c>
      <c r="D6034" s="686" t="s">
        <v>13482</v>
      </c>
      <c r="E6034" s="924" t="s">
        <v>13481</v>
      </c>
      <c r="F6034" s="924"/>
      <c r="G6034" s="685" t="s">
        <v>13480</v>
      </c>
      <c r="H6034" s="684" t="s">
        <v>13479</v>
      </c>
      <c r="I6034" s="684" t="s">
        <v>13478</v>
      </c>
      <c r="J6034" s="684" t="s">
        <v>13477</v>
      </c>
    </row>
    <row r="6035" spans="1:10" ht="36" customHeight="1">
      <c r="A6035" s="682" t="s">
        <v>13476</v>
      </c>
      <c r="B6035" s="683" t="s">
        <v>13595</v>
      </c>
      <c r="C6035" s="682" t="s">
        <v>7</v>
      </c>
      <c r="D6035" s="682" t="s">
        <v>185</v>
      </c>
      <c r="E6035" s="917" t="s">
        <v>13491</v>
      </c>
      <c r="F6035" s="917"/>
      <c r="G6035" s="681" t="s">
        <v>19</v>
      </c>
      <c r="H6035" s="680">
        <v>1</v>
      </c>
      <c r="I6035" s="679">
        <v>5.1100000000000003</v>
      </c>
      <c r="J6035" s="679">
        <v>5.1100000000000003</v>
      </c>
    </row>
    <row r="6036" spans="1:10" ht="36" customHeight="1">
      <c r="A6036" s="672" t="s">
        <v>13467</v>
      </c>
      <c r="B6036" s="673" t="s">
        <v>13592</v>
      </c>
      <c r="C6036" s="672" t="s">
        <v>7</v>
      </c>
      <c r="D6036" s="672" t="s">
        <v>13591</v>
      </c>
      <c r="E6036" s="919" t="s">
        <v>13493</v>
      </c>
      <c r="F6036" s="919"/>
      <c r="G6036" s="671" t="s">
        <v>34</v>
      </c>
      <c r="H6036" s="670">
        <v>6.3999999999999997E-5</v>
      </c>
      <c r="I6036" s="669">
        <v>79861.919999999998</v>
      </c>
      <c r="J6036" s="669">
        <v>5.1100000000000003</v>
      </c>
    </row>
    <row r="6037" spans="1:10" ht="25.5">
      <c r="A6037" s="668"/>
      <c r="B6037" s="668"/>
      <c r="C6037" s="668"/>
      <c r="D6037" s="668"/>
      <c r="E6037" s="668" t="s">
        <v>13463</v>
      </c>
      <c r="F6037" s="667">
        <v>0</v>
      </c>
      <c r="G6037" s="668" t="s">
        <v>13462</v>
      </c>
      <c r="H6037" s="667">
        <v>0</v>
      </c>
      <c r="I6037" s="668" t="s">
        <v>13461</v>
      </c>
      <c r="J6037" s="667">
        <v>0</v>
      </c>
    </row>
    <row r="6038" spans="1:10" ht="15" thickBot="1">
      <c r="A6038" s="668"/>
      <c r="B6038" s="668"/>
      <c r="C6038" s="668"/>
      <c r="D6038" s="668"/>
      <c r="E6038" s="668" t="s">
        <v>13460</v>
      </c>
      <c r="F6038" s="667">
        <v>1.44</v>
      </c>
      <c r="G6038" s="668"/>
      <c r="H6038" s="925" t="s">
        <v>13459</v>
      </c>
      <c r="I6038" s="925"/>
      <c r="J6038" s="667">
        <v>6.55</v>
      </c>
    </row>
    <row r="6039" spans="1:10" ht="0.95" customHeight="1" thickTop="1">
      <c r="A6039" s="666"/>
      <c r="B6039" s="666"/>
      <c r="C6039" s="666"/>
      <c r="D6039" s="666"/>
      <c r="E6039" s="666"/>
      <c r="F6039" s="666"/>
      <c r="G6039" s="666"/>
      <c r="H6039" s="666"/>
      <c r="I6039" s="666"/>
      <c r="J6039" s="666"/>
    </row>
    <row r="6040" spans="1:10" ht="18" customHeight="1">
      <c r="A6040" s="686"/>
      <c r="B6040" s="684" t="s">
        <v>13484</v>
      </c>
      <c r="C6040" s="686" t="s">
        <v>13483</v>
      </c>
      <c r="D6040" s="686" t="s">
        <v>13482</v>
      </c>
      <c r="E6040" s="924" t="s">
        <v>13481</v>
      </c>
      <c r="F6040" s="924"/>
      <c r="G6040" s="685" t="s">
        <v>13480</v>
      </c>
      <c r="H6040" s="684" t="s">
        <v>13479</v>
      </c>
      <c r="I6040" s="684" t="s">
        <v>13478</v>
      </c>
      <c r="J6040" s="684" t="s">
        <v>13477</v>
      </c>
    </row>
    <row r="6041" spans="1:10" ht="36" customHeight="1">
      <c r="A6041" s="682" t="s">
        <v>13476</v>
      </c>
      <c r="B6041" s="683" t="s">
        <v>13594</v>
      </c>
      <c r="C6041" s="682" t="s">
        <v>7</v>
      </c>
      <c r="D6041" s="682" t="s">
        <v>186</v>
      </c>
      <c r="E6041" s="917" t="s">
        <v>13491</v>
      </c>
      <c r="F6041" s="917"/>
      <c r="G6041" s="681" t="s">
        <v>19</v>
      </c>
      <c r="H6041" s="680">
        <v>1</v>
      </c>
      <c r="I6041" s="679">
        <v>0.6</v>
      </c>
      <c r="J6041" s="679">
        <v>0.6</v>
      </c>
    </row>
    <row r="6042" spans="1:10" ht="36" customHeight="1">
      <c r="A6042" s="672" t="s">
        <v>13467</v>
      </c>
      <c r="B6042" s="673" t="s">
        <v>13592</v>
      </c>
      <c r="C6042" s="672" t="s">
        <v>7</v>
      </c>
      <c r="D6042" s="672" t="s">
        <v>13591</v>
      </c>
      <c r="E6042" s="919" t="s">
        <v>13493</v>
      </c>
      <c r="F6042" s="919"/>
      <c r="G6042" s="671" t="s">
        <v>34</v>
      </c>
      <c r="H6042" s="670">
        <v>7.6000000000000001E-6</v>
      </c>
      <c r="I6042" s="669">
        <v>79861.919999999998</v>
      </c>
      <c r="J6042" s="669">
        <v>0.6</v>
      </c>
    </row>
    <row r="6043" spans="1:10" ht="25.5">
      <c r="A6043" s="668"/>
      <c r="B6043" s="668"/>
      <c r="C6043" s="668"/>
      <c r="D6043" s="668"/>
      <c r="E6043" s="668" t="s">
        <v>13463</v>
      </c>
      <c r="F6043" s="667">
        <v>0</v>
      </c>
      <c r="G6043" s="668" t="s">
        <v>13462</v>
      </c>
      <c r="H6043" s="667">
        <v>0</v>
      </c>
      <c r="I6043" s="668" t="s">
        <v>13461</v>
      </c>
      <c r="J6043" s="667">
        <v>0</v>
      </c>
    </row>
    <row r="6044" spans="1:10" ht="15" thickBot="1">
      <c r="A6044" s="668"/>
      <c r="B6044" s="668"/>
      <c r="C6044" s="668"/>
      <c r="D6044" s="668"/>
      <c r="E6044" s="668" t="s">
        <v>13460</v>
      </c>
      <c r="F6044" s="667">
        <v>0.16</v>
      </c>
      <c r="G6044" s="668"/>
      <c r="H6044" s="925" t="s">
        <v>13459</v>
      </c>
      <c r="I6044" s="925"/>
      <c r="J6044" s="667">
        <v>0.76</v>
      </c>
    </row>
    <row r="6045" spans="1:10" ht="0.95" customHeight="1" thickTop="1">
      <c r="A6045" s="666"/>
      <c r="B6045" s="666"/>
      <c r="C6045" s="666"/>
      <c r="D6045" s="666"/>
      <c r="E6045" s="666"/>
      <c r="F6045" s="666"/>
      <c r="G6045" s="666"/>
      <c r="H6045" s="666"/>
      <c r="I6045" s="666"/>
      <c r="J6045" s="666"/>
    </row>
    <row r="6046" spans="1:10" ht="18" customHeight="1">
      <c r="A6046" s="686"/>
      <c r="B6046" s="684" t="s">
        <v>13484</v>
      </c>
      <c r="C6046" s="686" t="s">
        <v>13483</v>
      </c>
      <c r="D6046" s="686" t="s">
        <v>13482</v>
      </c>
      <c r="E6046" s="924" t="s">
        <v>13481</v>
      </c>
      <c r="F6046" s="924"/>
      <c r="G6046" s="685" t="s">
        <v>13480</v>
      </c>
      <c r="H6046" s="684" t="s">
        <v>13479</v>
      </c>
      <c r="I6046" s="684" t="s">
        <v>13478</v>
      </c>
      <c r="J6046" s="684" t="s">
        <v>13477</v>
      </c>
    </row>
    <row r="6047" spans="1:10" ht="36" customHeight="1">
      <c r="A6047" s="682" t="s">
        <v>13476</v>
      </c>
      <c r="B6047" s="683" t="s">
        <v>13593</v>
      </c>
      <c r="C6047" s="682" t="s">
        <v>7</v>
      </c>
      <c r="D6047" s="682" t="s">
        <v>188</v>
      </c>
      <c r="E6047" s="917" t="s">
        <v>13491</v>
      </c>
      <c r="F6047" s="917"/>
      <c r="G6047" s="681" t="s">
        <v>19</v>
      </c>
      <c r="H6047" s="680">
        <v>1</v>
      </c>
      <c r="I6047" s="679">
        <v>5.59</v>
      </c>
      <c r="J6047" s="679">
        <v>5.59</v>
      </c>
    </row>
    <row r="6048" spans="1:10" ht="36" customHeight="1">
      <c r="A6048" s="672" t="s">
        <v>13467</v>
      </c>
      <c r="B6048" s="673" t="s">
        <v>13592</v>
      </c>
      <c r="C6048" s="672" t="s">
        <v>7</v>
      </c>
      <c r="D6048" s="672" t="s">
        <v>13591</v>
      </c>
      <c r="E6048" s="919" t="s">
        <v>13493</v>
      </c>
      <c r="F6048" s="919"/>
      <c r="G6048" s="671" t="s">
        <v>34</v>
      </c>
      <c r="H6048" s="670">
        <v>6.9999999999999994E-5</v>
      </c>
      <c r="I6048" s="669">
        <v>79861.919999999998</v>
      </c>
      <c r="J6048" s="669">
        <v>5.59</v>
      </c>
    </row>
    <row r="6049" spans="1:10" ht="25.5">
      <c r="A6049" s="668"/>
      <c r="B6049" s="668"/>
      <c r="C6049" s="668"/>
      <c r="D6049" s="668"/>
      <c r="E6049" s="668" t="s">
        <v>13463</v>
      </c>
      <c r="F6049" s="667">
        <v>0</v>
      </c>
      <c r="G6049" s="668" t="s">
        <v>13462</v>
      </c>
      <c r="H6049" s="667">
        <v>0</v>
      </c>
      <c r="I6049" s="668" t="s">
        <v>13461</v>
      </c>
      <c r="J6049" s="667">
        <v>0</v>
      </c>
    </row>
    <row r="6050" spans="1:10" ht="15" thickBot="1">
      <c r="A6050" s="668"/>
      <c r="B6050" s="668"/>
      <c r="C6050" s="668"/>
      <c r="D6050" s="668"/>
      <c r="E6050" s="668" t="s">
        <v>13460</v>
      </c>
      <c r="F6050" s="667">
        <v>1.57</v>
      </c>
      <c r="G6050" s="668"/>
      <c r="H6050" s="925" t="s">
        <v>13459</v>
      </c>
      <c r="I6050" s="925"/>
      <c r="J6050" s="667">
        <v>7.16</v>
      </c>
    </row>
    <row r="6051" spans="1:10" ht="0.95" customHeight="1" thickTop="1">
      <c r="A6051" s="666"/>
      <c r="B6051" s="666"/>
      <c r="C6051" s="666"/>
      <c r="D6051" s="666"/>
      <c r="E6051" s="666"/>
      <c r="F6051" s="666"/>
      <c r="G6051" s="666"/>
      <c r="H6051" s="666"/>
      <c r="I6051" s="666"/>
      <c r="J6051" s="666"/>
    </row>
    <row r="6052" spans="1:10" ht="18" customHeight="1">
      <c r="A6052" s="686"/>
      <c r="B6052" s="684" t="s">
        <v>13484</v>
      </c>
      <c r="C6052" s="686" t="s">
        <v>13483</v>
      </c>
      <c r="D6052" s="686" t="s">
        <v>13482</v>
      </c>
      <c r="E6052" s="924" t="s">
        <v>13481</v>
      </c>
      <c r="F6052" s="924"/>
      <c r="G6052" s="685" t="s">
        <v>13480</v>
      </c>
      <c r="H6052" s="684" t="s">
        <v>13479</v>
      </c>
      <c r="I6052" s="684" t="s">
        <v>13478</v>
      </c>
      <c r="J6052" s="684" t="s">
        <v>13477</v>
      </c>
    </row>
    <row r="6053" spans="1:10" ht="36" customHeight="1">
      <c r="A6053" s="682" t="s">
        <v>13476</v>
      </c>
      <c r="B6053" s="683" t="s">
        <v>13590</v>
      </c>
      <c r="C6053" s="682" t="s">
        <v>7</v>
      </c>
      <c r="D6053" s="682" t="s">
        <v>1125</v>
      </c>
      <c r="E6053" s="917" t="s">
        <v>13491</v>
      </c>
      <c r="F6053" s="917"/>
      <c r="G6053" s="681" t="s">
        <v>19</v>
      </c>
      <c r="H6053" s="680">
        <v>1</v>
      </c>
      <c r="I6053" s="679">
        <v>3.99</v>
      </c>
      <c r="J6053" s="679">
        <v>3.99</v>
      </c>
    </row>
    <row r="6054" spans="1:10" ht="24" customHeight="1">
      <c r="A6054" s="672" t="s">
        <v>13467</v>
      </c>
      <c r="B6054" s="673" t="s">
        <v>13490</v>
      </c>
      <c r="C6054" s="672" t="s">
        <v>7</v>
      </c>
      <c r="D6054" s="672" t="s">
        <v>13489</v>
      </c>
      <c r="E6054" s="919" t="s">
        <v>13464</v>
      </c>
      <c r="F6054" s="919"/>
      <c r="G6054" s="671" t="s">
        <v>13488</v>
      </c>
      <c r="H6054" s="670">
        <v>4.76</v>
      </c>
      <c r="I6054" s="669">
        <v>0.84</v>
      </c>
      <c r="J6054" s="669">
        <v>3.99</v>
      </c>
    </row>
    <row r="6055" spans="1:10" ht="25.5">
      <c r="A6055" s="668"/>
      <c r="B6055" s="668"/>
      <c r="C6055" s="668"/>
      <c r="D6055" s="668"/>
      <c r="E6055" s="668" t="s">
        <v>13463</v>
      </c>
      <c r="F6055" s="667">
        <v>0</v>
      </c>
      <c r="G6055" s="668" t="s">
        <v>13462</v>
      </c>
      <c r="H6055" s="667">
        <v>0</v>
      </c>
      <c r="I6055" s="668" t="s">
        <v>13461</v>
      </c>
      <c r="J6055" s="667">
        <v>0</v>
      </c>
    </row>
    <row r="6056" spans="1:10" ht="15" thickBot="1">
      <c r="A6056" s="668"/>
      <c r="B6056" s="668"/>
      <c r="C6056" s="668"/>
      <c r="D6056" s="668"/>
      <c r="E6056" s="668" t="s">
        <v>13460</v>
      </c>
      <c r="F6056" s="667">
        <v>1.1200000000000001</v>
      </c>
      <c r="G6056" s="668"/>
      <c r="H6056" s="925" t="s">
        <v>13459</v>
      </c>
      <c r="I6056" s="925"/>
      <c r="J6056" s="667">
        <v>5.1100000000000003</v>
      </c>
    </row>
    <row r="6057" spans="1:10" ht="0.95" customHeight="1" thickTop="1">
      <c r="A6057" s="666"/>
      <c r="B6057" s="666"/>
      <c r="C6057" s="666"/>
      <c r="D6057" s="666"/>
      <c r="E6057" s="666"/>
      <c r="F6057" s="666"/>
      <c r="G6057" s="666"/>
      <c r="H6057" s="666"/>
      <c r="I6057" s="666"/>
      <c r="J6057" s="666"/>
    </row>
    <row r="6058" spans="1:10" ht="18" customHeight="1">
      <c r="A6058" s="686"/>
      <c r="B6058" s="684" t="s">
        <v>13484</v>
      </c>
      <c r="C6058" s="686" t="s">
        <v>13483</v>
      </c>
      <c r="D6058" s="686" t="s">
        <v>13482</v>
      </c>
      <c r="E6058" s="924" t="s">
        <v>13481</v>
      </c>
      <c r="F6058" s="924"/>
      <c r="G6058" s="685" t="s">
        <v>13480</v>
      </c>
      <c r="H6058" s="684" t="s">
        <v>13479</v>
      </c>
      <c r="I6058" s="684" t="s">
        <v>13478</v>
      </c>
      <c r="J6058" s="684" t="s">
        <v>13477</v>
      </c>
    </row>
    <row r="6059" spans="1:10" ht="24" customHeight="1">
      <c r="A6059" s="682" t="s">
        <v>13476</v>
      </c>
      <c r="B6059" s="683" t="s">
        <v>13589</v>
      </c>
      <c r="C6059" s="682" t="s">
        <v>7</v>
      </c>
      <c r="D6059" s="682" t="s">
        <v>224</v>
      </c>
      <c r="E6059" s="917" t="s">
        <v>13474</v>
      </c>
      <c r="F6059" s="917"/>
      <c r="G6059" s="681" t="s">
        <v>34</v>
      </c>
      <c r="H6059" s="680">
        <v>1</v>
      </c>
      <c r="I6059" s="679">
        <v>21.79</v>
      </c>
      <c r="J6059" s="679">
        <v>21.79</v>
      </c>
    </row>
    <row r="6060" spans="1:10" ht="24" customHeight="1">
      <c r="A6060" s="677" t="s">
        <v>13472</v>
      </c>
      <c r="B6060" s="678" t="s">
        <v>13526</v>
      </c>
      <c r="C6060" s="677" t="s">
        <v>7</v>
      </c>
      <c r="D6060" s="677" t="s">
        <v>1093</v>
      </c>
      <c r="E6060" s="918" t="s">
        <v>13470</v>
      </c>
      <c r="F6060" s="918"/>
      <c r="G6060" s="676" t="s">
        <v>19</v>
      </c>
      <c r="H6060" s="675">
        <v>0.2</v>
      </c>
      <c r="I6060" s="674">
        <v>13.48</v>
      </c>
      <c r="J6060" s="674">
        <v>2.69</v>
      </c>
    </row>
    <row r="6061" spans="1:10" ht="24" customHeight="1">
      <c r="A6061" s="677" t="s">
        <v>13472</v>
      </c>
      <c r="B6061" s="678" t="s">
        <v>13473</v>
      </c>
      <c r="C6061" s="677" t="s">
        <v>7</v>
      </c>
      <c r="D6061" s="677" t="s">
        <v>44</v>
      </c>
      <c r="E6061" s="918" t="s">
        <v>13470</v>
      </c>
      <c r="F6061" s="918"/>
      <c r="G6061" s="676" t="s">
        <v>19</v>
      </c>
      <c r="H6061" s="675">
        <v>0.2</v>
      </c>
      <c r="I6061" s="674">
        <v>17.66</v>
      </c>
      <c r="J6061" s="674">
        <v>3.53</v>
      </c>
    </row>
    <row r="6062" spans="1:10" ht="24" customHeight="1">
      <c r="A6062" s="672" t="s">
        <v>13467</v>
      </c>
      <c r="B6062" s="673" t="s">
        <v>13534</v>
      </c>
      <c r="C6062" s="672" t="s">
        <v>7</v>
      </c>
      <c r="D6062" s="672" t="s">
        <v>13533</v>
      </c>
      <c r="E6062" s="919" t="s">
        <v>13464</v>
      </c>
      <c r="F6062" s="919"/>
      <c r="G6062" s="671" t="s">
        <v>34</v>
      </c>
      <c r="H6062" s="670">
        <v>1.2999999999999999E-2</v>
      </c>
      <c r="I6062" s="669">
        <v>18.440000000000001</v>
      </c>
      <c r="J6062" s="669">
        <v>0.23</v>
      </c>
    </row>
    <row r="6063" spans="1:10" ht="24" customHeight="1">
      <c r="A6063" s="672" t="s">
        <v>13467</v>
      </c>
      <c r="B6063" s="673" t="s">
        <v>13588</v>
      </c>
      <c r="C6063" s="672" t="s">
        <v>7</v>
      </c>
      <c r="D6063" s="672" t="s">
        <v>13587</v>
      </c>
      <c r="E6063" s="919" t="s">
        <v>13464</v>
      </c>
      <c r="F6063" s="919"/>
      <c r="G6063" s="671" t="s">
        <v>34</v>
      </c>
      <c r="H6063" s="670">
        <v>1</v>
      </c>
      <c r="I6063" s="669">
        <v>15.34</v>
      </c>
      <c r="J6063" s="669">
        <v>15.34</v>
      </c>
    </row>
    <row r="6064" spans="1:10" ht="25.5">
      <c r="A6064" s="668"/>
      <c r="B6064" s="668"/>
      <c r="C6064" s="668"/>
      <c r="D6064" s="668"/>
      <c r="E6064" s="668" t="s">
        <v>13463</v>
      </c>
      <c r="F6064" s="667">
        <v>2.6513093556448983</v>
      </c>
      <c r="G6064" s="668" t="s">
        <v>13462</v>
      </c>
      <c r="H6064" s="667">
        <v>2.23</v>
      </c>
      <c r="I6064" s="668" t="s">
        <v>13461</v>
      </c>
      <c r="J6064" s="667">
        <v>4.88</v>
      </c>
    </row>
    <row r="6065" spans="1:10" ht="15" thickBot="1">
      <c r="A6065" s="668"/>
      <c r="B6065" s="668"/>
      <c r="C6065" s="668"/>
      <c r="D6065" s="668"/>
      <c r="E6065" s="668" t="s">
        <v>13460</v>
      </c>
      <c r="F6065" s="667">
        <v>6.15</v>
      </c>
      <c r="G6065" s="668"/>
      <c r="H6065" s="925" t="s">
        <v>13459</v>
      </c>
      <c r="I6065" s="925"/>
      <c r="J6065" s="667">
        <v>27.94</v>
      </c>
    </row>
    <row r="6066" spans="1:10" ht="0.95" customHeight="1" thickTop="1">
      <c r="A6066" s="666"/>
      <c r="B6066" s="666"/>
      <c r="C6066" s="666"/>
      <c r="D6066" s="666"/>
      <c r="E6066" s="666"/>
      <c r="F6066" s="666"/>
      <c r="G6066" s="666"/>
      <c r="H6066" s="666"/>
      <c r="I6066" s="666"/>
      <c r="J6066" s="666"/>
    </row>
    <row r="6067" spans="1:10" ht="18" customHeight="1">
      <c r="A6067" s="686"/>
      <c r="B6067" s="684" t="s">
        <v>13484</v>
      </c>
      <c r="C6067" s="686" t="s">
        <v>13483</v>
      </c>
      <c r="D6067" s="686" t="s">
        <v>13482</v>
      </c>
      <c r="E6067" s="924" t="s">
        <v>13481</v>
      </c>
      <c r="F6067" s="924"/>
      <c r="G6067" s="685" t="s">
        <v>13480</v>
      </c>
      <c r="H6067" s="684" t="s">
        <v>13479</v>
      </c>
      <c r="I6067" s="684" t="s">
        <v>13478</v>
      </c>
      <c r="J6067" s="684" t="s">
        <v>13477</v>
      </c>
    </row>
    <row r="6068" spans="1:10" ht="60" customHeight="1">
      <c r="A6068" s="682" t="s">
        <v>13476</v>
      </c>
      <c r="B6068" s="683" t="s">
        <v>13586</v>
      </c>
      <c r="C6068" s="682" t="s">
        <v>7</v>
      </c>
      <c r="D6068" s="682" t="s">
        <v>1166</v>
      </c>
      <c r="E6068" s="917" t="s">
        <v>13491</v>
      </c>
      <c r="F6068" s="917"/>
      <c r="G6068" s="681" t="s">
        <v>19</v>
      </c>
      <c r="H6068" s="680">
        <v>1</v>
      </c>
      <c r="I6068" s="679">
        <v>17.309999999999999</v>
      </c>
      <c r="J6068" s="679">
        <v>17.309999999999999</v>
      </c>
    </row>
    <row r="6069" spans="1:10" ht="60" customHeight="1">
      <c r="A6069" s="672" t="s">
        <v>13467</v>
      </c>
      <c r="B6069" s="673" t="s">
        <v>13583</v>
      </c>
      <c r="C6069" s="672" t="s">
        <v>7</v>
      </c>
      <c r="D6069" s="672" t="s">
        <v>13582</v>
      </c>
      <c r="E6069" s="919" t="s">
        <v>13493</v>
      </c>
      <c r="F6069" s="919"/>
      <c r="G6069" s="671" t="s">
        <v>34</v>
      </c>
      <c r="H6069" s="670">
        <v>5.5999999999999999E-5</v>
      </c>
      <c r="I6069" s="669">
        <v>309161.56</v>
      </c>
      <c r="J6069" s="669">
        <v>17.309999999999999</v>
      </c>
    </row>
    <row r="6070" spans="1:10" ht="25.5">
      <c r="A6070" s="668"/>
      <c r="B6070" s="668"/>
      <c r="C6070" s="668"/>
      <c r="D6070" s="668"/>
      <c r="E6070" s="668" t="s">
        <v>13463</v>
      </c>
      <c r="F6070" s="667">
        <v>0</v>
      </c>
      <c r="G6070" s="668" t="s">
        <v>13462</v>
      </c>
      <c r="H6070" s="667">
        <v>0</v>
      </c>
      <c r="I6070" s="668" t="s">
        <v>13461</v>
      </c>
      <c r="J6070" s="667">
        <v>0</v>
      </c>
    </row>
    <row r="6071" spans="1:10" ht="15" thickBot="1">
      <c r="A6071" s="668"/>
      <c r="B6071" s="668"/>
      <c r="C6071" s="668"/>
      <c r="D6071" s="668"/>
      <c r="E6071" s="668" t="s">
        <v>13460</v>
      </c>
      <c r="F6071" s="667">
        <v>4.88</v>
      </c>
      <c r="G6071" s="668"/>
      <c r="H6071" s="925" t="s">
        <v>13459</v>
      </c>
      <c r="I6071" s="925"/>
      <c r="J6071" s="667">
        <v>22.19</v>
      </c>
    </row>
    <row r="6072" spans="1:10" ht="0.95" customHeight="1" thickTop="1">
      <c r="A6072" s="666"/>
      <c r="B6072" s="666"/>
      <c r="C6072" s="666"/>
      <c r="D6072" s="666"/>
      <c r="E6072" s="666"/>
      <c r="F6072" s="666"/>
      <c r="G6072" s="666"/>
      <c r="H6072" s="666"/>
      <c r="I6072" s="666"/>
      <c r="J6072" s="666"/>
    </row>
    <row r="6073" spans="1:10" ht="18" customHeight="1">
      <c r="A6073" s="686"/>
      <c r="B6073" s="684" t="s">
        <v>13484</v>
      </c>
      <c r="C6073" s="686" t="s">
        <v>13483</v>
      </c>
      <c r="D6073" s="686" t="s">
        <v>13482</v>
      </c>
      <c r="E6073" s="924" t="s">
        <v>13481</v>
      </c>
      <c r="F6073" s="924"/>
      <c r="G6073" s="685" t="s">
        <v>13480</v>
      </c>
      <c r="H6073" s="684" t="s">
        <v>13479</v>
      </c>
      <c r="I6073" s="684" t="s">
        <v>13478</v>
      </c>
      <c r="J6073" s="684" t="s">
        <v>13477</v>
      </c>
    </row>
    <row r="6074" spans="1:10" ht="60" customHeight="1">
      <c r="A6074" s="682" t="s">
        <v>13476</v>
      </c>
      <c r="B6074" s="683" t="s">
        <v>13585</v>
      </c>
      <c r="C6074" s="682" t="s">
        <v>7</v>
      </c>
      <c r="D6074" s="682" t="s">
        <v>1167</v>
      </c>
      <c r="E6074" s="917" t="s">
        <v>13491</v>
      </c>
      <c r="F6074" s="917"/>
      <c r="G6074" s="681" t="s">
        <v>19</v>
      </c>
      <c r="H6074" s="680">
        <v>1</v>
      </c>
      <c r="I6074" s="679">
        <v>2.34</v>
      </c>
      <c r="J6074" s="679">
        <v>2.34</v>
      </c>
    </row>
    <row r="6075" spans="1:10" ht="60" customHeight="1">
      <c r="A6075" s="672" t="s">
        <v>13467</v>
      </c>
      <c r="B6075" s="673" t="s">
        <v>13583</v>
      </c>
      <c r="C6075" s="672" t="s">
        <v>7</v>
      </c>
      <c r="D6075" s="672" t="s">
        <v>13582</v>
      </c>
      <c r="E6075" s="919" t="s">
        <v>13493</v>
      </c>
      <c r="F6075" s="919"/>
      <c r="G6075" s="671" t="s">
        <v>34</v>
      </c>
      <c r="H6075" s="670">
        <v>7.6000000000000001E-6</v>
      </c>
      <c r="I6075" s="669">
        <v>309161.56</v>
      </c>
      <c r="J6075" s="669">
        <v>2.34</v>
      </c>
    </row>
    <row r="6076" spans="1:10" ht="25.5">
      <c r="A6076" s="668"/>
      <c r="B6076" s="668"/>
      <c r="C6076" s="668"/>
      <c r="D6076" s="668"/>
      <c r="E6076" s="668" t="s">
        <v>13463</v>
      </c>
      <c r="F6076" s="667">
        <v>0</v>
      </c>
      <c r="G6076" s="668" t="s">
        <v>13462</v>
      </c>
      <c r="H6076" s="667">
        <v>0</v>
      </c>
      <c r="I6076" s="668" t="s">
        <v>13461</v>
      </c>
      <c r="J6076" s="667">
        <v>0</v>
      </c>
    </row>
    <row r="6077" spans="1:10" ht="15" thickBot="1">
      <c r="A6077" s="668"/>
      <c r="B6077" s="668"/>
      <c r="C6077" s="668"/>
      <c r="D6077" s="668"/>
      <c r="E6077" s="668" t="s">
        <v>13460</v>
      </c>
      <c r="F6077" s="667">
        <v>0.66</v>
      </c>
      <c r="G6077" s="668"/>
      <c r="H6077" s="925" t="s">
        <v>13459</v>
      </c>
      <c r="I6077" s="925"/>
      <c r="J6077" s="667">
        <v>3</v>
      </c>
    </row>
    <row r="6078" spans="1:10" ht="0.95" customHeight="1" thickTop="1">
      <c r="A6078" s="666"/>
      <c r="B6078" s="666"/>
      <c r="C6078" s="666"/>
      <c r="D6078" s="666"/>
      <c r="E6078" s="666"/>
      <c r="F6078" s="666"/>
      <c r="G6078" s="666"/>
      <c r="H6078" s="666"/>
      <c r="I6078" s="666"/>
      <c r="J6078" s="666"/>
    </row>
    <row r="6079" spans="1:10" ht="18" customHeight="1">
      <c r="A6079" s="686"/>
      <c r="B6079" s="684" t="s">
        <v>13484</v>
      </c>
      <c r="C6079" s="686" t="s">
        <v>13483</v>
      </c>
      <c r="D6079" s="686" t="s">
        <v>13482</v>
      </c>
      <c r="E6079" s="924" t="s">
        <v>13481</v>
      </c>
      <c r="F6079" s="924"/>
      <c r="G6079" s="685" t="s">
        <v>13480</v>
      </c>
      <c r="H6079" s="684" t="s">
        <v>13479</v>
      </c>
      <c r="I6079" s="684" t="s">
        <v>13478</v>
      </c>
      <c r="J6079" s="684" t="s">
        <v>13477</v>
      </c>
    </row>
    <row r="6080" spans="1:10" ht="60" customHeight="1">
      <c r="A6080" s="682" t="s">
        <v>13476</v>
      </c>
      <c r="B6080" s="683" t="s">
        <v>13584</v>
      </c>
      <c r="C6080" s="682" t="s">
        <v>7</v>
      </c>
      <c r="D6080" s="682" t="s">
        <v>698</v>
      </c>
      <c r="E6080" s="917" t="s">
        <v>13491</v>
      </c>
      <c r="F6080" s="917"/>
      <c r="G6080" s="681" t="s">
        <v>19</v>
      </c>
      <c r="H6080" s="680">
        <v>1</v>
      </c>
      <c r="I6080" s="679">
        <v>21.64</v>
      </c>
      <c r="J6080" s="679">
        <v>21.64</v>
      </c>
    </row>
    <row r="6081" spans="1:10" ht="60" customHeight="1">
      <c r="A6081" s="672" t="s">
        <v>13467</v>
      </c>
      <c r="B6081" s="673" t="s">
        <v>13583</v>
      </c>
      <c r="C6081" s="672" t="s">
        <v>7</v>
      </c>
      <c r="D6081" s="672" t="s">
        <v>13582</v>
      </c>
      <c r="E6081" s="919" t="s">
        <v>13493</v>
      </c>
      <c r="F6081" s="919"/>
      <c r="G6081" s="671" t="s">
        <v>34</v>
      </c>
      <c r="H6081" s="670">
        <v>6.9999999999999994E-5</v>
      </c>
      <c r="I6081" s="669">
        <v>309161.56</v>
      </c>
      <c r="J6081" s="669">
        <v>21.64</v>
      </c>
    </row>
    <row r="6082" spans="1:10" ht="25.5">
      <c r="A6082" s="668"/>
      <c r="B6082" s="668"/>
      <c r="C6082" s="668"/>
      <c r="D6082" s="668"/>
      <c r="E6082" s="668" t="s">
        <v>13463</v>
      </c>
      <c r="F6082" s="667">
        <v>0</v>
      </c>
      <c r="G6082" s="668" t="s">
        <v>13462</v>
      </c>
      <c r="H6082" s="667">
        <v>0</v>
      </c>
      <c r="I6082" s="668" t="s">
        <v>13461</v>
      </c>
      <c r="J6082" s="667">
        <v>0</v>
      </c>
    </row>
    <row r="6083" spans="1:10" ht="15" thickBot="1">
      <c r="A6083" s="668"/>
      <c r="B6083" s="668"/>
      <c r="C6083" s="668"/>
      <c r="D6083" s="668"/>
      <c r="E6083" s="668" t="s">
        <v>13460</v>
      </c>
      <c r="F6083" s="667">
        <v>6.11</v>
      </c>
      <c r="G6083" s="668"/>
      <c r="H6083" s="925" t="s">
        <v>13459</v>
      </c>
      <c r="I6083" s="925"/>
      <c r="J6083" s="667">
        <v>27.75</v>
      </c>
    </row>
    <row r="6084" spans="1:10" ht="0.95" customHeight="1" thickTop="1">
      <c r="A6084" s="666"/>
      <c r="B6084" s="666"/>
      <c r="C6084" s="666"/>
      <c r="D6084" s="666"/>
      <c r="E6084" s="666"/>
      <c r="F6084" s="666"/>
      <c r="G6084" s="666"/>
      <c r="H6084" s="666"/>
      <c r="I6084" s="666"/>
      <c r="J6084" s="666"/>
    </row>
    <row r="6085" spans="1:10" ht="18" customHeight="1">
      <c r="A6085" s="686"/>
      <c r="B6085" s="684" t="s">
        <v>13484</v>
      </c>
      <c r="C6085" s="686" t="s">
        <v>13483</v>
      </c>
      <c r="D6085" s="686" t="s">
        <v>13482</v>
      </c>
      <c r="E6085" s="924" t="s">
        <v>13481</v>
      </c>
      <c r="F6085" s="924"/>
      <c r="G6085" s="685" t="s">
        <v>13480</v>
      </c>
      <c r="H6085" s="684" t="s">
        <v>13479</v>
      </c>
      <c r="I6085" s="684" t="s">
        <v>13478</v>
      </c>
      <c r="J6085" s="684" t="s">
        <v>13477</v>
      </c>
    </row>
    <row r="6086" spans="1:10" ht="60" customHeight="1">
      <c r="A6086" s="682" t="s">
        <v>13476</v>
      </c>
      <c r="B6086" s="683" t="s">
        <v>13581</v>
      </c>
      <c r="C6086" s="682" t="s">
        <v>7</v>
      </c>
      <c r="D6086" s="682" t="s">
        <v>801</v>
      </c>
      <c r="E6086" s="917" t="s">
        <v>13491</v>
      </c>
      <c r="F6086" s="917"/>
      <c r="G6086" s="681" t="s">
        <v>19</v>
      </c>
      <c r="H6086" s="680">
        <v>1</v>
      </c>
      <c r="I6086" s="679">
        <v>43.97</v>
      </c>
      <c r="J6086" s="679">
        <v>43.97</v>
      </c>
    </row>
    <row r="6087" spans="1:10" ht="24" customHeight="1">
      <c r="A6087" s="672" t="s">
        <v>13467</v>
      </c>
      <c r="B6087" s="673" t="s">
        <v>13580</v>
      </c>
      <c r="C6087" s="672" t="s">
        <v>7</v>
      </c>
      <c r="D6087" s="672" t="s">
        <v>13579</v>
      </c>
      <c r="E6087" s="919" t="s">
        <v>13464</v>
      </c>
      <c r="F6087" s="919"/>
      <c r="G6087" s="671" t="s">
        <v>50</v>
      </c>
      <c r="H6087" s="670">
        <v>8.92</v>
      </c>
      <c r="I6087" s="669">
        <v>4.93</v>
      </c>
      <c r="J6087" s="669">
        <v>43.97</v>
      </c>
    </row>
    <row r="6088" spans="1:10" ht="25.5">
      <c r="A6088" s="668"/>
      <c r="B6088" s="668"/>
      <c r="C6088" s="668"/>
      <c r="D6088" s="668"/>
      <c r="E6088" s="668" t="s">
        <v>13463</v>
      </c>
      <c r="F6088" s="667">
        <v>0</v>
      </c>
      <c r="G6088" s="668" t="s">
        <v>13462</v>
      </c>
      <c r="H6088" s="667">
        <v>0</v>
      </c>
      <c r="I6088" s="668" t="s">
        <v>13461</v>
      </c>
      <c r="J6088" s="667">
        <v>0</v>
      </c>
    </row>
    <row r="6089" spans="1:10" ht="15" thickBot="1">
      <c r="A6089" s="668"/>
      <c r="B6089" s="668"/>
      <c r="C6089" s="668"/>
      <c r="D6089" s="668"/>
      <c r="E6089" s="668" t="s">
        <v>13460</v>
      </c>
      <c r="F6089" s="667">
        <v>12.41</v>
      </c>
      <c r="G6089" s="668"/>
      <c r="H6089" s="925" t="s">
        <v>13459</v>
      </c>
      <c r="I6089" s="925"/>
      <c r="J6089" s="667">
        <v>56.38</v>
      </c>
    </row>
    <row r="6090" spans="1:10" ht="0.95" customHeight="1" thickTop="1">
      <c r="A6090" s="666"/>
      <c r="B6090" s="666"/>
      <c r="C6090" s="666"/>
      <c r="D6090" s="666"/>
      <c r="E6090" s="666"/>
      <c r="F6090" s="666"/>
      <c r="G6090" s="666"/>
      <c r="H6090" s="666"/>
      <c r="I6090" s="666"/>
      <c r="J6090" s="666"/>
    </row>
    <row r="6091" spans="1:10" ht="18" customHeight="1">
      <c r="A6091" s="686"/>
      <c r="B6091" s="684" t="s">
        <v>13484</v>
      </c>
      <c r="C6091" s="686" t="s">
        <v>13483</v>
      </c>
      <c r="D6091" s="686" t="s">
        <v>13482</v>
      </c>
      <c r="E6091" s="924" t="s">
        <v>13481</v>
      </c>
      <c r="F6091" s="924"/>
      <c r="G6091" s="685" t="s">
        <v>13480</v>
      </c>
      <c r="H6091" s="684" t="s">
        <v>13479</v>
      </c>
      <c r="I6091" s="684" t="s">
        <v>13478</v>
      </c>
      <c r="J6091" s="684" t="s">
        <v>13477</v>
      </c>
    </row>
    <row r="6092" spans="1:10" ht="36" customHeight="1">
      <c r="A6092" s="682" t="s">
        <v>13476</v>
      </c>
      <c r="B6092" s="683" t="s">
        <v>13578</v>
      </c>
      <c r="C6092" s="682" t="s">
        <v>7</v>
      </c>
      <c r="D6092" s="682" t="s">
        <v>1933</v>
      </c>
      <c r="E6092" s="917" t="s">
        <v>13491</v>
      </c>
      <c r="F6092" s="917"/>
      <c r="G6092" s="681" t="s">
        <v>53</v>
      </c>
      <c r="H6092" s="680">
        <v>1</v>
      </c>
      <c r="I6092" s="679">
        <v>13.53</v>
      </c>
      <c r="J6092" s="679">
        <v>13.53</v>
      </c>
    </row>
    <row r="6093" spans="1:10" ht="36" customHeight="1">
      <c r="A6093" s="677" t="s">
        <v>13472</v>
      </c>
      <c r="B6093" s="678" t="s">
        <v>13574</v>
      </c>
      <c r="C6093" s="677" t="s">
        <v>7</v>
      </c>
      <c r="D6093" s="677" t="s">
        <v>1929</v>
      </c>
      <c r="E6093" s="918" t="s">
        <v>13491</v>
      </c>
      <c r="F6093" s="918"/>
      <c r="G6093" s="676" t="s">
        <v>19</v>
      </c>
      <c r="H6093" s="675">
        <v>1</v>
      </c>
      <c r="I6093" s="674">
        <v>0.02</v>
      </c>
      <c r="J6093" s="674">
        <v>0.02</v>
      </c>
    </row>
    <row r="6094" spans="1:10" ht="36" customHeight="1">
      <c r="A6094" s="677" t="s">
        <v>13472</v>
      </c>
      <c r="B6094" s="678" t="s">
        <v>13575</v>
      </c>
      <c r="C6094" s="677" t="s">
        <v>7</v>
      </c>
      <c r="D6094" s="677" t="s">
        <v>1928</v>
      </c>
      <c r="E6094" s="918" t="s">
        <v>13491</v>
      </c>
      <c r="F6094" s="918"/>
      <c r="G6094" s="676" t="s">
        <v>19</v>
      </c>
      <c r="H6094" s="675">
        <v>1</v>
      </c>
      <c r="I6094" s="674">
        <v>0.11</v>
      </c>
      <c r="J6094" s="674">
        <v>0.11</v>
      </c>
    </row>
    <row r="6095" spans="1:10" ht="24" customHeight="1">
      <c r="A6095" s="677" t="s">
        <v>13472</v>
      </c>
      <c r="B6095" s="678" t="s">
        <v>13576</v>
      </c>
      <c r="C6095" s="677" t="s">
        <v>7</v>
      </c>
      <c r="D6095" s="677" t="s">
        <v>159</v>
      </c>
      <c r="E6095" s="918" t="s">
        <v>13470</v>
      </c>
      <c r="F6095" s="918"/>
      <c r="G6095" s="676" t="s">
        <v>19</v>
      </c>
      <c r="H6095" s="675">
        <v>1</v>
      </c>
      <c r="I6095" s="674">
        <v>13.4</v>
      </c>
      <c r="J6095" s="674">
        <v>13.4</v>
      </c>
    </row>
    <row r="6096" spans="1:10" ht="25.5">
      <c r="A6096" s="668"/>
      <c r="B6096" s="668"/>
      <c r="C6096" s="668"/>
      <c r="D6096" s="668"/>
      <c r="E6096" s="668" t="s">
        <v>13463</v>
      </c>
      <c r="F6096" s="667">
        <v>5.6937955000000002</v>
      </c>
      <c r="G6096" s="668" t="s">
        <v>13462</v>
      </c>
      <c r="H6096" s="667">
        <v>4.79</v>
      </c>
      <c r="I6096" s="668" t="s">
        <v>13461</v>
      </c>
      <c r="J6096" s="667">
        <v>10.48</v>
      </c>
    </row>
    <row r="6097" spans="1:10" ht="15" thickBot="1">
      <c r="A6097" s="668"/>
      <c r="B6097" s="668"/>
      <c r="C6097" s="668"/>
      <c r="D6097" s="668"/>
      <c r="E6097" s="668" t="s">
        <v>13460</v>
      </c>
      <c r="F6097" s="667">
        <v>3.82</v>
      </c>
      <c r="G6097" s="668"/>
      <c r="H6097" s="925" t="s">
        <v>13459</v>
      </c>
      <c r="I6097" s="925"/>
      <c r="J6097" s="667">
        <v>17.350000000000001</v>
      </c>
    </row>
    <row r="6098" spans="1:10" ht="0.95" customHeight="1" thickTop="1">
      <c r="A6098" s="666"/>
      <c r="B6098" s="666"/>
      <c r="C6098" s="666"/>
      <c r="D6098" s="666"/>
      <c r="E6098" s="666"/>
      <c r="F6098" s="666"/>
      <c r="G6098" s="666"/>
      <c r="H6098" s="666"/>
      <c r="I6098" s="666"/>
      <c r="J6098" s="666"/>
    </row>
    <row r="6099" spans="1:10" ht="18" customHeight="1">
      <c r="A6099" s="686"/>
      <c r="B6099" s="684" t="s">
        <v>13484</v>
      </c>
      <c r="C6099" s="686" t="s">
        <v>13483</v>
      </c>
      <c r="D6099" s="686" t="s">
        <v>13482</v>
      </c>
      <c r="E6099" s="924" t="s">
        <v>13481</v>
      </c>
      <c r="F6099" s="924"/>
      <c r="G6099" s="685" t="s">
        <v>13480</v>
      </c>
      <c r="H6099" s="684" t="s">
        <v>13479</v>
      </c>
      <c r="I6099" s="684" t="s">
        <v>13478</v>
      </c>
      <c r="J6099" s="684" t="s">
        <v>13477</v>
      </c>
    </row>
    <row r="6100" spans="1:10" ht="36" customHeight="1">
      <c r="A6100" s="682" t="s">
        <v>13476</v>
      </c>
      <c r="B6100" s="683" t="s">
        <v>13577</v>
      </c>
      <c r="C6100" s="682" t="s">
        <v>7</v>
      </c>
      <c r="D6100" s="682" t="s">
        <v>1932</v>
      </c>
      <c r="E6100" s="917" t="s">
        <v>13491</v>
      </c>
      <c r="F6100" s="917"/>
      <c r="G6100" s="681" t="s">
        <v>38</v>
      </c>
      <c r="H6100" s="680">
        <v>1</v>
      </c>
      <c r="I6100" s="679">
        <v>16.260000000000002</v>
      </c>
      <c r="J6100" s="679">
        <v>16.260000000000002</v>
      </c>
    </row>
    <row r="6101" spans="1:10" ht="36" customHeight="1">
      <c r="A6101" s="677" t="s">
        <v>13472</v>
      </c>
      <c r="B6101" s="678" t="s">
        <v>13575</v>
      </c>
      <c r="C6101" s="677" t="s">
        <v>7</v>
      </c>
      <c r="D6101" s="677" t="s">
        <v>1928</v>
      </c>
      <c r="E6101" s="918" t="s">
        <v>13491</v>
      </c>
      <c r="F6101" s="918"/>
      <c r="G6101" s="676" t="s">
        <v>19</v>
      </c>
      <c r="H6101" s="675">
        <v>1</v>
      </c>
      <c r="I6101" s="674">
        <v>0.11</v>
      </c>
      <c r="J6101" s="674">
        <v>0.11</v>
      </c>
    </row>
    <row r="6102" spans="1:10" ht="36" customHeight="1">
      <c r="A6102" s="677" t="s">
        <v>13472</v>
      </c>
      <c r="B6102" s="678" t="s">
        <v>13574</v>
      </c>
      <c r="C6102" s="677" t="s">
        <v>7</v>
      </c>
      <c r="D6102" s="677" t="s">
        <v>1929</v>
      </c>
      <c r="E6102" s="918" t="s">
        <v>13491</v>
      </c>
      <c r="F6102" s="918"/>
      <c r="G6102" s="676" t="s">
        <v>19</v>
      </c>
      <c r="H6102" s="675">
        <v>1</v>
      </c>
      <c r="I6102" s="674">
        <v>0.02</v>
      </c>
      <c r="J6102" s="674">
        <v>0.02</v>
      </c>
    </row>
    <row r="6103" spans="1:10" ht="36" customHeight="1">
      <c r="A6103" s="677" t="s">
        <v>13472</v>
      </c>
      <c r="B6103" s="678" t="s">
        <v>13573</v>
      </c>
      <c r="C6103" s="677" t="s">
        <v>7</v>
      </c>
      <c r="D6103" s="677" t="s">
        <v>1930</v>
      </c>
      <c r="E6103" s="918" t="s">
        <v>13491</v>
      </c>
      <c r="F6103" s="918"/>
      <c r="G6103" s="676" t="s">
        <v>19</v>
      </c>
      <c r="H6103" s="675">
        <v>1</v>
      </c>
      <c r="I6103" s="674">
        <v>7.0000000000000007E-2</v>
      </c>
      <c r="J6103" s="674">
        <v>7.0000000000000007E-2</v>
      </c>
    </row>
    <row r="6104" spans="1:10" ht="36" customHeight="1">
      <c r="A6104" s="677" t="s">
        <v>13472</v>
      </c>
      <c r="B6104" s="678" t="s">
        <v>13570</v>
      </c>
      <c r="C6104" s="677" t="s">
        <v>7</v>
      </c>
      <c r="D6104" s="677" t="s">
        <v>1931</v>
      </c>
      <c r="E6104" s="918" t="s">
        <v>13491</v>
      </c>
      <c r="F6104" s="918"/>
      <c r="G6104" s="676" t="s">
        <v>19</v>
      </c>
      <c r="H6104" s="675">
        <v>1</v>
      </c>
      <c r="I6104" s="674">
        <v>2.66</v>
      </c>
      <c r="J6104" s="674">
        <v>2.66</v>
      </c>
    </row>
    <row r="6105" spans="1:10" ht="24" customHeight="1">
      <c r="A6105" s="677" t="s">
        <v>13472</v>
      </c>
      <c r="B6105" s="678" t="s">
        <v>13576</v>
      </c>
      <c r="C6105" s="677" t="s">
        <v>7</v>
      </c>
      <c r="D6105" s="677" t="s">
        <v>159</v>
      </c>
      <c r="E6105" s="918" t="s">
        <v>13470</v>
      </c>
      <c r="F6105" s="918"/>
      <c r="G6105" s="676" t="s">
        <v>19</v>
      </c>
      <c r="H6105" s="675">
        <v>1</v>
      </c>
      <c r="I6105" s="674">
        <v>13.4</v>
      </c>
      <c r="J6105" s="674">
        <v>13.4</v>
      </c>
    </row>
    <row r="6106" spans="1:10" ht="25.5">
      <c r="A6106" s="668"/>
      <c r="B6106" s="668"/>
      <c r="C6106" s="668"/>
      <c r="D6106" s="668"/>
      <c r="E6106" s="668" t="s">
        <v>13463</v>
      </c>
      <c r="F6106" s="667">
        <v>5.6937955000000002</v>
      </c>
      <c r="G6106" s="668" t="s">
        <v>13462</v>
      </c>
      <c r="H6106" s="667">
        <v>4.79</v>
      </c>
      <c r="I6106" s="668" t="s">
        <v>13461</v>
      </c>
      <c r="J6106" s="667">
        <v>10.48</v>
      </c>
    </row>
    <row r="6107" spans="1:10" ht="15" thickBot="1">
      <c r="A6107" s="668"/>
      <c r="B6107" s="668"/>
      <c r="C6107" s="668"/>
      <c r="D6107" s="668"/>
      <c r="E6107" s="668" t="s">
        <v>13460</v>
      </c>
      <c r="F6107" s="667">
        <v>4.59</v>
      </c>
      <c r="G6107" s="668"/>
      <c r="H6107" s="925" t="s">
        <v>13459</v>
      </c>
      <c r="I6107" s="925"/>
      <c r="J6107" s="667">
        <v>20.85</v>
      </c>
    </row>
    <row r="6108" spans="1:10" ht="0.95" customHeight="1" thickTop="1">
      <c r="A6108" s="666"/>
      <c r="B6108" s="666"/>
      <c r="C6108" s="666"/>
      <c r="D6108" s="666"/>
      <c r="E6108" s="666"/>
      <c r="F6108" s="666"/>
      <c r="G6108" s="666"/>
      <c r="H6108" s="666"/>
      <c r="I6108" s="666"/>
      <c r="J6108" s="666"/>
    </row>
    <row r="6109" spans="1:10" ht="18" customHeight="1">
      <c r="A6109" s="686"/>
      <c r="B6109" s="684" t="s">
        <v>13484</v>
      </c>
      <c r="C6109" s="686" t="s">
        <v>13483</v>
      </c>
      <c r="D6109" s="686" t="s">
        <v>13482</v>
      </c>
      <c r="E6109" s="924" t="s">
        <v>13481</v>
      </c>
      <c r="F6109" s="924"/>
      <c r="G6109" s="685" t="s">
        <v>13480</v>
      </c>
      <c r="H6109" s="684" t="s">
        <v>13479</v>
      </c>
      <c r="I6109" s="684" t="s">
        <v>13478</v>
      </c>
      <c r="J6109" s="684" t="s">
        <v>13477</v>
      </c>
    </row>
    <row r="6110" spans="1:10" ht="36" customHeight="1">
      <c r="A6110" s="682" t="s">
        <v>13476</v>
      </c>
      <c r="B6110" s="683" t="s">
        <v>13575</v>
      </c>
      <c r="C6110" s="682" t="s">
        <v>7</v>
      </c>
      <c r="D6110" s="682" t="s">
        <v>1928</v>
      </c>
      <c r="E6110" s="917" t="s">
        <v>13491</v>
      </c>
      <c r="F6110" s="917"/>
      <c r="G6110" s="681" t="s">
        <v>19</v>
      </c>
      <c r="H6110" s="680">
        <v>1</v>
      </c>
      <c r="I6110" s="679">
        <v>0.11</v>
      </c>
      <c r="J6110" s="679">
        <v>0.11</v>
      </c>
    </row>
    <row r="6111" spans="1:10" ht="36" customHeight="1">
      <c r="A6111" s="672" t="s">
        <v>13467</v>
      </c>
      <c r="B6111" s="673" t="s">
        <v>13572</v>
      </c>
      <c r="C6111" s="672" t="s">
        <v>7</v>
      </c>
      <c r="D6111" s="672" t="s">
        <v>13571</v>
      </c>
      <c r="E6111" s="919" t="s">
        <v>13464</v>
      </c>
      <c r="F6111" s="919"/>
      <c r="G6111" s="671" t="s">
        <v>34</v>
      </c>
      <c r="H6111" s="670">
        <v>7.2000000000000002E-5</v>
      </c>
      <c r="I6111" s="669">
        <v>1536.17</v>
      </c>
      <c r="J6111" s="669">
        <v>0.11</v>
      </c>
    </row>
    <row r="6112" spans="1:10" ht="25.5">
      <c r="A6112" s="668"/>
      <c r="B6112" s="668"/>
      <c r="C6112" s="668"/>
      <c r="D6112" s="668"/>
      <c r="E6112" s="668" t="s">
        <v>13463</v>
      </c>
      <c r="F6112" s="667">
        <v>0</v>
      </c>
      <c r="G6112" s="668" t="s">
        <v>13462</v>
      </c>
      <c r="H6112" s="667">
        <v>0</v>
      </c>
      <c r="I6112" s="668" t="s">
        <v>13461</v>
      </c>
      <c r="J6112" s="667">
        <v>0</v>
      </c>
    </row>
    <row r="6113" spans="1:10" ht="15" thickBot="1">
      <c r="A6113" s="668"/>
      <c r="B6113" s="668"/>
      <c r="C6113" s="668"/>
      <c r="D6113" s="668"/>
      <c r="E6113" s="668" t="s">
        <v>13460</v>
      </c>
      <c r="F6113" s="667">
        <v>0.03</v>
      </c>
      <c r="G6113" s="668"/>
      <c r="H6113" s="925" t="s">
        <v>13459</v>
      </c>
      <c r="I6113" s="925"/>
      <c r="J6113" s="667">
        <v>0.14000000000000001</v>
      </c>
    </row>
    <row r="6114" spans="1:10" ht="0.95" customHeight="1" thickTop="1">
      <c r="A6114" s="666"/>
      <c r="B6114" s="666"/>
      <c r="C6114" s="666"/>
      <c r="D6114" s="666"/>
      <c r="E6114" s="666"/>
      <c r="F6114" s="666"/>
      <c r="G6114" s="666"/>
      <c r="H6114" s="666"/>
      <c r="I6114" s="666"/>
      <c r="J6114" s="666"/>
    </row>
    <row r="6115" spans="1:10" ht="18" customHeight="1">
      <c r="A6115" s="686"/>
      <c r="B6115" s="684" t="s">
        <v>13484</v>
      </c>
      <c r="C6115" s="686" t="s">
        <v>13483</v>
      </c>
      <c r="D6115" s="686" t="s">
        <v>13482</v>
      </c>
      <c r="E6115" s="924" t="s">
        <v>13481</v>
      </c>
      <c r="F6115" s="924"/>
      <c r="G6115" s="685" t="s">
        <v>13480</v>
      </c>
      <c r="H6115" s="684" t="s">
        <v>13479</v>
      </c>
      <c r="I6115" s="684" t="s">
        <v>13478</v>
      </c>
      <c r="J6115" s="684" t="s">
        <v>13477</v>
      </c>
    </row>
    <row r="6116" spans="1:10" ht="36" customHeight="1">
      <c r="A6116" s="682" t="s">
        <v>13476</v>
      </c>
      <c r="B6116" s="683" t="s">
        <v>13574</v>
      </c>
      <c r="C6116" s="682" t="s">
        <v>7</v>
      </c>
      <c r="D6116" s="682" t="s">
        <v>1929</v>
      </c>
      <c r="E6116" s="917" t="s">
        <v>13491</v>
      </c>
      <c r="F6116" s="917"/>
      <c r="G6116" s="681" t="s">
        <v>19</v>
      </c>
      <c r="H6116" s="680">
        <v>1</v>
      </c>
      <c r="I6116" s="679">
        <v>0.02</v>
      </c>
      <c r="J6116" s="679">
        <v>0.02</v>
      </c>
    </row>
    <row r="6117" spans="1:10" ht="36" customHeight="1">
      <c r="A6117" s="672" t="s">
        <v>13467</v>
      </c>
      <c r="B6117" s="673" t="s">
        <v>13572</v>
      </c>
      <c r="C6117" s="672" t="s">
        <v>7</v>
      </c>
      <c r="D6117" s="672" t="s">
        <v>13571</v>
      </c>
      <c r="E6117" s="919" t="s">
        <v>13464</v>
      </c>
      <c r="F6117" s="919"/>
      <c r="G6117" s="671" t="s">
        <v>34</v>
      </c>
      <c r="H6117" s="670">
        <v>1.4399999999999999E-5</v>
      </c>
      <c r="I6117" s="669">
        <v>1536.17</v>
      </c>
      <c r="J6117" s="669">
        <v>0.02</v>
      </c>
    </row>
    <row r="6118" spans="1:10" ht="25.5">
      <c r="A6118" s="668"/>
      <c r="B6118" s="668"/>
      <c r="C6118" s="668"/>
      <c r="D6118" s="668"/>
      <c r="E6118" s="668" t="s">
        <v>13463</v>
      </c>
      <c r="F6118" s="667">
        <v>0</v>
      </c>
      <c r="G6118" s="668" t="s">
        <v>13462</v>
      </c>
      <c r="H6118" s="667">
        <v>0</v>
      </c>
      <c r="I6118" s="668" t="s">
        <v>13461</v>
      </c>
      <c r="J6118" s="667">
        <v>0</v>
      </c>
    </row>
    <row r="6119" spans="1:10" ht="15" thickBot="1">
      <c r="A6119" s="668"/>
      <c r="B6119" s="668"/>
      <c r="C6119" s="668"/>
      <c r="D6119" s="668"/>
      <c r="E6119" s="668" t="s">
        <v>13460</v>
      </c>
      <c r="F6119" s="667">
        <v>0</v>
      </c>
      <c r="G6119" s="668"/>
      <c r="H6119" s="925" t="s">
        <v>13459</v>
      </c>
      <c r="I6119" s="925"/>
      <c r="J6119" s="667">
        <v>0.02</v>
      </c>
    </row>
    <row r="6120" spans="1:10" ht="0.95" customHeight="1" thickTop="1">
      <c r="A6120" s="666"/>
      <c r="B6120" s="666"/>
      <c r="C6120" s="666"/>
      <c r="D6120" s="666"/>
      <c r="E6120" s="666"/>
      <c r="F6120" s="666"/>
      <c r="G6120" s="666"/>
      <c r="H6120" s="666"/>
      <c r="I6120" s="666"/>
      <c r="J6120" s="666"/>
    </row>
    <row r="6121" spans="1:10" ht="18" customHeight="1">
      <c r="A6121" s="686"/>
      <c r="B6121" s="684" t="s">
        <v>13484</v>
      </c>
      <c r="C6121" s="686" t="s">
        <v>13483</v>
      </c>
      <c r="D6121" s="686" t="s">
        <v>13482</v>
      </c>
      <c r="E6121" s="924" t="s">
        <v>13481</v>
      </c>
      <c r="F6121" s="924"/>
      <c r="G6121" s="685" t="s">
        <v>13480</v>
      </c>
      <c r="H6121" s="684" t="s">
        <v>13479</v>
      </c>
      <c r="I6121" s="684" t="s">
        <v>13478</v>
      </c>
      <c r="J6121" s="684" t="s">
        <v>13477</v>
      </c>
    </row>
    <row r="6122" spans="1:10" ht="36" customHeight="1">
      <c r="A6122" s="682" t="s">
        <v>13476</v>
      </c>
      <c r="B6122" s="683" t="s">
        <v>13573</v>
      </c>
      <c r="C6122" s="682" t="s">
        <v>7</v>
      </c>
      <c r="D6122" s="682" t="s">
        <v>1930</v>
      </c>
      <c r="E6122" s="917" t="s">
        <v>13491</v>
      </c>
      <c r="F6122" s="917"/>
      <c r="G6122" s="681" t="s">
        <v>19</v>
      </c>
      <c r="H6122" s="680">
        <v>1</v>
      </c>
      <c r="I6122" s="679">
        <v>7.0000000000000007E-2</v>
      </c>
      <c r="J6122" s="679">
        <v>7.0000000000000007E-2</v>
      </c>
    </row>
    <row r="6123" spans="1:10" ht="36" customHeight="1">
      <c r="A6123" s="672" t="s">
        <v>13467</v>
      </c>
      <c r="B6123" s="673" t="s">
        <v>13572</v>
      </c>
      <c r="C6123" s="672" t="s">
        <v>7</v>
      </c>
      <c r="D6123" s="672" t="s">
        <v>13571</v>
      </c>
      <c r="E6123" s="919" t="s">
        <v>13464</v>
      </c>
      <c r="F6123" s="919"/>
      <c r="G6123" s="671" t="s">
        <v>34</v>
      </c>
      <c r="H6123" s="670">
        <v>5.0000000000000002E-5</v>
      </c>
      <c r="I6123" s="669">
        <v>1536.17</v>
      </c>
      <c r="J6123" s="669">
        <v>7.0000000000000007E-2</v>
      </c>
    </row>
    <row r="6124" spans="1:10" ht="25.5">
      <c r="A6124" s="668"/>
      <c r="B6124" s="668"/>
      <c r="C6124" s="668"/>
      <c r="D6124" s="668"/>
      <c r="E6124" s="668" t="s">
        <v>13463</v>
      </c>
      <c r="F6124" s="667">
        <v>0</v>
      </c>
      <c r="G6124" s="668" t="s">
        <v>13462</v>
      </c>
      <c r="H6124" s="667">
        <v>0</v>
      </c>
      <c r="I6124" s="668" t="s">
        <v>13461</v>
      </c>
      <c r="J6124" s="667">
        <v>0</v>
      </c>
    </row>
    <row r="6125" spans="1:10" ht="15" thickBot="1">
      <c r="A6125" s="668"/>
      <c r="B6125" s="668"/>
      <c r="C6125" s="668"/>
      <c r="D6125" s="668"/>
      <c r="E6125" s="668" t="s">
        <v>13460</v>
      </c>
      <c r="F6125" s="667">
        <v>0.01</v>
      </c>
      <c r="G6125" s="668"/>
      <c r="H6125" s="925" t="s">
        <v>13459</v>
      </c>
      <c r="I6125" s="925"/>
      <c r="J6125" s="667">
        <v>0.08</v>
      </c>
    </row>
    <row r="6126" spans="1:10" ht="0.95" customHeight="1" thickTop="1">
      <c r="A6126" s="666"/>
      <c r="B6126" s="666"/>
      <c r="C6126" s="666"/>
      <c r="D6126" s="666"/>
      <c r="E6126" s="666"/>
      <c r="F6126" s="666"/>
      <c r="G6126" s="666"/>
      <c r="H6126" s="666"/>
      <c r="I6126" s="666"/>
      <c r="J6126" s="666"/>
    </row>
    <row r="6127" spans="1:10" ht="18" customHeight="1">
      <c r="A6127" s="686"/>
      <c r="B6127" s="684" t="s">
        <v>13484</v>
      </c>
      <c r="C6127" s="686" t="s">
        <v>13483</v>
      </c>
      <c r="D6127" s="686" t="s">
        <v>13482</v>
      </c>
      <c r="E6127" s="924" t="s">
        <v>13481</v>
      </c>
      <c r="F6127" s="924"/>
      <c r="G6127" s="685" t="s">
        <v>13480</v>
      </c>
      <c r="H6127" s="684" t="s">
        <v>13479</v>
      </c>
      <c r="I6127" s="684" t="s">
        <v>13478</v>
      </c>
      <c r="J6127" s="684" t="s">
        <v>13477</v>
      </c>
    </row>
    <row r="6128" spans="1:10" ht="36" customHeight="1">
      <c r="A6128" s="682" t="s">
        <v>13476</v>
      </c>
      <c r="B6128" s="683" t="s">
        <v>13570</v>
      </c>
      <c r="C6128" s="682" t="s">
        <v>7</v>
      </c>
      <c r="D6128" s="682" t="s">
        <v>1931</v>
      </c>
      <c r="E6128" s="917" t="s">
        <v>13491</v>
      </c>
      <c r="F6128" s="917"/>
      <c r="G6128" s="681" t="s">
        <v>19</v>
      </c>
      <c r="H6128" s="680">
        <v>1</v>
      </c>
      <c r="I6128" s="679">
        <v>2.66</v>
      </c>
      <c r="J6128" s="679">
        <v>2.66</v>
      </c>
    </row>
    <row r="6129" spans="1:10" ht="24" customHeight="1">
      <c r="A6129" s="672" t="s">
        <v>13467</v>
      </c>
      <c r="B6129" s="673" t="s">
        <v>13490</v>
      </c>
      <c r="C6129" s="672" t="s">
        <v>7</v>
      </c>
      <c r="D6129" s="672" t="s">
        <v>13489</v>
      </c>
      <c r="E6129" s="919" t="s">
        <v>13464</v>
      </c>
      <c r="F6129" s="919"/>
      <c r="G6129" s="671" t="s">
        <v>13488</v>
      </c>
      <c r="H6129" s="670">
        <v>3.17</v>
      </c>
      <c r="I6129" s="669">
        <v>0.84</v>
      </c>
      <c r="J6129" s="669">
        <v>2.66</v>
      </c>
    </row>
    <row r="6130" spans="1:10" ht="25.5">
      <c r="A6130" s="668"/>
      <c r="B6130" s="668"/>
      <c r="C6130" s="668"/>
      <c r="D6130" s="668"/>
      <c r="E6130" s="668" t="s">
        <v>13463</v>
      </c>
      <c r="F6130" s="667">
        <v>0</v>
      </c>
      <c r="G6130" s="668" t="s">
        <v>13462</v>
      </c>
      <c r="H6130" s="667">
        <v>0</v>
      </c>
      <c r="I6130" s="668" t="s">
        <v>13461</v>
      </c>
      <c r="J6130" s="667">
        <v>0</v>
      </c>
    </row>
    <row r="6131" spans="1:10" ht="15" thickBot="1">
      <c r="A6131" s="668"/>
      <c r="B6131" s="668"/>
      <c r="C6131" s="668"/>
      <c r="D6131" s="668"/>
      <c r="E6131" s="668" t="s">
        <v>13460</v>
      </c>
      <c r="F6131" s="667">
        <v>0.75</v>
      </c>
      <c r="G6131" s="668"/>
      <c r="H6131" s="925" t="s">
        <v>13459</v>
      </c>
      <c r="I6131" s="925"/>
      <c r="J6131" s="667">
        <v>3.41</v>
      </c>
    </row>
    <row r="6132" spans="1:10" ht="0.95" customHeight="1" thickTop="1">
      <c r="A6132" s="666"/>
      <c r="B6132" s="666"/>
      <c r="C6132" s="666"/>
      <c r="D6132" s="666"/>
      <c r="E6132" s="666"/>
      <c r="F6132" s="666"/>
      <c r="G6132" s="666"/>
      <c r="H6132" s="666"/>
      <c r="I6132" s="666"/>
      <c r="J6132" s="666"/>
    </row>
    <row r="6133" spans="1:10" ht="18" customHeight="1">
      <c r="A6133" s="686"/>
      <c r="B6133" s="684" t="s">
        <v>13484</v>
      </c>
      <c r="C6133" s="686" t="s">
        <v>13483</v>
      </c>
      <c r="D6133" s="686" t="s">
        <v>13482</v>
      </c>
      <c r="E6133" s="924" t="s">
        <v>13481</v>
      </c>
      <c r="F6133" s="924"/>
      <c r="G6133" s="685" t="s">
        <v>13480</v>
      </c>
      <c r="H6133" s="684" t="s">
        <v>13479</v>
      </c>
      <c r="I6133" s="684" t="s">
        <v>13478</v>
      </c>
      <c r="J6133" s="684" t="s">
        <v>13477</v>
      </c>
    </row>
    <row r="6134" spans="1:10" ht="24" customHeight="1">
      <c r="A6134" s="682" t="s">
        <v>13476</v>
      </c>
      <c r="B6134" s="683" t="s">
        <v>13569</v>
      </c>
      <c r="C6134" s="682" t="s">
        <v>7</v>
      </c>
      <c r="D6134" s="682" t="s">
        <v>5089</v>
      </c>
      <c r="E6134" s="917" t="s">
        <v>13474</v>
      </c>
      <c r="F6134" s="917"/>
      <c r="G6134" s="681" t="s">
        <v>34</v>
      </c>
      <c r="H6134" s="680">
        <v>1</v>
      </c>
      <c r="I6134" s="679">
        <v>545.61</v>
      </c>
      <c r="J6134" s="679">
        <v>545.61</v>
      </c>
    </row>
    <row r="6135" spans="1:10" ht="24" customHeight="1">
      <c r="A6135" s="677" t="s">
        <v>13472</v>
      </c>
      <c r="B6135" s="678" t="s">
        <v>13473</v>
      </c>
      <c r="C6135" s="677" t="s">
        <v>7</v>
      </c>
      <c r="D6135" s="677" t="s">
        <v>44</v>
      </c>
      <c r="E6135" s="918" t="s">
        <v>13470</v>
      </c>
      <c r="F6135" s="918"/>
      <c r="G6135" s="676" t="s">
        <v>19</v>
      </c>
      <c r="H6135" s="675">
        <v>1.7688999999999999</v>
      </c>
      <c r="I6135" s="674">
        <v>17.66</v>
      </c>
      <c r="J6135" s="674">
        <v>31.23</v>
      </c>
    </row>
    <row r="6136" spans="1:10" ht="24" customHeight="1">
      <c r="A6136" s="677" t="s">
        <v>13472</v>
      </c>
      <c r="B6136" s="678" t="s">
        <v>13471</v>
      </c>
      <c r="C6136" s="677" t="s">
        <v>7</v>
      </c>
      <c r="D6136" s="677" t="s">
        <v>21</v>
      </c>
      <c r="E6136" s="918" t="s">
        <v>13470</v>
      </c>
      <c r="F6136" s="918"/>
      <c r="G6136" s="676" t="s">
        <v>19</v>
      </c>
      <c r="H6136" s="675">
        <v>0.71109999999999995</v>
      </c>
      <c r="I6136" s="674">
        <v>14.02</v>
      </c>
      <c r="J6136" s="674">
        <v>9.9600000000000009</v>
      </c>
    </row>
    <row r="6137" spans="1:10" ht="36" customHeight="1">
      <c r="A6137" s="672" t="s">
        <v>13467</v>
      </c>
      <c r="B6137" s="673" t="s">
        <v>13568</v>
      </c>
      <c r="C6137" s="672" t="s">
        <v>7</v>
      </c>
      <c r="D6137" s="672" t="s">
        <v>13567</v>
      </c>
      <c r="E6137" s="919" t="s">
        <v>13464</v>
      </c>
      <c r="F6137" s="919"/>
      <c r="G6137" s="671" t="s">
        <v>34</v>
      </c>
      <c r="H6137" s="670">
        <v>6</v>
      </c>
      <c r="I6137" s="669">
        <v>11.01</v>
      </c>
      <c r="J6137" s="669">
        <v>66.06</v>
      </c>
    </row>
    <row r="6138" spans="1:10" ht="24" customHeight="1">
      <c r="A6138" s="672" t="s">
        <v>13467</v>
      </c>
      <c r="B6138" s="673" t="s">
        <v>13504</v>
      </c>
      <c r="C6138" s="672" t="s">
        <v>7</v>
      </c>
      <c r="D6138" s="672" t="s">
        <v>13503</v>
      </c>
      <c r="E6138" s="919" t="s">
        <v>13464</v>
      </c>
      <c r="F6138" s="919"/>
      <c r="G6138" s="671" t="s">
        <v>17</v>
      </c>
      <c r="H6138" s="670">
        <v>7.0199999999999999E-2</v>
      </c>
      <c r="I6138" s="669">
        <v>96.46</v>
      </c>
      <c r="J6138" s="669">
        <v>6.77</v>
      </c>
    </row>
    <row r="6139" spans="1:10" ht="24" customHeight="1">
      <c r="A6139" s="672" t="s">
        <v>13467</v>
      </c>
      <c r="B6139" s="673" t="s">
        <v>13566</v>
      </c>
      <c r="C6139" s="672" t="s">
        <v>7</v>
      </c>
      <c r="D6139" s="672" t="s">
        <v>13565</v>
      </c>
      <c r="E6139" s="919" t="s">
        <v>13464</v>
      </c>
      <c r="F6139" s="919"/>
      <c r="G6139" s="671" t="s">
        <v>34</v>
      </c>
      <c r="H6139" s="670">
        <v>1</v>
      </c>
      <c r="I6139" s="669">
        <v>431.59</v>
      </c>
      <c r="J6139" s="669">
        <v>431.59</v>
      </c>
    </row>
    <row r="6140" spans="1:10" ht="25.5">
      <c r="A6140" s="668"/>
      <c r="B6140" s="668"/>
      <c r="C6140" s="668"/>
      <c r="D6140" s="668"/>
      <c r="E6140" s="668" t="s">
        <v>13463</v>
      </c>
      <c r="F6140" s="667">
        <v>17.722481799413234</v>
      </c>
      <c r="G6140" s="668" t="s">
        <v>13462</v>
      </c>
      <c r="H6140" s="667">
        <v>14.9</v>
      </c>
      <c r="I6140" s="668" t="s">
        <v>13461</v>
      </c>
      <c r="J6140" s="667">
        <v>32.619999999999997</v>
      </c>
    </row>
    <row r="6141" spans="1:10" ht="15" thickBot="1">
      <c r="A6141" s="668"/>
      <c r="B6141" s="668"/>
      <c r="C6141" s="668"/>
      <c r="D6141" s="668"/>
      <c r="E6141" s="668" t="s">
        <v>13460</v>
      </c>
      <c r="F6141" s="667">
        <v>154.08000000000001</v>
      </c>
      <c r="G6141" s="668"/>
      <c r="H6141" s="925" t="s">
        <v>13459</v>
      </c>
      <c r="I6141" s="925"/>
      <c r="J6141" s="667">
        <v>699.69</v>
      </c>
    </row>
    <row r="6142" spans="1:10" ht="0.95" customHeight="1" thickTop="1">
      <c r="A6142" s="666"/>
      <c r="B6142" s="666"/>
      <c r="C6142" s="666"/>
      <c r="D6142" s="666"/>
      <c r="E6142" s="666"/>
      <c r="F6142" s="666"/>
      <c r="G6142" s="666"/>
      <c r="H6142" s="666"/>
      <c r="I6142" s="666"/>
      <c r="J6142" s="666"/>
    </row>
    <row r="6143" spans="1:10" ht="18" customHeight="1">
      <c r="A6143" s="686"/>
      <c r="B6143" s="684" t="s">
        <v>13484</v>
      </c>
      <c r="C6143" s="686" t="s">
        <v>13483</v>
      </c>
      <c r="D6143" s="686" t="s">
        <v>13482</v>
      </c>
      <c r="E6143" s="924" t="s">
        <v>13481</v>
      </c>
      <c r="F6143" s="924"/>
      <c r="G6143" s="685" t="s">
        <v>13480</v>
      </c>
      <c r="H6143" s="684" t="s">
        <v>13479</v>
      </c>
      <c r="I6143" s="684" t="s">
        <v>13478</v>
      </c>
      <c r="J6143" s="684" t="s">
        <v>13477</v>
      </c>
    </row>
    <row r="6144" spans="1:10" ht="24" customHeight="1">
      <c r="A6144" s="682" t="s">
        <v>13476</v>
      </c>
      <c r="B6144" s="683" t="s">
        <v>13564</v>
      </c>
      <c r="C6144" s="682" t="s">
        <v>7</v>
      </c>
      <c r="D6144" s="682" t="s">
        <v>178</v>
      </c>
      <c r="E6144" s="917" t="s">
        <v>13470</v>
      </c>
      <c r="F6144" s="917"/>
      <c r="G6144" s="681" t="s">
        <v>19</v>
      </c>
      <c r="H6144" s="680">
        <v>1</v>
      </c>
      <c r="I6144" s="679">
        <v>18.739999999999998</v>
      </c>
      <c r="J6144" s="679">
        <v>18.739999999999998</v>
      </c>
    </row>
    <row r="6145" spans="1:10" ht="24" customHeight="1">
      <c r="A6145" s="677" t="s">
        <v>13472</v>
      </c>
      <c r="B6145" s="678" t="s">
        <v>13563</v>
      </c>
      <c r="C6145" s="677" t="s">
        <v>7</v>
      </c>
      <c r="D6145" s="677" t="s">
        <v>2790</v>
      </c>
      <c r="E6145" s="918" t="s">
        <v>13470</v>
      </c>
      <c r="F6145" s="918"/>
      <c r="G6145" s="676" t="s">
        <v>19</v>
      </c>
      <c r="H6145" s="675">
        <v>1</v>
      </c>
      <c r="I6145" s="674">
        <v>0.12</v>
      </c>
      <c r="J6145" s="674">
        <v>0.12</v>
      </c>
    </row>
    <row r="6146" spans="1:10" ht="24" customHeight="1">
      <c r="A6146" s="672" t="s">
        <v>13467</v>
      </c>
      <c r="B6146" s="673" t="s">
        <v>13562</v>
      </c>
      <c r="C6146" s="672" t="s">
        <v>7</v>
      </c>
      <c r="D6146" s="672" t="s">
        <v>13561</v>
      </c>
      <c r="E6146" s="919" t="s">
        <v>13556</v>
      </c>
      <c r="F6146" s="919"/>
      <c r="G6146" s="671" t="s">
        <v>19</v>
      </c>
      <c r="H6146" s="670">
        <v>1</v>
      </c>
      <c r="I6146" s="669">
        <v>0.96</v>
      </c>
      <c r="J6146" s="669">
        <v>0.96</v>
      </c>
    </row>
    <row r="6147" spans="1:10" ht="24" customHeight="1">
      <c r="A6147" s="672" t="s">
        <v>13467</v>
      </c>
      <c r="B6147" s="673" t="s">
        <v>13560</v>
      </c>
      <c r="C6147" s="672" t="s">
        <v>7</v>
      </c>
      <c r="D6147" s="672" t="s">
        <v>13559</v>
      </c>
      <c r="E6147" s="919" t="s">
        <v>13493</v>
      </c>
      <c r="F6147" s="919"/>
      <c r="G6147" s="671" t="s">
        <v>19</v>
      </c>
      <c r="H6147" s="670">
        <v>1</v>
      </c>
      <c r="I6147" s="669">
        <v>1.05</v>
      </c>
      <c r="J6147" s="669">
        <v>1.05</v>
      </c>
    </row>
    <row r="6148" spans="1:10" ht="24" customHeight="1">
      <c r="A6148" s="672" t="s">
        <v>13467</v>
      </c>
      <c r="B6148" s="673" t="s">
        <v>13558</v>
      </c>
      <c r="C6148" s="672" t="s">
        <v>7</v>
      </c>
      <c r="D6148" s="672" t="s">
        <v>13557</v>
      </c>
      <c r="E6148" s="919" t="s">
        <v>13556</v>
      </c>
      <c r="F6148" s="919"/>
      <c r="G6148" s="671" t="s">
        <v>19</v>
      </c>
      <c r="H6148" s="670">
        <v>1</v>
      </c>
      <c r="I6148" s="669">
        <v>0.55000000000000004</v>
      </c>
      <c r="J6148" s="669">
        <v>0.55000000000000004</v>
      </c>
    </row>
    <row r="6149" spans="1:10" ht="24" customHeight="1">
      <c r="A6149" s="672" t="s">
        <v>13467</v>
      </c>
      <c r="B6149" s="673" t="s">
        <v>13555</v>
      </c>
      <c r="C6149" s="672" t="s">
        <v>7</v>
      </c>
      <c r="D6149" s="672" t="s">
        <v>13554</v>
      </c>
      <c r="E6149" s="919" t="s">
        <v>13493</v>
      </c>
      <c r="F6149" s="919"/>
      <c r="G6149" s="671" t="s">
        <v>19</v>
      </c>
      <c r="H6149" s="670">
        <v>1</v>
      </c>
      <c r="I6149" s="669">
        <v>0.38</v>
      </c>
      <c r="J6149" s="669">
        <v>0.38</v>
      </c>
    </row>
    <row r="6150" spans="1:10" ht="24" customHeight="1">
      <c r="A6150" s="672" t="s">
        <v>13467</v>
      </c>
      <c r="B6150" s="673" t="s">
        <v>13553</v>
      </c>
      <c r="C6150" s="672" t="s">
        <v>7</v>
      </c>
      <c r="D6150" s="672" t="s">
        <v>13552</v>
      </c>
      <c r="E6150" s="919" t="s">
        <v>13551</v>
      </c>
      <c r="F6150" s="919"/>
      <c r="G6150" s="671" t="s">
        <v>19</v>
      </c>
      <c r="H6150" s="670">
        <v>1</v>
      </c>
      <c r="I6150" s="669">
        <v>0.06</v>
      </c>
      <c r="J6150" s="669">
        <v>0.06</v>
      </c>
    </row>
    <row r="6151" spans="1:10" ht="24" customHeight="1">
      <c r="A6151" s="672" t="s">
        <v>13467</v>
      </c>
      <c r="B6151" s="673" t="s">
        <v>13550</v>
      </c>
      <c r="C6151" s="672" t="s">
        <v>7</v>
      </c>
      <c r="D6151" s="672" t="s">
        <v>13549</v>
      </c>
      <c r="E6151" s="919" t="s">
        <v>13548</v>
      </c>
      <c r="F6151" s="919"/>
      <c r="G6151" s="671" t="s">
        <v>19</v>
      </c>
      <c r="H6151" s="670">
        <v>1</v>
      </c>
      <c r="I6151" s="669">
        <v>14.91</v>
      </c>
      <c r="J6151" s="669">
        <v>14.91</v>
      </c>
    </row>
    <row r="6152" spans="1:10" ht="24" customHeight="1">
      <c r="A6152" s="672" t="s">
        <v>13467</v>
      </c>
      <c r="B6152" s="673" t="s">
        <v>13547</v>
      </c>
      <c r="C6152" s="672" t="s">
        <v>7</v>
      </c>
      <c r="D6152" s="672" t="s">
        <v>13546</v>
      </c>
      <c r="E6152" s="919" t="s">
        <v>13545</v>
      </c>
      <c r="F6152" s="919"/>
      <c r="G6152" s="671" t="s">
        <v>19</v>
      </c>
      <c r="H6152" s="670">
        <v>1</v>
      </c>
      <c r="I6152" s="669">
        <v>0.71</v>
      </c>
      <c r="J6152" s="669">
        <v>0.71</v>
      </c>
    </row>
    <row r="6153" spans="1:10" ht="25.5">
      <c r="A6153" s="668"/>
      <c r="B6153" s="668"/>
      <c r="C6153" s="668"/>
      <c r="D6153" s="668"/>
      <c r="E6153" s="668" t="s">
        <v>13463</v>
      </c>
      <c r="F6153" s="667">
        <v>8.1658155000000008</v>
      </c>
      <c r="G6153" s="668" t="s">
        <v>13462</v>
      </c>
      <c r="H6153" s="667">
        <v>6.86</v>
      </c>
      <c r="I6153" s="668" t="s">
        <v>13461</v>
      </c>
      <c r="J6153" s="667">
        <v>15.03</v>
      </c>
    </row>
    <row r="6154" spans="1:10" ht="15" thickBot="1">
      <c r="A6154" s="668"/>
      <c r="B6154" s="668"/>
      <c r="C6154" s="668"/>
      <c r="D6154" s="668"/>
      <c r="E6154" s="668" t="s">
        <v>13460</v>
      </c>
      <c r="F6154" s="667">
        <v>5.29</v>
      </c>
      <c r="G6154" s="668"/>
      <c r="H6154" s="925" t="s">
        <v>13459</v>
      </c>
      <c r="I6154" s="925"/>
      <c r="J6154" s="667">
        <v>24.03</v>
      </c>
    </row>
    <row r="6155" spans="1:10" ht="0.95" customHeight="1" thickTop="1">
      <c r="A6155" s="666"/>
      <c r="B6155" s="666"/>
      <c r="C6155" s="666"/>
      <c r="D6155" s="666"/>
      <c r="E6155" s="666"/>
      <c r="F6155" s="666"/>
      <c r="G6155" s="666"/>
      <c r="H6155" s="666"/>
      <c r="I6155" s="666"/>
      <c r="J6155" s="666"/>
    </row>
    <row r="6156" spans="1:10" ht="18" customHeight="1">
      <c r="A6156" s="686"/>
      <c r="B6156" s="684" t="s">
        <v>13484</v>
      </c>
      <c r="C6156" s="686" t="s">
        <v>13483</v>
      </c>
      <c r="D6156" s="686" t="s">
        <v>13482</v>
      </c>
      <c r="E6156" s="924" t="s">
        <v>13481</v>
      </c>
      <c r="F6156" s="924"/>
      <c r="G6156" s="685" t="s">
        <v>13480</v>
      </c>
      <c r="H6156" s="684" t="s">
        <v>13479</v>
      </c>
      <c r="I6156" s="684" t="s">
        <v>13478</v>
      </c>
      <c r="J6156" s="684" t="s">
        <v>13477</v>
      </c>
    </row>
    <row r="6157" spans="1:10" ht="36" customHeight="1">
      <c r="A6157" s="682" t="s">
        <v>13476</v>
      </c>
      <c r="B6157" s="683" t="s">
        <v>13544</v>
      </c>
      <c r="C6157" s="682" t="s">
        <v>7</v>
      </c>
      <c r="D6157" s="682" t="s">
        <v>49</v>
      </c>
      <c r="E6157" s="917" t="s">
        <v>13540</v>
      </c>
      <c r="F6157" s="917"/>
      <c r="G6157" s="681" t="s">
        <v>34</v>
      </c>
      <c r="H6157" s="680">
        <v>1</v>
      </c>
      <c r="I6157" s="679">
        <v>22.36</v>
      </c>
      <c r="J6157" s="679">
        <v>22.36</v>
      </c>
    </row>
    <row r="6158" spans="1:10" ht="24" customHeight="1">
      <c r="A6158" s="677" t="s">
        <v>13472</v>
      </c>
      <c r="B6158" s="678" t="s">
        <v>13539</v>
      </c>
      <c r="C6158" s="677" t="s">
        <v>7</v>
      </c>
      <c r="D6158" s="677" t="s">
        <v>45</v>
      </c>
      <c r="E6158" s="918" t="s">
        <v>13470</v>
      </c>
      <c r="F6158" s="918"/>
      <c r="G6158" s="676" t="s">
        <v>19</v>
      </c>
      <c r="H6158" s="675">
        <v>0.496</v>
      </c>
      <c r="I6158" s="674">
        <v>18.3</v>
      </c>
      <c r="J6158" s="674">
        <v>9.07</v>
      </c>
    </row>
    <row r="6159" spans="1:10" ht="24" customHeight="1">
      <c r="A6159" s="677" t="s">
        <v>13472</v>
      </c>
      <c r="B6159" s="678" t="s">
        <v>13538</v>
      </c>
      <c r="C6159" s="677" t="s">
        <v>7</v>
      </c>
      <c r="D6159" s="677" t="s">
        <v>47</v>
      </c>
      <c r="E6159" s="918" t="s">
        <v>13470</v>
      </c>
      <c r="F6159" s="918"/>
      <c r="G6159" s="676" t="s">
        <v>19</v>
      </c>
      <c r="H6159" s="675">
        <v>0.496</v>
      </c>
      <c r="I6159" s="674">
        <v>14</v>
      </c>
      <c r="J6159" s="674">
        <v>6.94</v>
      </c>
    </row>
    <row r="6160" spans="1:10" ht="24" customHeight="1">
      <c r="A6160" s="672" t="s">
        <v>13467</v>
      </c>
      <c r="B6160" s="673" t="s">
        <v>13537</v>
      </c>
      <c r="C6160" s="672" t="s">
        <v>7</v>
      </c>
      <c r="D6160" s="672" t="s">
        <v>13536</v>
      </c>
      <c r="E6160" s="919" t="s">
        <v>13464</v>
      </c>
      <c r="F6160" s="919"/>
      <c r="G6160" s="671" t="s">
        <v>34</v>
      </c>
      <c r="H6160" s="670">
        <v>1</v>
      </c>
      <c r="I6160" s="669">
        <v>6.35</v>
      </c>
      <c r="J6160" s="669">
        <v>6.35</v>
      </c>
    </row>
    <row r="6161" spans="1:10" ht="25.5">
      <c r="A6161" s="668"/>
      <c r="B6161" s="668"/>
      <c r="C6161" s="668"/>
      <c r="D6161" s="668"/>
      <c r="E6161" s="668" t="s">
        <v>13463</v>
      </c>
      <c r="F6161" s="667">
        <v>6.6445724220362923</v>
      </c>
      <c r="G6161" s="668" t="s">
        <v>13462</v>
      </c>
      <c r="H6161" s="667">
        <v>5.59</v>
      </c>
      <c r="I6161" s="668" t="s">
        <v>13461</v>
      </c>
      <c r="J6161" s="667">
        <v>12.23</v>
      </c>
    </row>
    <row r="6162" spans="1:10" ht="15" thickBot="1">
      <c r="A6162" s="668"/>
      <c r="B6162" s="668"/>
      <c r="C6162" s="668"/>
      <c r="D6162" s="668"/>
      <c r="E6162" s="668" t="s">
        <v>13460</v>
      </c>
      <c r="F6162" s="667">
        <v>6.31</v>
      </c>
      <c r="G6162" s="668"/>
      <c r="H6162" s="925" t="s">
        <v>13459</v>
      </c>
      <c r="I6162" s="925"/>
      <c r="J6162" s="667">
        <v>28.67</v>
      </c>
    </row>
    <row r="6163" spans="1:10" ht="0.95" customHeight="1" thickTop="1">
      <c r="A6163" s="666"/>
      <c r="B6163" s="666"/>
      <c r="C6163" s="666"/>
      <c r="D6163" s="666"/>
      <c r="E6163" s="666"/>
      <c r="F6163" s="666"/>
      <c r="G6163" s="666"/>
      <c r="H6163" s="666"/>
      <c r="I6163" s="666"/>
      <c r="J6163" s="666"/>
    </row>
    <row r="6164" spans="1:10" ht="18" customHeight="1">
      <c r="A6164" s="686"/>
      <c r="B6164" s="684" t="s">
        <v>13484</v>
      </c>
      <c r="C6164" s="686" t="s">
        <v>13483</v>
      </c>
      <c r="D6164" s="686" t="s">
        <v>13482</v>
      </c>
      <c r="E6164" s="924" t="s">
        <v>13481</v>
      </c>
      <c r="F6164" s="924"/>
      <c r="G6164" s="685" t="s">
        <v>13480</v>
      </c>
      <c r="H6164" s="684" t="s">
        <v>13479</v>
      </c>
      <c r="I6164" s="684" t="s">
        <v>13478</v>
      </c>
      <c r="J6164" s="684" t="s">
        <v>13477</v>
      </c>
    </row>
    <row r="6165" spans="1:10" ht="36" customHeight="1">
      <c r="A6165" s="682" t="s">
        <v>13476</v>
      </c>
      <c r="B6165" s="683" t="s">
        <v>13543</v>
      </c>
      <c r="C6165" s="682" t="s">
        <v>7</v>
      </c>
      <c r="D6165" s="682" t="s">
        <v>452</v>
      </c>
      <c r="E6165" s="917" t="s">
        <v>13540</v>
      </c>
      <c r="F6165" s="917"/>
      <c r="G6165" s="681" t="s">
        <v>34</v>
      </c>
      <c r="H6165" s="680">
        <v>1</v>
      </c>
      <c r="I6165" s="679">
        <v>13.94</v>
      </c>
      <c r="J6165" s="679">
        <v>13.94</v>
      </c>
    </row>
    <row r="6166" spans="1:10" ht="24" customHeight="1">
      <c r="A6166" s="677" t="s">
        <v>13472</v>
      </c>
      <c r="B6166" s="678" t="s">
        <v>13539</v>
      </c>
      <c r="C6166" s="677" t="s">
        <v>7</v>
      </c>
      <c r="D6166" s="677" t="s">
        <v>45</v>
      </c>
      <c r="E6166" s="918" t="s">
        <v>13470</v>
      </c>
      <c r="F6166" s="918"/>
      <c r="G6166" s="676" t="s">
        <v>19</v>
      </c>
      <c r="H6166" s="675">
        <v>0.23499999999999999</v>
      </c>
      <c r="I6166" s="674">
        <v>18.3</v>
      </c>
      <c r="J6166" s="674">
        <v>4.3</v>
      </c>
    </row>
    <row r="6167" spans="1:10" ht="24" customHeight="1">
      <c r="A6167" s="677" t="s">
        <v>13472</v>
      </c>
      <c r="B6167" s="678" t="s">
        <v>13538</v>
      </c>
      <c r="C6167" s="677" t="s">
        <v>7</v>
      </c>
      <c r="D6167" s="677" t="s">
        <v>47</v>
      </c>
      <c r="E6167" s="918" t="s">
        <v>13470</v>
      </c>
      <c r="F6167" s="918"/>
      <c r="G6167" s="676" t="s">
        <v>19</v>
      </c>
      <c r="H6167" s="675">
        <v>0.23499999999999999</v>
      </c>
      <c r="I6167" s="674">
        <v>14</v>
      </c>
      <c r="J6167" s="674">
        <v>3.29</v>
      </c>
    </row>
    <row r="6168" spans="1:10" ht="24" customHeight="1">
      <c r="A6168" s="672" t="s">
        <v>13467</v>
      </c>
      <c r="B6168" s="673" t="s">
        <v>13537</v>
      </c>
      <c r="C6168" s="672" t="s">
        <v>7</v>
      </c>
      <c r="D6168" s="672" t="s">
        <v>13536</v>
      </c>
      <c r="E6168" s="919" t="s">
        <v>13464</v>
      </c>
      <c r="F6168" s="919"/>
      <c r="G6168" s="671" t="s">
        <v>34</v>
      </c>
      <c r="H6168" s="670">
        <v>1</v>
      </c>
      <c r="I6168" s="669">
        <v>6.35</v>
      </c>
      <c r="J6168" s="669">
        <v>6.35</v>
      </c>
    </row>
    <row r="6169" spans="1:10" ht="25.5">
      <c r="A6169" s="668"/>
      <c r="B6169" s="668"/>
      <c r="C6169" s="668"/>
      <c r="D6169" s="668"/>
      <c r="E6169" s="668" t="s">
        <v>13463</v>
      </c>
      <c r="F6169" s="667">
        <v>3.1457133543409759</v>
      </c>
      <c r="G6169" s="668" t="s">
        <v>13462</v>
      </c>
      <c r="H6169" s="667">
        <v>2.64</v>
      </c>
      <c r="I6169" s="668" t="s">
        <v>13461</v>
      </c>
      <c r="J6169" s="667">
        <v>5.79</v>
      </c>
    </row>
    <row r="6170" spans="1:10" ht="15" thickBot="1">
      <c r="A6170" s="668"/>
      <c r="B6170" s="668"/>
      <c r="C6170" s="668"/>
      <c r="D6170" s="668"/>
      <c r="E6170" s="668" t="s">
        <v>13460</v>
      </c>
      <c r="F6170" s="667">
        <v>3.93</v>
      </c>
      <c r="G6170" s="668"/>
      <c r="H6170" s="925" t="s">
        <v>13459</v>
      </c>
      <c r="I6170" s="925"/>
      <c r="J6170" s="667">
        <v>17.87</v>
      </c>
    </row>
    <row r="6171" spans="1:10" ht="0.95" customHeight="1" thickTop="1">
      <c r="A6171" s="666"/>
      <c r="B6171" s="666"/>
      <c r="C6171" s="666"/>
      <c r="D6171" s="666"/>
      <c r="E6171" s="666"/>
      <c r="F6171" s="666"/>
      <c r="G6171" s="666"/>
      <c r="H6171" s="666"/>
      <c r="I6171" s="666"/>
      <c r="J6171" s="666"/>
    </row>
    <row r="6172" spans="1:10" ht="18" customHeight="1">
      <c r="A6172" s="686"/>
      <c r="B6172" s="684" t="s">
        <v>13484</v>
      </c>
      <c r="C6172" s="686" t="s">
        <v>13483</v>
      </c>
      <c r="D6172" s="686" t="s">
        <v>13482</v>
      </c>
      <c r="E6172" s="924" t="s">
        <v>13481</v>
      </c>
      <c r="F6172" s="924"/>
      <c r="G6172" s="685" t="s">
        <v>13480</v>
      </c>
      <c r="H6172" s="684" t="s">
        <v>13479</v>
      </c>
      <c r="I6172" s="684" t="s">
        <v>13478</v>
      </c>
      <c r="J6172" s="684" t="s">
        <v>13477</v>
      </c>
    </row>
    <row r="6173" spans="1:10" ht="36" customHeight="1">
      <c r="A6173" s="682" t="s">
        <v>13476</v>
      </c>
      <c r="B6173" s="683" t="s">
        <v>13542</v>
      </c>
      <c r="C6173" s="682" t="s">
        <v>7</v>
      </c>
      <c r="D6173" s="682" t="s">
        <v>2039</v>
      </c>
      <c r="E6173" s="917" t="s">
        <v>13540</v>
      </c>
      <c r="F6173" s="917"/>
      <c r="G6173" s="681" t="s">
        <v>34</v>
      </c>
      <c r="H6173" s="680">
        <v>1</v>
      </c>
      <c r="I6173" s="679">
        <v>25.9</v>
      </c>
      <c r="J6173" s="679">
        <v>25.9</v>
      </c>
    </row>
    <row r="6174" spans="1:10" ht="24" customHeight="1">
      <c r="A6174" s="677" t="s">
        <v>13472</v>
      </c>
      <c r="B6174" s="678" t="s">
        <v>13539</v>
      </c>
      <c r="C6174" s="677" t="s">
        <v>7</v>
      </c>
      <c r="D6174" s="677" t="s">
        <v>45</v>
      </c>
      <c r="E6174" s="918" t="s">
        <v>13470</v>
      </c>
      <c r="F6174" s="918"/>
      <c r="G6174" s="676" t="s">
        <v>19</v>
      </c>
      <c r="H6174" s="675">
        <v>0.40899999999999997</v>
      </c>
      <c r="I6174" s="674">
        <v>18.3</v>
      </c>
      <c r="J6174" s="674">
        <v>7.48</v>
      </c>
    </row>
    <row r="6175" spans="1:10" ht="24" customHeight="1">
      <c r="A6175" s="677" t="s">
        <v>13472</v>
      </c>
      <c r="B6175" s="678" t="s">
        <v>13538</v>
      </c>
      <c r="C6175" s="677" t="s">
        <v>7</v>
      </c>
      <c r="D6175" s="677" t="s">
        <v>47</v>
      </c>
      <c r="E6175" s="918" t="s">
        <v>13470</v>
      </c>
      <c r="F6175" s="918"/>
      <c r="G6175" s="676" t="s">
        <v>19</v>
      </c>
      <c r="H6175" s="675">
        <v>0.40899999999999997</v>
      </c>
      <c r="I6175" s="674">
        <v>14</v>
      </c>
      <c r="J6175" s="674">
        <v>5.72</v>
      </c>
    </row>
    <row r="6176" spans="1:10" ht="24" customHeight="1">
      <c r="A6176" s="672" t="s">
        <v>13467</v>
      </c>
      <c r="B6176" s="673" t="s">
        <v>13537</v>
      </c>
      <c r="C6176" s="672" t="s">
        <v>7</v>
      </c>
      <c r="D6176" s="672" t="s">
        <v>13536</v>
      </c>
      <c r="E6176" s="919" t="s">
        <v>13464</v>
      </c>
      <c r="F6176" s="919"/>
      <c r="G6176" s="671" t="s">
        <v>34</v>
      </c>
      <c r="H6176" s="670">
        <v>2</v>
      </c>
      <c r="I6176" s="669">
        <v>6.35</v>
      </c>
      <c r="J6176" s="669">
        <v>12.7</v>
      </c>
    </row>
    <row r="6177" spans="1:10" ht="25.5">
      <c r="A6177" s="668"/>
      <c r="B6177" s="668"/>
      <c r="C6177" s="668"/>
      <c r="D6177" s="668"/>
      <c r="E6177" s="668" t="s">
        <v>13463</v>
      </c>
      <c r="F6177" s="667">
        <v>5.4764750624796266</v>
      </c>
      <c r="G6177" s="668" t="s">
        <v>13462</v>
      </c>
      <c r="H6177" s="667">
        <v>4.5999999999999996</v>
      </c>
      <c r="I6177" s="668" t="s">
        <v>13461</v>
      </c>
      <c r="J6177" s="667">
        <v>10.08</v>
      </c>
    </row>
    <row r="6178" spans="1:10" ht="15" thickBot="1">
      <c r="A6178" s="668"/>
      <c r="B6178" s="668"/>
      <c r="C6178" s="668"/>
      <c r="D6178" s="668"/>
      <c r="E6178" s="668" t="s">
        <v>13460</v>
      </c>
      <c r="F6178" s="667">
        <v>7.31</v>
      </c>
      <c r="G6178" s="668"/>
      <c r="H6178" s="925" t="s">
        <v>13459</v>
      </c>
      <c r="I6178" s="925"/>
      <c r="J6178" s="667">
        <v>33.21</v>
      </c>
    </row>
    <row r="6179" spans="1:10" ht="0.95" customHeight="1" thickTop="1">
      <c r="A6179" s="666"/>
      <c r="B6179" s="666"/>
      <c r="C6179" s="666"/>
      <c r="D6179" s="666"/>
      <c r="E6179" s="666"/>
      <c r="F6179" s="666"/>
      <c r="G6179" s="666"/>
      <c r="H6179" s="666"/>
      <c r="I6179" s="666"/>
      <c r="J6179" s="666"/>
    </row>
    <row r="6180" spans="1:10" ht="18" customHeight="1">
      <c r="A6180" s="686"/>
      <c r="B6180" s="684" t="s">
        <v>13484</v>
      </c>
      <c r="C6180" s="686" t="s">
        <v>13483</v>
      </c>
      <c r="D6180" s="686" t="s">
        <v>13482</v>
      </c>
      <c r="E6180" s="924" t="s">
        <v>13481</v>
      </c>
      <c r="F6180" s="924"/>
      <c r="G6180" s="685" t="s">
        <v>13480</v>
      </c>
      <c r="H6180" s="684" t="s">
        <v>13479</v>
      </c>
      <c r="I6180" s="684" t="s">
        <v>13478</v>
      </c>
      <c r="J6180" s="684" t="s">
        <v>13477</v>
      </c>
    </row>
    <row r="6181" spans="1:10" ht="36" customHeight="1">
      <c r="A6181" s="682" t="s">
        <v>13476</v>
      </c>
      <c r="B6181" s="683" t="s">
        <v>13541</v>
      </c>
      <c r="C6181" s="682" t="s">
        <v>7</v>
      </c>
      <c r="D6181" s="682" t="s">
        <v>450</v>
      </c>
      <c r="E6181" s="917" t="s">
        <v>13540</v>
      </c>
      <c r="F6181" s="917"/>
      <c r="G6181" s="681" t="s">
        <v>34</v>
      </c>
      <c r="H6181" s="680">
        <v>1</v>
      </c>
      <c r="I6181" s="679">
        <v>16.29</v>
      </c>
      <c r="J6181" s="679">
        <v>16.29</v>
      </c>
    </row>
    <row r="6182" spans="1:10" ht="24" customHeight="1">
      <c r="A6182" s="677" t="s">
        <v>13472</v>
      </c>
      <c r="B6182" s="678" t="s">
        <v>13539</v>
      </c>
      <c r="C6182" s="677" t="s">
        <v>7</v>
      </c>
      <c r="D6182" s="677" t="s">
        <v>45</v>
      </c>
      <c r="E6182" s="918" t="s">
        <v>13470</v>
      </c>
      <c r="F6182" s="918"/>
      <c r="G6182" s="676" t="s">
        <v>19</v>
      </c>
      <c r="H6182" s="675">
        <v>0.308</v>
      </c>
      <c r="I6182" s="674">
        <v>18.3</v>
      </c>
      <c r="J6182" s="674">
        <v>5.63</v>
      </c>
    </row>
    <row r="6183" spans="1:10" ht="24" customHeight="1">
      <c r="A6183" s="677" t="s">
        <v>13472</v>
      </c>
      <c r="B6183" s="678" t="s">
        <v>13538</v>
      </c>
      <c r="C6183" s="677" t="s">
        <v>7</v>
      </c>
      <c r="D6183" s="677" t="s">
        <v>47</v>
      </c>
      <c r="E6183" s="918" t="s">
        <v>13470</v>
      </c>
      <c r="F6183" s="918"/>
      <c r="G6183" s="676" t="s">
        <v>19</v>
      </c>
      <c r="H6183" s="675">
        <v>0.308</v>
      </c>
      <c r="I6183" s="674">
        <v>14</v>
      </c>
      <c r="J6183" s="674">
        <v>4.3099999999999996</v>
      </c>
    </row>
    <row r="6184" spans="1:10" ht="24" customHeight="1">
      <c r="A6184" s="672" t="s">
        <v>13467</v>
      </c>
      <c r="B6184" s="673" t="s">
        <v>13537</v>
      </c>
      <c r="C6184" s="672" t="s">
        <v>7</v>
      </c>
      <c r="D6184" s="672" t="s">
        <v>13536</v>
      </c>
      <c r="E6184" s="919" t="s">
        <v>13464</v>
      </c>
      <c r="F6184" s="919"/>
      <c r="G6184" s="671" t="s">
        <v>34</v>
      </c>
      <c r="H6184" s="670">
        <v>1</v>
      </c>
      <c r="I6184" s="669">
        <v>6.35</v>
      </c>
      <c r="J6184" s="669">
        <v>6.35</v>
      </c>
    </row>
    <row r="6185" spans="1:10" ht="25.5">
      <c r="A6185" s="668"/>
      <c r="B6185" s="668"/>
      <c r="C6185" s="668"/>
      <c r="D6185" s="668"/>
      <c r="E6185" s="668" t="s">
        <v>13463</v>
      </c>
      <c r="F6185" s="667">
        <v>4.1236553297837659</v>
      </c>
      <c r="G6185" s="668" t="s">
        <v>13462</v>
      </c>
      <c r="H6185" s="667">
        <v>3.47</v>
      </c>
      <c r="I6185" s="668" t="s">
        <v>13461</v>
      </c>
      <c r="J6185" s="667">
        <v>7.59</v>
      </c>
    </row>
    <row r="6186" spans="1:10" ht="15" thickBot="1">
      <c r="A6186" s="668"/>
      <c r="B6186" s="668"/>
      <c r="C6186" s="668"/>
      <c r="D6186" s="668"/>
      <c r="E6186" s="668" t="s">
        <v>13460</v>
      </c>
      <c r="F6186" s="667">
        <v>4.5999999999999996</v>
      </c>
      <c r="G6186" s="668"/>
      <c r="H6186" s="925" t="s">
        <v>13459</v>
      </c>
      <c r="I6186" s="925"/>
      <c r="J6186" s="667">
        <v>20.89</v>
      </c>
    </row>
    <row r="6187" spans="1:10" ht="0.95" customHeight="1" thickTop="1">
      <c r="A6187" s="666"/>
      <c r="B6187" s="666"/>
      <c r="C6187" s="666"/>
      <c r="D6187" s="666"/>
      <c r="E6187" s="666"/>
      <c r="F6187" s="666"/>
      <c r="G6187" s="666"/>
      <c r="H6187" s="666"/>
      <c r="I6187" s="666"/>
      <c r="J6187" s="666"/>
    </row>
    <row r="6188" spans="1:10" ht="18" customHeight="1">
      <c r="A6188" s="686"/>
      <c r="B6188" s="684" t="s">
        <v>13484</v>
      </c>
      <c r="C6188" s="686" t="s">
        <v>13483</v>
      </c>
      <c r="D6188" s="686" t="s">
        <v>13482</v>
      </c>
      <c r="E6188" s="924" t="s">
        <v>13481</v>
      </c>
      <c r="F6188" s="924"/>
      <c r="G6188" s="685" t="s">
        <v>13480</v>
      </c>
      <c r="H6188" s="684" t="s">
        <v>13479</v>
      </c>
      <c r="I6188" s="684" t="s">
        <v>13478</v>
      </c>
      <c r="J6188" s="684" t="s">
        <v>13477</v>
      </c>
    </row>
    <row r="6189" spans="1:10" ht="24" customHeight="1">
      <c r="A6189" s="682" t="s">
        <v>13476</v>
      </c>
      <c r="B6189" s="683" t="s">
        <v>13535</v>
      </c>
      <c r="C6189" s="682" t="s">
        <v>7</v>
      </c>
      <c r="D6189" s="682" t="s">
        <v>4047</v>
      </c>
      <c r="E6189" s="917" t="s">
        <v>13474</v>
      </c>
      <c r="F6189" s="917"/>
      <c r="G6189" s="681" t="s">
        <v>34</v>
      </c>
      <c r="H6189" s="680">
        <v>1</v>
      </c>
      <c r="I6189" s="679">
        <v>35.200000000000003</v>
      </c>
      <c r="J6189" s="679">
        <v>35.200000000000003</v>
      </c>
    </row>
    <row r="6190" spans="1:10" ht="24" customHeight="1">
      <c r="A6190" s="677" t="s">
        <v>13472</v>
      </c>
      <c r="B6190" s="678" t="s">
        <v>13526</v>
      </c>
      <c r="C6190" s="677" t="s">
        <v>7</v>
      </c>
      <c r="D6190" s="677" t="s">
        <v>1093</v>
      </c>
      <c r="E6190" s="918" t="s">
        <v>13470</v>
      </c>
      <c r="F6190" s="918"/>
      <c r="G6190" s="676" t="s">
        <v>19</v>
      </c>
      <c r="H6190" s="675">
        <v>0.20200000000000001</v>
      </c>
      <c r="I6190" s="674">
        <v>13.48</v>
      </c>
      <c r="J6190" s="674">
        <v>2.72</v>
      </c>
    </row>
    <row r="6191" spans="1:10" ht="24" customHeight="1">
      <c r="A6191" s="677" t="s">
        <v>13472</v>
      </c>
      <c r="B6191" s="678" t="s">
        <v>13473</v>
      </c>
      <c r="C6191" s="677" t="s">
        <v>7</v>
      </c>
      <c r="D6191" s="677" t="s">
        <v>44</v>
      </c>
      <c r="E6191" s="918" t="s">
        <v>13470</v>
      </c>
      <c r="F6191" s="918"/>
      <c r="G6191" s="676" t="s">
        <v>19</v>
      </c>
      <c r="H6191" s="675">
        <v>0.20200000000000001</v>
      </c>
      <c r="I6191" s="674">
        <v>17.66</v>
      </c>
      <c r="J6191" s="674">
        <v>3.56</v>
      </c>
    </row>
    <row r="6192" spans="1:10" ht="24" customHeight="1">
      <c r="A6192" s="672" t="s">
        <v>13467</v>
      </c>
      <c r="B6192" s="673" t="s">
        <v>13534</v>
      </c>
      <c r="C6192" s="672" t="s">
        <v>7</v>
      </c>
      <c r="D6192" s="672" t="s">
        <v>13533</v>
      </c>
      <c r="E6192" s="919" t="s">
        <v>13464</v>
      </c>
      <c r="F6192" s="919"/>
      <c r="G6192" s="671" t="s">
        <v>34</v>
      </c>
      <c r="H6192" s="670">
        <v>7.0000000000000001E-3</v>
      </c>
      <c r="I6192" s="669">
        <v>18.440000000000001</v>
      </c>
      <c r="J6192" s="669">
        <v>0.12</v>
      </c>
    </row>
    <row r="6193" spans="1:10" ht="36" customHeight="1">
      <c r="A6193" s="672" t="s">
        <v>13467</v>
      </c>
      <c r="B6193" s="673" t="s">
        <v>13532</v>
      </c>
      <c r="C6193" s="672" t="s">
        <v>7</v>
      </c>
      <c r="D6193" s="672" t="s">
        <v>13531</v>
      </c>
      <c r="E6193" s="919" t="s">
        <v>13464</v>
      </c>
      <c r="F6193" s="919"/>
      <c r="G6193" s="671" t="s">
        <v>34</v>
      </c>
      <c r="H6193" s="670">
        <v>1</v>
      </c>
      <c r="I6193" s="669">
        <v>28.8</v>
      </c>
      <c r="J6193" s="669">
        <v>28.8</v>
      </c>
    </row>
    <row r="6194" spans="1:10" ht="25.5">
      <c r="A6194" s="668"/>
      <c r="B6194" s="668"/>
      <c r="C6194" s="668"/>
      <c r="D6194" s="668"/>
      <c r="E6194" s="668" t="s">
        <v>13463</v>
      </c>
      <c r="F6194" s="667">
        <v>2.6730413995436271</v>
      </c>
      <c r="G6194" s="668" t="s">
        <v>13462</v>
      </c>
      <c r="H6194" s="667">
        <v>2.25</v>
      </c>
      <c r="I6194" s="668" t="s">
        <v>13461</v>
      </c>
      <c r="J6194" s="667">
        <v>4.92</v>
      </c>
    </row>
    <row r="6195" spans="1:10" ht="15" thickBot="1">
      <c r="A6195" s="668"/>
      <c r="B6195" s="668"/>
      <c r="C6195" s="668"/>
      <c r="D6195" s="668"/>
      <c r="E6195" s="668" t="s">
        <v>13460</v>
      </c>
      <c r="F6195" s="667">
        <v>9.94</v>
      </c>
      <c r="G6195" s="668"/>
      <c r="H6195" s="925" t="s">
        <v>13459</v>
      </c>
      <c r="I6195" s="925"/>
      <c r="J6195" s="667">
        <v>45.14</v>
      </c>
    </row>
    <row r="6196" spans="1:10" ht="0.95" customHeight="1" thickTop="1">
      <c r="A6196" s="666"/>
      <c r="B6196" s="666"/>
      <c r="C6196" s="666"/>
      <c r="D6196" s="666"/>
      <c r="E6196" s="666"/>
      <c r="F6196" s="666"/>
      <c r="G6196" s="666"/>
      <c r="H6196" s="666"/>
      <c r="I6196" s="666"/>
      <c r="J6196" s="666"/>
    </row>
    <row r="6197" spans="1:10" ht="18" customHeight="1">
      <c r="A6197" s="686"/>
      <c r="B6197" s="684" t="s">
        <v>13484</v>
      </c>
      <c r="C6197" s="686" t="s">
        <v>13483</v>
      </c>
      <c r="D6197" s="686" t="s">
        <v>13482</v>
      </c>
      <c r="E6197" s="924" t="s">
        <v>13481</v>
      </c>
      <c r="F6197" s="924"/>
      <c r="G6197" s="685" t="s">
        <v>13480</v>
      </c>
      <c r="H6197" s="684" t="s">
        <v>13479</v>
      </c>
      <c r="I6197" s="684" t="s">
        <v>13478</v>
      </c>
      <c r="J6197" s="684" t="s">
        <v>13477</v>
      </c>
    </row>
    <row r="6198" spans="1:10" ht="48" customHeight="1">
      <c r="A6198" s="682" t="s">
        <v>13476</v>
      </c>
      <c r="B6198" s="683" t="s">
        <v>13530</v>
      </c>
      <c r="C6198" s="682" t="s">
        <v>7</v>
      </c>
      <c r="D6198" s="682" t="s">
        <v>2547</v>
      </c>
      <c r="E6198" s="917" t="s">
        <v>13474</v>
      </c>
      <c r="F6198" s="917"/>
      <c r="G6198" s="681" t="s">
        <v>14</v>
      </c>
      <c r="H6198" s="680">
        <v>1</v>
      </c>
      <c r="I6198" s="679">
        <v>7.93</v>
      </c>
      <c r="J6198" s="679">
        <v>7.93</v>
      </c>
    </row>
    <row r="6199" spans="1:10" ht="24" customHeight="1">
      <c r="A6199" s="677" t="s">
        <v>13472</v>
      </c>
      <c r="B6199" s="678" t="s">
        <v>13526</v>
      </c>
      <c r="C6199" s="677" t="s">
        <v>7</v>
      </c>
      <c r="D6199" s="677" t="s">
        <v>1093</v>
      </c>
      <c r="E6199" s="918" t="s">
        <v>13470</v>
      </c>
      <c r="F6199" s="918"/>
      <c r="G6199" s="676" t="s">
        <v>19</v>
      </c>
      <c r="H6199" s="675">
        <v>0.13300000000000001</v>
      </c>
      <c r="I6199" s="674">
        <v>13.48</v>
      </c>
      <c r="J6199" s="674">
        <v>1.79</v>
      </c>
    </row>
    <row r="6200" spans="1:10" ht="24" customHeight="1">
      <c r="A6200" s="677" t="s">
        <v>13472</v>
      </c>
      <c r="B6200" s="678" t="s">
        <v>13473</v>
      </c>
      <c r="C6200" s="677" t="s">
        <v>7</v>
      </c>
      <c r="D6200" s="677" t="s">
        <v>44</v>
      </c>
      <c r="E6200" s="918" t="s">
        <v>13470</v>
      </c>
      <c r="F6200" s="918"/>
      <c r="G6200" s="676" t="s">
        <v>19</v>
      </c>
      <c r="H6200" s="675">
        <v>0.13300000000000001</v>
      </c>
      <c r="I6200" s="674">
        <v>17.66</v>
      </c>
      <c r="J6200" s="674">
        <v>2.34</v>
      </c>
    </row>
    <row r="6201" spans="1:10" ht="24" customHeight="1">
      <c r="A6201" s="672" t="s">
        <v>13467</v>
      </c>
      <c r="B6201" s="673" t="s">
        <v>13529</v>
      </c>
      <c r="C6201" s="672" t="s">
        <v>7</v>
      </c>
      <c r="D6201" s="672" t="s">
        <v>13528</v>
      </c>
      <c r="E6201" s="919" t="s">
        <v>13464</v>
      </c>
      <c r="F6201" s="919"/>
      <c r="G6201" s="671" t="s">
        <v>14</v>
      </c>
      <c r="H6201" s="670">
        <v>1.0429999999999999</v>
      </c>
      <c r="I6201" s="669">
        <v>3.65</v>
      </c>
      <c r="J6201" s="669">
        <v>3.8</v>
      </c>
    </row>
    <row r="6202" spans="1:10" ht="25.5">
      <c r="A6202" s="668"/>
      <c r="B6202" s="668"/>
      <c r="C6202" s="668"/>
      <c r="D6202" s="668"/>
      <c r="E6202" s="668" t="s">
        <v>13463</v>
      </c>
      <c r="F6202" s="667">
        <v>1.7602955557970228</v>
      </c>
      <c r="G6202" s="668" t="s">
        <v>13462</v>
      </c>
      <c r="H6202" s="667">
        <v>1.48</v>
      </c>
      <c r="I6202" s="668" t="s">
        <v>13461</v>
      </c>
      <c r="J6202" s="667">
        <v>3.24</v>
      </c>
    </row>
    <row r="6203" spans="1:10" ht="15" thickBot="1">
      <c r="A6203" s="668"/>
      <c r="B6203" s="668"/>
      <c r="C6203" s="668"/>
      <c r="D6203" s="668"/>
      <c r="E6203" s="668" t="s">
        <v>13460</v>
      </c>
      <c r="F6203" s="667">
        <v>2.23</v>
      </c>
      <c r="G6203" s="668"/>
      <c r="H6203" s="925" t="s">
        <v>13459</v>
      </c>
      <c r="I6203" s="925"/>
      <c r="J6203" s="667">
        <v>10.16</v>
      </c>
    </row>
    <row r="6204" spans="1:10" ht="0.95" customHeight="1" thickTop="1">
      <c r="A6204" s="666"/>
      <c r="B6204" s="666"/>
      <c r="C6204" s="666"/>
      <c r="D6204" s="666"/>
      <c r="E6204" s="666"/>
      <c r="F6204" s="666"/>
      <c r="G6204" s="666"/>
      <c r="H6204" s="666"/>
      <c r="I6204" s="666"/>
      <c r="J6204" s="666"/>
    </row>
    <row r="6205" spans="1:10" ht="18" customHeight="1">
      <c r="A6205" s="686"/>
      <c r="B6205" s="684" t="s">
        <v>13484</v>
      </c>
      <c r="C6205" s="686" t="s">
        <v>13483</v>
      </c>
      <c r="D6205" s="686" t="s">
        <v>13482</v>
      </c>
      <c r="E6205" s="924" t="s">
        <v>13481</v>
      </c>
      <c r="F6205" s="924"/>
      <c r="G6205" s="685" t="s">
        <v>13480</v>
      </c>
      <c r="H6205" s="684" t="s">
        <v>13479</v>
      </c>
      <c r="I6205" s="684" t="s">
        <v>13478</v>
      </c>
      <c r="J6205" s="684" t="s">
        <v>13477</v>
      </c>
    </row>
    <row r="6206" spans="1:10" ht="48" customHeight="1">
      <c r="A6206" s="682" t="s">
        <v>13476</v>
      </c>
      <c r="B6206" s="683" t="s">
        <v>13527</v>
      </c>
      <c r="C6206" s="682" t="s">
        <v>7</v>
      </c>
      <c r="D6206" s="682" t="s">
        <v>2587</v>
      </c>
      <c r="E6206" s="917" t="s">
        <v>13474</v>
      </c>
      <c r="F6206" s="917"/>
      <c r="G6206" s="681" t="s">
        <v>34</v>
      </c>
      <c r="H6206" s="680">
        <v>1</v>
      </c>
      <c r="I6206" s="679">
        <v>8.8000000000000007</v>
      </c>
      <c r="J6206" s="679">
        <v>8.8000000000000007</v>
      </c>
    </row>
    <row r="6207" spans="1:10" ht="24" customHeight="1">
      <c r="A6207" s="677" t="s">
        <v>13472</v>
      </c>
      <c r="B6207" s="678" t="s">
        <v>13526</v>
      </c>
      <c r="C6207" s="677" t="s">
        <v>7</v>
      </c>
      <c r="D6207" s="677" t="s">
        <v>1093</v>
      </c>
      <c r="E6207" s="918" t="s">
        <v>13470</v>
      </c>
      <c r="F6207" s="918"/>
      <c r="G6207" s="676" t="s">
        <v>19</v>
      </c>
      <c r="H6207" s="675">
        <v>0.159</v>
      </c>
      <c r="I6207" s="674">
        <v>13.48</v>
      </c>
      <c r="J6207" s="674">
        <v>2.14</v>
      </c>
    </row>
    <row r="6208" spans="1:10" ht="24" customHeight="1">
      <c r="A6208" s="677" t="s">
        <v>13472</v>
      </c>
      <c r="B6208" s="678" t="s">
        <v>13473</v>
      </c>
      <c r="C6208" s="677" t="s">
        <v>7</v>
      </c>
      <c r="D6208" s="677" t="s">
        <v>44</v>
      </c>
      <c r="E6208" s="918" t="s">
        <v>13470</v>
      </c>
      <c r="F6208" s="918"/>
      <c r="G6208" s="676" t="s">
        <v>19</v>
      </c>
      <c r="H6208" s="675">
        <v>0.159</v>
      </c>
      <c r="I6208" s="674">
        <v>17.66</v>
      </c>
      <c r="J6208" s="674">
        <v>2.8</v>
      </c>
    </row>
    <row r="6209" spans="1:10" ht="24" customHeight="1">
      <c r="A6209" s="672" t="s">
        <v>13467</v>
      </c>
      <c r="B6209" s="673" t="s">
        <v>13525</v>
      </c>
      <c r="C6209" s="672" t="s">
        <v>7</v>
      </c>
      <c r="D6209" s="672" t="s">
        <v>13524</v>
      </c>
      <c r="E6209" s="919" t="s">
        <v>13464</v>
      </c>
      <c r="F6209" s="919"/>
      <c r="G6209" s="671" t="s">
        <v>34</v>
      </c>
      <c r="H6209" s="670">
        <v>0.06</v>
      </c>
      <c r="I6209" s="669">
        <v>26.38</v>
      </c>
      <c r="J6209" s="669">
        <v>1.58</v>
      </c>
    </row>
    <row r="6210" spans="1:10" ht="24" customHeight="1">
      <c r="A6210" s="672" t="s">
        <v>13467</v>
      </c>
      <c r="B6210" s="673" t="s">
        <v>13523</v>
      </c>
      <c r="C6210" s="672" t="s">
        <v>7</v>
      </c>
      <c r="D6210" s="672" t="s">
        <v>13522</v>
      </c>
      <c r="E6210" s="919" t="s">
        <v>13464</v>
      </c>
      <c r="F6210" s="919"/>
      <c r="G6210" s="671" t="s">
        <v>34</v>
      </c>
      <c r="H6210" s="670">
        <v>2.4E-2</v>
      </c>
      <c r="I6210" s="669">
        <v>2.2000000000000002</v>
      </c>
      <c r="J6210" s="669">
        <v>0.05</v>
      </c>
    </row>
    <row r="6211" spans="1:10" ht="24" customHeight="1">
      <c r="A6211" s="672" t="s">
        <v>13467</v>
      </c>
      <c r="B6211" s="673" t="s">
        <v>13521</v>
      </c>
      <c r="C6211" s="672" t="s">
        <v>7</v>
      </c>
      <c r="D6211" s="672" t="s">
        <v>13520</v>
      </c>
      <c r="E6211" s="919" t="s">
        <v>13464</v>
      </c>
      <c r="F6211" s="919"/>
      <c r="G6211" s="671" t="s">
        <v>34</v>
      </c>
      <c r="H6211" s="670">
        <v>1.4E-2</v>
      </c>
      <c r="I6211" s="669">
        <v>72.17</v>
      </c>
      <c r="J6211" s="669">
        <v>1.01</v>
      </c>
    </row>
    <row r="6212" spans="1:10" ht="24" customHeight="1">
      <c r="A6212" s="672" t="s">
        <v>13467</v>
      </c>
      <c r="B6212" s="673" t="s">
        <v>13519</v>
      </c>
      <c r="C6212" s="672" t="s">
        <v>7</v>
      </c>
      <c r="D6212" s="672" t="s">
        <v>13518</v>
      </c>
      <c r="E6212" s="919" t="s">
        <v>13464</v>
      </c>
      <c r="F6212" s="919"/>
      <c r="G6212" s="671" t="s">
        <v>34</v>
      </c>
      <c r="H6212" s="670">
        <v>1</v>
      </c>
      <c r="I6212" s="669">
        <v>1.22</v>
      </c>
      <c r="J6212" s="669">
        <v>1.22</v>
      </c>
    </row>
    <row r="6213" spans="1:10" ht="25.5">
      <c r="A6213" s="668"/>
      <c r="B6213" s="668"/>
      <c r="C6213" s="668"/>
      <c r="D6213" s="668"/>
      <c r="E6213" s="668" t="s">
        <v>13463</v>
      </c>
      <c r="F6213" s="667">
        <v>2.1025752472019992</v>
      </c>
      <c r="G6213" s="668" t="s">
        <v>13462</v>
      </c>
      <c r="H6213" s="667">
        <v>1.77</v>
      </c>
      <c r="I6213" s="668" t="s">
        <v>13461</v>
      </c>
      <c r="J6213" s="667">
        <v>3.87</v>
      </c>
    </row>
    <row r="6214" spans="1:10" ht="15" thickBot="1">
      <c r="A6214" s="668"/>
      <c r="B6214" s="668"/>
      <c r="C6214" s="668"/>
      <c r="D6214" s="668"/>
      <c r="E6214" s="668" t="s">
        <v>13460</v>
      </c>
      <c r="F6214" s="667">
        <v>2.48</v>
      </c>
      <c r="G6214" s="668"/>
      <c r="H6214" s="925" t="s">
        <v>13459</v>
      </c>
      <c r="I6214" s="925"/>
      <c r="J6214" s="667">
        <v>11.28</v>
      </c>
    </row>
    <row r="6215" spans="1:10" ht="0.95" customHeight="1" thickTop="1">
      <c r="A6215" s="666"/>
      <c r="B6215" s="666"/>
      <c r="C6215" s="666"/>
      <c r="D6215" s="666"/>
      <c r="E6215" s="666"/>
      <c r="F6215" s="666"/>
      <c r="G6215" s="666"/>
      <c r="H6215" s="666"/>
      <c r="I6215" s="666"/>
      <c r="J6215" s="666"/>
    </row>
    <row r="6216" spans="1:10" ht="18" customHeight="1">
      <c r="A6216" s="686"/>
      <c r="B6216" s="684" t="s">
        <v>13484</v>
      </c>
      <c r="C6216" s="686" t="s">
        <v>13483</v>
      </c>
      <c r="D6216" s="686" t="s">
        <v>13482</v>
      </c>
      <c r="E6216" s="924" t="s">
        <v>13481</v>
      </c>
      <c r="F6216" s="924"/>
      <c r="G6216" s="685" t="s">
        <v>13480</v>
      </c>
      <c r="H6216" s="684" t="s">
        <v>13479</v>
      </c>
      <c r="I6216" s="684" t="s">
        <v>13478</v>
      </c>
      <c r="J6216" s="684" t="s">
        <v>13477</v>
      </c>
    </row>
    <row r="6217" spans="1:10" ht="24" customHeight="1">
      <c r="A6217" s="682" t="s">
        <v>13476</v>
      </c>
      <c r="B6217" s="683" t="s">
        <v>13517</v>
      </c>
      <c r="C6217" s="682" t="s">
        <v>7</v>
      </c>
      <c r="D6217" s="682" t="s">
        <v>2854</v>
      </c>
      <c r="E6217" s="917" t="s">
        <v>13516</v>
      </c>
      <c r="F6217" s="917"/>
      <c r="G6217" s="681" t="s">
        <v>13515</v>
      </c>
      <c r="H6217" s="680">
        <v>1</v>
      </c>
      <c r="I6217" s="679">
        <v>1.57</v>
      </c>
      <c r="J6217" s="679">
        <v>1.57</v>
      </c>
    </row>
    <row r="6218" spans="1:10" ht="60" customHeight="1">
      <c r="A6218" s="677" t="s">
        <v>13472</v>
      </c>
      <c r="B6218" s="678" t="s">
        <v>13514</v>
      </c>
      <c r="C6218" s="677" t="s">
        <v>7</v>
      </c>
      <c r="D6218" s="677" t="s">
        <v>757</v>
      </c>
      <c r="E6218" s="918" t="s">
        <v>13491</v>
      </c>
      <c r="F6218" s="918"/>
      <c r="G6218" s="676" t="s">
        <v>38</v>
      </c>
      <c r="H6218" s="675">
        <v>6.0000000000000001E-3</v>
      </c>
      <c r="I6218" s="674">
        <v>226.25</v>
      </c>
      <c r="J6218" s="674">
        <v>1.35</v>
      </c>
    </row>
    <row r="6219" spans="1:10" ht="60" customHeight="1">
      <c r="A6219" s="677" t="s">
        <v>13472</v>
      </c>
      <c r="B6219" s="678" t="s">
        <v>13513</v>
      </c>
      <c r="C6219" s="677" t="s">
        <v>7</v>
      </c>
      <c r="D6219" s="677" t="s">
        <v>758</v>
      </c>
      <c r="E6219" s="918" t="s">
        <v>13491</v>
      </c>
      <c r="F6219" s="918"/>
      <c r="G6219" s="676" t="s">
        <v>53</v>
      </c>
      <c r="H6219" s="675">
        <v>3.0000000000000001E-3</v>
      </c>
      <c r="I6219" s="674">
        <v>36.01</v>
      </c>
      <c r="J6219" s="674">
        <v>0.1</v>
      </c>
    </row>
    <row r="6220" spans="1:10" ht="24" customHeight="1">
      <c r="A6220" s="677" t="s">
        <v>13472</v>
      </c>
      <c r="B6220" s="678" t="s">
        <v>13471</v>
      </c>
      <c r="C6220" s="677" t="s">
        <v>7</v>
      </c>
      <c r="D6220" s="677" t="s">
        <v>21</v>
      </c>
      <c r="E6220" s="918" t="s">
        <v>13470</v>
      </c>
      <c r="F6220" s="918"/>
      <c r="G6220" s="676" t="s">
        <v>19</v>
      </c>
      <c r="H6220" s="675">
        <v>8.9999999999999993E-3</v>
      </c>
      <c r="I6220" s="674">
        <v>14.02</v>
      </c>
      <c r="J6220" s="674">
        <v>0.12</v>
      </c>
    </row>
    <row r="6221" spans="1:10" ht="25.5">
      <c r="A6221" s="668"/>
      <c r="B6221" s="668"/>
      <c r="C6221" s="668"/>
      <c r="D6221" s="668"/>
      <c r="E6221" s="668" t="s">
        <v>13463</v>
      </c>
      <c r="F6221" s="667">
        <v>9.7794197544279038E-2</v>
      </c>
      <c r="G6221" s="668" t="s">
        <v>13462</v>
      </c>
      <c r="H6221" s="667">
        <v>0.08</v>
      </c>
      <c r="I6221" s="668" t="s">
        <v>13461</v>
      </c>
      <c r="J6221" s="667">
        <v>0.18</v>
      </c>
    </row>
    <row r="6222" spans="1:10" ht="15" thickBot="1">
      <c r="A6222" s="668"/>
      <c r="B6222" s="668"/>
      <c r="C6222" s="668"/>
      <c r="D6222" s="668"/>
      <c r="E6222" s="668" t="s">
        <v>13460</v>
      </c>
      <c r="F6222" s="667">
        <v>0.44</v>
      </c>
      <c r="G6222" s="668"/>
      <c r="H6222" s="925" t="s">
        <v>13459</v>
      </c>
      <c r="I6222" s="925"/>
      <c r="J6222" s="667">
        <v>2.0099999999999998</v>
      </c>
    </row>
    <row r="6223" spans="1:10" ht="0.95" customHeight="1" thickTop="1">
      <c r="A6223" s="666"/>
      <c r="B6223" s="666"/>
      <c r="C6223" s="666"/>
      <c r="D6223" s="666"/>
      <c r="E6223" s="666"/>
      <c r="F6223" s="666"/>
      <c r="G6223" s="666"/>
      <c r="H6223" s="666"/>
      <c r="I6223" s="666"/>
      <c r="J6223" s="666"/>
    </row>
    <row r="6224" spans="1:10" ht="18" customHeight="1">
      <c r="A6224" s="686"/>
      <c r="B6224" s="684" t="s">
        <v>13484</v>
      </c>
      <c r="C6224" s="686" t="s">
        <v>13483</v>
      </c>
      <c r="D6224" s="686" t="s">
        <v>13482</v>
      </c>
      <c r="E6224" s="924" t="s">
        <v>13481</v>
      </c>
      <c r="F6224" s="924"/>
      <c r="G6224" s="685" t="s">
        <v>13480</v>
      </c>
      <c r="H6224" s="684" t="s">
        <v>13479</v>
      </c>
      <c r="I6224" s="684" t="s">
        <v>13478</v>
      </c>
      <c r="J6224" s="684" t="s">
        <v>13477</v>
      </c>
    </row>
    <row r="6225" spans="1:10" ht="24" customHeight="1">
      <c r="A6225" s="682" t="s">
        <v>13476</v>
      </c>
      <c r="B6225" s="683" t="s">
        <v>13512</v>
      </c>
      <c r="C6225" s="682" t="s">
        <v>7</v>
      </c>
      <c r="D6225" s="682" t="s">
        <v>5154</v>
      </c>
      <c r="E6225" s="917" t="s">
        <v>13474</v>
      </c>
      <c r="F6225" s="917"/>
      <c r="G6225" s="681" t="s">
        <v>34</v>
      </c>
      <c r="H6225" s="680">
        <v>1</v>
      </c>
      <c r="I6225" s="679">
        <v>219.67</v>
      </c>
      <c r="J6225" s="679">
        <v>219.67</v>
      </c>
    </row>
    <row r="6226" spans="1:10" ht="24" customHeight="1">
      <c r="A6226" s="677" t="s">
        <v>13472</v>
      </c>
      <c r="B6226" s="678" t="s">
        <v>13473</v>
      </c>
      <c r="C6226" s="677" t="s">
        <v>7</v>
      </c>
      <c r="D6226" s="677" t="s">
        <v>44</v>
      </c>
      <c r="E6226" s="918" t="s">
        <v>13470</v>
      </c>
      <c r="F6226" s="918"/>
      <c r="G6226" s="676" t="s">
        <v>19</v>
      </c>
      <c r="H6226" s="675">
        <v>0.49680000000000002</v>
      </c>
      <c r="I6226" s="674">
        <v>17.66</v>
      </c>
      <c r="J6226" s="674">
        <v>8.77</v>
      </c>
    </row>
    <row r="6227" spans="1:10" ht="24" customHeight="1">
      <c r="A6227" s="677" t="s">
        <v>13472</v>
      </c>
      <c r="B6227" s="678" t="s">
        <v>13471</v>
      </c>
      <c r="C6227" s="677" t="s">
        <v>7</v>
      </c>
      <c r="D6227" s="677" t="s">
        <v>21</v>
      </c>
      <c r="E6227" s="918" t="s">
        <v>13470</v>
      </c>
      <c r="F6227" s="918"/>
      <c r="G6227" s="676" t="s">
        <v>19</v>
      </c>
      <c r="H6227" s="675">
        <v>0.34949999999999998</v>
      </c>
      <c r="I6227" s="674">
        <v>14.02</v>
      </c>
      <c r="J6227" s="674">
        <v>4.8899999999999997</v>
      </c>
    </row>
    <row r="6228" spans="1:10" ht="24" customHeight="1">
      <c r="A6228" s="672" t="s">
        <v>13467</v>
      </c>
      <c r="B6228" s="673" t="s">
        <v>13511</v>
      </c>
      <c r="C6228" s="672" t="s">
        <v>7</v>
      </c>
      <c r="D6228" s="672" t="s">
        <v>13510</v>
      </c>
      <c r="E6228" s="919" t="s">
        <v>13464</v>
      </c>
      <c r="F6228" s="919"/>
      <c r="G6228" s="671" t="s">
        <v>34</v>
      </c>
      <c r="H6228" s="670">
        <v>1</v>
      </c>
      <c r="I6228" s="669">
        <v>165.45</v>
      </c>
      <c r="J6228" s="669">
        <v>165.45</v>
      </c>
    </row>
    <row r="6229" spans="1:10" ht="36" customHeight="1">
      <c r="A6229" s="672" t="s">
        <v>13467</v>
      </c>
      <c r="B6229" s="673" t="s">
        <v>13506</v>
      </c>
      <c r="C6229" s="672" t="s">
        <v>7</v>
      </c>
      <c r="D6229" s="672" t="s">
        <v>13505</v>
      </c>
      <c r="E6229" s="919" t="s">
        <v>13464</v>
      </c>
      <c r="F6229" s="919"/>
      <c r="G6229" s="671" t="s">
        <v>34</v>
      </c>
      <c r="H6229" s="670">
        <v>2</v>
      </c>
      <c r="I6229" s="669">
        <v>14.85</v>
      </c>
      <c r="J6229" s="669">
        <v>29.7</v>
      </c>
    </row>
    <row r="6230" spans="1:10" ht="24" customHeight="1">
      <c r="A6230" s="672" t="s">
        <v>13467</v>
      </c>
      <c r="B6230" s="673" t="s">
        <v>13504</v>
      </c>
      <c r="C6230" s="672" t="s">
        <v>7</v>
      </c>
      <c r="D6230" s="672" t="s">
        <v>13503</v>
      </c>
      <c r="E6230" s="919" t="s">
        <v>13464</v>
      </c>
      <c r="F6230" s="919"/>
      <c r="G6230" s="671" t="s">
        <v>17</v>
      </c>
      <c r="H6230" s="670">
        <v>8.8099999999999998E-2</v>
      </c>
      <c r="I6230" s="669">
        <v>96.46</v>
      </c>
      <c r="J6230" s="669">
        <v>8.49</v>
      </c>
    </row>
    <row r="6231" spans="1:10" ht="24" customHeight="1">
      <c r="A6231" s="672" t="s">
        <v>13467</v>
      </c>
      <c r="B6231" s="673" t="s">
        <v>13502</v>
      </c>
      <c r="C6231" s="672" t="s">
        <v>7</v>
      </c>
      <c r="D6231" s="672" t="s">
        <v>13501</v>
      </c>
      <c r="E6231" s="919" t="s">
        <v>13464</v>
      </c>
      <c r="F6231" s="919"/>
      <c r="G6231" s="671" t="s">
        <v>34</v>
      </c>
      <c r="H6231" s="670">
        <v>1</v>
      </c>
      <c r="I6231" s="669">
        <v>2.37</v>
      </c>
      <c r="J6231" s="669">
        <v>2.37</v>
      </c>
    </row>
    <row r="6232" spans="1:10" ht="25.5">
      <c r="A6232" s="668"/>
      <c r="B6232" s="668"/>
      <c r="C6232" s="668"/>
      <c r="D6232" s="668"/>
      <c r="E6232" s="668" t="s">
        <v>13463</v>
      </c>
      <c r="F6232" s="667">
        <v>5.8133217429099204</v>
      </c>
      <c r="G6232" s="668" t="s">
        <v>13462</v>
      </c>
      <c r="H6232" s="667">
        <v>4.8899999999999997</v>
      </c>
      <c r="I6232" s="668" t="s">
        <v>13461</v>
      </c>
      <c r="J6232" s="667">
        <v>10.7</v>
      </c>
    </row>
    <row r="6233" spans="1:10" ht="15" thickBot="1">
      <c r="A6233" s="668"/>
      <c r="B6233" s="668"/>
      <c r="C6233" s="668"/>
      <c r="D6233" s="668"/>
      <c r="E6233" s="668" t="s">
        <v>13460</v>
      </c>
      <c r="F6233" s="667">
        <v>62.03</v>
      </c>
      <c r="G6233" s="668"/>
      <c r="H6233" s="925" t="s">
        <v>13459</v>
      </c>
      <c r="I6233" s="925"/>
      <c r="J6233" s="667">
        <v>281.7</v>
      </c>
    </row>
    <row r="6234" spans="1:10" ht="0.95" customHeight="1" thickTop="1">
      <c r="A6234" s="666"/>
      <c r="B6234" s="666"/>
      <c r="C6234" s="666"/>
      <c r="D6234" s="666"/>
      <c r="E6234" s="666"/>
      <c r="F6234" s="666"/>
      <c r="G6234" s="666"/>
      <c r="H6234" s="666"/>
      <c r="I6234" s="666"/>
      <c r="J6234" s="666"/>
    </row>
    <row r="6235" spans="1:10" ht="18" customHeight="1">
      <c r="A6235" s="686"/>
      <c r="B6235" s="684" t="s">
        <v>13484</v>
      </c>
      <c r="C6235" s="686" t="s">
        <v>13483</v>
      </c>
      <c r="D6235" s="686" t="s">
        <v>13482</v>
      </c>
      <c r="E6235" s="924" t="s">
        <v>13481</v>
      </c>
      <c r="F6235" s="924"/>
      <c r="G6235" s="685" t="s">
        <v>13480</v>
      </c>
      <c r="H6235" s="684" t="s">
        <v>13479</v>
      </c>
      <c r="I6235" s="684" t="s">
        <v>13478</v>
      </c>
      <c r="J6235" s="684" t="s">
        <v>13477</v>
      </c>
    </row>
    <row r="6236" spans="1:10" ht="36" customHeight="1">
      <c r="A6236" s="682" t="s">
        <v>13476</v>
      </c>
      <c r="B6236" s="683" t="s">
        <v>13509</v>
      </c>
      <c r="C6236" s="682" t="s">
        <v>7</v>
      </c>
      <c r="D6236" s="682" t="s">
        <v>5155</v>
      </c>
      <c r="E6236" s="917" t="s">
        <v>13474</v>
      </c>
      <c r="F6236" s="917"/>
      <c r="G6236" s="681" t="s">
        <v>34</v>
      </c>
      <c r="H6236" s="680">
        <v>1</v>
      </c>
      <c r="I6236" s="679">
        <v>589.24</v>
      </c>
      <c r="J6236" s="679">
        <v>589.24</v>
      </c>
    </row>
    <row r="6237" spans="1:10" ht="24" customHeight="1">
      <c r="A6237" s="677" t="s">
        <v>13472</v>
      </c>
      <c r="B6237" s="678" t="s">
        <v>13473</v>
      </c>
      <c r="C6237" s="677" t="s">
        <v>7</v>
      </c>
      <c r="D6237" s="677" t="s">
        <v>44</v>
      </c>
      <c r="E6237" s="918" t="s">
        <v>13470</v>
      </c>
      <c r="F6237" s="918"/>
      <c r="G6237" s="676" t="s">
        <v>19</v>
      </c>
      <c r="H6237" s="675">
        <v>1.1539999999999999</v>
      </c>
      <c r="I6237" s="674">
        <v>17.66</v>
      </c>
      <c r="J6237" s="674">
        <v>20.37</v>
      </c>
    </row>
    <row r="6238" spans="1:10" ht="24" customHeight="1">
      <c r="A6238" s="677" t="s">
        <v>13472</v>
      </c>
      <c r="B6238" s="678" t="s">
        <v>13471</v>
      </c>
      <c r="C6238" s="677" t="s">
        <v>7</v>
      </c>
      <c r="D6238" s="677" t="s">
        <v>21</v>
      </c>
      <c r="E6238" s="918" t="s">
        <v>13470</v>
      </c>
      <c r="F6238" s="918"/>
      <c r="G6238" s="676" t="s">
        <v>19</v>
      </c>
      <c r="H6238" s="675">
        <v>0.55649999999999999</v>
      </c>
      <c r="I6238" s="674">
        <v>14.02</v>
      </c>
      <c r="J6238" s="674">
        <v>7.8</v>
      </c>
    </row>
    <row r="6239" spans="1:10" ht="24" customHeight="1">
      <c r="A6239" s="672" t="s">
        <v>13467</v>
      </c>
      <c r="B6239" s="673" t="s">
        <v>13508</v>
      </c>
      <c r="C6239" s="672" t="s">
        <v>7</v>
      </c>
      <c r="D6239" s="672" t="s">
        <v>13507</v>
      </c>
      <c r="E6239" s="919" t="s">
        <v>13464</v>
      </c>
      <c r="F6239" s="919"/>
      <c r="G6239" s="671" t="s">
        <v>34</v>
      </c>
      <c r="H6239" s="670">
        <v>1</v>
      </c>
      <c r="I6239" s="669">
        <v>520.51</v>
      </c>
      <c r="J6239" s="669">
        <v>520.51</v>
      </c>
    </row>
    <row r="6240" spans="1:10" ht="36" customHeight="1">
      <c r="A6240" s="672" t="s">
        <v>13467</v>
      </c>
      <c r="B6240" s="673" t="s">
        <v>13506</v>
      </c>
      <c r="C6240" s="672" t="s">
        <v>7</v>
      </c>
      <c r="D6240" s="672" t="s">
        <v>13505</v>
      </c>
      <c r="E6240" s="919" t="s">
        <v>13464</v>
      </c>
      <c r="F6240" s="919"/>
      <c r="G6240" s="671" t="s">
        <v>34</v>
      </c>
      <c r="H6240" s="670">
        <v>2</v>
      </c>
      <c r="I6240" s="669">
        <v>14.85</v>
      </c>
      <c r="J6240" s="669">
        <v>29.7</v>
      </c>
    </row>
    <row r="6241" spans="1:10" ht="24" customHeight="1">
      <c r="A6241" s="672" t="s">
        <v>13467</v>
      </c>
      <c r="B6241" s="673" t="s">
        <v>13504</v>
      </c>
      <c r="C6241" s="672" t="s">
        <v>7</v>
      </c>
      <c r="D6241" s="672" t="s">
        <v>13503</v>
      </c>
      <c r="E6241" s="919" t="s">
        <v>13464</v>
      </c>
      <c r="F6241" s="919"/>
      <c r="G6241" s="671" t="s">
        <v>17</v>
      </c>
      <c r="H6241" s="670">
        <v>8.8099999999999998E-2</v>
      </c>
      <c r="I6241" s="669">
        <v>96.46</v>
      </c>
      <c r="J6241" s="669">
        <v>8.49</v>
      </c>
    </row>
    <row r="6242" spans="1:10" ht="24" customHeight="1">
      <c r="A6242" s="672" t="s">
        <v>13467</v>
      </c>
      <c r="B6242" s="673" t="s">
        <v>13502</v>
      </c>
      <c r="C6242" s="672" t="s">
        <v>7</v>
      </c>
      <c r="D6242" s="672" t="s">
        <v>13501</v>
      </c>
      <c r="E6242" s="919" t="s">
        <v>13464</v>
      </c>
      <c r="F6242" s="919"/>
      <c r="G6242" s="671" t="s">
        <v>34</v>
      </c>
      <c r="H6242" s="670">
        <v>1</v>
      </c>
      <c r="I6242" s="669">
        <v>2.37</v>
      </c>
      <c r="J6242" s="669">
        <v>2.37</v>
      </c>
    </row>
    <row r="6243" spans="1:10" ht="25.5">
      <c r="A6243" s="668"/>
      <c r="B6243" s="668"/>
      <c r="C6243" s="668"/>
      <c r="D6243" s="668"/>
      <c r="E6243" s="668" t="s">
        <v>13463</v>
      </c>
      <c r="F6243" s="667">
        <v>12.083016407693144</v>
      </c>
      <c r="G6243" s="668" t="s">
        <v>13462</v>
      </c>
      <c r="H6243" s="667">
        <v>10.16</v>
      </c>
      <c r="I6243" s="668" t="s">
        <v>13461</v>
      </c>
      <c r="J6243" s="667">
        <v>22.24</v>
      </c>
    </row>
    <row r="6244" spans="1:10" ht="15" thickBot="1">
      <c r="A6244" s="668"/>
      <c r="B6244" s="668"/>
      <c r="C6244" s="668"/>
      <c r="D6244" s="668"/>
      <c r="E6244" s="668" t="s">
        <v>13460</v>
      </c>
      <c r="F6244" s="667">
        <v>166.4</v>
      </c>
      <c r="G6244" s="668"/>
      <c r="H6244" s="925" t="s">
        <v>13459</v>
      </c>
      <c r="I6244" s="925"/>
      <c r="J6244" s="667">
        <v>755.64</v>
      </c>
    </row>
    <row r="6245" spans="1:10" ht="0.95" customHeight="1" thickTop="1">
      <c r="A6245" s="666"/>
      <c r="B6245" s="666"/>
      <c r="C6245" s="666"/>
      <c r="D6245" s="666"/>
      <c r="E6245" s="666"/>
      <c r="F6245" s="666"/>
      <c r="G6245" s="666"/>
      <c r="H6245" s="666"/>
      <c r="I6245" s="666"/>
      <c r="J6245" s="666"/>
    </row>
    <row r="6246" spans="1:10" ht="18" customHeight="1">
      <c r="A6246" s="686"/>
      <c r="B6246" s="684" t="s">
        <v>13484</v>
      </c>
      <c r="C6246" s="686" t="s">
        <v>13483</v>
      </c>
      <c r="D6246" s="686" t="s">
        <v>13482</v>
      </c>
      <c r="E6246" s="924" t="s">
        <v>13481</v>
      </c>
      <c r="F6246" s="924"/>
      <c r="G6246" s="685" t="s">
        <v>13480</v>
      </c>
      <c r="H6246" s="684" t="s">
        <v>13479</v>
      </c>
      <c r="I6246" s="684" t="s">
        <v>13478</v>
      </c>
      <c r="J6246" s="684" t="s">
        <v>13477</v>
      </c>
    </row>
    <row r="6247" spans="1:10" ht="36" customHeight="1">
      <c r="A6247" s="682" t="s">
        <v>13476</v>
      </c>
      <c r="B6247" s="683" t="s">
        <v>13500</v>
      </c>
      <c r="C6247" s="682" t="s">
        <v>7</v>
      </c>
      <c r="D6247" s="682" t="s">
        <v>1740</v>
      </c>
      <c r="E6247" s="917" t="s">
        <v>13491</v>
      </c>
      <c r="F6247" s="917"/>
      <c r="G6247" s="681" t="s">
        <v>53</v>
      </c>
      <c r="H6247" s="680">
        <v>1</v>
      </c>
      <c r="I6247" s="679">
        <v>0.42</v>
      </c>
      <c r="J6247" s="679">
        <v>0.42</v>
      </c>
    </row>
    <row r="6248" spans="1:10" ht="36" customHeight="1">
      <c r="A6248" s="677" t="s">
        <v>13472</v>
      </c>
      <c r="B6248" s="678" t="s">
        <v>13497</v>
      </c>
      <c r="C6248" s="677" t="s">
        <v>7</v>
      </c>
      <c r="D6248" s="677" t="s">
        <v>1736</v>
      </c>
      <c r="E6248" s="918" t="s">
        <v>13491</v>
      </c>
      <c r="F6248" s="918"/>
      <c r="G6248" s="676" t="s">
        <v>19</v>
      </c>
      <c r="H6248" s="675">
        <v>1</v>
      </c>
      <c r="I6248" s="674">
        <v>0.04</v>
      </c>
      <c r="J6248" s="674">
        <v>0.04</v>
      </c>
    </row>
    <row r="6249" spans="1:10" ht="36" customHeight="1">
      <c r="A6249" s="677" t="s">
        <v>13472</v>
      </c>
      <c r="B6249" s="678" t="s">
        <v>13498</v>
      </c>
      <c r="C6249" s="677" t="s">
        <v>7</v>
      </c>
      <c r="D6249" s="677" t="s">
        <v>1735</v>
      </c>
      <c r="E6249" s="918" t="s">
        <v>13491</v>
      </c>
      <c r="F6249" s="918"/>
      <c r="G6249" s="676" t="s">
        <v>19</v>
      </c>
      <c r="H6249" s="675">
        <v>1</v>
      </c>
      <c r="I6249" s="674">
        <v>0.38</v>
      </c>
      <c r="J6249" s="674">
        <v>0.38</v>
      </c>
    </row>
    <row r="6250" spans="1:10" ht="25.5">
      <c r="A6250" s="668"/>
      <c r="B6250" s="668"/>
      <c r="C6250" s="668"/>
      <c r="D6250" s="668"/>
      <c r="E6250" s="668" t="s">
        <v>13463</v>
      </c>
      <c r="F6250" s="667">
        <v>0</v>
      </c>
      <c r="G6250" s="668" t="s">
        <v>13462</v>
      </c>
      <c r="H6250" s="667">
        <v>0</v>
      </c>
      <c r="I6250" s="668" t="s">
        <v>13461</v>
      </c>
      <c r="J6250" s="667">
        <v>0</v>
      </c>
    </row>
    <row r="6251" spans="1:10" ht="15" thickBot="1">
      <c r="A6251" s="668"/>
      <c r="B6251" s="668"/>
      <c r="C6251" s="668"/>
      <c r="D6251" s="668"/>
      <c r="E6251" s="668" t="s">
        <v>13460</v>
      </c>
      <c r="F6251" s="667">
        <v>0.11</v>
      </c>
      <c r="G6251" s="668"/>
      <c r="H6251" s="925" t="s">
        <v>13459</v>
      </c>
      <c r="I6251" s="925"/>
      <c r="J6251" s="667">
        <v>0.53</v>
      </c>
    </row>
    <row r="6252" spans="1:10" ht="0.95" customHeight="1" thickTop="1">
      <c r="A6252" s="666"/>
      <c r="B6252" s="666"/>
      <c r="C6252" s="666"/>
      <c r="D6252" s="666"/>
      <c r="E6252" s="666"/>
      <c r="F6252" s="666"/>
      <c r="G6252" s="666"/>
      <c r="H6252" s="666"/>
      <c r="I6252" s="666"/>
      <c r="J6252" s="666"/>
    </row>
    <row r="6253" spans="1:10" ht="18" customHeight="1">
      <c r="A6253" s="686"/>
      <c r="B6253" s="684" t="s">
        <v>13484</v>
      </c>
      <c r="C6253" s="686" t="s">
        <v>13483</v>
      </c>
      <c r="D6253" s="686" t="s">
        <v>13482</v>
      </c>
      <c r="E6253" s="924" t="s">
        <v>13481</v>
      </c>
      <c r="F6253" s="924"/>
      <c r="G6253" s="685" t="s">
        <v>13480</v>
      </c>
      <c r="H6253" s="684" t="s">
        <v>13479</v>
      </c>
      <c r="I6253" s="684" t="s">
        <v>13478</v>
      </c>
      <c r="J6253" s="684" t="s">
        <v>13477</v>
      </c>
    </row>
    <row r="6254" spans="1:10" ht="36" customHeight="1">
      <c r="A6254" s="682" t="s">
        <v>13476</v>
      </c>
      <c r="B6254" s="683" t="s">
        <v>13499</v>
      </c>
      <c r="C6254" s="682" t="s">
        <v>7</v>
      </c>
      <c r="D6254" s="682" t="s">
        <v>1739</v>
      </c>
      <c r="E6254" s="917" t="s">
        <v>13491</v>
      </c>
      <c r="F6254" s="917"/>
      <c r="G6254" s="681" t="s">
        <v>38</v>
      </c>
      <c r="H6254" s="680">
        <v>1</v>
      </c>
      <c r="I6254" s="679">
        <v>1.77</v>
      </c>
      <c r="J6254" s="679">
        <v>1.77</v>
      </c>
    </row>
    <row r="6255" spans="1:10" ht="36" customHeight="1">
      <c r="A6255" s="677" t="s">
        <v>13472</v>
      </c>
      <c r="B6255" s="678" t="s">
        <v>13497</v>
      </c>
      <c r="C6255" s="677" t="s">
        <v>7</v>
      </c>
      <c r="D6255" s="677" t="s">
        <v>1736</v>
      </c>
      <c r="E6255" s="918" t="s">
        <v>13491</v>
      </c>
      <c r="F6255" s="918"/>
      <c r="G6255" s="676" t="s">
        <v>19</v>
      </c>
      <c r="H6255" s="675">
        <v>1</v>
      </c>
      <c r="I6255" s="674">
        <v>0.04</v>
      </c>
      <c r="J6255" s="674">
        <v>0.04</v>
      </c>
    </row>
    <row r="6256" spans="1:10" ht="36" customHeight="1">
      <c r="A6256" s="677" t="s">
        <v>13472</v>
      </c>
      <c r="B6256" s="678" t="s">
        <v>13498</v>
      </c>
      <c r="C6256" s="677" t="s">
        <v>7</v>
      </c>
      <c r="D6256" s="677" t="s">
        <v>1735</v>
      </c>
      <c r="E6256" s="918" t="s">
        <v>13491</v>
      </c>
      <c r="F6256" s="918"/>
      <c r="G6256" s="676" t="s">
        <v>19</v>
      </c>
      <c r="H6256" s="675">
        <v>1</v>
      </c>
      <c r="I6256" s="674">
        <v>0.38</v>
      </c>
      <c r="J6256" s="674">
        <v>0.38</v>
      </c>
    </row>
    <row r="6257" spans="1:10" ht="36" customHeight="1">
      <c r="A6257" s="677" t="s">
        <v>13472</v>
      </c>
      <c r="B6257" s="678" t="s">
        <v>13496</v>
      </c>
      <c r="C6257" s="677" t="s">
        <v>7</v>
      </c>
      <c r="D6257" s="677" t="s">
        <v>1737</v>
      </c>
      <c r="E6257" s="918" t="s">
        <v>13491</v>
      </c>
      <c r="F6257" s="918"/>
      <c r="G6257" s="676" t="s">
        <v>19</v>
      </c>
      <c r="H6257" s="675">
        <v>1</v>
      </c>
      <c r="I6257" s="674">
        <v>0.3</v>
      </c>
      <c r="J6257" s="674">
        <v>0.3</v>
      </c>
    </row>
    <row r="6258" spans="1:10" ht="36" customHeight="1">
      <c r="A6258" s="677" t="s">
        <v>13472</v>
      </c>
      <c r="B6258" s="678" t="s">
        <v>13492</v>
      </c>
      <c r="C6258" s="677" t="s">
        <v>7</v>
      </c>
      <c r="D6258" s="677" t="s">
        <v>1738</v>
      </c>
      <c r="E6258" s="918" t="s">
        <v>13491</v>
      </c>
      <c r="F6258" s="918"/>
      <c r="G6258" s="676" t="s">
        <v>19</v>
      </c>
      <c r="H6258" s="675">
        <v>1</v>
      </c>
      <c r="I6258" s="674">
        <v>1.05</v>
      </c>
      <c r="J6258" s="674">
        <v>1.05</v>
      </c>
    </row>
    <row r="6259" spans="1:10" ht="25.5">
      <c r="A6259" s="668"/>
      <c r="B6259" s="668"/>
      <c r="C6259" s="668"/>
      <c r="D6259" s="668"/>
      <c r="E6259" s="668" t="s">
        <v>13463</v>
      </c>
      <c r="F6259" s="667">
        <v>0</v>
      </c>
      <c r="G6259" s="668" t="s">
        <v>13462</v>
      </c>
      <c r="H6259" s="667">
        <v>0</v>
      </c>
      <c r="I6259" s="668" t="s">
        <v>13461</v>
      </c>
      <c r="J6259" s="667">
        <v>0</v>
      </c>
    </row>
    <row r="6260" spans="1:10" ht="15" thickBot="1">
      <c r="A6260" s="668"/>
      <c r="B6260" s="668"/>
      <c r="C6260" s="668"/>
      <c r="D6260" s="668"/>
      <c r="E6260" s="668" t="s">
        <v>13460</v>
      </c>
      <c r="F6260" s="667">
        <v>0.49</v>
      </c>
      <c r="G6260" s="668"/>
      <c r="H6260" s="925" t="s">
        <v>13459</v>
      </c>
      <c r="I6260" s="925"/>
      <c r="J6260" s="667">
        <v>2.2599999999999998</v>
      </c>
    </row>
    <row r="6261" spans="1:10" ht="0.95" customHeight="1" thickTop="1">
      <c r="A6261" s="666"/>
      <c r="B6261" s="666"/>
      <c r="C6261" s="666"/>
      <c r="D6261" s="666"/>
      <c r="E6261" s="666"/>
      <c r="F6261" s="666"/>
      <c r="G6261" s="666"/>
      <c r="H6261" s="666"/>
      <c r="I6261" s="666"/>
      <c r="J6261" s="666"/>
    </row>
    <row r="6262" spans="1:10" ht="18" customHeight="1">
      <c r="A6262" s="686"/>
      <c r="B6262" s="684" t="s">
        <v>13484</v>
      </c>
      <c r="C6262" s="686" t="s">
        <v>13483</v>
      </c>
      <c r="D6262" s="686" t="s">
        <v>13482</v>
      </c>
      <c r="E6262" s="924" t="s">
        <v>13481</v>
      </c>
      <c r="F6262" s="924"/>
      <c r="G6262" s="685" t="s">
        <v>13480</v>
      </c>
      <c r="H6262" s="684" t="s">
        <v>13479</v>
      </c>
      <c r="I6262" s="684" t="s">
        <v>13478</v>
      </c>
      <c r="J6262" s="684" t="s">
        <v>13477</v>
      </c>
    </row>
    <row r="6263" spans="1:10" ht="36" customHeight="1">
      <c r="A6263" s="682" t="s">
        <v>13476</v>
      </c>
      <c r="B6263" s="683" t="s">
        <v>13498</v>
      </c>
      <c r="C6263" s="682" t="s">
        <v>7</v>
      </c>
      <c r="D6263" s="682" t="s">
        <v>1735</v>
      </c>
      <c r="E6263" s="917" t="s">
        <v>13491</v>
      </c>
      <c r="F6263" s="917"/>
      <c r="G6263" s="681" t="s">
        <v>19</v>
      </c>
      <c r="H6263" s="680">
        <v>1</v>
      </c>
      <c r="I6263" s="679">
        <v>0.38</v>
      </c>
      <c r="J6263" s="679">
        <v>0.38</v>
      </c>
    </row>
    <row r="6264" spans="1:10" ht="24" customHeight="1">
      <c r="A6264" s="672" t="s">
        <v>13467</v>
      </c>
      <c r="B6264" s="673" t="s">
        <v>13495</v>
      </c>
      <c r="C6264" s="672" t="s">
        <v>7</v>
      </c>
      <c r="D6264" s="672" t="s">
        <v>13494</v>
      </c>
      <c r="E6264" s="919" t="s">
        <v>13493</v>
      </c>
      <c r="F6264" s="919"/>
      <c r="G6264" s="671" t="s">
        <v>34</v>
      </c>
      <c r="H6264" s="670">
        <v>1.2799999999999999E-4</v>
      </c>
      <c r="I6264" s="669">
        <v>3023.18</v>
      </c>
      <c r="J6264" s="669">
        <v>0.38</v>
      </c>
    </row>
    <row r="6265" spans="1:10" ht="25.5">
      <c r="A6265" s="668"/>
      <c r="B6265" s="668"/>
      <c r="C6265" s="668"/>
      <c r="D6265" s="668"/>
      <c r="E6265" s="668" t="s">
        <v>13463</v>
      </c>
      <c r="F6265" s="667">
        <v>0</v>
      </c>
      <c r="G6265" s="668" t="s">
        <v>13462</v>
      </c>
      <c r="H6265" s="667">
        <v>0</v>
      </c>
      <c r="I6265" s="668" t="s">
        <v>13461</v>
      </c>
      <c r="J6265" s="667">
        <v>0</v>
      </c>
    </row>
    <row r="6266" spans="1:10" ht="15" thickBot="1">
      <c r="A6266" s="668"/>
      <c r="B6266" s="668"/>
      <c r="C6266" s="668"/>
      <c r="D6266" s="668"/>
      <c r="E6266" s="668" t="s">
        <v>13460</v>
      </c>
      <c r="F6266" s="667">
        <v>0.1</v>
      </c>
      <c r="G6266" s="668"/>
      <c r="H6266" s="925" t="s">
        <v>13459</v>
      </c>
      <c r="I6266" s="925"/>
      <c r="J6266" s="667">
        <v>0.48</v>
      </c>
    </row>
    <row r="6267" spans="1:10" ht="0.95" customHeight="1" thickTop="1">
      <c r="A6267" s="666"/>
      <c r="B6267" s="666"/>
      <c r="C6267" s="666"/>
      <c r="D6267" s="666"/>
      <c r="E6267" s="666"/>
      <c r="F6267" s="666"/>
      <c r="G6267" s="666"/>
      <c r="H6267" s="666"/>
      <c r="I6267" s="666"/>
      <c r="J6267" s="666"/>
    </row>
    <row r="6268" spans="1:10" ht="18" customHeight="1">
      <c r="A6268" s="686"/>
      <c r="B6268" s="684" t="s">
        <v>13484</v>
      </c>
      <c r="C6268" s="686" t="s">
        <v>13483</v>
      </c>
      <c r="D6268" s="686" t="s">
        <v>13482</v>
      </c>
      <c r="E6268" s="924" t="s">
        <v>13481</v>
      </c>
      <c r="F6268" s="924"/>
      <c r="G6268" s="685" t="s">
        <v>13480</v>
      </c>
      <c r="H6268" s="684" t="s">
        <v>13479</v>
      </c>
      <c r="I6268" s="684" t="s">
        <v>13478</v>
      </c>
      <c r="J6268" s="684" t="s">
        <v>13477</v>
      </c>
    </row>
    <row r="6269" spans="1:10" ht="36" customHeight="1">
      <c r="A6269" s="682" t="s">
        <v>13476</v>
      </c>
      <c r="B6269" s="683" t="s">
        <v>13497</v>
      </c>
      <c r="C6269" s="682" t="s">
        <v>7</v>
      </c>
      <c r="D6269" s="682" t="s">
        <v>1736</v>
      </c>
      <c r="E6269" s="917" t="s">
        <v>13491</v>
      </c>
      <c r="F6269" s="917"/>
      <c r="G6269" s="681" t="s">
        <v>19</v>
      </c>
      <c r="H6269" s="680">
        <v>1</v>
      </c>
      <c r="I6269" s="679">
        <v>0.04</v>
      </c>
      <c r="J6269" s="679">
        <v>0.04</v>
      </c>
    </row>
    <row r="6270" spans="1:10" ht="24" customHeight="1">
      <c r="A6270" s="672" t="s">
        <v>13467</v>
      </c>
      <c r="B6270" s="673" t="s">
        <v>13495</v>
      </c>
      <c r="C6270" s="672" t="s">
        <v>7</v>
      </c>
      <c r="D6270" s="672" t="s">
        <v>13494</v>
      </c>
      <c r="E6270" s="919" t="s">
        <v>13493</v>
      </c>
      <c r="F6270" s="919"/>
      <c r="G6270" s="671" t="s">
        <v>34</v>
      </c>
      <c r="H6270" s="670">
        <v>1.5099999999999999E-5</v>
      </c>
      <c r="I6270" s="669">
        <v>3023.18</v>
      </c>
      <c r="J6270" s="669">
        <v>0.04</v>
      </c>
    </row>
    <row r="6271" spans="1:10" ht="25.5">
      <c r="A6271" s="668"/>
      <c r="B6271" s="668"/>
      <c r="C6271" s="668"/>
      <c r="D6271" s="668"/>
      <c r="E6271" s="668" t="s">
        <v>13463</v>
      </c>
      <c r="F6271" s="667">
        <v>0</v>
      </c>
      <c r="G6271" s="668" t="s">
        <v>13462</v>
      </c>
      <c r="H6271" s="667">
        <v>0</v>
      </c>
      <c r="I6271" s="668" t="s">
        <v>13461</v>
      </c>
      <c r="J6271" s="667">
        <v>0</v>
      </c>
    </row>
    <row r="6272" spans="1:10" ht="15" thickBot="1">
      <c r="A6272" s="668"/>
      <c r="B6272" s="668"/>
      <c r="C6272" s="668"/>
      <c r="D6272" s="668"/>
      <c r="E6272" s="668" t="s">
        <v>13460</v>
      </c>
      <c r="F6272" s="667">
        <v>0.01</v>
      </c>
      <c r="G6272" s="668"/>
      <c r="H6272" s="925" t="s">
        <v>13459</v>
      </c>
      <c r="I6272" s="925"/>
      <c r="J6272" s="667">
        <v>0.05</v>
      </c>
    </row>
    <row r="6273" spans="1:10" ht="0.95" customHeight="1" thickTop="1">
      <c r="A6273" s="666"/>
      <c r="B6273" s="666"/>
      <c r="C6273" s="666"/>
      <c r="D6273" s="666"/>
      <c r="E6273" s="666"/>
      <c r="F6273" s="666"/>
      <c r="G6273" s="666"/>
      <c r="H6273" s="666"/>
      <c r="I6273" s="666"/>
      <c r="J6273" s="666"/>
    </row>
    <row r="6274" spans="1:10" ht="18" customHeight="1">
      <c r="A6274" s="686"/>
      <c r="B6274" s="684" t="s">
        <v>13484</v>
      </c>
      <c r="C6274" s="686" t="s">
        <v>13483</v>
      </c>
      <c r="D6274" s="686" t="s">
        <v>13482</v>
      </c>
      <c r="E6274" s="924" t="s">
        <v>13481</v>
      </c>
      <c r="F6274" s="924"/>
      <c r="G6274" s="685" t="s">
        <v>13480</v>
      </c>
      <c r="H6274" s="684" t="s">
        <v>13479</v>
      </c>
      <c r="I6274" s="684" t="s">
        <v>13478</v>
      </c>
      <c r="J6274" s="684" t="s">
        <v>13477</v>
      </c>
    </row>
    <row r="6275" spans="1:10" ht="36" customHeight="1">
      <c r="A6275" s="682" t="s">
        <v>13476</v>
      </c>
      <c r="B6275" s="683" t="s">
        <v>13496</v>
      </c>
      <c r="C6275" s="682" t="s">
        <v>7</v>
      </c>
      <c r="D6275" s="682" t="s">
        <v>1737</v>
      </c>
      <c r="E6275" s="917" t="s">
        <v>13491</v>
      </c>
      <c r="F6275" s="917"/>
      <c r="G6275" s="681" t="s">
        <v>19</v>
      </c>
      <c r="H6275" s="680">
        <v>1</v>
      </c>
      <c r="I6275" s="679">
        <v>0.3</v>
      </c>
      <c r="J6275" s="679">
        <v>0.3</v>
      </c>
    </row>
    <row r="6276" spans="1:10" ht="24" customHeight="1">
      <c r="A6276" s="672" t="s">
        <v>13467</v>
      </c>
      <c r="B6276" s="673" t="s">
        <v>13495</v>
      </c>
      <c r="C6276" s="672" t="s">
        <v>7</v>
      </c>
      <c r="D6276" s="672" t="s">
        <v>13494</v>
      </c>
      <c r="E6276" s="919" t="s">
        <v>13493</v>
      </c>
      <c r="F6276" s="919"/>
      <c r="G6276" s="671" t="s">
        <v>34</v>
      </c>
      <c r="H6276" s="670">
        <v>1E-4</v>
      </c>
      <c r="I6276" s="669">
        <v>3023.18</v>
      </c>
      <c r="J6276" s="669">
        <v>0.3</v>
      </c>
    </row>
    <row r="6277" spans="1:10" ht="25.5">
      <c r="A6277" s="668"/>
      <c r="B6277" s="668"/>
      <c r="C6277" s="668"/>
      <c r="D6277" s="668"/>
      <c r="E6277" s="668" t="s">
        <v>13463</v>
      </c>
      <c r="F6277" s="667">
        <v>0</v>
      </c>
      <c r="G6277" s="668" t="s">
        <v>13462</v>
      </c>
      <c r="H6277" s="667">
        <v>0</v>
      </c>
      <c r="I6277" s="668" t="s">
        <v>13461</v>
      </c>
      <c r="J6277" s="667">
        <v>0</v>
      </c>
    </row>
    <row r="6278" spans="1:10" ht="15" thickBot="1">
      <c r="A6278" s="668"/>
      <c r="B6278" s="668"/>
      <c r="C6278" s="668"/>
      <c r="D6278" s="668"/>
      <c r="E6278" s="668" t="s">
        <v>13460</v>
      </c>
      <c r="F6278" s="667">
        <v>0.08</v>
      </c>
      <c r="G6278" s="668"/>
      <c r="H6278" s="925" t="s">
        <v>13459</v>
      </c>
      <c r="I6278" s="925"/>
      <c r="J6278" s="667">
        <v>0.38</v>
      </c>
    </row>
    <row r="6279" spans="1:10" ht="0.95" customHeight="1" thickTop="1">
      <c r="A6279" s="666"/>
      <c r="B6279" s="666"/>
      <c r="C6279" s="666"/>
      <c r="D6279" s="666"/>
      <c r="E6279" s="666"/>
      <c r="F6279" s="666"/>
      <c r="G6279" s="666"/>
      <c r="H6279" s="666"/>
      <c r="I6279" s="666"/>
      <c r="J6279" s="666"/>
    </row>
    <row r="6280" spans="1:10" ht="18" customHeight="1">
      <c r="A6280" s="686"/>
      <c r="B6280" s="684" t="s">
        <v>13484</v>
      </c>
      <c r="C6280" s="686" t="s">
        <v>13483</v>
      </c>
      <c r="D6280" s="686" t="s">
        <v>13482</v>
      </c>
      <c r="E6280" s="924" t="s">
        <v>13481</v>
      </c>
      <c r="F6280" s="924"/>
      <c r="G6280" s="685" t="s">
        <v>13480</v>
      </c>
      <c r="H6280" s="684" t="s">
        <v>13479</v>
      </c>
      <c r="I6280" s="684" t="s">
        <v>13478</v>
      </c>
      <c r="J6280" s="684" t="s">
        <v>13477</v>
      </c>
    </row>
    <row r="6281" spans="1:10" ht="36" customHeight="1">
      <c r="A6281" s="682" t="s">
        <v>13476</v>
      </c>
      <c r="B6281" s="683" t="s">
        <v>13492</v>
      </c>
      <c r="C6281" s="682" t="s">
        <v>7</v>
      </c>
      <c r="D6281" s="682" t="s">
        <v>1738</v>
      </c>
      <c r="E6281" s="917" t="s">
        <v>13491</v>
      </c>
      <c r="F6281" s="917"/>
      <c r="G6281" s="681" t="s">
        <v>19</v>
      </c>
      <c r="H6281" s="680">
        <v>1</v>
      </c>
      <c r="I6281" s="679">
        <v>1.05</v>
      </c>
      <c r="J6281" s="679">
        <v>1.05</v>
      </c>
    </row>
    <row r="6282" spans="1:10" ht="24" customHeight="1">
      <c r="A6282" s="672" t="s">
        <v>13467</v>
      </c>
      <c r="B6282" s="673" t="s">
        <v>13490</v>
      </c>
      <c r="C6282" s="672" t="s">
        <v>7</v>
      </c>
      <c r="D6282" s="672" t="s">
        <v>13489</v>
      </c>
      <c r="E6282" s="919" t="s">
        <v>13464</v>
      </c>
      <c r="F6282" s="919"/>
      <c r="G6282" s="671" t="s">
        <v>13488</v>
      </c>
      <c r="H6282" s="670">
        <v>1.25</v>
      </c>
      <c r="I6282" s="669">
        <v>0.84</v>
      </c>
      <c r="J6282" s="669">
        <v>1.05</v>
      </c>
    </row>
    <row r="6283" spans="1:10" ht="25.5">
      <c r="A6283" s="668"/>
      <c r="B6283" s="668"/>
      <c r="C6283" s="668"/>
      <c r="D6283" s="668"/>
      <c r="E6283" s="668" t="s">
        <v>13463</v>
      </c>
      <c r="F6283" s="667">
        <v>0</v>
      </c>
      <c r="G6283" s="668" t="s">
        <v>13462</v>
      </c>
      <c r="H6283" s="667">
        <v>0</v>
      </c>
      <c r="I6283" s="668" t="s">
        <v>13461</v>
      </c>
      <c r="J6283" s="667">
        <v>0</v>
      </c>
    </row>
    <row r="6284" spans="1:10" ht="15" thickBot="1">
      <c r="A6284" s="668"/>
      <c r="B6284" s="668"/>
      <c r="C6284" s="668"/>
      <c r="D6284" s="668"/>
      <c r="E6284" s="668" t="s">
        <v>13460</v>
      </c>
      <c r="F6284" s="667">
        <v>0.28999999999999998</v>
      </c>
      <c r="G6284" s="668"/>
      <c r="H6284" s="925" t="s">
        <v>13459</v>
      </c>
      <c r="I6284" s="925"/>
      <c r="J6284" s="667">
        <v>1.34</v>
      </c>
    </row>
    <row r="6285" spans="1:10" ht="0.95" customHeight="1" thickTop="1">
      <c r="A6285" s="666"/>
      <c r="B6285" s="666"/>
      <c r="C6285" s="666"/>
      <c r="D6285" s="666"/>
      <c r="E6285" s="666"/>
      <c r="F6285" s="666"/>
      <c r="G6285" s="666"/>
      <c r="H6285" s="666"/>
      <c r="I6285" s="666"/>
      <c r="J6285" s="666"/>
    </row>
    <row r="6286" spans="1:10" ht="18" customHeight="1">
      <c r="A6286" s="686"/>
      <c r="B6286" s="684" t="s">
        <v>13484</v>
      </c>
      <c r="C6286" s="686" t="s">
        <v>13483</v>
      </c>
      <c r="D6286" s="686" t="s">
        <v>13482</v>
      </c>
      <c r="E6286" s="924" t="s">
        <v>13481</v>
      </c>
      <c r="F6286" s="924"/>
      <c r="G6286" s="685" t="s">
        <v>13480</v>
      </c>
      <c r="H6286" s="684" t="s">
        <v>13479</v>
      </c>
      <c r="I6286" s="684" t="s">
        <v>13478</v>
      </c>
      <c r="J6286" s="684" t="s">
        <v>13477</v>
      </c>
    </row>
    <row r="6287" spans="1:10" ht="36" customHeight="1">
      <c r="A6287" s="682" t="s">
        <v>13476</v>
      </c>
      <c r="B6287" s="683" t="s">
        <v>13487</v>
      </c>
      <c r="C6287" s="682" t="s">
        <v>7</v>
      </c>
      <c r="D6287" s="682" t="s">
        <v>5093</v>
      </c>
      <c r="E6287" s="917" t="s">
        <v>13474</v>
      </c>
      <c r="F6287" s="917"/>
      <c r="G6287" s="681" t="s">
        <v>34</v>
      </c>
      <c r="H6287" s="680">
        <v>1</v>
      </c>
      <c r="I6287" s="679">
        <v>27.57</v>
      </c>
      <c r="J6287" s="679">
        <v>27.57</v>
      </c>
    </row>
    <row r="6288" spans="1:10" ht="24" customHeight="1">
      <c r="A6288" s="677" t="s">
        <v>13472</v>
      </c>
      <c r="B6288" s="678" t="s">
        <v>13473</v>
      </c>
      <c r="C6288" s="677" t="s">
        <v>7</v>
      </c>
      <c r="D6288" s="677" t="s">
        <v>44</v>
      </c>
      <c r="E6288" s="918" t="s">
        <v>13470</v>
      </c>
      <c r="F6288" s="918"/>
      <c r="G6288" s="676" t="s">
        <v>19</v>
      </c>
      <c r="H6288" s="675">
        <v>0.17399999999999999</v>
      </c>
      <c r="I6288" s="674">
        <v>17.66</v>
      </c>
      <c r="J6288" s="674">
        <v>3.07</v>
      </c>
    </row>
    <row r="6289" spans="1:10" ht="24" customHeight="1">
      <c r="A6289" s="677" t="s">
        <v>13472</v>
      </c>
      <c r="B6289" s="678" t="s">
        <v>13471</v>
      </c>
      <c r="C6289" s="677" t="s">
        <v>7</v>
      </c>
      <c r="D6289" s="677" t="s">
        <v>21</v>
      </c>
      <c r="E6289" s="918" t="s">
        <v>13470</v>
      </c>
      <c r="F6289" s="918"/>
      <c r="G6289" s="676" t="s">
        <v>19</v>
      </c>
      <c r="H6289" s="675">
        <v>5.4800000000000001E-2</v>
      </c>
      <c r="I6289" s="674">
        <v>14.02</v>
      </c>
      <c r="J6289" s="674">
        <v>0.76</v>
      </c>
    </row>
    <row r="6290" spans="1:10" ht="24" customHeight="1">
      <c r="A6290" s="672" t="s">
        <v>13467</v>
      </c>
      <c r="B6290" s="673" t="s">
        <v>13469</v>
      </c>
      <c r="C6290" s="672" t="s">
        <v>7</v>
      </c>
      <c r="D6290" s="672" t="s">
        <v>13468</v>
      </c>
      <c r="E6290" s="919" t="s">
        <v>13464</v>
      </c>
      <c r="F6290" s="919"/>
      <c r="G6290" s="671" t="s">
        <v>34</v>
      </c>
      <c r="H6290" s="670">
        <v>4.8000000000000001E-2</v>
      </c>
      <c r="I6290" s="669">
        <v>5</v>
      </c>
      <c r="J6290" s="669">
        <v>0.24</v>
      </c>
    </row>
    <row r="6291" spans="1:10" ht="24" customHeight="1">
      <c r="A6291" s="672" t="s">
        <v>13467</v>
      </c>
      <c r="B6291" s="673" t="s">
        <v>13486</v>
      </c>
      <c r="C6291" s="672" t="s">
        <v>7</v>
      </c>
      <c r="D6291" s="672" t="s">
        <v>13485</v>
      </c>
      <c r="E6291" s="919" t="s">
        <v>13464</v>
      </c>
      <c r="F6291" s="919"/>
      <c r="G6291" s="671" t="s">
        <v>34</v>
      </c>
      <c r="H6291" s="670">
        <v>1</v>
      </c>
      <c r="I6291" s="669">
        <v>23.5</v>
      </c>
      <c r="J6291" s="669">
        <v>23.5</v>
      </c>
    </row>
    <row r="6292" spans="1:10" ht="25.5">
      <c r="A6292" s="668"/>
      <c r="B6292" s="668"/>
      <c r="C6292" s="668"/>
      <c r="D6292" s="668"/>
      <c r="E6292" s="668" t="s">
        <v>13463</v>
      </c>
      <c r="F6292" s="667">
        <v>1.6516353363033793</v>
      </c>
      <c r="G6292" s="668" t="s">
        <v>13462</v>
      </c>
      <c r="H6292" s="667">
        <v>1.39</v>
      </c>
      <c r="I6292" s="668" t="s">
        <v>13461</v>
      </c>
      <c r="J6292" s="667">
        <v>3.04</v>
      </c>
    </row>
    <row r="6293" spans="1:10" ht="15" thickBot="1">
      <c r="A6293" s="668"/>
      <c r="B6293" s="668"/>
      <c r="C6293" s="668"/>
      <c r="D6293" s="668"/>
      <c r="E6293" s="668" t="s">
        <v>13460</v>
      </c>
      <c r="F6293" s="667">
        <v>7.78</v>
      </c>
      <c r="G6293" s="668"/>
      <c r="H6293" s="925" t="s">
        <v>13459</v>
      </c>
      <c r="I6293" s="925"/>
      <c r="J6293" s="667">
        <v>35.35</v>
      </c>
    </row>
    <row r="6294" spans="1:10" ht="0.95" customHeight="1" thickTop="1">
      <c r="A6294" s="666"/>
      <c r="B6294" s="666"/>
      <c r="C6294" s="666"/>
      <c r="D6294" s="666"/>
      <c r="E6294" s="666"/>
      <c r="F6294" s="666"/>
      <c r="G6294" s="666"/>
      <c r="H6294" s="666"/>
      <c r="I6294" s="666"/>
      <c r="J6294" s="666"/>
    </row>
    <row r="6295" spans="1:10" ht="18" customHeight="1">
      <c r="A6295" s="686"/>
      <c r="B6295" s="684" t="s">
        <v>13484</v>
      </c>
      <c r="C6295" s="686" t="s">
        <v>13483</v>
      </c>
      <c r="D6295" s="686" t="s">
        <v>13482</v>
      </c>
      <c r="E6295" s="924" t="s">
        <v>13481</v>
      </c>
      <c r="F6295" s="924"/>
      <c r="G6295" s="685" t="s">
        <v>13480</v>
      </c>
      <c r="H6295" s="684" t="s">
        <v>13479</v>
      </c>
      <c r="I6295" s="684" t="s">
        <v>13478</v>
      </c>
      <c r="J6295" s="684" t="s">
        <v>13477</v>
      </c>
    </row>
    <row r="6296" spans="1:10" ht="36" customHeight="1">
      <c r="A6296" s="682" t="s">
        <v>13476</v>
      </c>
      <c r="B6296" s="683" t="s">
        <v>13475</v>
      </c>
      <c r="C6296" s="682" t="s">
        <v>7</v>
      </c>
      <c r="D6296" s="682" t="s">
        <v>5094</v>
      </c>
      <c r="E6296" s="917" t="s">
        <v>13474</v>
      </c>
      <c r="F6296" s="917"/>
      <c r="G6296" s="681" t="s">
        <v>34</v>
      </c>
      <c r="H6296" s="680">
        <v>1</v>
      </c>
      <c r="I6296" s="679">
        <v>55.29</v>
      </c>
      <c r="J6296" s="679">
        <v>55.29</v>
      </c>
    </row>
    <row r="6297" spans="1:10" ht="24" customHeight="1">
      <c r="A6297" s="677" t="s">
        <v>13472</v>
      </c>
      <c r="B6297" s="678" t="s">
        <v>13473</v>
      </c>
      <c r="C6297" s="677" t="s">
        <v>7</v>
      </c>
      <c r="D6297" s="677" t="s">
        <v>44</v>
      </c>
      <c r="E6297" s="918" t="s">
        <v>13470</v>
      </c>
      <c r="F6297" s="918"/>
      <c r="G6297" s="676" t="s">
        <v>19</v>
      </c>
      <c r="H6297" s="675">
        <v>0.17399999999999999</v>
      </c>
      <c r="I6297" s="674">
        <v>17.66</v>
      </c>
      <c r="J6297" s="674">
        <v>3.07</v>
      </c>
    </row>
    <row r="6298" spans="1:10" ht="24" customHeight="1">
      <c r="A6298" s="677" t="s">
        <v>13472</v>
      </c>
      <c r="B6298" s="678" t="s">
        <v>13471</v>
      </c>
      <c r="C6298" s="677" t="s">
        <v>7</v>
      </c>
      <c r="D6298" s="677" t="s">
        <v>21</v>
      </c>
      <c r="E6298" s="918" t="s">
        <v>13470</v>
      </c>
      <c r="F6298" s="918"/>
      <c r="G6298" s="676" t="s">
        <v>19</v>
      </c>
      <c r="H6298" s="675">
        <v>5.4800000000000001E-2</v>
      </c>
      <c r="I6298" s="674">
        <v>14.02</v>
      </c>
      <c r="J6298" s="674">
        <v>0.76</v>
      </c>
    </row>
    <row r="6299" spans="1:10" ht="24" customHeight="1">
      <c r="A6299" s="672" t="s">
        <v>13467</v>
      </c>
      <c r="B6299" s="673" t="s">
        <v>13469</v>
      </c>
      <c r="C6299" s="672" t="s">
        <v>7</v>
      </c>
      <c r="D6299" s="672" t="s">
        <v>13468</v>
      </c>
      <c r="E6299" s="919" t="s">
        <v>13464</v>
      </c>
      <c r="F6299" s="919"/>
      <c r="G6299" s="671" t="s">
        <v>34</v>
      </c>
      <c r="H6299" s="670">
        <v>4.8000000000000001E-2</v>
      </c>
      <c r="I6299" s="669">
        <v>5</v>
      </c>
      <c r="J6299" s="669">
        <v>0.24</v>
      </c>
    </row>
    <row r="6300" spans="1:10" ht="24" customHeight="1">
      <c r="A6300" s="672" t="s">
        <v>13467</v>
      </c>
      <c r="B6300" s="673" t="s">
        <v>13466</v>
      </c>
      <c r="C6300" s="672" t="s">
        <v>7</v>
      </c>
      <c r="D6300" s="672" t="s">
        <v>13465</v>
      </c>
      <c r="E6300" s="919" t="s">
        <v>13464</v>
      </c>
      <c r="F6300" s="919"/>
      <c r="G6300" s="671" t="s">
        <v>34</v>
      </c>
      <c r="H6300" s="670">
        <v>1</v>
      </c>
      <c r="I6300" s="669">
        <v>51.22</v>
      </c>
      <c r="J6300" s="669">
        <v>51.22</v>
      </c>
    </row>
    <row r="6301" spans="1:10" ht="25.5">
      <c r="A6301" s="668"/>
      <c r="B6301" s="668"/>
      <c r="C6301" s="668"/>
      <c r="D6301" s="668"/>
      <c r="E6301" s="668" t="s">
        <v>13463</v>
      </c>
      <c r="F6301" s="667">
        <v>1.6516353363033793</v>
      </c>
      <c r="G6301" s="668" t="s">
        <v>13462</v>
      </c>
      <c r="H6301" s="667">
        <v>1.39</v>
      </c>
      <c r="I6301" s="668" t="s">
        <v>13461</v>
      </c>
      <c r="J6301" s="667">
        <v>3.04</v>
      </c>
    </row>
    <row r="6302" spans="1:10" ht="15" thickBot="1">
      <c r="A6302" s="668"/>
      <c r="B6302" s="668"/>
      <c r="C6302" s="668"/>
      <c r="D6302" s="668"/>
      <c r="E6302" s="668" t="s">
        <v>13460</v>
      </c>
      <c r="F6302" s="667">
        <v>15.61</v>
      </c>
      <c r="G6302" s="668"/>
      <c r="H6302" s="925" t="s">
        <v>13459</v>
      </c>
      <c r="I6302" s="925"/>
      <c r="J6302" s="667">
        <v>70.900000000000006</v>
      </c>
    </row>
    <row r="6303" spans="1:10" ht="0.95" customHeight="1" thickTop="1">
      <c r="A6303" s="666"/>
      <c r="B6303" s="666"/>
      <c r="C6303" s="666"/>
      <c r="D6303" s="666"/>
      <c r="E6303" s="666"/>
      <c r="F6303" s="666"/>
      <c r="G6303" s="666"/>
      <c r="H6303" s="666"/>
      <c r="I6303" s="666"/>
      <c r="J6303" s="666"/>
    </row>
    <row r="6304" spans="1:10">
      <c r="A6304" s="665"/>
      <c r="B6304" s="665"/>
      <c r="C6304" s="665"/>
      <c r="D6304" s="665"/>
      <c r="E6304" s="665"/>
      <c r="F6304" s="665"/>
      <c r="G6304" s="665"/>
      <c r="H6304" s="665"/>
      <c r="I6304" s="665"/>
      <c r="J6304" s="665"/>
    </row>
    <row r="6305" spans="1:10">
      <c r="A6305" s="927"/>
      <c r="B6305" s="927"/>
      <c r="C6305" s="927"/>
      <c r="D6305" s="664"/>
      <c r="E6305" s="663"/>
      <c r="F6305" s="921"/>
      <c r="G6305" s="927"/>
      <c r="H6305" s="928"/>
      <c r="I6305" s="927"/>
      <c r="J6305" s="927"/>
    </row>
    <row r="6306" spans="1:10">
      <c r="A6306" s="927"/>
      <c r="B6306" s="927"/>
      <c r="C6306" s="927"/>
      <c r="D6306" s="664"/>
      <c r="E6306" s="663"/>
      <c r="F6306" s="921"/>
      <c r="G6306" s="927"/>
      <c r="H6306" s="928"/>
      <c r="I6306" s="927"/>
      <c r="J6306" s="927"/>
    </row>
    <row r="6307" spans="1:10">
      <c r="A6307" s="927"/>
      <c r="B6307" s="927"/>
      <c r="C6307" s="927"/>
      <c r="D6307" s="664"/>
      <c r="E6307" s="663"/>
      <c r="F6307" s="921"/>
      <c r="G6307" s="927"/>
      <c r="H6307" s="928"/>
      <c r="I6307" s="927"/>
      <c r="J6307" s="927"/>
    </row>
    <row r="6308" spans="1:10">
      <c r="A6308" s="662"/>
      <c r="B6308" s="662"/>
      <c r="C6308" s="662"/>
      <c r="D6308" s="662"/>
      <c r="E6308" s="662"/>
      <c r="F6308" s="662"/>
      <c r="G6308" s="662"/>
      <c r="H6308" s="662"/>
      <c r="I6308" s="662"/>
      <c r="J6308" s="662"/>
    </row>
    <row r="6309" spans="1:10">
      <c r="A6309" s="926"/>
      <c r="B6309" s="923"/>
      <c r="C6309" s="923"/>
      <c r="D6309" s="923"/>
      <c r="E6309" s="923"/>
      <c r="F6309" s="923"/>
      <c r="G6309" s="923"/>
      <c r="H6309" s="923"/>
      <c r="I6309" s="923"/>
      <c r="J6309" s="923"/>
    </row>
    <row r="6310" spans="1:10">
      <c r="A6310" s="926"/>
      <c r="B6310" s="923"/>
      <c r="C6310" s="923"/>
      <c r="D6310" s="923"/>
      <c r="E6310" s="923"/>
      <c r="F6310" s="923"/>
      <c r="G6310" s="923"/>
      <c r="H6310" s="923"/>
      <c r="I6310" s="923"/>
      <c r="J6310" s="923"/>
    </row>
    <row r="6311" spans="1:10">
      <c r="A6311" s="926"/>
      <c r="B6311" s="923"/>
      <c r="C6311" s="923"/>
      <c r="D6311" s="923"/>
      <c r="E6311" s="923"/>
      <c r="F6311" s="923"/>
      <c r="G6311" s="923"/>
      <c r="H6311" s="923"/>
      <c r="I6311" s="923"/>
      <c r="J6311" s="923"/>
    </row>
    <row r="6312" spans="1:10">
      <c r="A6312" s="926"/>
      <c r="B6312" s="923"/>
      <c r="C6312" s="923"/>
      <c r="D6312" s="923"/>
      <c r="E6312" s="923"/>
      <c r="F6312" s="923"/>
      <c r="G6312" s="923"/>
      <c r="H6312" s="923"/>
      <c r="I6312" s="923"/>
      <c r="J6312" s="923"/>
    </row>
    <row r="6313" spans="1:10">
      <c r="A6313" s="926"/>
      <c r="B6313" s="923"/>
      <c r="C6313" s="923"/>
      <c r="D6313" s="923"/>
      <c r="E6313" s="923"/>
      <c r="F6313" s="923"/>
      <c r="G6313" s="923"/>
      <c r="H6313" s="923"/>
      <c r="I6313" s="923"/>
      <c r="J6313" s="923"/>
    </row>
    <row r="6314" spans="1:10">
      <c r="A6314" s="926"/>
      <c r="B6314" s="923"/>
      <c r="C6314" s="923"/>
      <c r="D6314" s="923"/>
      <c r="E6314" s="923"/>
      <c r="F6314" s="923"/>
      <c r="G6314" s="923"/>
      <c r="H6314" s="923"/>
      <c r="I6314" s="923"/>
      <c r="J6314" s="923"/>
    </row>
  </sheetData>
  <mergeCells count="4962">
    <mergeCell ref="A6312:J6312"/>
    <mergeCell ref="A6313:J6313"/>
    <mergeCell ref="A6314:J6314"/>
    <mergeCell ref="E6281:F6281"/>
    <mergeCell ref="E6282:F6282"/>
    <mergeCell ref="H6284:I6284"/>
    <mergeCell ref="E6286:F6286"/>
    <mergeCell ref="E6287:F6287"/>
    <mergeCell ref="E6288:F6288"/>
    <mergeCell ref="E6289:F6289"/>
    <mergeCell ref="A6307:C6307"/>
    <mergeCell ref="F6307:G6307"/>
    <mergeCell ref="H6307:J6307"/>
    <mergeCell ref="A6309:J6309"/>
    <mergeCell ref="A6310:J6310"/>
    <mergeCell ref="A6311:J6311"/>
    <mergeCell ref="A6305:C6305"/>
    <mergeCell ref="F6305:G6305"/>
    <mergeCell ref="H6305:J6305"/>
    <mergeCell ref="A6306:C6306"/>
    <mergeCell ref="F6306:G6306"/>
    <mergeCell ref="H6306:J6306"/>
    <mergeCell ref="E6235:F6235"/>
    <mergeCell ref="E6236:F6236"/>
    <mergeCell ref="E6237:F6237"/>
    <mergeCell ref="E6238:F6238"/>
    <mergeCell ref="E6239:F6239"/>
    <mergeCell ref="E6264:F6264"/>
    <mergeCell ref="H6266:I6266"/>
    <mergeCell ref="E6268:F6268"/>
    <mergeCell ref="E6269:F6269"/>
    <mergeCell ref="E6270:F6270"/>
    <mergeCell ref="H6272:I6272"/>
    <mergeCell ref="E6298:F6298"/>
    <mergeCell ref="E6299:F6299"/>
    <mergeCell ref="E6300:F6300"/>
    <mergeCell ref="H6302:I6302"/>
    <mergeCell ref="E6256:F6256"/>
    <mergeCell ref="E6257:F6257"/>
    <mergeCell ref="E6258:F6258"/>
    <mergeCell ref="H6260:I6260"/>
    <mergeCell ref="E6262:F6262"/>
    <mergeCell ref="E6263:F6263"/>
    <mergeCell ref="E6290:F6290"/>
    <mergeCell ref="E6291:F6291"/>
    <mergeCell ref="H6293:I6293"/>
    <mergeCell ref="E6295:F6295"/>
    <mergeCell ref="E6296:F6296"/>
    <mergeCell ref="E6297:F6297"/>
    <mergeCell ref="E6248:F6248"/>
    <mergeCell ref="E6249:F6249"/>
    <mergeCell ref="H6251:I6251"/>
    <mergeCell ref="E6253:F6253"/>
    <mergeCell ref="E6254:F6254"/>
    <mergeCell ref="E6255:F6255"/>
    <mergeCell ref="E6240:F6240"/>
    <mergeCell ref="E6241:F6241"/>
    <mergeCell ref="E6242:F6242"/>
    <mergeCell ref="H6244:I6244"/>
    <mergeCell ref="E6246:F6246"/>
    <mergeCell ref="E6247:F6247"/>
    <mergeCell ref="E6274:F6274"/>
    <mergeCell ref="E6275:F6275"/>
    <mergeCell ref="E6276:F6276"/>
    <mergeCell ref="H6278:I6278"/>
    <mergeCell ref="E6280:F6280"/>
    <mergeCell ref="E6191:F6191"/>
    <mergeCell ref="E6192:F6192"/>
    <mergeCell ref="E6193:F6193"/>
    <mergeCell ref="H6195:I6195"/>
    <mergeCell ref="E6197:F6197"/>
    <mergeCell ref="E6220:F6220"/>
    <mergeCell ref="H6222:I6222"/>
    <mergeCell ref="E6224:F6224"/>
    <mergeCell ref="E6225:F6225"/>
    <mergeCell ref="E6226:F6226"/>
    <mergeCell ref="E6227:F6227"/>
    <mergeCell ref="E6212:F6212"/>
    <mergeCell ref="H6214:I6214"/>
    <mergeCell ref="E6216:F6216"/>
    <mergeCell ref="E6217:F6217"/>
    <mergeCell ref="E6218:F6218"/>
    <mergeCell ref="E6219:F6219"/>
    <mergeCell ref="E6206:F6206"/>
    <mergeCell ref="E6207:F6207"/>
    <mergeCell ref="E6208:F6208"/>
    <mergeCell ref="E6209:F6209"/>
    <mergeCell ref="E6210:F6210"/>
    <mergeCell ref="E6211:F6211"/>
    <mergeCell ref="E6198:F6198"/>
    <mergeCell ref="E6199:F6199"/>
    <mergeCell ref="E6200:F6200"/>
    <mergeCell ref="E6201:F6201"/>
    <mergeCell ref="H6203:I6203"/>
    <mergeCell ref="E6205:F6205"/>
    <mergeCell ref="E6228:F6228"/>
    <mergeCell ref="E6229:F6229"/>
    <mergeCell ref="E6230:F6230"/>
    <mergeCell ref="E6231:F6231"/>
    <mergeCell ref="H6233:I6233"/>
    <mergeCell ref="E6147:F6147"/>
    <mergeCell ref="E6148:F6148"/>
    <mergeCell ref="E6149:F6149"/>
    <mergeCell ref="E6150:F6150"/>
    <mergeCell ref="E6151:F6151"/>
    <mergeCell ref="E6176:F6176"/>
    <mergeCell ref="H6178:I6178"/>
    <mergeCell ref="E6180:F6180"/>
    <mergeCell ref="E6181:F6181"/>
    <mergeCell ref="E6182:F6182"/>
    <mergeCell ref="E6183:F6183"/>
    <mergeCell ref="E6168:F6168"/>
    <mergeCell ref="H6170:I6170"/>
    <mergeCell ref="E6172:F6172"/>
    <mergeCell ref="E6173:F6173"/>
    <mergeCell ref="E6174:F6174"/>
    <mergeCell ref="E6175:F6175"/>
    <mergeCell ref="E6160:F6160"/>
    <mergeCell ref="H6162:I6162"/>
    <mergeCell ref="E6164:F6164"/>
    <mergeCell ref="E6165:F6165"/>
    <mergeCell ref="E6166:F6166"/>
    <mergeCell ref="E6167:F6167"/>
    <mergeCell ref="E6152:F6152"/>
    <mergeCell ref="H6154:I6154"/>
    <mergeCell ref="E6156:F6156"/>
    <mergeCell ref="E6157:F6157"/>
    <mergeCell ref="E6158:F6158"/>
    <mergeCell ref="E6159:F6159"/>
    <mergeCell ref="E6184:F6184"/>
    <mergeCell ref="H6186:I6186"/>
    <mergeCell ref="E6188:F6188"/>
    <mergeCell ref="E6189:F6189"/>
    <mergeCell ref="E6190:F6190"/>
    <mergeCell ref="E6101:F6101"/>
    <mergeCell ref="E6102:F6102"/>
    <mergeCell ref="E6103:F6103"/>
    <mergeCell ref="E6104:F6104"/>
    <mergeCell ref="E6105:F6105"/>
    <mergeCell ref="E6134:F6134"/>
    <mergeCell ref="E6135:F6135"/>
    <mergeCell ref="E6136:F6136"/>
    <mergeCell ref="E6137:F6137"/>
    <mergeCell ref="E6138:F6138"/>
    <mergeCell ref="E6139:F6139"/>
    <mergeCell ref="H6125:I6125"/>
    <mergeCell ref="E6127:F6127"/>
    <mergeCell ref="E6128:F6128"/>
    <mergeCell ref="E6129:F6129"/>
    <mergeCell ref="H6131:I6131"/>
    <mergeCell ref="E6133:F6133"/>
    <mergeCell ref="E6116:F6116"/>
    <mergeCell ref="E6117:F6117"/>
    <mergeCell ref="H6119:I6119"/>
    <mergeCell ref="E6121:F6121"/>
    <mergeCell ref="E6122:F6122"/>
    <mergeCell ref="E6123:F6123"/>
    <mergeCell ref="H6107:I6107"/>
    <mergeCell ref="E6109:F6109"/>
    <mergeCell ref="E6110:F6110"/>
    <mergeCell ref="E6111:F6111"/>
    <mergeCell ref="H6113:I6113"/>
    <mergeCell ref="E6115:F6115"/>
    <mergeCell ref="H6141:I6141"/>
    <mergeCell ref="E6143:F6143"/>
    <mergeCell ref="E6144:F6144"/>
    <mergeCell ref="E6145:F6145"/>
    <mergeCell ref="E6146:F6146"/>
    <mergeCell ref="E6053:F6053"/>
    <mergeCell ref="E6054:F6054"/>
    <mergeCell ref="H6056:I6056"/>
    <mergeCell ref="E6058:F6058"/>
    <mergeCell ref="E6059:F6059"/>
    <mergeCell ref="E6086:F6086"/>
    <mergeCell ref="E6087:F6087"/>
    <mergeCell ref="H6089:I6089"/>
    <mergeCell ref="E6091:F6091"/>
    <mergeCell ref="E6092:F6092"/>
    <mergeCell ref="E6093:F6093"/>
    <mergeCell ref="H6077:I6077"/>
    <mergeCell ref="E6079:F6079"/>
    <mergeCell ref="E6080:F6080"/>
    <mergeCell ref="E6081:F6081"/>
    <mergeCell ref="H6083:I6083"/>
    <mergeCell ref="E6085:F6085"/>
    <mergeCell ref="E6068:F6068"/>
    <mergeCell ref="E6069:F6069"/>
    <mergeCell ref="H6071:I6071"/>
    <mergeCell ref="E6073:F6073"/>
    <mergeCell ref="E6074:F6074"/>
    <mergeCell ref="E6075:F6075"/>
    <mergeCell ref="E6060:F6060"/>
    <mergeCell ref="E6061:F6061"/>
    <mergeCell ref="E6062:F6062"/>
    <mergeCell ref="E6063:F6063"/>
    <mergeCell ref="H6065:I6065"/>
    <mergeCell ref="E6067:F6067"/>
    <mergeCell ref="E6094:F6094"/>
    <mergeCell ref="E6095:F6095"/>
    <mergeCell ref="H6097:I6097"/>
    <mergeCell ref="E6099:F6099"/>
    <mergeCell ref="E6100:F6100"/>
    <mergeCell ref="E6007:F6007"/>
    <mergeCell ref="E6008:F6008"/>
    <mergeCell ref="E6009:F6009"/>
    <mergeCell ref="E6010:F6010"/>
    <mergeCell ref="E6011:F6011"/>
    <mergeCell ref="E6036:F6036"/>
    <mergeCell ref="H6038:I6038"/>
    <mergeCell ref="E6040:F6040"/>
    <mergeCell ref="E6041:F6041"/>
    <mergeCell ref="E6042:F6042"/>
    <mergeCell ref="H6044:I6044"/>
    <mergeCell ref="E6028:F6028"/>
    <mergeCell ref="E6029:F6029"/>
    <mergeCell ref="E6030:F6030"/>
    <mergeCell ref="H6032:I6032"/>
    <mergeCell ref="E6034:F6034"/>
    <mergeCell ref="E6035:F6035"/>
    <mergeCell ref="E6020:F6020"/>
    <mergeCell ref="E6021:F6021"/>
    <mergeCell ref="H6023:I6023"/>
    <mergeCell ref="E6025:F6025"/>
    <mergeCell ref="E6026:F6026"/>
    <mergeCell ref="E6027:F6027"/>
    <mergeCell ref="E6012:F6012"/>
    <mergeCell ref="E6013:F6013"/>
    <mergeCell ref="E6014:F6014"/>
    <mergeCell ref="H6016:I6016"/>
    <mergeCell ref="E6018:F6018"/>
    <mergeCell ref="E6019:F6019"/>
    <mergeCell ref="E6046:F6046"/>
    <mergeCell ref="E6047:F6047"/>
    <mergeCell ref="E6048:F6048"/>
    <mergeCell ref="H6050:I6050"/>
    <mergeCell ref="E6052:F6052"/>
    <mergeCell ref="E5961:F5961"/>
    <mergeCell ref="H5963:I5963"/>
    <mergeCell ref="E5965:F5965"/>
    <mergeCell ref="E5966:F5966"/>
    <mergeCell ref="E5967:F5967"/>
    <mergeCell ref="E5992:F5992"/>
    <mergeCell ref="H5994:I5994"/>
    <mergeCell ref="E5996:F5996"/>
    <mergeCell ref="E5997:F5997"/>
    <mergeCell ref="E5998:F5998"/>
    <mergeCell ref="E5999:F5999"/>
    <mergeCell ref="E5986:F5986"/>
    <mergeCell ref="E5987:F5987"/>
    <mergeCell ref="E5988:F5988"/>
    <mergeCell ref="E5989:F5989"/>
    <mergeCell ref="E5990:F5990"/>
    <mergeCell ref="E5991:F5991"/>
    <mergeCell ref="E5978:F5978"/>
    <mergeCell ref="E5979:F5979"/>
    <mergeCell ref="E5980:F5980"/>
    <mergeCell ref="E5981:F5981"/>
    <mergeCell ref="E5982:F5982"/>
    <mergeCell ref="H5984:I5984"/>
    <mergeCell ref="H5969:I5969"/>
    <mergeCell ref="E5971:F5971"/>
    <mergeCell ref="E5972:F5972"/>
    <mergeCell ref="E5973:F5973"/>
    <mergeCell ref="H5975:I5975"/>
    <mergeCell ref="E5977:F5977"/>
    <mergeCell ref="E6000:F6000"/>
    <mergeCell ref="E6001:F6001"/>
    <mergeCell ref="E6002:F6002"/>
    <mergeCell ref="H6004:I6004"/>
    <mergeCell ref="E6006:F6006"/>
    <mergeCell ref="E5913:F5913"/>
    <mergeCell ref="E5914:F5914"/>
    <mergeCell ref="E5915:F5915"/>
    <mergeCell ref="H5917:I5917"/>
    <mergeCell ref="E5919:F5919"/>
    <mergeCell ref="E5946:F5946"/>
    <mergeCell ref="E5947:F5947"/>
    <mergeCell ref="E5948:F5948"/>
    <mergeCell ref="E5949:F5949"/>
    <mergeCell ref="H5951:I5951"/>
    <mergeCell ref="E5953:F5953"/>
    <mergeCell ref="E5938:F5938"/>
    <mergeCell ref="E5939:F5939"/>
    <mergeCell ref="E5940:F5940"/>
    <mergeCell ref="H5942:I5942"/>
    <mergeCell ref="E5944:F5944"/>
    <mergeCell ref="E5945:F5945"/>
    <mergeCell ref="H5929:I5929"/>
    <mergeCell ref="E5931:F5931"/>
    <mergeCell ref="E5932:F5932"/>
    <mergeCell ref="E5933:F5933"/>
    <mergeCell ref="H5935:I5935"/>
    <mergeCell ref="E5937:F5937"/>
    <mergeCell ref="E5920:F5920"/>
    <mergeCell ref="E5921:F5921"/>
    <mergeCell ref="H5923:I5923"/>
    <mergeCell ref="E5925:F5925"/>
    <mergeCell ref="E5926:F5926"/>
    <mergeCell ref="E5927:F5927"/>
    <mergeCell ref="E5954:F5954"/>
    <mergeCell ref="E5955:F5955"/>
    <mergeCell ref="H5957:I5957"/>
    <mergeCell ref="E5959:F5959"/>
    <mergeCell ref="E5960:F5960"/>
    <mergeCell ref="E5871:F5871"/>
    <mergeCell ref="E5872:F5872"/>
    <mergeCell ref="E5873:F5873"/>
    <mergeCell ref="E5874:F5874"/>
    <mergeCell ref="E5875:F5875"/>
    <mergeCell ref="E5898:F5898"/>
    <mergeCell ref="E5899:F5899"/>
    <mergeCell ref="E5900:F5900"/>
    <mergeCell ref="H5902:I5902"/>
    <mergeCell ref="E5904:F5904"/>
    <mergeCell ref="E5905:F5905"/>
    <mergeCell ref="E5890:F5890"/>
    <mergeCell ref="E5891:F5891"/>
    <mergeCell ref="E5892:F5892"/>
    <mergeCell ref="E5893:F5893"/>
    <mergeCell ref="H5895:I5895"/>
    <mergeCell ref="E5897:F5897"/>
    <mergeCell ref="E5884:F5884"/>
    <mergeCell ref="E5885:F5885"/>
    <mergeCell ref="E5886:F5886"/>
    <mergeCell ref="E5887:F5887"/>
    <mergeCell ref="E5888:F5888"/>
    <mergeCell ref="E5889:F5889"/>
    <mergeCell ref="E5876:F5876"/>
    <mergeCell ref="E5877:F5877"/>
    <mergeCell ref="E5878:F5878"/>
    <mergeCell ref="E5879:F5879"/>
    <mergeCell ref="E5880:F5880"/>
    <mergeCell ref="H5882:I5882"/>
    <mergeCell ref="E5906:F5906"/>
    <mergeCell ref="E5907:F5907"/>
    <mergeCell ref="E5908:F5908"/>
    <mergeCell ref="E5909:F5909"/>
    <mergeCell ref="H5911:I5911"/>
    <mergeCell ref="E5833:F5833"/>
    <mergeCell ref="E5834:F5834"/>
    <mergeCell ref="E5835:F5835"/>
    <mergeCell ref="E5836:F5836"/>
    <mergeCell ref="E5837:F5837"/>
    <mergeCell ref="E5858:F5858"/>
    <mergeCell ref="E5859:F5859"/>
    <mergeCell ref="E5860:F5860"/>
    <mergeCell ref="E5861:F5861"/>
    <mergeCell ref="E5862:F5862"/>
    <mergeCell ref="H5864:I5864"/>
    <mergeCell ref="E5852:F5852"/>
    <mergeCell ref="E5853:F5853"/>
    <mergeCell ref="E5854:F5854"/>
    <mergeCell ref="E5855:F5855"/>
    <mergeCell ref="E5856:F5856"/>
    <mergeCell ref="E5857:F5857"/>
    <mergeCell ref="H5845:I5845"/>
    <mergeCell ref="E5847:F5847"/>
    <mergeCell ref="E5848:F5848"/>
    <mergeCell ref="E5849:F5849"/>
    <mergeCell ref="E5850:F5850"/>
    <mergeCell ref="E5851:F5851"/>
    <mergeCell ref="E5838:F5838"/>
    <mergeCell ref="E5839:F5839"/>
    <mergeCell ref="E5840:F5840"/>
    <mergeCell ref="E5841:F5841"/>
    <mergeCell ref="E5842:F5842"/>
    <mergeCell ref="E5843:F5843"/>
    <mergeCell ref="E5866:F5866"/>
    <mergeCell ref="E5867:F5867"/>
    <mergeCell ref="E5868:F5868"/>
    <mergeCell ref="E5869:F5869"/>
    <mergeCell ref="E5870:F5870"/>
    <mergeCell ref="E5789:F5789"/>
    <mergeCell ref="E5790:F5790"/>
    <mergeCell ref="E5791:F5791"/>
    <mergeCell ref="E5792:F5792"/>
    <mergeCell ref="E5793:F5793"/>
    <mergeCell ref="E5818:F5818"/>
    <mergeCell ref="H5820:I5820"/>
    <mergeCell ref="E5822:F5822"/>
    <mergeCell ref="E5823:F5823"/>
    <mergeCell ref="E5824:F5824"/>
    <mergeCell ref="H5826:I5826"/>
    <mergeCell ref="E5810:F5810"/>
    <mergeCell ref="E5811:F5811"/>
    <mergeCell ref="E5812:F5812"/>
    <mergeCell ref="H5814:I5814"/>
    <mergeCell ref="E5816:F5816"/>
    <mergeCell ref="E5817:F5817"/>
    <mergeCell ref="E5802:F5802"/>
    <mergeCell ref="E5803:F5803"/>
    <mergeCell ref="E5804:F5804"/>
    <mergeCell ref="E5805:F5805"/>
    <mergeCell ref="E5806:F5806"/>
    <mergeCell ref="H5808:I5808"/>
    <mergeCell ref="H5795:I5795"/>
    <mergeCell ref="E5797:F5797"/>
    <mergeCell ref="E5798:F5798"/>
    <mergeCell ref="E5799:F5799"/>
    <mergeCell ref="E5800:F5800"/>
    <mergeCell ref="E5801:F5801"/>
    <mergeCell ref="E5828:F5828"/>
    <mergeCell ref="E5829:F5829"/>
    <mergeCell ref="E5830:F5830"/>
    <mergeCell ref="E5831:F5831"/>
    <mergeCell ref="E5832:F5832"/>
    <mergeCell ref="E5749:F5749"/>
    <mergeCell ref="E5750:F5750"/>
    <mergeCell ref="E5751:F5751"/>
    <mergeCell ref="E5752:F5752"/>
    <mergeCell ref="E5753:F5753"/>
    <mergeCell ref="E5776:F5776"/>
    <mergeCell ref="E5777:F5777"/>
    <mergeCell ref="E5778:F5778"/>
    <mergeCell ref="E5779:F5779"/>
    <mergeCell ref="E5780:F5780"/>
    <mergeCell ref="H5782:I5782"/>
    <mergeCell ref="H5769:I5769"/>
    <mergeCell ref="E5771:F5771"/>
    <mergeCell ref="E5772:F5772"/>
    <mergeCell ref="E5773:F5773"/>
    <mergeCell ref="E5774:F5774"/>
    <mergeCell ref="E5775:F5775"/>
    <mergeCell ref="E5762:F5762"/>
    <mergeCell ref="E5763:F5763"/>
    <mergeCell ref="E5764:F5764"/>
    <mergeCell ref="E5765:F5765"/>
    <mergeCell ref="E5766:F5766"/>
    <mergeCell ref="E5767:F5767"/>
    <mergeCell ref="E5754:F5754"/>
    <mergeCell ref="H5756:I5756"/>
    <mergeCell ref="E5758:F5758"/>
    <mergeCell ref="E5759:F5759"/>
    <mergeCell ref="E5760:F5760"/>
    <mergeCell ref="E5761:F5761"/>
    <mergeCell ref="E5784:F5784"/>
    <mergeCell ref="E5785:F5785"/>
    <mergeCell ref="E5786:F5786"/>
    <mergeCell ref="E5787:F5787"/>
    <mergeCell ref="E5788:F5788"/>
    <mergeCell ref="E5707:F5707"/>
    <mergeCell ref="E5708:F5708"/>
    <mergeCell ref="E5709:F5709"/>
    <mergeCell ref="H5711:I5711"/>
    <mergeCell ref="E5713:F5713"/>
    <mergeCell ref="E5736:F5736"/>
    <mergeCell ref="E5737:F5737"/>
    <mergeCell ref="E5738:F5738"/>
    <mergeCell ref="E5739:F5739"/>
    <mergeCell ref="E5740:F5740"/>
    <mergeCell ref="E5741:F5741"/>
    <mergeCell ref="E5728:F5728"/>
    <mergeCell ref="H5730:I5730"/>
    <mergeCell ref="E5732:F5732"/>
    <mergeCell ref="E5733:F5733"/>
    <mergeCell ref="E5734:F5734"/>
    <mergeCell ref="E5735:F5735"/>
    <mergeCell ref="E5722:F5722"/>
    <mergeCell ref="E5723:F5723"/>
    <mergeCell ref="E5724:F5724"/>
    <mergeCell ref="E5725:F5725"/>
    <mergeCell ref="E5726:F5726"/>
    <mergeCell ref="E5727:F5727"/>
    <mergeCell ref="E5714:F5714"/>
    <mergeCell ref="E5715:F5715"/>
    <mergeCell ref="H5717:I5717"/>
    <mergeCell ref="E5719:F5719"/>
    <mergeCell ref="E5720:F5720"/>
    <mergeCell ref="E5721:F5721"/>
    <mergeCell ref="H5743:I5743"/>
    <mergeCell ref="E5745:F5745"/>
    <mergeCell ref="E5746:F5746"/>
    <mergeCell ref="E5747:F5747"/>
    <mergeCell ref="E5748:F5748"/>
    <mergeCell ref="H5660:I5660"/>
    <mergeCell ref="E5662:F5662"/>
    <mergeCell ref="E5663:F5663"/>
    <mergeCell ref="E5664:F5664"/>
    <mergeCell ref="H5666:I5666"/>
    <mergeCell ref="E5692:F5692"/>
    <mergeCell ref="E5693:F5693"/>
    <mergeCell ref="E5694:F5694"/>
    <mergeCell ref="E5695:F5695"/>
    <mergeCell ref="H5697:I5697"/>
    <mergeCell ref="E5699:F5699"/>
    <mergeCell ref="E5684:F5684"/>
    <mergeCell ref="E5685:F5685"/>
    <mergeCell ref="E5686:F5686"/>
    <mergeCell ref="E5687:F5687"/>
    <mergeCell ref="E5688:F5688"/>
    <mergeCell ref="H5690:I5690"/>
    <mergeCell ref="E5676:F5676"/>
    <mergeCell ref="E5677:F5677"/>
    <mergeCell ref="E5678:F5678"/>
    <mergeCell ref="H5680:I5680"/>
    <mergeCell ref="E5682:F5682"/>
    <mergeCell ref="E5683:F5683"/>
    <mergeCell ref="E5668:F5668"/>
    <mergeCell ref="E5669:F5669"/>
    <mergeCell ref="E5670:F5670"/>
    <mergeCell ref="H5672:I5672"/>
    <mergeCell ref="E5674:F5674"/>
    <mergeCell ref="E5675:F5675"/>
    <mergeCell ref="E5700:F5700"/>
    <mergeCell ref="E5701:F5701"/>
    <mergeCell ref="E5702:F5702"/>
    <mergeCell ref="H5704:I5704"/>
    <mergeCell ref="E5706:F5706"/>
    <mergeCell ref="E5615:F5615"/>
    <mergeCell ref="E5616:F5616"/>
    <mergeCell ref="E5617:F5617"/>
    <mergeCell ref="H5619:I5619"/>
    <mergeCell ref="E5621:F5621"/>
    <mergeCell ref="E5644:F5644"/>
    <mergeCell ref="E5645:F5645"/>
    <mergeCell ref="E5646:F5646"/>
    <mergeCell ref="H5648:I5648"/>
    <mergeCell ref="E5650:F5650"/>
    <mergeCell ref="E5651:F5651"/>
    <mergeCell ref="E5636:F5636"/>
    <mergeCell ref="E5637:F5637"/>
    <mergeCell ref="H5639:I5639"/>
    <mergeCell ref="E5641:F5641"/>
    <mergeCell ref="E5642:F5642"/>
    <mergeCell ref="E5643:F5643"/>
    <mergeCell ref="E5628:F5628"/>
    <mergeCell ref="E5629:F5629"/>
    <mergeCell ref="E5630:F5630"/>
    <mergeCell ref="H5632:I5632"/>
    <mergeCell ref="E5634:F5634"/>
    <mergeCell ref="E5635:F5635"/>
    <mergeCell ref="E5622:F5622"/>
    <mergeCell ref="E5623:F5623"/>
    <mergeCell ref="E5624:F5624"/>
    <mergeCell ref="E5625:F5625"/>
    <mergeCell ref="E5626:F5626"/>
    <mergeCell ref="E5627:F5627"/>
    <mergeCell ref="E5652:F5652"/>
    <mergeCell ref="H5654:I5654"/>
    <mergeCell ref="E5656:F5656"/>
    <mergeCell ref="E5657:F5657"/>
    <mergeCell ref="E5658:F5658"/>
    <mergeCell ref="E5610:F5610"/>
    <mergeCell ref="E5611:F5611"/>
    <mergeCell ref="E5612:F5612"/>
    <mergeCell ref="E5613:F5613"/>
    <mergeCell ref="E5614:F5614"/>
    <mergeCell ref="E5573:F5573"/>
    <mergeCell ref="E5582:F5582"/>
    <mergeCell ref="E5591:F5591"/>
    <mergeCell ref="E5602:F5602"/>
    <mergeCell ref="E5603:F5603"/>
    <mergeCell ref="E5604:F5604"/>
    <mergeCell ref="H5606:I5606"/>
    <mergeCell ref="E5608:F5608"/>
    <mergeCell ref="E5609:F5609"/>
    <mergeCell ref="E5596:F5596"/>
    <mergeCell ref="E5597:F5597"/>
    <mergeCell ref="E5598:F5598"/>
    <mergeCell ref="E5599:F5599"/>
    <mergeCell ref="E5600:F5600"/>
    <mergeCell ref="E5601:F5601"/>
    <mergeCell ref="H5593:I5593"/>
    <mergeCell ref="E5595:F5595"/>
    <mergeCell ref="E5552:F5552"/>
    <mergeCell ref="E5553:F5553"/>
    <mergeCell ref="E5554:F5554"/>
    <mergeCell ref="E5555:F5555"/>
    <mergeCell ref="E5556:F5556"/>
    <mergeCell ref="E5557:F5557"/>
    <mergeCell ref="H5559:I5559"/>
    <mergeCell ref="E5561:F5561"/>
    <mergeCell ref="H5584:I5584"/>
    <mergeCell ref="E5586:F5586"/>
    <mergeCell ref="E5587:F5587"/>
    <mergeCell ref="E5588:F5588"/>
    <mergeCell ref="E5589:F5589"/>
    <mergeCell ref="E5590:F5590"/>
    <mergeCell ref="H5575:I5575"/>
    <mergeCell ref="E5577:F5577"/>
    <mergeCell ref="E5578:F5578"/>
    <mergeCell ref="E5579:F5579"/>
    <mergeCell ref="E5580:F5580"/>
    <mergeCell ref="E5581:F5581"/>
    <mergeCell ref="H5543:I5543"/>
    <mergeCell ref="E5545:F5545"/>
    <mergeCell ref="E5546:F5546"/>
    <mergeCell ref="E5547:F5547"/>
    <mergeCell ref="H5549:I5549"/>
    <mergeCell ref="E5551:F5551"/>
    <mergeCell ref="H5531:I5531"/>
    <mergeCell ref="E5533:F5533"/>
    <mergeCell ref="E5534:F5534"/>
    <mergeCell ref="E5535:F5535"/>
    <mergeCell ref="H5537:I5537"/>
    <mergeCell ref="E5539:F5539"/>
    <mergeCell ref="E5570:F5570"/>
    <mergeCell ref="E5571:F5571"/>
    <mergeCell ref="E5572:F5572"/>
    <mergeCell ref="E5527:F5527"/>
    <mergeCell ref="E5528:F5528"/>
    <mergeCell ref="E5529:F5529"/>
    <mergeCell ref="E5540:F5540"/>
    <mergeCell ref="E5541:F5541"/>
    <mergeCell ref="E5562:F5562"/>
    <mergeCell ref="E5563:F5563"/>
    <mergeCell ref="E5564:F5564"/>
    <mergeCell ref="E5565:F5565"/>
    <mergeCell ref="H5567:I5567"/>
    <mergeCell ref="E5569:F5569"/>
    <mergeCell ref="E5483:F5483"/>
    <mergeCell ref="E5484:F5484"/>
    <mergeCell ref="E5485:F5485"/>
    <mergeCell ref="E5486:F5486"/>
    <mergeCell ref="H5488:I5488"/>
    <mergeCell ref="E5512:F5512"/>
    <mergeCell ref="E5513:F5513"/>
    <mergeCell ref="E5514:F5514"/>
    <mergeCell ref="H5516:I5516"/>
    <mergeCell ref="E5518:F5518"/>
    <mergeCell ref="E5519:F5519"/>
    <mergeCell ref="E5504:F5504"/>
    <mergeCell ref="E5505:F5505"/>
    <mergeCell ref="E5506:F5506"/>
    <mergeCell ref="E5507:F5507"/>
    <mergeCell ref="H5509:I5509"/>
    <mergeCell ref="E5511:F5511"/>
    <mergeCell ref="E5498:F5498"/>
    <mergeCell ref="E5499:F5499"/>
    <mergeCell ref="E5500:F5500"/>
    <mergeCell ref="E5501:F5501"/>
    <mergeCell ref="E5502:F5502"/>
    <mergeCell ref="E5503:F5503"/>
    <mergeCell ref="E5490:F5490"/>
    <mergeCell ref="E5491:F5491"/>
    <mergeCell ref="E5492:F5492"/>
    <mergeCell ref="E5493:F5493"/>
    <mergeCell ref="E5494:F5494"/>
    <mergeCell ref="H5496:I5496"/>
    <mergeCell ref="E5520:F5520"/>
    <mergeCell ref="E5521:F5521"/>
    <mergeCell ref="E5522:F5522"/>
    <mergeCell ref="E5523:F5523"/>
    <mergeCell ref="H5525:I5525"/>
    <mergeCell ref="E5439:F5439"/>
    <mergeCell ref="E5440:F5440"/>
    <mergeCell ref="E5441:F5441"/>
    <mergeCell ref="E5442:F5442"/>
    <mergeCell ref="E5443:F5443"/>
    <mergeCell ref="E5468:F5468"/>
    <mergeCell ref="E5469:F5469"/>
    <mergeCell ref="H5471:I5471"/>
    <mergeCell ref="E5473:F5473"/>
    <mergeCell ref="E5474:F5474"/>
    <mergeCell ref="E5475:F5475"/>
    <mergeCell ref="E5460:F5460"/>
    <mergeCell ref="E5461:F5461"/>
    <mergeCell ref="H5463:I5463"/>
    <mergeCell ref="E5465:F5465"/>
    <mergeCell ref="E5466:F5466"/>
    <mergeCell ref="E5467:F5467"/>
    <mergeCell ref="E5452:F5452"/>
    <mergeCell ref="H5454:I5454"/>
    <mergeCell ref="E5456:F5456"/>
    <mergeCell ref="E5457:F5457"/>
    <mergeCell ref="E5458:F5458"/>
    <mergeCell ref="E5459:F5459"/>
    <mergeCell ref="E5444:F5444"/>
    <mergeCell ref="H5446:I5446"/>
    <mergeCell ref="E5448:F5448"/>
    <mergeCell ref="E5449:F5449"/>
    <mergeCell ref="E5450:F5450"/>
    <mergeCell ref="E5451:F5451"/>
    <mergeCell ref="E5476:F5476"/>
    <mergeCell ref="E5477:F5477"/>
    <mergeCell ref="E5478:F5478"/>
    <mergeCell ref="H5480:I5480"/>
    <mergeCell ref="E5482:F5482"/>
    <mergeCell ref="E5397:F5397"/>
    <mergeCell ref="E5398:F5398"/>
    <mergeCell ref="E5399:F5399"/>
    <mergeCell ref="E5400:F5400"/>
    <mergeCell ref="E5401:F5401"/>
    <mergeCell ref="E5424:F5424"/>
    <mergeCell ref="H5426:I5426"/>
    <mergeCell ref="E5428:F5428"/>
    <mergeCell ref="E5429:F5429"/>
    <mergeCell ref="E5430:F5430"/>
    <mergeCell ref="E5431:F5431"/>
    <mergeCell ref="E5418:F5418"/>
    <mergeCell ref="E5419:F5419"/>
    <mergeCell ref="E5420:F5420"/>
    <mergeCell ref="E5421:F5421"/>
    <mergeCell ref="E5422:F5422"/>
    <mergeCell ref="E5423:F5423"/>
    <mergeCell ref="E5410:F5410"/>
    <mergeCell ref="E5411:F5411"/>
    <mergeCell ref="E5412:F5412"/>
    <mergeCell ref="E5413:F5413"/>
    <mergeCell ref="E5414:F5414"/>
    <mergeCell ref="H5416:I5416"/>
    <mergeCell ref="E5402:F5402"/>
    <mergeCell ref="E5403:F5403"/>
    <mergeCell ref="E5404:F5404"/>
    <mergeCell ref="H5406:I5406"/>
    <mergeCell ref="E5408:F5408"/>
    <mergeCell ref="E5409:F5409"/>
    <mergeCell ref="E5432:F5432"/>
    <mergeCell ref="E5433:F5433"/>
    <mergeCell ref="E5434:F5434"/>
    <mergeCell ref="H5436:I5436"/>
    <mergeCell ref="E5438:F5438"/>
    <mergeCell ref="E5349:F5349"/>
    <mergeCell ref="H5351:I5351"/>
    <mergeCell ref="E5353:F5353"/>
    <mergeCell ref="E5354:F5354"/>
    <mergeCell ref="E5355:F5355"/>
    <mergeCell ref="E5382:F5382"/>
    <mergeCell ref="E5383:F5383"/>
    <mergeCell ref="H5385:I5385"/>
    <mergeCell ref="E5387:F5387"/>
    <mergeCell ref="E5388:F5388"/>
    <mergeCell ref="E5389:F5389"/>
    <mergeCell ref="E5374:F5374"/>
    <mergeCell ref="E5375:F5375"/>
    <mergeCell ref="E5376:F5376"/>
    <mergeCell ref="E5377:F5377"/>
    <mergeCell ref="H5379:I5379"/>
    <mergeCell ref="E5381:F5381"/>
    <mergeCell ref="H5365:I5365"/>
    <mergeCell ref="E5367:F5367"/>
    <mergeCell ref="E5368:F5368"/>
    <mergeCell ref="E5369:F5369"/>
    <mergeCell ref="E5370:F5370"/>
    <mergeCell ref="H5372:I5372"/>
    <mergeCell ref="E5356:F5356"/>
    <mergeCell ref="H5358:I5358"/>
    <mergeCell ref="E5360:F5360"/>
    <mergeCell ref="E5361:F5361"/>
    <mergeCell ref="E5362:F5362"/>
    <mergeCell ref="E5363:F5363"/>
    <mergeCell ref="E5390:F5390"/>
    <mergeCell ref="E5391:F5391"/>
    <mergeCell ref="H5393:I5393"/>
    <mergeCell ref="E5395:F5395"/>
    <mergeCell ref="E5396:F5396"/>
    <mergeCell ref="H5304:I5304"/>
    <mergeCell ref="E5306:F5306"/>
    <mergeCell ref="E5307:F5307"/>
    <mergeCell ref="E5308:F5308"/>
    <mergeCell ref="E5309:F5309"/>
    <mergeCell ref="E5336:F5336"/>
    <mergeCell ref="E5337:F5337"/>
    <mergeCell ref="E5338:F5338"/>
    <mergeCell ref="H5340:I5340"/>
    <mergeCell ref="E5342:F5342"/>
    <mergeCell ref="E5343:F5343"/>
    <mergeCell ref="E5328:F5328"/>
    <mergeCell ref="E5329:F5329"/>
    <mergeCell ref="H5331:I5331"/>
    <mergeCell ref="E5333:F5333"/>
    <mergeCell ref="E5334:F5334"/>
    <mergeCell ref="E5335:F5335"/>
    <mergeCell ref="E5320:F5320"/>
    <mergeCell ref="E5321:F5321"/>
    <mergeCell ref="E5322:F5322"/>
    <mergeCell ref="E5323:F5323"/>
    <mergeCell ref="H5325:I5325"/>
    <mergeCell ref="E5327:F5327"/>
    <mergeCell ref="H5311:I5311"/>
    <mergeCell ref="E5313:F5313"/>
    <mergeCell ref="E5314:F5314"/>
    <mergeCell ref="E5315:F5315"/>
    <mergeCell ref="E5316:F5316"/>
    <mergeCell ref="H5318:I5318"/>
    <mergeCell ref="E5344:F5344"/>
    <mergeCell ref="E5345:F5345"/>
    <mergeCell ref="E5346:F5346"/>
    <mergeCell ref="E5347:F5347"/>
    <mergeCell ref="E5348:F5348"/>
    <mergeCell ref="H5256:I5256"/>
    <mergeCell ref="E5258:F5258"/>
    <mergeCell ref="E5259:F5259"/>
    <mergeCell ref="E5260:F5260"/>
    <mergeCell ref="H5262:I5262"/>
    <mergeCell ref="E5290:F5290"/>
    <mergeCell ref="E5291:F5291"/>
    <mergeCell ref="E5292:F5292"/>
    <mergeCell ref="E5293:F5293"/>
    <mergeCell ref="E5294:F5294"/>
    <mergeCell ref="E5295:F5295"/>
    <mergeCell ref="E5282:F5282"/>
    <mergeCell ref="E5283:F5283"/>
    <mergeCell ref="E5284:F5284"/>
    <mergeCell ref="H5286:I5286"/>
    <mergeCell ref="E5288:F5288"/>
    <mergeCell ref="E5289:F5289"/>
    <mergeCell ref="E5272:F5272"/>
    <mergeCell ref="H5274:I5274"/>
    <mergeCell ref="E5276:F5276"/>
    <mergeCell ref="E5277:F5277"/>
    <mergeCell ref="E5278:F5278"/>
    <mergeCell ref="H5280:I5280"/>
    <mergeCell ref="E5264:F5264"/>
    <mergeCell ref="E5265:F5265"/>
    <mergeCell ref="E5266:F5266"/>
    <mergeCell ref="H5268:I5268"/>
    <mergeCell ref="E5270:F5270"/>
    <mergeCell ref="E5271:F5271"/>
    <mergeCell ref="H5297:I5297"/>
    <mergeCell ref="E5299:F5299"/>
    <mergeCell ref="E5300:F5300"/>
    <mergeCell ref="E5301:F5301"/>
    <mergeCell ref="E5302:F5302"/>
    <mergeCell ref="E5209:F5209"/>
    <mergeCell ref="E5210:F5210"/>
    <mergeCell ref="E5221:F5221"/>
    <mergeCell ref="E5222:F5222"/>
    <mergeCell ref="E5233:F5233"/>
    <mergeCell ref="E5242:F5242"/>
    <mergeCell ref="E5243:F5243"/>
    <mergeCell ref="H5245:I5245"/>
    <mergeCell ref="E5247:F5247"/>
    <mergeCell ref="E5248:F5248"/>
    <mergeCell ref="E5249:F5249"/>
    <mergeCell ref="E5234:F5234"/>
    <mergeCell ref="H5236:I5236"/>
    <mergeCell ref="E5238:F5238"/>
    <mergeCell ref="E5239:F5239"/>
    <mergeCell ref="E5240:F5240"/>
    <mergeCell ref="E5241:F5241"/>
    <mergeCell ref="H5224:I5224"/>
    <mergeCell ref="E5226:F5226"/>
    <mergeCell ref="E5227:F5227"/>
    <mergeCell ref="E5228:F5228"/>
    <mergeCell ref="H5230:I5230"/>
    <mergeCell ref="E5232:F5232"/>
    <mergeCell ref="H5212:I5212"/>
    <mergeCell ref="E5214:F5214"/>
    <mergeCell ref="E5215:F5215"/>
    <mergeCell ref="E5216:F5216"/>
    <mergeCell ref="H5218:I5218"/>
    <mergeCell ref="E5220:F5220"/>
    <mergeCell ref="E5250:F5250"/>
    <mergeCell ref="E5251:F5251"/>
    <mergeCell ref="E5252:F5252"/>
    <mergeCell ref="E5253:F5253"/>
    <mergeCell ref="E5254:F5254"/>
    <mergeCell ref="E5161:F5161"/>
    <mergeCell ref="E5162:F5162"/>
    <mergeCell ref="H5164:I5164"/>
    <mergeCell ref="E5166:F5166"/>
    <mergeCell ref="E5167:F5167"/>
    <mergeCell ref="E5192:F5192"/>
    <mergeCell ref="H5194:I5194"/>
    <mergeCell ref="E5196:F5196"/>
    <mergeCell ref="E5197:F5197"/>
    <mergeCell ref="E5198:F5198"/>
    <mergeCell ref="H5200:I5200"/>
    <mergeCell ref="E5184:F5184"/>
    <mergeCell ref="E5185:F5185"/>
    <mergeCell ref="E5186:F5186"/>
    <mergeCell ref="H5188:I5188"/>
    <mergeCell ref="E5190:F5190"/>
    <mergeCell ref="E5191:F5191"/>
    <mergeCell ref="E5176:F5176"/>
    <mergeCell ref="E5177:F5177"/>
    <mergeCell ref="E5178:F5178"/>
    <mergeCell ref="E5179:F5179"/>
    <mergeCell ref="E5180:F5180"/>
    <mergeCell ref="H5182:I5182"/>
    <mergeCell ref="E5168:F5168"/>
    <mergeCell ref="E5169:F5169"/>
    <mergeCell ref="E5170:F5170"/>
    <mergeCell ref="H5172:I5172"/>
    <mergeCell ref="E5174:F5174"/>
    <mergeCell ref="E5175:F5175"/>
    <mergeCell ref="E5202:F5202"/>
    <mergeCell ref="E5203:F5203"/>
    <mergeCell ref="E5204:F5204"/>
    <mergeCell ref="H5206:I5206"/>
    <mergeCell ref="E5208:F5208"/>
    <mergeCell ref="E5119:F5119"/>
    <mergeCell ref="E5120:F5120"/>
    <mergeCell ref="E5121:F5121"/>
    <mergeCell ref="H5123:I5123"/>
    <mergeCell ref="E5125:F5125"/>
    <mergeCell ref="E5146:F5146"/>
    <mergeCell ref="H5148:I5148"/>
    <mergeCell ref="E5150:F5150"/>
    <mergeCell ref="E5151:F5151"/>
    <mergeCell ref="E5152:F5152"/>
    <mergeCell ref="E5153:F5153"/>
    <mergeCell ref="E5140:F5140"/>
    <mergeCell ref="E5141:F5141"/>
    <mergeCell ref="E5142:F5142"/>
    <mergeCell ref="E5143:F5143"/>
    <mergeCell ref="E5144:F5144"/>
    <mergeCell ref="E5145:F5145"/>
    <mergeCell ref="E5132:F5132"/>
    <mergeCell ref="E5133:F5133"/>
    <mergeCell ref="E5134:F5134"/>
    <mergeCell ref="H5136:I5136"/>
    <mergeCell ref="E5138:F5138"/>
    <mergeCell ref="E5139:F5139"/>
    <mergeCell ref="E5126:F5126"/>
    <mergeCell ref="E5127:F5127"/>
    <mergeCell ref="E5128:F5128"/>
    <mergeCell ref="E5129:F5129"/>
    <mergeCell ref="E5130:F5130"/>
    <mergeCell ref="E5131:F5131"/>
    <mergeCell ref="E5154:F5154"/>
    <mergeCell ref="H5156:I5156"/>
    <mergeCell ref="E5158:F5158"/>
    <mergeCell ref="E5159:F5159"/>
    <mergeCell ref="E5160:F5160"/>
    <mergeCell ref="E5075:F5075"/>
    <mergeCell ref="E5086:F5086"/>
    <mergeCell ref="E5087:F5087"/>
    <mergeCell ref="E5098:F5098"/>
    <mergeCell ref="E5099:F5099"/>
    <mergeCell ref="E5106:F5106"/>
    <mergeCell ref="E5107:F5107"/>
    <mergeCell ref="E5108:F5108"/>
    <mergeCell ref="E5109:F5109"/>
    <mergeCell ref="H5111:I5111"/>
    <mergeCell ref="E5113:F5113"/>
    <mergeCell ref="E5100:F5100"/>
    <mergeCell ref="E5101:F5101"/>
    <mergeCell ref="E5102:F5102"/>
    <mergeCell ref="E5103:F5103"/>
    <mergeCell ref="E5104:F5104"/>
    <mergeCell ref="E5105:F5105"/>
    <mergeCell ref="H5089:I5089"/>
    <mergeCell ref="E5091:F5091"/>
    <mergeCell ref="E5092:F5092"/>
    <mergeCell ref="E5093:F5093"/>
    <mergeCell ref="H5095:I5095"/>
    <mergeCell ref="E5097:F5097"/>
    <mergeCell ref="H5077:I5077"/>
    <mergeCell ref="E5079:F5079"/>
    <mergeCell ref="E5080:F5080"/>
    <mergeCell ref="E5081:F5081"/>
    <mergeCell ref="H5083:I5083"/>
    <mergeCell ref="E5085:F5085"/>
    <mergeCell ref="E5114:F5114"/>
    <mergeCell ref="E5115:F5115"/>
    <mergeCell ref="E5116:F5116"/>
    <mergeCell ref="E5117:F5117"/>
    <mergeCell ref="E5118:F5118"/>
    <mergeCell ref="H5030:I5030"/>
    <mergeCell ref="E5032:F5032"/>
    <mergeCell ref="E5033:F5033"/>
    <mergeCell ref="E5034:F5034"/>
    <mergeCell ref="H5036:I5036"/>
    <mergeCell ref="H5061:I5061"/>
    <mergeCell ref="E5063:F5063"/>
    <mergeCell ref="E5064:F5064"/>
    <mergeCell ref="E5065:F5065"/>
    <mergeCell ref="E5066:F5066"/>
    <mergeCell ref="E5067:F5067"/>
    <mergeCell ref="H5053:I5053"/>
    <mergeCell ref="E5055:F5055"/>
    <mergeCell ref="E5056:F5056"/>
    <mergeCell ref="E5057:F5057"/>
    <mergeCell ref="E5058:F5058"/>
    <mergeCell ref="E5059:F5059"/>
    <mergeCell ref="H5045:I5045"/>
    <mergeCell ref="E5047:F5047"/>
    <mergeCell ref="E5048:F5048"/>
    <mergeCell ref="E5049:F5049"/>
    <mergeCell ref="E5050:F5050"/>
    <mergeCell ref="E5051:F5051"/>
    <mergeCell ref="E5038:F5038"/>
    <mergeCell ref="E5039:F5039"/>
    <mergeCell ref="E5040:F5040"/>
    <mergeCell ref="E5041:F5041"/>
    <mergeCell ref="E5042:F5042"/>
    <mergeCell ref="E5043:F5043"/>
    <mergeCell ref="E5068:F5068"/>
    <mergeCell ref="E5069:F5069"/>
    <mergeCell ref="H5071:I5071"/>
    <mergeCell ref="E5073:F5073"/>
    <mergeCell ref="E5074:F5074"/>
    <mergeCell ref="E4983:F4983"/>
    <mergeCell ref="E4984:F4984"/>
    <mergeCell ref="E4985:F4985"/>
    <mergeCell ref="H4987:I4987"/>
    <mergeCell ref="E4989:F4989"/>
    <mergeCell ref="E5014:F5014"/>
    <mergeCell ref="E5015:F5015"/>
    <mergeCell ref="E5016:F5016"/>
    <mergeCell ref="H5018:I5018"/>
    <mergeCell ref="E5020:F5020"/>
    <mergeCell ref="E5021:F5021"/>
    <mergeCell ref="E5006:F5006"/>
    <mergeCell ref="E5007:F5007"/>
    <mergeCell ref="E5008:F5008"/>
    <mergeCell ref="E5009:F5009"/>
    <mergeCell ref="E5010:F5010"/>
    <mergeCell ref="H5012:I5012"/>
    <mergeCell ref="E4998:F4998"/>
    <mergeCell ref="E4999:F4999"/>
    <mergeCell ref="E5000:F5000"/>
    <mergeCell ref="E5001:F5001"/>
    <mergeCell ref="H5003:I5003"/>
    <mergeCell ref="E5005:F5005"/>
    <mergeCell ref="E4990:F4990"/>
    <mergeCell ref="E4991:F4991"/>
    <mergeCell ref="E4992:F4992"/>
    <mergeCell ref="E4993:F4993"/>
    <mergeCell ref="H4995:I4995"/>
    <mergeCell ref="E4997:F4997"/>
    <mergeCell ref="E5022:F5022"/>
    <mergeCell ref="H5024:I5024"/>
    <mergeCell ref="E5026:F5026"/>
    <mergeCell ref="E5027:F5027"/>
    <mergeCell ref="E5028:F5028"/>
    <mergeCell ref="E4931:F4931"/>
    <mergeCell ref="H4933:I4933"/>
    <mergeCell ref="E4935:F4935"/>
    <mergeCell ref="E4936:F4936"/>
    <mergeCell ref="E4937:F4937"/>
    <mergeCell ref="E4966:F4966"/>
    <mergeCell ref="E4967:F4967"/>
    <mergeCell ref="H4969:I4969"/>
    <mergeCell ref="E4971:F4971"/>
    <mergeCell ref="E4972:F4972"/>
    <mergeCell ref="E4973:F4973"/>
    <mergeCell ref="H4957:I4957"/>
    <mergeCell ref="E4959:F4959"/>
    <mergeCell ref="E4960:F4960"/>
    <mergeCell ref="E4961:F4961"/>
    <mergeCell ref="H4963:I4963"/>
    <mergeCell ref="E4965:F4965"/>
    <mergeCell ref="E4948:F4948"/>
    <mergeCell ref="E4949:F4949"/>
    <mergeCell ref="H4951:I4951"/>
    <mergeCell ref="E4953:F4953"/>
    <mergeCell ref="E4954:F4954"/>
    <mergeCell ref="E4955:F4955"/>
    <mergeCell ref="H4939:I4939"/>
    <mergeCell ref="E4941:F4941"/>
    <mergeCell ref="E4942:F4942"/>
    <mergeCell ref="E4943:F4943"/>
    <mergeCell ref="H4945:I4945"/>
    <mergeCell ref="E4947:F4947"/>
    <mergeCell ref="H4975:I4975"/>
    <mergeCell ref="E4977:F4977"/>
    <mergeCell ref="E4978:F4978"/>
    <mergeCell ref="E4979:F4979"/>
    <mergeCell ref="H4981:I4981"/>
    <mergeCell ref="E4881:F4881"/>
    <mergeCell ref="E4882:F4882"/>
    <mergeCell ref="E4883:F4883"/>
    <mergeCell ref="H4885:I4885"/>
    <mergeCell ref="E4887:F4887"/>
    <mergeCell ref="H4915:I4915"/>
    <mergeCell ref="E4917:F4917"/>
    <mergeCell ref="E4918:F4918"/>
    <mergeCell ref="E4919:F4919"/>
    <mergeCell ref="H4921:I4921"/>
    <mergeCell ref="E4923:F4923"/>
    <mergeCell ref="E4906:F4906"/>
    <mergeCell ref="E4907:F4907"/>
    <mergeCell ref="H4909:I4909"/>
    <mergeCell ref="E4911:F4911"/>
    <mergeCell ref="E4912:F4912"/>
    <mergeCell ref="E4913:F4913"/>
    <mergeCell ref="H4897:I4897"/>
    <mergeCell ref="E4899:F4899"/>
    <mergeCell ref="E4900:F4900"/>
    <mergeCell ref="E4901:F4901"/>
    <mergeCell ref="H4903:I4903"/>
    <mergeCell ref="E4905:F4905"/>
    <mergeCell ref="E4888:F4888"/>
    <mergeCell ref="E4889:F4889"/>
    <mergeCell ref="H4891:I4891"/>
    <mergeCell ref="E4893:F4893"/>
    <mergeCell ref="E4894:F4894"/>
    <mergeCell ref="E4895:F4895"/>
    <mergeCell ref="E4924:F4924"/>
    <mergeCell ref="E4925:F4925"/>
    <mergeCell ref="H4927:I4927"/>
    <mergeCell ref="E4929:F4929"/>
    <mergeCell ref="E4930:F4930"/>
    <mergeCell ref="E4829:F4829"/>
    <mergeCell ref="H4831:I4831"/>
    <mergeCell ref="E4833:F4833"/>
    <mergeCell ref="E4834:F4834"/>
    <mergeCell ref="E4835:F4835"/>
    <mergeCell ref="E4864:F4864"/>
    <mergeCell ref="E4865:F4865"/>
    <mergeCell ref="H4867:I4867"/>
    <mergeCell ref="E4869:F4869"/>
    <mergeCell ref="E4870:F4870"/>
    <mergeCell ref="E4871:F4871"/>
    <mergeCell ref="H4855:I4855"/>
    <mergeCell ref="E4857:F4857"/>
    <mergeCell ref="E4858:F4858"/>
    <mergeCell ref="E4859:F4859"/>
    <mergeCell ref="H4861:I4861"/>
    <mergeCell ref="E4863:F4863"/>
    <mergeCell ref="E4846:F4846"/>
    <mergeCell ref="E4847:F4847"/>
    <mergeCell ref="H4849:I4849"/>
    <mergeCell ref="E4851:F4851"/>
    <mergeCell ref="E4852:F4852"/>
    <mergeCell ref="E4853:F4853"/>
    <mergeCell ref="H4837:I4837"/>
    <mergeCell ref="E4839:F4839"/>
    <mergeCell ref="E4840:F4840"/>
    <mergeCell ref="E4841:F4841"/>
    <mergeCell ref="H4843:I4843"/>
    <mergeCell ref="E4845:F4845"/>
    <mergeCell ref="H4873:I4873"/>
    <mergeCell ref="E4875:F4875"/>
    <mergeCell ref="E4876:F4876"/>
    <mergeCell ref="E4877:F4877"/>
    <mergeCell ref="H4879:I4879"/>
    <mergeCell ref="E4779:F4779"/>
    <mergeCell ref="E4780:F4780"/>
    <mergeCell ref="E4781:F4781"/>
    <mergeCell ref="H4783:I4783"/>
    <mergeCell ref="E4785:F4785"/>
    <mergeCell ref="H4813:I4813"/>
    <mergeCell ref="E4815:F4815"/>
    <mergeCell ref="E4816:F4816"/>
    <mergeCell ref="E4817:F4817"/>
    <mergeCell ref="H4819:I4819"/>
    <mergeCell ref="E4821:F4821"/>
    <mergeCell ref="E4804:F4804"/>
    <mergeCell ref="E4805:F4805"/>
    <mergeCell ref="H4807:I4807"/>
    <mergeCell ref="E4809:F4809"/>
    <mergeCell ref="E4810:F4810"/>
    <mergeCell ref="E4811:F4811"/>
    <mergeCell ref="H4795:I4795"/>
    <mergeCell ref="E4797:F4797"/>
    <mergeCell ref="E4798:F4798"/>
    <mergeCell ref="E4799:F4799"/>
    <mergeCell ref="H4801:I4801"/>
    <mergeCell ref="E4803:F4803"/>
    <mergeCell ref="E4786:F4786"/>
    <mergeCell ref="E4787:F4787"/>
    <mergeCell ref="H4789:I4789"/>
    <mergeCell ref="E4791:F4791"/>
    <mergeCell ref="E4792:F4792"/>
    <mergeCell ref="E4793:F4793"/>
    <mergeCell ref="E4822:F4822"/>
    <mergeCell ref="E4823:F4823"/>
    <mergeCell ref="H4825:I4825"/>
    <mergeCell ref="E4827:F4827"/>
    <mergeCell ref="E4828:F4828"/>
    <mergeCell ref="E4731:F4731"/>
    <mergeCell ref="E4732:F4732"/>
    <mergeCell ref="E4733:F4733"/>
    <mergeCell ref="H4735:I4735"/>
    <mergeCell ref="E4737:F4737"/>
    <mergeCell ref="E4762:F4762"/>
    <mergeCell ref="E4763:F4763"/>
    <mergeCell ref="H4765:I4765"/>
    <mergeCell ref="E4767:F4767"/>
    <mergeCell ref="E4768:F4768"/>
    <mergeCell ref="E4769:F4769"/>
    <mergeCell ref="H4753:I4753"/>
    <mergeCell ref="E4755:F4755"/>
    <mergeCell ref="E4756:F4756"/>
    <mergeCell ref="E4757:F4757"/>
    <mergeCell ref="H4759:I4759"/>
    <mergeCell ref="E4761:F4761"/>
    <mergeCell ref="E4746:F4746"/>
    <mergeCell ref="E4747:F4747"/>
    <mergeCell ref="E4748:F4748"/>
    <mergeCell ref="E4749:F4749"/>
    <mergeCell ref="E4750:F4750"/>
    <mergeCell ref="E4751:F4751"/>
    <mergeCell ref="E4738:F4738"/>
    <mergeCell ref="E4739:F4739"/>
    <mergeCell ref="E4740:F4740"/>
    <mergeCell ref="E4741:F4741"/>
    <mergeCell ref="E4742:F4742"/>
    <mergeCell ref="H4744:I4744"/>
    <mergeCell ref="H4771:I4771"/>
    <mergeCell ref="E4773:F4773"/>
    <mergeCell ref="E4774:F4774"/>
    <mergeCell ref="E4775:F4775"/>
    <mergeCell ref="H4777:I4777"/>
    <mergeCell ref="E4685:F4685"/>
    <mergeCell ref="E4686:F4686"/>
    <mergeCell ref="H4688:I4688"/>
    <mergeCell ref="E4690:F4690"/>
    <mergeCell ref="E4691:F4691"/>
    <mergeCell ref="E4716:F4716"/>
    <mergeCell ref="E4717:F4717"/>
    <mergeCell ref="H4719:I4719"/>
    <mergeCell ref="E4721:F4721"/>
    <mergeCell ref="E4722:F4722"/>
    <mergeCell ref="E4723:F4723"/>
    <mergeCell ref="E4708:F4708"/>
    <mergeCell ref="E4709:F4709"/>
    <mergeCell ref="H4711:I4711"/>
    <mergeCell ref="E4713:F4713"/>
    <mergeCell ref="E4714:F4714"/>
    <mergeCell ref="E4715:F4715"/>
    <mergeCell ref="E4700:F4700"/>
    <mergeCell ref="E4701:F4701"/>
    <mergeCell ref="H4703:I4703"/>
    <mergeCell ref="E4705:F4705"/>
    <mergeCell ref="E4706:F4706"/>
    <mergeCell ref="E4707:F4707"/>
    <mergeCell ref="E4692:F4692"/>
    <mergeCell ref="E4693:F4693"/>
    <mergeCell ref="H4695:I4695"/>
    <mergeCell ref="E4697:F4697"/>
    <mergeCell ref="E4698:F4698"/>
    <mergeCell ref="E4699:F4699"/>
    <mergeCell ref="E4724:F4724"/>
    <mergeCell ref="E4725:F4725"/>
    <mergeCell ref="H4727:I4727"/>
    <mergeCell ref="E4729:F4729"/>
    <mergeCell ref="E4730:F4730"/>
    <mergeCell ref="H4638:I4638"/>
    <mergeCell ref="E4640:F4640"/>
    <mergeCell ref="E4641:F4641"/>
    <mergeCell ref="E4642:F4642"/>
    <mergeCell ref="E4643:F4643"/>
    <mergeCell ref="E4670:F4670"/>
    <mergeCell ref="E4671:F4671"/>
    <mergeCell ref="E4672:F4672"/>
    <mergeCell ref="H4674:I4674"/>
    <mergeCell ref="E4676:F4676"/>
    <mergeCell ref="E4677:F4677"/>
    <mergeCell ref="H4661:I4661"/>
    <mergeCell ref="E4663:F4663"/>
    <mergeCell ref="E4664:F4664"/>
    <mergeCell ref="E4665:F4665"/>
    <mergeCell ref="H4667:I4667"/>
    <mergeCell ref="E4669:F4669"/>
    <mergeCell ref="E4652:F4652"/>
    <mergeCell ref="H4654:I4654"/>
    <mergeCell ref="E4656:F4656"/>
    <mergeCell ref="E4657:F4657"/>
    <mergeCell ref="E4658:F4658"/>
    <mergeCell ref="E4659:F4659"/>
    <mergeCell ref="H4645:I4645"/>
    <mergeCell ref="E4647:F4647"/>
    <mergeCell ref="E4648:F4648"/>
    <mergeCell ref="E4649:F4649"/>
    <mergeCell ref="E4650:F4650"/>
    <mergeCell ref="E4651:F4651"/>
    <mergeCell ref="E4678:F4678"/>
    <mergeCell ref="H4680:I4680"/>
    <mergeCell ref="E4682:F4682"/>
    <mergeCell ref="E4683:F4683"/>
    <mergeCell ref="E4684:F4684"/>
    <mergeCell ref="E4597:F4597"/>
    <mergeCell ref="E4598:F4598"/>
    <mergeCell ref="E4599:F4599"/>
    <mergeCell ref="E4600:F4600"/>
    <mergeCell ref="E4601:F4601"/>
    <mergeCell ref="E4624:F4624"/>
    <mergeCell ref="H4626:I4626"/>
    <mergeCell ref="E4628:F4628"/>
    <mergeCell ref="E4629:F4629"/>
    <mergeCell ref="E4630:F4630"/>
    <mergeCell ref="E4631:F4631"/>
    <mergeCell ref="H4617:I4617"/>
    <mergeCell ref="E4619:F4619"/>
    <mergeCell ref="E4620:F4620"/>
    <mergeCell ref="E4621:F4621"/>
    <mergeCell ref="E4622:F4622"/>
    <mergeCell ref="E4623:F4623"/>
    <mergeCell ref="E4610:F4610"/>
    <mergeCell ref="E4611:F4611"/>
    <mergeCell ref="E4612:F4612"/>
    <mergeCell ref="E4613:F4613"/>
    <mergeCell ref="E4614:F4614"/>
    <mergeCell ref="E4615:F4615"/>
    <mergeCell ref="E4602:F4602"/>
    <mergeCell ref="E4603:F4603"/>
    <mergeCell ref="H4605:I4605"/>
    <mergeCell ref="E4607:F4607"/>
    <mergeCell ref="E4608:F4608"/>
    <mergeCell ref="E4609:F4609"/>
    <mergeCell ref="E4632:F4632"/>
    <mergeCell ref="E4633:F4633"/>
    <mergeCell ref="E4634:F4634"/>
    <mergeCell ref="E4635:F4635"/>
    <mergeCell ref="E4636:F4636"/>
    <mergeCell ref="E4549:F4549"/>
    <mergeCell ref="E4550:F4550"/>
    <mergeCell ref="E4551:F4551"/>
    <mergeCell ref="H4553:I4553"/>
    <mergeCell ref="E4555:F4555"/>
    <mergeCell ref="H4581:I4581"/>
    <mergeCell ref="E4583:F4583"/>
    <mergeCell ref="E4584:F4584"/>
    <mergeCell ref="E4585:F4585"/>
    <mergeCell ref="H4587:I4587"/>
    <mergeCell ref="E4589:F4589"/>
    <mergeCell ref="E4572:F4572"/>
    <mergeCell ref="E4573:F4573"/>
    <mergeCell ref="H4575:I4575"/>
    <mergeCell ref="E4577:F4577"/>
    <mergeCell ref="E4578:F4578"/>
    <mergeCell ref="E4579:F4579"/>
    <mergeCell ref="E4564:F4564"/>
    <mergeCell ref="E4565:F4565"/>
    <mergeCell ref="E4566:F4566"/>
    <mergeCell ref="E4567:F4567"/>
    <mergeCell ref="H4569:I4569"/>
    <mergeCell ref="E4571:F4571"/>
    <mergeCell ref="E4556:F4556"/>
    <mergeCell ref="E4557:F4557"/>
    <mergeCell ref="E4558:F4558"/>
    <mergeCell ref="H4560:I4560"/>
    <mergeCell ref="E4562:F4562"/>
    <mergeCell ref="E4563:F4563"/>
    <mergeCell ref="E4590:F4590"/>
    <mergeCell ref="E4591:F4591"/>
    <mergeCell ref="H4593:I4593"/>
    <mergeCell ref="E4595:F4595"/>
    <mergeCell ref="E4596:F4596"/>
    <mergeCell ref="E4503:F4503"/>
    <mergeCell ref="E4504:F4504"/>
    <mergeCell ref="E4505:F4505"/>
    <mergeCell ref="E4506:F4506"/>
    <mergeCell ref="E4507:F4507"/>
    <mergeCell ref="E4532:F4532"/>
    <mergeCell ref="E4533:F4533"/>
    <mergeCell ref="H4535:I4535"/>
    <mergeCell ref="E4537:F4537"/>
    <mergeCell ref="E4538:F4538"/>
    <mergeCell ref="E4539:F4539"/>
    <mergeCell ref="E4524:F4524"/>
    <mergeCell ref="E4525:F4525"/>
    <mergeCell ref="E4526:F4526"/>
    <mergeCell ref="E4527:F4527"/>
    <mergeCell ref="H4529:I4529"/>
    <mergeCell ref="E4531:F4531"/>
    <mergeCell ref="E4516:F4516"/>
    <mergeCell ref="E4517:F4517"/>
    <mergeCell ref="H4519:I4519"/>
    <mergeCell ref="E4521:F4521"/>
    <mergeCell ref="E4522:F4522"/>
    <mergeCell ref="E4523:F4523"/>
    <mergeCell ref="E4508:F4508"/>
    <mergeCell ref="E4509:F4509"/>
    <mergeCell ref="H4511:I4511"/>
    <mergeCell ref="E4513:F4513"/>
    <mergeCell ref="E4514:F4514"/>
    <mergeCell ref="E4515:F4515"/>
    <mergeCell ref="H4541:I4541"/>
    <mergeCell ref="E4543:F4543"/>
    <mergeCell ref="E4544:F4544"/>
    <mergeCell ref="E4545:F4545"/>
    <mergeCell ref="H4547:I4547"/>
    <mergeCell ref="E4457:F4457"/>
    <mergeCell ref="E4458:F4458"/>
    <mergeCell ref="E4459:F4459"/>
    <mergeCell ref="E4460:F4460"/>
    <mergeCell ref="E4461:F4461"/>
    <mergeCell ref="E4488:F4488"/>
    <mergeCell ref="E4489:F4489"/>
    <mergeCell ref="E4490:F4490"/>
    <mergeCell ref="H4492:I4492"/>
    <mergeCell ref="E4494:F4494"/>
    <mergeCell ref="E4495:F4495"/>
    <mergeCell ref="E4480:F4480"/>
    <mergeCell ref="E4481:F4481"/>
    <mergeCell ref="E4482:F4482"/>
    <mergeCell ref="E4483:F4483"/>
    <mergeCell ref="H4485:I4485"/>
    <mergeCell ref="E4487:F4487"/>
    <mergeCell ref="H4471:I4471"/>
    <mergeCell ref="E4473:F4473"/>
    <mergeCell ref="E4474:F4474"/>
    <mergeCell ref="E4475:F4475"/>
    <mergeCell ref="E4476:F4476"/>
    <mergeCell ref="H4478:I4478"/>
    <mergeCell ref="E4462:F4462"/>
    <mergeCell ref="H4464:I4464"/>
    <mergeCell ref="E4466:F4466"/>
    <mergeCell ref="E4467:F4467"/>
    <mergeCell ref="E4468:F4468"/>
    <mergeCell ref="E4469:F4469"/>
    <mergeCell ref="E4496:F4496"/>
    <mergeCell ref="H4498:I4498"/>
    <mergeCell ref="E4500:F4500"/>
    <mergeCell ref="E4501:F4501"/>
    <mergeCell ref="E4502:F4502"/>
    <mergeCell ref="H4410:I4410"/>
    <mergeCell ref="E4412:F4412"/>
    <mergeCell ref="E4413:F4413"/>
    <mergeCell ref="E4414:F4414"/>
    <mergeCell ref="E4415:F4415"/>
    <mergeCell ref="E4442:F4442"/>
    <mergeCell ref="H4444:I4444"/>
    <mergeCell ref="E4446:F4446"/>
    <mergeCell ref="E4447:F4447"/>
    <mergeCell ref="E4448:F4448"/>
    <mergeCell ref="E4449:F4449"/>
    <mergeCell ref="E4434:F4434"/>
    <mergeCell ref="E4435:F4435"/>
    <mergeCell ref="E4436:F4436"/>
    <mergeCell ref="H4438:I4438"/>
    <mergeCell ref="E4440:F4440"/>
    <mergeCell ref="E4441:F4441"/>
    <mergeCell ref="E4426:F4426"/>
    <mergeCell ref="E4427:F4427"/>
    <mergeCell ref="E4428:F4428"/>
    <mergeCell ref="E4429:F4429"/>
    <mergeCell ref="H4431:I4431"/>
    <mergeCell ref="E4433:F4433"/>
    <mergeCell ref="H4417:I4417"/>
    <mergeCell ref="E4419:F4419"/>
    <mergeCell ref="E4420:F4420"/>
    <mergeCell ref="E4421:F4421"/>
    <mergeCell ref="E4422:F4422"/>
    <mergeCell ref="H4424:I4424"/>
    <mergeCell ref="E4450:F4450"/>
    <mergeCell ref="E4451:F4451"/>
    <mergeCell ref="H4453:I4453"/>
    <mergeCell ref="E4455:F4455"/>
    <mergeCell ref="E4456:F4456"/>
    <mergeCell ref="E4365:F4365"/>
    <mergeCell ref="E4366:F4366"/>
    <mergeCell ref="E4367:F4367"/>
    <mergeCell ref="E4368:F4368"/>
    <mergeCell ref="E4379:F4379"/>
    <mergeCell ref="E4396:F4396"/>
    <mergeCell ref="E4397:F4397"/>
    <mergeCell ref="H4399:I4399"/>
    <mergeCell ref="E4401:F4401"/>
    <mergeCell ref="E4402:F4402"/>
    <mergeCell ref="E4403:F4403"/>
    <mergeCell ref="E4388:F4388"/>
    <mergeCell ref="H4390:I4390"/>
    <mergeCell ref="E4392:F4392"/>
    <mergeCell ref="E4393:F4393"/>
    <mergeCell ref="E4394:F4394"/>
    <mergeCell ref="E4395:F4395"/>
    <mergeCell ref="E4380:F4380"/>
    <mergeCell ref="E4381:F4381"/>
    <mergeCell ref="E4382:F4382"/>
    <mergeCell ref="H4384:I4384"/>
    <mergeCell ref="E4386:F4386"/>
    <mergeCell ref="E4387:F4387"/>
    <mergeCell ref="H4370:I4370"/>
    <mergeCell ref="E4372:F4372"/>
    <mergeCell ref="E4373:F4373"/>
    <mergeCell ref="E4374:F4374"/>
    <mergeCell ref="E4375:F4375"/>
    <mergeCell ref="H4377:I4377"/>
    <mergeCell ref="E4404:F4404"/>
    <mergeCell ref="E4405:F4405"/>
    <mergeCell ref="E4406:F4406"/>
    <mergeCell ref="E4407:F4407"/>
    <mergeCell ref="E4408:F4408"/>
    <mergeCell ref="E4321:F4321"/>
    <mergeCell ref="H4323:I4323"/>
    <mergeCell ref="E4325:F4325"/>
    <mergeCell ref="E4326:F4326"/>
    <mergeCell ref="E4327:F4327"/>
    <mergeCell ref="E4350:F4350"/>
    <mergeCell ref="E4351:F4351"/>
    <mergeCell ref="E4352:F4352"/>
    <mergeCell ref="E4353:F4353"/>
    <mergeCell ref="E4354:F4354"/>
    <mergeCell ref="H4356:I4356"/>
    <mergeCell ref="E4342:F4342"/>
    <mergeCell ref="E4343:F4343"/>
    <mergeCell ref="H4345:I4345"/>
    <mergeCell ref="E4347:F4347"/>
    <mergeCell ref="E4348:F4348"/>
    <mergeCell ref="E4349:F4349"/>
    <mergeCell ref="E4334:F4334"/>
    <mergeCell ref="H4336:I4336"/>
    <mergeCell ref="E4338:F4338"/>
    <mergeCell ref="E4339:F4339"/>
    <mergeCell ref="E4340:F4340"/>
    <mergeCell ref="E4341:F4341"/>
    <mergeCell ref="E4328:F4328"/>
    <mergeCell ref="E4329:F4329"/>
    <mergeCell ref="E4330:F4330"/>
    <mergeCell ref="E4331:F4331"/>
    <mergeCell ref="E4332:F4332"/>
    <mergeCell ref="E4333:F4333"/>
    <mergeCell ref="E4358:F4358"/>
    <mergeCell ref="E4359:F4359"/>
    <mergeCell ref="E4360:F4360"/>
    <mergeCell ref="E4361:F4361"/>
    <mergeCell ref="H4363:I4363"/>
    <mergeCell ref="E4273:F4273"/>
    <mergeCell ref="E4274:F4274"/>
    <mergeCell ref="E4275:F4275"/>
    <mergeCell ref="H4277:I4277"/>
    <mergeCell ref="E4279:F4279"/>
    <mergeCell ref="H4305:I4305"/>
    <mergeCell ref="E4307:F4307"/>
    <mergeCell ref="E4308:F4308"/>
    <mergeCell ref="E4309:F4309"/>
    <mergeCell ref="H4311:I4311"/>
    <mergeCell ref="E4313:F4313"/>
    <mergeCell ref="E4296:F4296"/>
    <mergeCell ref="E4297:F4297"/>
    <mergeCell ref="H4299:I4299"/>
    <mergeCell ref="E4301:F4301"/>
    <mergeCell ref="E4302:F4302"/>
    <mergeCell ref="E4303:F4303"/>
    <mergeCell ref="E4288:F4288"/>
    <mergeCell ref="H4290:I4290"/>
    <mergeCell ref="E4292:F4292"/>
    <mergeCell ref="E4293:F4293"/>
    <mergeCell ref="E4294:F4294"/>
    <mergeCell ref="E4295:F4295"/>
    <mergeCell ref="E4280:F4280"/>
    <mergeCell ref="E4281:F4281"/>
    <mergeCell ref="H4283:I4283"/>
    <mergeCell ref="E4285:F4285"/>
    <mergeCell ref="E4286:F4286"/>
    <mergeCell ref="E4287:F4287"/>
    <mergeCell ref="E4314:F4314"/>
    <mergeCell ref="E4315:F4315"/>
    <mergeCell ref="H4317:I4317"/>
    <mergeCell ref="E4319:F4319"/>
    <mergeCell ref="E4320:F4320"/>
    <mergeCell ref="E4227:F4227"/>
    <mergeCell ref="E4228:F4228"/>
    <mergeCell ref="H4230:I4230"/>
    <mergeCell ref="E4232:F4232"/>
    <mergeCell ref="E4233:F4233"/>
    <mergeCell ref="E4256:F4256"/>
    <mergeCell ref="E4257:F4257"/>
    <mergeCell ref="H4259:I4259"/>
    <mergeCell ref="E4261:F4261"/>
    <mergeCell ref="E4262:F4262"/>
    <mergeCell ref="E4263:F4263"/>
    <mergeCell ref="E4248:F4248"/>
    <mergeCell ref="H4250:I4250"/>
    <mergeCell ref="E4252:F4252"/>
    <mergeCell ref="E4253:F4253"/>
    <mergeCell ref="E4254:F4254"/>
    <mergeCell ref="E4255:F4255"/>
    <mergeCell ref="E4240:F4240"/>
    <mergeCell ref="E4241:F4241"/>
    <mergeCell ref="H4243:I4243"/>
    <mergeCell ref="E4245:F4245"/>
    <mergeCell ref="E4246:F4246"/>
    <mergeCell ref="E4247:F4247"/>
    <mergeCell ref="E4234:F4234"/>
    <mergeCell ref="E4235:F4235"/>
    <mergeCell ref="E4236:F4236"/>
    <mergeCell ref="E4237:F4237"/>
    <mergeCell ref="E4238:F4238"/>
    <mergeCell ref="E4239:F4239"/>
    <mergeCell ref="H4265:I4265"/>
    <mergeCell ref="E4267:F4267"/>
    <mergeCell ref="E4268:F4268"/>
    <mergeCell ref="E4269:F4269"/>
    <mergeCell ref="H4271:I4271"/>
    <mergeCell ref="E4185:F4185"/>
    <mergeCell ref="E4186:F4186"/>
    <mergeCell ref="H4188:I4188"/>
    <mergeCell ref="E4190:F4190"/>
    <mergeCell ref="E4191:F4191"/>
    <mergeCell ref="E4214:F4214"/>
    <mergeCell ref="E4215:F4215"/>
    <mergeCell ref="E4216:F4216"/>
    <mergeCell ref="E4217:F4217"/>
    <mergeCell ref="E4218:F4218"/>
    <mergeCell ref="E4219:F4219"/>
    <mergeCell ref="E4206:F4206"/>
    <mergeCell ref="H4208:I4208"/>
    <mergeCell ref="E4210:F4210"/>
    <mergeCell ref="E4211:F4211"/>
    <mergeCell ref="E4212:F4212"/>
    <mergeCell ref="E4213:F4213"/>
    <mergeCell ref="E4200:F4200"/>
    <mergeCell ref="E4201:F4201"/>
    <mergeCell ref="E4202:F4202"/>
    <mergeCell ref="E4203:F4203"/>
    <mergeCell ref="E4204:F4204"/>
    <mergeCell ref="E4205:F4205"/>
    <mergeCell ref="E4192:F4192"/>
    <mergeCell ref="E4193:F4193"/>
    <mergeCell ref="E4194:F4194"/>
    <mergeCell ref="E4195:F4195"/>
    <mergeCell ref="E4196:F4196"/>
    <mergeCell ref="H4198:I4198"/>
    <mergeCell ref="H4221:I4221"/>
    <mergeCell ref="E4223:F4223"/>
    <mergeCell ref="E4224:F4224"/>
    <mergeCell ref="E4225:F4225"/>
    <mergeCell ref="E4226:F4226"/>
    <mergeCell ref="E4145:F4145"/>
    <mergeCell ref="E4146:F4146"/>
    <mergeCell ref="E4147:F4147"/>
    <mergeCell ref="E4148:F4148"/>
    <mergeCell ref="E4149:F4149"/>
    <mergeCell ref="E4172:F4172"/>
    <mergeCell ref="E4173:F4173"/>
    <mergeCell ref="H4175:I4175"/>
    <mergeCell ref="E4177:F4177"/>
    <mergeCell ref="E4178:F4178"/>
    <mergeCell ref="E4179:F4179"/>
    <mergeCell ref="E4166:F4166"/>
    <mergeCell ref="E4167:F4167"/>
    <mergeCell ref="E4168:F4168"/>
    <mergeCell ref="E4169:F4169"/>
    <mergeCell ref="E4170:F4170"/>
    <mergeCell ref="E4171:F4171"/>
    <mergeCell ref="E4158:F4158"/>
    <mergeCell ref="E4159:F4159"/>
    <mergeCell ref="E4160:F4160"/>
    <mergeCell ref="E4161:F4161"/>
    <mergeCell ref="E4162:F4162"/>
    <mergeCell ref="H4164:I4164"/>
    <mergeCell ref="E4150:F4150"/>
    <mergeCell ref="E4151:F4151"/>
    <mergeCell ref="E4152:F4152"/>
    <mergeCell ref="H4154:I4154"/>
    <mergeCell ref="E4156:F4156"/>
    <mergeCell ref="E4157:F4157"/>
    <mergeCell ref="E4180:F4180"/>
    <mergeCell ref="E4181:F4181"/>
    <mergeCell ref="E4182:F4182"/>
    <mergeCell ref="E4183:F4183"/>
    <mergeCell ref="E4184:F4184"/>
    <mergeCell ref="E4101:F4101"/>
    <mergeCell ref="H4103:I4103"/>
    <mergeCell ref="E4105:F4105"/>
    <mergeCell ref="E4106:F4106"/>
    <mergeCell ref="E4107:F4107"/>
    <mergeCell ref="E4130:F4130"/>
    <mergeCell ref="E4131:F4131"/>
    <mergeCell ref="H4133:I4133"/>
    <mergeCell ref="E4135:F4135"/>
    <mergeCell ref="E4136:F4136"/>
    <mergeCell ref="E4137:F4137"/>
    <mergeCell ref="H4123:I4123"/>
    <mergeCell ref="E4125:F4125"/>
    <mergeCell ref="E4126:F4126"/>
    <mergeCell ref="E4127:F4127"/>
    <mergeCell ref="E4128:F4128"/>
    <mergeCell ref="E4129:F4129"/>
    <mergeCell ref="H4115:I4115"/>
    <mergeCell ref="E4117:F4117"/>
    <mergeCell ref="E4118:F4118"/>
    <mergeCell ref="E4119:F4119"/>
    <mergeCell ref="E4120:F4120"/>
    <mergeCell ref="E4121:F4121"/>
    <mergeCell ref="E4108:F4108"/>
    <mergeCell ref="E4109:F4109"/>
    <mergeCell ref="E4110:F4110"/>
    <mergeCell ref="E4111:F4111"/>
    <mergeCell ref="E4112:F4112"/>
    <mergeCell ref="E4113:F4113"/>
    <mergeCell ref="E4138:F4138"/>
    <mergeCell ref="E4139:F4139"/>
    <mergeCell ref="E4140:F4140"/>
    <mergeCell ref="E4141:F4141"/>
    <mergeCell ref="H4143:I4143"/>
    <mergeCell ref="E4059:F4059"/>
    <mergeCell ref="E4060:F4060"/>
    <mergeCell ref="E4061:F4061"/>
    <mergeCell ref="E4070:F4070"/>
    <mergeCell ref="E4079:F4079"/>
    <mergeCell ref="E4088:F4088"/>
    <mergeCell ref="E4089:F4089"/>
    <mergeCell ref="E4090:F4090"/>
    <mergeCell ref="H4092:I4092"/>
    <mergeCell ref="E4094:F4094"/>
    <mergeCell ref="E4095:F4095"/>
    <mergeCell ref="E4080:F4080"/>
    <mergeCell ref="E4081:F4081"/>
    <mergeCell ref="H4083:I4083"/>
    <mergeCell ref="E4085:F4085"/>
    <mergeCell ref="E4086:F4086"/>
    <mergeCell ref="E4087:F4087"/>
    <mergeCell ref="H4072:I4072"/>
    <mergeCell ref="E4074:F4074"/>
    <mergeCell ref="E4075:F4075"/>
    <mergeCell ref="E4076:F4076"/>
    <mergeCell ref="E4077:F4077"/>
    <mergeCell ref="E4078:F4078"/>
    <mergeCell ref="H4063:I4063"/>
    <mergeCell ref="E4065:F4065"/>
    <mergeCell ref="E4066:F4066"/>
    <mergeCell ref="E4067:F4067"/>
    <mergeCell ref="E4068:F4068"/>
    <mergeCell ref="E4069:F4069"/>
    <mergeCell ref="E4096:F4096"/>
    <mergeCell ref="E4097:F4097"/>
    <mergeCell ref="E4098:F4098"/>
    <mergeCell ref="E4099:F4099"/>
    <mergeCell ref="E4100:F4100"/>
    <mergeCell ref="E4019:F4019"/>
    <mergeCell ref="E4020:F4020"/>
    <mergeCell ref="E4021:F4021"/>
    <mergeCell ref="E4022:F4022"/>
    <mergeCell ref="E4023:F4023"/>
    <mergeCell ref="E4046:F4046"/>
    <mergeCell ref="E4047:F4047"/>
    <mergeCell ref="E4048:F4048"/>
    <mergeCell ref="E4049:F4049"/>
    <mergeCell ref="E4050:F4050"/>
    <mergeCell ref="H4052:I4052"/>
    <mergeCell ref="E4038:F4038"/>
    <mergeCell ref="E4039:F4039"/>
    <mergeCell ref="E4040:F4040"/>
    <mergeCell ref="E4041:F4041"/>
    <mergeCell ref="H4043:I4043"/>
    <mergeCell ref="E4045:F4045"/>
    <mergeCell ref="E4032:F4032"/>
    <mergeCell ref="E4033:F4033"/>
    <mergeCell ref="E4034:F4034"/>
    <mergeCell ref="E4035:F4035"/>
    <mergeCell ref="E4036:F4036"/>
    <mergeCell ref="E4037:F4037"/>
    <mergeCell ref="E4024:F4024"/>
    <mergeCell ref="E4025:F4025"/>
    <mergeCell ref="E4026:F4026"/>
    <mergeCell ref="E4027:F4027"/>
    <mergeCell ref="E4028:F4028"/>
    <mergeCell ref="H4030:I4030"/>
    <mergeCell ref="E4054:F4054"/>
    <mergeCell ref="E4055:F4055"/>
    <mergeCell ref="E4056:F4056"/>
    <mergeCell ref="E4057:F4057"/>
    <mergeCell ref="E4058:F4058"/>
    <mergeCell ref="E3977:F3977"/>
    <mergeCell ref="H3979:I3979"/>
    <mergeCell ref="E3981:F3981"/>
    <mergeCell ref="E3982:F3982"/>
    <mergeCell ref="E3983:F3983"/>
    <mergeCell ref="E4006:F4006"/>
    <mergeCell ref="E4007:F4007"/>
    <mergeCell ref="E4008:F4008"/>
    <mergeCell ref="E4009:F4009"/>
    <mergeCell ref="E4010:F4010"/>
    <mergeCell ref="E4011:F4011"/>
    <mergeCell ref="E3998:F3998"/>
    <mergeCell ref="E3999:F3999"/>
    <mergeCell ref="E4000:F4000"/>
    <mergeCell ref="E4001:F4001"/>
    <mergeCell ref="E4002:F4002"/>
    <mergeCell ref="H4004:I4004"/>
    <mergeCell ref="E3990:F3990"/>
    <mergeCell ref="H3992:I3992"/>
    <mergeCell ref="A3994:K3994"/>
    <mergeCell ref="E3995:F3995"/>
    <mergeCell ref="E3996:F3996"/>
    <mergeCell ref="E3997:F3997"/>
    <mergeCell ref="E3984:F3984"/>
    <mergeCell ref="E3985:F3985"/>
    <mergeCell ref="E3986:F3986"/>
    <mergeCell ref="E3987:F3987"/>
    <mergeCell ref="E3988:F3988"/>
    <mergeCell ref="E3989:F3989"/>
    <mergeCell ref="E4012:F4012"/>
    <mergeCell ref="E4013:F4013"/>
    <mergeCell ref="E4014:F4014"/>
    <mergeCell ref="E4015:F4015"/>
    <mergeCell ref="H4017:I4017"/>
    <mergeCell ref="E3937:F3937"/>
    <mergeCell ref="E3938:F3938"/>
    <mergeCell ref="E3947:F3947"/>
    <mergeCell ref="E3948:F3948"/>
    <mergeCell ref="E3949:F3949"/>
    <mergeCell ref="E3964:F3964"/>
    <mergeCell ref="H3966:I3966"/>
    <mergeCell ref="E3968:F3968"/>
    <mergeCell ref="E3969:F3969"/>
    <mergeCell ref="E3970:F3970"/>
    <mergeCell ref="E3971:F3971"/>
    <mergeCell ref="E3958:F3958"/>
    <mergeCell ref="E3959:F3959"/>
    <mergeCell ref="E3960:F3960"/>
    <mergeCell ref="E3961:F3961"/>
    <mergeCell ref="E3962:F3962"/>
    <mergeCell ref="E3963:F3963"/>
    <mergeCell ref="E3950:F3950"/>
    <mergeCell ref="E3951:F3951"/>
    <mergeCell ref="H3953:I3953"/>
    <mergeCell ref="E3955:F3955"/>
    <mergeCell ref="E3956:F3956"/>
    <mergeCell ref="E3957:F3957"/>
    <mergeCell ref="H3940:I3940"/>
    <mergeCell ref="E3942:F3942"/>
    <mergeCell ref="E3943:F3943"/>
    <mergeCell ref="E3944:F3944"/>
    <mergeCell ref="E3945:F3945"/>
    <mergeCell ref="E3946:F3946"/>
    <mergeCell ref="E3972:F3972"/>
    <mergeCell ref="E3973:F3973"/>
    <mergeCell ref="E3974:F3974"/>
    <mergeCell ref="E3975:F3975"/>
    <mergeCell ref="E3976:F3976"/>
    <mergeCell ref="E3893:F3893"/>
    <mergeCell ref="E3894:F3894"/>
    <mergeCell ref="E3895:F3895"/>
    <mergeCell ref="E3896:F3896"/>
    <mergeCell ref="H3898:I3898"/>
    <mergeCell ref="E3922:F3922"/>
    <mergeCell ref="E3923:F3923"/>
    <mergeCell ref="H3925:I3925"/>
    <mergeCell ref="E3927:F3927"/>
    <mergeCell ref="E3928:F3928"/>
    <mergeCell ref="E3929:F3929"/>
    <mergeCell ref="E3914:F3914"/>
    <mergeCell ref="H3916:I3916"/>
    <mergeCell ref="E3918:F3918"/>
    <mergeCell ref="E3919:F3919"/>
    <mergeCell ref="E3920:F3920"/>
    <mergeCell ref="E3921:F3921"/>
    <mergeCell ref="E3908:F3908"/>
    <mergeCell ref="E3909:F3909"/>
    <mergeCell ref="E3910:F3910"/>
    <mergeCell ref="E3911:F3911"/>
    <mergeCell ref="E3912:F3912"/>
    <mergeCell ref="E3913:F3913"/>
    <mergeCell ref="E3900:F3900"/>
    <mergeCell ref="E3901:F3901"/>
    <mergeCell ref="E3902:F3902"/>
    <mergeCell ref="E3903:F3903"/>
    <mergeCell ref="E3904:F3904"/>
    <mergeCell ref="H3906:I3906"/>
    <mergeCell ref="E3930:F3930"/>
    <mergeCell ref="E3931:F3931"/>
    <mergeCell ref="H3933:I3933"/>
    <mergeCell ref="E3935:F3935"/>
    <mergeCell ref="E3936:F3936"/>
    <mergeCell ref="E3849:F3849"/>
    <mergeCell ref="E3850:F3850"/>
    <mergeCell ref="E3851:F3851"/>
    <mergeCell ref="E3852:F3852"/>
    <mergeCell ref="E3853:F3853"/>
    <mergeCell ref="H3879:I3879"/>
    <mergeCell ref="E3881:F3881"/>
    <mergeCell ref="E3882:F3882"/>
    <mergeCell ref="E3883:F3883"/>
    <mergeCell ref="E3884:F3884"/>
    <mergeCell ref="E3885:F3885"/>
    <mergeCell ref="H3871:I3871"/>
    <mergeCell ref="E3873:F3873"/>
    <mergeCell ref="E3874:F3874"/>
    <mergeCell ref="E3875:F3875"/>
    <mergeCell ref="E3876:F3876"/>
    <mergeCell ref="E3877:F3877"/>
    <mergeCell ref="H3863:I3863"/>
    <mergeCell ref="E3865:F3865"/>
    <mergeCell ref="E3866:F3866"/>
    <mergeCell ref="E3867:F3867"/>
    <mergeCell ref="E3868:F3868"/>
    <mergeCell ref="E3869:F3869"/>
    <mergeCell ref="H3855:I3855"/>
    <mergeCell ref="E3857:F3857"/>
    <mergeCell ref="E3858:F3858"/>
    <mergeCell ref="E3859:F3859"/>
    <mergeCell ref="E3860:F3860"/>
    <mergeCell ref="E3861:F3861"/>
    <mergeCell ref="H3887:I3887"/>
    <mergeCell ref="E3889:F3889"/>
    <mergeCell ref="E3890:F3890"/>
    <mergeCell ref="E3891:F3891"/>
    <mergeCell ref="E3892:F3892"/>
    <mergeCell ref="E3805:F3805"/>
    <mergeCell ref="E3806:F3806"/>
    <mergeCell ref="E3807:F3807"/>
    <mergeCell ref="E3808:F3808"/>
    <mergeCell ref="H3810:I3810"/>
    <mergeCell ref="E3834:F3834"/>
    <mergeCell ref="E3835:F3835"/>
    <mergeCell ref="H3837:I3837"/>
    <mergeCell ref="E3839:F3839"/>
    <mergeCell ref="E3840:F3840"/>
    <mergeCell ref="E3841:F3841"/>
    <mergeCell ref="E3826:F3826"/>
    <mergeCell ref="E3827:F3827"/>
    <mergeCell ref="H3829:I3829"/>
    <mergeCell ref="E3831:F3831"/>
    <mergeCell ref="E3832:F3832"/>
    <mergeCell ref="E3833:F3833"/>
    <mergeCell ref="E3818:F3818"/>
    <mergeCell ref="E3819:F3819"/>
    <mergeCell ref="H3821:I3821"/>
    <mergeCell ref="E3823:F3823"/>
    <mergeCell ref="E3824:F3824"/>
    <mergeCell ref="E3825:F3825"/>
    <mergeCell ref="E3812:F3812"/>
    <mergeCell ref="E3813:F3813"/>
    <mergeCell ref="E3814:F3814"/>
    <mergeCell ref="E3815:F3815"/>
    <mergeCell ref="E3816:F3816"/>
    <mergeCell ref="E3817:F3817"/>
    <mergeCell ref="E3842:F3842"/>
    <mergeCell ref="E3843:F3843"/>
    <mergeCell ref="H3845:I3845"/>
    <mergeCell ref="E3847:F3847"/>
    <mergeCell ref="E3848:F3848"/>
    <mergeCell ref="E3763:F3763"/>
    <mergeCell ref="E3764:F3764"/>
    <mergeCell ref="E3765:F3765"/>
    <mergeCell ref="H3767:I3767"/>
    <mergeCell ref="E3769:F3769"/>
    <mergeCell ref="E3792:F3792"/>
    <mergeCell ref="E3793:F3793"/>
    <mergeCell ref="E3794:F3794"/>
    <mergeCell ref="E3795:F3795"/>
    <mergeCell ref="E3796:F3796"/>
    <mergeCell ref="E3797:F3797"/>
    <mergeCell ref="E3784:F3784"/>
    <mergeCell ref="E3785:F3785"/>
    <mergeCell ref="H3787:I3787"/>
    <mergeCell ref="E3789:F3789"/>
    <mergeCell ref="E3790:F3790"/>
    <mergeCell ref="E3791:F3791"/>
    <mergeCell ref="E3778:F3778"/>
    <mergeCell ref="E3779:F3779"/>
    <mergeCell ref="E3780:F3780"/>
    <mergeCell ref="E3781:F3781"/>
    <mergeCell ref="E3782:F3782"/>
    <mergeCell ref="E3783:F3783"/>
    <mergeCell ref="E3770:F3770"/>
    <mergeCell ref="E3771:F3771"/>
    <mergeCell ref="E3772:F3772"/>
    <mergeCell ref="E3773:F3773"/>
    <mergeCell ref="H3775:I3775"/>
    <mergeCell ref="E3777:F3777"/>
    <mergeCell ref="H3799:I3799"/>
    <mergeCell ref="E3801:F3801"/>
    <mergeCell ref="E3802:F3802"/>
    <mergeCell ref="E3803:F3803"/>
    <mergeCell ref="E3804:F3804"/>
    <mergeCell ref="E3725:F3725"/>
    <mergeCell ref="E3726:F3726"/>
    <mergeCell ref="E3727:F3727"/>
    <mergeCell ref="E3728:F3728"/>
    <mergeCell ref="E3729:F3729"/>
    <mergeCell ref="E3750:F3750"/>
    <mergeCell ref="E3751:F3751"/>
    <mergeCell ref="E3752:F3752"/>
    <mergeCell ref="E3753:F3753"/>
    <mergeCell ref="H3755:I3755"/>
    <mergeCell ref="E3757:F3757"/>
    <mergeCell ref="H3743:I3743"/>
    <mergeCell ref="E3745:F3745"/>
    <mergeCell ref="E3746:F3746"/>
    <mergeCell ref="E3747:F3747"/>
    <mergeCell ref="E3748:F3748"/>
    <mergeCell ref="E3749:F3749"/>
    <mergeCell ref="E3736:F3736"/>
    <mergeCell ref="E3737:F3737"/>
    <mergeCell ref="E3738:F3738"/>
    <mergeCell ref="E3739:F3739"/>
    <mergeCell ref="E3740:F3740"/>
    <mergeCell ref="E3741:F3741"/>
    <mergeCell ref="E3730:F3730"/>
    <mergeCell ref="E3731:F3731"/>
    <mergeCell ref="E3732:F3732"/>
    <mergeCell ref="E3733:F3733"/>
    <mergeCell ref="E3734:F3734"/>
    <mergeCell ref="E3735:F3735"/>
    <mergeCell ref="E3758:F3758"/>
    <mergeCell ref="E3759:F3759"/>
    <mergeCell ref="E3760:F3760"/>
    <mergeCell ref="E3761:F3761"/>
    <mergeCell ref="E3762:F3762"/>
    <mergeCell ref="H3684:I3684"/>
    <mergeCell ref="E3686:F3686"/>
    <mergeCell ref="E3687:F3687"/>
    <mergeCell ref="E3688:F3688"/>
    <mergeCell ref="E3689:F3689"/>
    <mergeCell ref="E3712:F3712"/>
    <mergeCell ref="E3713:F3713"/>
    <mergeCell ref="E3714:F3714"/>
    <mergeCell ref="E3715:F3715"/>
    <mergeCell ref="E3716:F3716"/>
    <mergeCell ref="E3717:F3717"/>
    <mergeCell ref="E3704:F3704"/>
    <mergeCell ref="H3706:I3706"/>
    <mergeCell ref="E3708:F3708"/>
    <mergeCell ref="E3709:F3709"/>
    <mergeCell ref="E3710:F3710"/>
    <mergeCell ref="E3711:F3711"/>
    <mergeCell ref="E3698:F3698"/>
    <mergeCell ref="E3699:F3699"/>
    <mergeCell ref="E3700:F3700"/>
    <mergeCell ref="E3701:F3701"/>
    <mergeCell ref="E3702:F3702"/>
    <mergeCell ref="E3703:F3703"/>
    <mergeCell ref="E3690:F3690"/>
    <mergeCell ref="E3691:F3691"/>
    <mergeCell ref="H3693:I3693"/>
    <mergeCell ref="E3695:F3695"/>
    <mergeCell ref="E3696:F3696"/>
    <mergeCell ref="E3697:F3697"/>
    <mergeCell ref="H3719:I3719"/>
    <mergeCell ref="E3721:F3721"/>
    <mergeCell ref="E3722:F3722"/>
    <mergeCell ref="E3723:F3723"/>
    <mergeCell ref="E3724:F3724"/>
    <mergeCell ref="E3641:F3641"/>
    <mergeCell ref="E3642:F3642"/>
    <mergeCell ref="E3643:F3643"/>
    <mergeCell ref="E3644:F3644"/>
    <mergeCell ref="E3645:F3645"/>
    <mergeCell ref="E3670:F3670"/>
    <mergeCell ref="E3671:F3671"/>
    <mergeCell ref="E3672:F3672"/>
    <mergeCell ref="E3673:F3673"/>
    <mergeCell ref="H3675:I3675"/>
    <mergeCell ref="E3677:F3677"/>
    <mergeCell ref="E3662:F3662"/>
    <mergeCell ref="E3663:F3663"/>
    <mergeCell ref="E3664:F3664"/>
    <mergeCell ref="H3666:I3666"/>
    <mergeCell ref="E3668:F3668"/>
    <mergeCell ref="E3669:F3669"/>
    <mergeCell ref="E3654:F3654"/>
    <mergeCell ref="H3656:I3656"/>
    <mergeCell ref="E3658:F3658"/>
    <mergeCell ref="E3659:F3659"/>
    <mergeCell ref="E3660:F3660"/>
    <mergeCell ref="E3661:F3661"/>
    <mergeCell ref="H3647:I3647"/>
    <mergeCell ref="E3649:F3649"/>
    <mergeCell ref="E3650:F3650"/>
    <mergeCell ref="E3651:F3651"/>
    <mergeCell ref="E3652:F3652"/>
    <mergeCell ref="E3653:F3653"/>
    <mergeCell ref="E3678:F3678"/>
    <mergeCell ref="E3679:F3679"/>
    <mergeCell ref="E3680:F3680"/>
    <mergeCell ref="E3681:F3681"/>
    <mergeCell ref="E3682:F3682"/>
    <mergeCell ref="E3597:F3597"/>
    <mergeCell ref="E3598:F3598"/>
    <mergeCell ref="E3599:F3599"/>
    <mergeCell ref="E3600:F3600"/>
    <mergeCell ref="E3601:F3601"/>
    <mergeCell ref="E3626:F3626"/>
    <mergeCell ref="E3627:F3627"/>
    <mergeCell ref="E3628:F3628"/>
    <mergeCell ref="E3629:F3629"/>
    <mergeCell ref="H3631:I3631"/>
    <mergeCell ref="E3633:F3633"/>
    <mergeCell ref="E3618:F3618"/>
    <mergeCell ref="E3619:F3619"/>
    <mergeCell ref="E3620:F3620"/>
    <mergeCell ref="E3621:F3621"/>
    <mergeCell ref="H3623:I3623"/>
    <mergeCell ref="E3625:F3625"/>
    <mergeCell ref="E3610:F3610"/>
    <mergeCell ref="E3611:F3611"/>
    <mergeCell ref="H3613:I3613"/>
    <mergeCell ref="E3615:F3615"/>
    <mergeCell ref="E3616:F3616"/>
    <mergeCell ref="E3617:F3617"/>
    <mergeCell ref="E3602:F3602"/>
    <mergeCell ref="E3603:F3603"/>
    <mergeCell ref="H3605:I3605"/>
    <mergeCell ref="E3607:F3607"/>
    <mergeCell ref="E3608:F3608"/>
    <mergeCell ref="E3609:F3609"/>
    <mergeCell ref="E3634:F3634"/>
    <mergeCell ref="E3635:F3635"/>
    <mergeCell ref="E3636:F3636"/>
    <mergeCell ref="E3637:F3637"/>
    <mergeCell ref="H3639:I3639"/>
    <mergeCell ref="E3563:F3563"/>
    <mergeCell ref="E3564:F3564"/>
    <mergeCell ref="E3565:F3565"/>
    <mergeCell ref="E3566:F3566"/>
    <mergeCell ref="E3567:F3567"/>
    <mergeCell ref="E3592:F3592"/>
    <mergeCell ref="E3593:F3593"/>
    <mergeCell ref="E3594:F3594"/>
    <mergeCell ref="E3595:F3595"/>
    <mergeCell ref="E3596:F3596"/>
    <mergeCell ref="E3557:F3557"/>
    <mergeCell ref="E3558:F3558"/>
    <mergeCell ref="E3559:F3559"/>
    <mergeCell ref="E3576:F3576"/>
    <mergeCell ref="E3586:F3586"/>
    <mergeCell ref="E3587:F3587"/>
    <mergeCell ref="E3588:F3588"/>
    <mergeCell ref="E3589:F3589"/>
    <mergeCell ref="E3590:F3590"/>
    <mergeCell ref="E3591:F3591"/>
    <mergeCell ref="E3580:F3580"/>
    <mergeCell ref="E3581:F3581"/>
    <mergeCell ref="E3582:F3582"/>
    <mergeCell ref="E3583:F3583"/>
    <mergeCell ref="E3584:F3584"/>
    <mergeCell ref="E3585:F3585"/>
    <mergeCell ref="E3556:F3556"/>
    <mergeCell ref="E3521:F3521"/>
    <mergeCell ref="E3522:F3522"/>
    <mergeCell ref="E3523:F3523"/>
    <mergeCell ref="E3524:F3524"/>
    <mergeCell ref="E3525:F3525"/>
    <mergeCell ref="E3526:F3526"/>
    <mergeCell ref="E3527:F3527"/>
    <mergeCell ref="E3528:F3528"/>
    <mergeCell ref="E3549:F3549"/>
    <mergeCell ref="E3550:F3550"/>
    <mergeCell ref="E3551:F3551"/>
    <mergeCell ref="E3552:F3552"/>
    <mergeCell ref="E3553:F3553"/>
    <mergeCell ref="E3554:F3554"/>
    <mergeCell ref="H3578:I3578"/>
    <mergeCell ref="E3540:F3540"/>
    <mergeCell ref="E3541:F3541"/>
    <mergeCell ref="E3542:F3542"/>
    <mergeCell ref="E3543:F3543"/>
    <mergeCell ref="E3544:F3544"/>
    <mergeCell ref="E3545:F3545"/>
    <mergeCell ref="E3546:F3546"/>
    <mergeCell ref="E3547:F3547"/>
    <mergeCell ref="E3548:F3548"/>
    <mergeCell ref="H3569:I3569"/>
    <mergeCell ref="E3571:F3571"/>
    <mergeCell ref="E3572:F3572"/>
    <mergeCell ref="E3573:F3573"/>
    <mergeCell ref="E3574:F3574"/>
    <mergeCell ref="E3575:F3575"/>
    <mergeCell ref="H3561:I3561"/>
    <mergeCell ref="E3535:F3535"/>
    <mergeCell ref="E3536:F3536"/>
    <mergeCell ref="H3538:I3538"/>
    <mergeCell ref="E3500:F3500"/>
    <mergeCell ref="E3501:F3501"/>
    <mergeCell ref="E3502:F3502"/>
    <mergeCell ref="E3503:F3503"/>
    <mergeCell ref="E3504:F3504"/>
    <mergeCell ref="H3506:I3506"/>
    <mergeCell ref="E3508:F3508"/>
    <mergeCell ref="E3529:F3529"/>
    <mergeCell ref="E3530:F3530"/>
    <mergeCell ref="E3531:F3531"/>
    <mergeCell ref="E3532:F3532"/>
    <mergeCell ref="E3533:F3533"/>
    <mergeCell ref="E3534:F3534"/>
    <mergeCell ref="E3555:F3555"/>
    <mergeCell ref="E3456:F3456"/>
    <mergeCell ref="E3457:F3457"/>
    <mergeCell ref="E3458:F3458"/>
    <mergeCell ref="H3460:I3460"/>
    <mergeCell ref="E3462:F3462"/>
    <mergeCell ref="E3487:F3487"/>
    <mergeCell ref="E3488:F3488"/>
    <mergeCell ref="E3489:F3489"/>
    <mergeCell ref="E3490:F3490"/>
    <mergeCell ref="E3491:F3491"/>
    <mergeCell ref="E3492:F3492"/>
    <mergeCell ref="E3515:F3515"/>
    <mergeCell ref="E3516:F3516"/>
    <mergeCell ref="E3517:F3517"/>
    <mergeCell ref="H3519:I3519"/>
    <mergeCell ref="E3479:F3479"/>
    <mergeCell ref="E3480:F3480"/>
    <mergeCell ref="E3481:F3481"/>
    <mergeCell ref="H3483:I3483"/>
    <mergeCell ref="E3485:F3485"/>
    <mergeCell ref="E3486:F3486"/>
    <mergeCell ref="E3509:F3509"/>
    <mergeCell ref="E3510:F3510"/>
    <mergeCell ref="E3511:F3511"/>
    <mergeCell ref="E3512:F3512"/>
    <mergeCell ref="E3513:F3513"/>
    <mergeCell ref="E3514:F3514"/>
    <mergeCell ref="E3471:F3471"/>
    <mergeCell ref="E3472:F3472"/>
    <mergeCell ref="E3473:F3473"/>
    <mergeCell ref="H3475:I3475"/>
    <mergeCell ref="E3477:F3477"/>
    <mergeCell ref="E3478:F3478"/>
    <mergeCell ref="E3463:F3463"/>
    <mergeCell ref="E3464:F3464"/>
    <mergeCell ref="E3465:F3465"/>
    <mergeCell ref="E3466:F3466"/>
    <mergeCell ref="H3468:I3468"/>
    <mergeCell ref="E3470:F3470"/>
    <mergeCell ref="H3494:I3494"/>
    <mergeCell ref="E3496:F3496"/>
    <mergeCell ref="E3497:F3497"/>
    <mergeCell ref="E3498:F3498"/>
    <mergeCell ref="E3499:F3499"/>
    <mergeCell ref="H3413:I3413"/>
    <mergeCell ref="E3415:F3415"/>
    <mergeCell ref="E3416:F3416"/>
    <mergeCell ref="E3417:F3417"/>
    <mergeCell ref="H3419:I3419"/>
    <mergeCell ref="E3443:F3443"/>
    <mergeCell ref="E3444:F3444"/>
    <mergeCell ref="E3445:F3445"/>
    <mergeCell ref="E3446:F3446"/>
    <mergeCell ref="E3447:F3447"/>
    <mergeCell ref="H3449:I3449"/>
    <mergeCell ref="E3435:F3435"/>
    <mergeCell ref="E3436:F3436"/>
    <mergeCell ref="E3437:F3437"/>
    <mergeCell ref="H3439:I3439"/>
    <mergeCell ref="E3441:F3441"/>
    <mergeCell ref="E3442:F3442"/>
    <mergeCell ref="E3427:F3427"/>
    <mergeCell ref="H3429:I3429"/>
    <mergeCell ref="E3431:F3431"/>
    <mergeCell ref="E3432:F3432"/>
    <mergeCell ref="E3433:F3433"/>
    <mergeCell ref="E3434:F3434"/>
    <mergeCell ref="E3421:F3421"/>
    <mergeCell ref="E3422:F3422"/>
    <mergeCell ref="E3423:F3423"/>
    <mergeCell ref="E3424:F3424"/>
    <mergeCell ref="E3425:F3425"/>
    <mergeCell ref="E3426:F3426"/>
    <mergeCell ref="E3451:F3451"/>
    <mergeCell ref="E3452:F3452"/>
    <mergeCell ref="E3453:F3453"/>
    <mergeCell ref="E3454:F3454"/>
    <mergeCell ref="E3455:F3455"/>
    <mergeCell ref="E3370:F3370"/>
    <mergeCell ref="E3371:F3371"/>
    <mergeCell ref="E3372:F3372"/>
    <mergeCell ref="E3373:F3373"/>
    <mergeCell ref="E3374:F3374"/>
    <mergeCell ref="E3399:F3399"/>
    <mergeCell ref="E3400:F3400"/>
    <mergeCell ref="E3401:F3401"/>
    <mergeCell ref="E3402:F3402"/>
    <mergeCell ref="E3403:F3403"/>
    <mergeCell ref="H3405:I3405"/>
    <mergeCell ref="E3391:F3391"/>
    <mergeCell ref="E3392:F3392"/>
    <mergeCell ref="E3393:F3393"/>
    <mergeCell ref="E3394:F3394"/>
    <mergeCell ref="E3395:F3395"/>
    <mergeCell ref="H3397:I3397"/>
    <mergeCell ref="E3383:F3383"/>
    <mergeCell ref="E3384:F3384"/>
    <mergeCell ref="E3385:F3385"/>
    <mergeCell ref="E3386:F3386"/>
    <mergeCell ref="H3388:I3388"/>
    <mergeCell ref="E3390:F3390"/>
    <mergeCell ref="H3376:I3376"/>
    <mergeCell ref="E3378:F3378"/>
    <mergeCell ref="E3379:F3379"/>
    <mergeCell ref="E3380:F3380"/>
    <mergeCell ref="E3381:F3381"/>
    <mergeCell ref="E3382:F3382"/>
    <mergeCell ref="E3407:F3407"/>
    <mergeCell ref="E3408:F3408"/>
    <mergeCell ref="E3409:F3409"/>
    <mergeCell ref="E3410:F3410"/>
    <mergeCell ref="E3411:F3411"/>
    <mergeCell ref="E3326:F3326"/>
    <mergeCell ref="E3327:F3327"/>
    <mergeCell ref="E3328:F3328"/>
    <mergeCell ref="E3329:F3329"/>
    <mergeCell ref="E3330:F3330"/>
    <mergeCell ref="H3356:I3356"/>
    <mergeCell ref="E3358:F3358"/>
    <mergeCell ref="E3359:F3359"/>
    <mergeCell ref="E3360:F3360"/>
    <mergeCell ref="E3361:F3361"/>
    <mergeCell ref="E3362:F3362"/>
    <mergeCell ref="E3347:F3347"/>
    <mergeCell ref="E3348:F3348"/>
    <mergeCell ref="H3350:I3350"/>
    <mergeCell ref="E3352:F3352"/>
    <mergeCell ref="E3353:F3353"/>
    <mergeCell ref="E3354:F3354"/>
    <mergeCell ref="E3339:F3339"/>
    <mergeCell ref="E3340:F3340"/>
    <mergeCell ref="H3342:I3342"/>
    <mergeCell ref="E3344:F3344"/>
    <mergeCell ref="E3345:F3345"/>
    <mergeCell ref="E3346:F3346"/>
    <mergeCell ref="H3332:I3332"/>
    <mergeCell ref="E3334:F3334"/>
    <mergeCell ref="E3335:F3335"/>
    <mergeCell ref="E3336:F3336"/>
    <mergeCell ref="E3337:F3337"/>
    <mergeCell ref="E3338:F3338"/>
    <mergeCell ref="E3363:F3363"/>
    <mergeCell ref="E3364:F3364"/>
    <mergeCell ref="H3366:I3366"/>
    <mergeCell ref="E3368:F3368"/>
    <mergeCell ref="E3369:F3369"/>
    <mergeCell ref="E3286:F3286"/>
    <mergeCell ref="E3287:F3287"/>
    <mergeCell ref="E3288:F3288"/>
    <mergeCell ref="E3289:F3289"/>
    <mergeCell ref="E3290:F3290"/>
    <mergeCell ref="E3313:F3313"/>
    <mergeCell ref="E3314:F3314"/>
    <mergeCell ref="E3315:F3315"/>
    <mergeCell ref="E3316:F3316"/>
    <mergeCell ref="E3317:F3317"/>
    <mergeCell ref="E3318:F3318"/>
    <mergeCell ref="E3305:F3305"/>
    <mergeCell ref="E3306:F3306"/>
    <mergeCell ref="E3307:F3307"/>
    <mergeCell ref="H3309:I3309"/>
    <mergeCell ref="E3311:F3311"/>
    <mergeCell ref="E3312:F3312"/>
    <mergeCell ref="E3299:F3299"/>
    <mergeCell ref="E3300:F3300"/>
    <mergeCell ref="E3301:F3301"/>
    <mergeCell ref="E3302:F3302"/>
    <mergeCell ref="E3303:F3303"/>
    <mergeCell ref="E3304:F3304"/>
    <mergeCell ref="E3291:F3291"/>
    <mergeCell ref="E3292:F3292"/>
    <mergeCell ref="E3293:F3293"/>
    <mergeCell ref="E3294:F3294"/>
    <mergeCell ref="H3296:I3296"/>
    <mergeCell ref="E3298:F3298"/>
    <mergeCell ref="E3319:F3319"/>
    <mergeCell ref="E3320:F3320"/>
    <mergeCell ref="H3322:I3322"/>
    <mergeCell ref="E3324:F3324"/>
    <mergeCell ref="E3325:F3325"/>
    <mergeCell ref="E3246:F3246"/>
    <mergeCell ref="E3247:F3247"/>
    <mergeCell ref="E3248:F3248"/>
    <mergeCell ref="E3249:F3249"/>
    <mergeCell ref="E3250:F3250"/>
    <mergeCell ref="E3273:F3273"/>
    <mergeCell ref="E3274:F3274"/>
    <mergeCell ref="E3275:F3275"/>
    <mergeCell ref="E3276:F3276"/>
    <mergeCell ref="E3277:F3277"/>
    <mergeCell ref="E3278:F3278"/>
    <mergeCell ref="E3265:F3265"/>
    <mergeCell ref="E3266:F3266"/>
    <mergeCell ref="E3267:F3267"/>
    <mergeCell ref="E3268:F3268"/>
    <mergeCell ref="H3270:I3270"/>
    <mergeCell ref="E3272:F3272"/>
    <mergeCell ref="E3259:F3259"/>
    <mergeCell ref="E3260:F3260"/>
    <mergeCell ref="E3261:F3261"/>
    <mergeCell ref="E3262:F3262"/>
    <mergeCell ref="E3263:F3263"/>
    <mergeCell ref="E3264:F3264"/>
    <mergeCell ref="E3251:F3251"/>
    <mergeCell ref="E3252:F3252"/>
    <mergeCell ref="E3253:F3253"/>
    <mergeCell ref="E3254:F3254"/>
    <mergeCell ref="E3255:F3255"/>
    <mergeCell ref="H3257:I3257"/>
    <mergeCell ref="E3279:F3279"/>
    <mergeCell ref="E3280:F3280"/>
    <mergeCell ref="E3281:F3281"/>
    <mergeCell ref="H3283:I3283"/>
    <mergeCell ref="E3285:F3285"/>
    <mergeCell ref="E3204:F3204"/>
    <mergeCell ref="E3205:F3205"/>
    <mergeCell ref="E3206:F3206"/>
    <mergeCell ref="E3207:F3207"/>
    <mergeCell ref="E3208:F3208"/>
    <mergeCell ref="E3233:F3233"/>
    <mergeCell ref="E3234:F3234"/>
    <mergeCell ref="E3235:F3235"/>
    <mergeCell ref="E3236:F3236"/>
    <mergeCell ref="E3237:F3237"/>
    <mergeCell ref="E3238:F3238"/>
    <mergeCell ref="E3225:F3225"/>
    <mergeCell ref="E3226:F3226"/>
    <mergeCell ref="E3227:F3227"/>
    <mergeCell ref="E3228:F3228"/>
    <mergeCell ref="E3229:F3229"/>
    <mergeCell ref="H3231:I3231"/>
    <mergeCell ref="H3218:I3218"/>
    <mergeCell ref="E3220:F3220"/>
    <mergeCell ref="E3221:F3221"/>
    <mergeCell ref="E3222:F3222"/>
    <mergeCell ref="E3223:F3223"/>
    <mergeCell ref="E3224:F3224"/>
    <mergeCell ref="H3210:I3210"/>
    <mergeCell ref="E3212:F3212"/>
    <mergeCell ref="E3213:F3213"/>
    <mergeCell ref="E3214:F3214"/>
    <mergeCell ref="E3215:F3215"/>
    <mergeCell ref="E3216:F3216"/>
    <mergeCell ref="E3239:F3239"/>
    <mergeCell ref="E3240:F3240"/>
    <mergeCell ref="E3241:F3241"/>
    <mergeCell ref="E3242:F3242"/>
    <mergeCell ref="H3244:I3244"/>
    <mergeCell ref="E3162:F3162"/>
    <mergeCell ref="E3163:F3163"/>
    <mergeCell ref="E3164:F3164"/>
    <mergeCell ref="E3165:F3165"/>
    <mergeCell ref="H3167:I3167"/>
    <mergeCell ref="E3191:F3191"/>
    <mergeCell ref="E3192:F3192"/>
    <mergeCell ref="E3193:F3193"/>
    <mergeCell ref="E3194:F3194"/>
    <mergeCell ref="E3195:F3195"/>
    <mergeCell ref="E3196:F3196"/>
    <mergeCell ref="E3183:F3183"/>
    <mergeCell ref="H3185:I3185"/>
    <mergeCell ref="E3187:F3187"/>
    <mergeCell ref="E3188:F3188"/>
    <mergeCell ref="E3189:F3189"/>
    <mergeCell ref="E3190:F3190"/>
    <mergeCell ref="E3177:F3177"/>
    <mergeCell ref="E3178:F3178"/>
    <mergeCell ref="E3179:F3179"/>
    <mergeCell ref="E3180:F3180"/>
    <mergeCell ref="E3181:F3181"/>
    <mergeCell ref="E3182:F3182"/>
    <mergeCell ref="E3169:F3169"/>
    <mergeCell ref="E3170:F3170"/>
    <mergeCell ref="E3171:F3171"/>
    <mergeCell ref="E3172:F3172"/>
    <mergeCell ref="E3173:F3173"/>
    <mergeCell ref="H3175:I3175"/>
    <mergeCell ref="H3198:I3198"/>
    <mergeCell ref="E3200:F3200"/>
    <mergeCell ref="E3201:F3201"/>
    <mergeCell ref="E3202:F3202"/>
    <mergeCell ref="E3203:F3203"/>
    <mergeCell ref="E3122:F3122"/>
    <mergeCell ref="E3123:F3123"/>
    <mergeCell ref="E3124:F3124"/>
    <mergeCell ref="E3125:F3125"/>
    <mergeCell ref="E3126:F3126"/>
    <mergeCell ref="E3149:F3149"/>
    <mergeCell ref="E3150:F3150"/>
    <mergeCell ref="E3151:F3151"/>
    <mergeCell ref="E3152:F3152"/>
    <mergeCell ref="E3153:F3153"/>
    <mergeCell ref="E3154:F3154"/>
    <mergeCell ref="E3141:F3141"/>
    <mergeCell ref="E3142:F3142"/>
    <mergeCell ref="E3143:F3143"/>
    <mergeCell ref="H3145:I3145"/>
    <mergeCell ref="E3147:F3147"/>
    <mergeCell ref="E3148:F3148"/>
    <mergeCell ref="E3133:F3133"/>
    <mergeCell ref="E3134:F3134"/>
    <mergeCell ref="E3135:F3135"/>
    <mergeCell ref="E3136:F3136"/>
    <mergeCell ref="H3138:I3138"/>
    <mergeCell ref="E3140:F3140"/>
    <mergeCell ref="E3127:F3127"/>
    <mergeCell ref="E3128:F3128"/>
    <mergeCell ref="E3129:F3129"/>
    <mergeCell ref="E3130:F3130"/>
    <mergeCell ref="E3131:F3131"/>
    <mergeCell ref="E3132:F3132"/>
    <mergeCell ref="E3155:F3155"/>
    <mergeCell ref="H3157:I3157"/>
    <mergeCell ref="E3159:F3159"/>
    <mergeCell ref="E3160:F3160"/>
    <mergeCell ref="E3161:F3161"/>
    <mergeCell ref="E3080:F3080"/>
    <mergeCell ref="E3081:F3081"/>
    <mergeCell ref="E3082:F3082"/>
    <mergeCell ref="E3083:F3083"/>
    <mergeCell ref="E3084:F3084"/>
    <mergeCell ref="E3107:F3107"/>
    <mergeCell ref="E3108:F3108"/>
    <mergeCell ref="H3110:I3110"/>
    <mergeCell ref="E3112:F3112"/>
    <mergeCell ref="E3113:F3113"/>
    <mergeCell ref="E3114:F3114"/>
    <mergeCell ref="E3101:F3101"/>
    <mergeCell ref="E3102:F3102"/>
    <mergeCell ref="E3103:F3103"/>
    <mergeCell ref="E3104:F3104"/>
    <mergeCell ref="E3105:F3105"/>
    <mergeCell ref="E3106:F3106"/>
    <mergeCell ref="E3093:F3093"/>
    <mergeCell ref="E3094:F3094"/>
    <mergeCell ref="E3095:F3095"/>
    <mergeCell ref="H3097:I3097"/>
    <mergeCell ref="E3099:F3099"/>
    <mergeCell ref="E3100:F3100"/>
    <mergeCell ref="E3085:F3085"/>
    <mergeCell ref="E3086:F3086"/>
    <mergeCell ref="E3087:F3087"/>
    <mergeCell ref="H3089:I3089"/>
    <mergeCell ref="E3091:F3091"/>
    <mergeCell ref="E3092:F3092"/>
    <mergeCell ref="E3115:F3115"/>
    <mergeCell ref="E3116:F3116"/>
    <mergeCell ref="H3118:I3118"/>
    <mergeCell ref="E3120:F3120"/>
    <mergeCell ref="E3121:F3121"/>
    <mergeCell ref="E3034:F3034"/>
    <mergeCell ref="E3035:F3035"/>
    <mergeCell ref="E3036:F3036"/>
    <mergeCell ref="E3037:F3037"/>
    <mergeCell ref="E3038:F3038"/>
    <mergeCell ref="E3065:F3065"/>
    <mergeCell ref="E3066:F3066"/>
    <mergeCell ref="E3067:F3067"/>
    <mergeCell ref="H3069:I3069"/>
    <mergeCell ref="E3071:F3071"/>
    <mergeCell ref="E3072:F3072"/>
    <mergeCell ref="H3056:I3056"/>
    <mergeCell ref="E3058:F3058"/>
    <mergeCell ref="E3059:F3059"/>
    <mergeCell ref="E3060:F3060"/>
    <mergeCell ref="H3062:I3062"/>
    <mergeCell ref="E3064:F3064"/>
    <mergeCell ref="H3048:I3048"/>
    <mergeCell ref="E3050:F3050"/>
    <mergeCell ref="E3051:F3051"/>
    <mergeCell ref="E3052:F3052"/>
    <mergeCell ref="E3053:F3053"/>
    <mergeCell ref="E3054:F3054"/>
    <mergeCell ref="H3040:I3040"/>
    <mergeCell ref="E3042:F3042"/>
    <mergeCell ref="E3043:F3043"/>
    <mergeCell ref="E3044:F3044"/>
    <mergeCell ref="E3045:F3045"/>
    <mergeCell ref="E3046:F3046"/>
    <mergeCell ref="E3073:F3073"/>
    <mergeCell ref="E3074:F3074"/>
    <mergeCell ref="E3075:F3075"/>
    <mergeCell ref="E3076:F3076"/>
    <mergeCell ref="H3078:I3078"/>
    <mergeCell ref="E2990:F2990"/>
    <mergeCell ref="E2991:F2991"/>
    <mergeCell ref="H2993:I2993"/>
    <mergeCell ref="E2995:F2995"/>
    <mergeCell ref="E2996:F2996"/>
    <mergeCell ref="E3019:F3019"/>
    <mergeCell ref="E3020:F3020"/>
    <mergeCell ref="H3022:I3022"/>
    <mergeCell ref="E3024:F3024"/>
    <mergeCell ref="E3025:F3025"/>
    <mergeCell ref="E3026:F3026"/>
    <mergeCell ref="E3013:F3013"/>
    <mergeCell ref="E3014:F3014"/>
    <mergeCell ref="E3015:F3015"/>
    <mergeCell ref="E3016:F3016"/>
    <mergeCell ref="E3017:F3017"/>
    <mergeCell ref="E3018:F3018"/>
    <mergeCell ref="E3005:F3005"/>
    <mergeCell ref="E3006:F3006"/>
    <mergeCell ref="E3007:F3007"/>
    <mergeCell ref="E3008:F3008"/>
    <mergeCell ref="E3009:F3009"/>
    <mergeCell ref="H3011:I3011"/>
    <mergeCell ref="E2997:F2997"/>
    <mergeCell ref="E2998:F2998"/>
    <mergeCell ref="E2999:F2999"/>
    <mergeCell ref="E3000:F3000"/>
    <mergeCell ref="H3002:I3002"/>
    <mergeCell ref="E3004:F3004"/>
    <mergeCell ref="E3027:F3027"/>
    <mergeCell ref="E3028:F3028"/>
    <mergeCell ref="H3030:I3030"/>
    <mergeCell ref="E3032:F3032"/>
    <mergeCell ref="E3033:F3033"/>
    <mergeCell ref="E2946:F2946"/>
    <mergeCell ref="E2947:F2947"/>
    <mergeCell ref="H2949:I2949"/>
    <mergeCell ref="E2951:F2951"/>
    <mergeCell ref="E2952:F2952"/>
    <mergeCell ref="H2976:I2976"/>
    <mergeCell ref="E2978:F2978"/>
    <mergeCell ref="E2979:F2979"/>
    <mergeCell ref="E2980:F2980"/>
    <mergeCell ref="E2981:F2981"/>
    <mergeCell ref="E2982:F2982"/>
    <mergeCell ref="E2969:F2969"/>
    <mergeCell ref="E2970:F2970"/>
    <mergeCell ref="E2971:F2971"/>
    <mergeCell ref="E2972:F2972"/>
    <mergeCell ref="E2973:F2973"/>
    <mergeCell ref="E2974:F2974"/>
    <mergeCell ref="E2961:F2961"/>
    <mergeCell ref="E2962:F2962"/>
    <mergeCell ref="E2963:F2963"/>
    <mergeCell ref="E2964:F2964"/>
    <mergeCell ref="E2965:F2965"/>
    <mergeCell ref="H2967:I2967"/>
    <mergeCell ref="E2953:F2953"/>
    <mergeCell ref="E2954:F2954"/>
    <mergeCell ref="E2955:F2955"/>
    <mergeCell ref="E2956:F2956"/>
    <mergeCell ref="H2958:I2958"/>
    <mergeCell ref="E2960:F2960"/>
    <mergeCell ref="E2983:F2983"/>
    <mergeCell ref="H2985:I2985"/>
    <mergeCell ref="E2987:F2987"/>
    <mergeCell ref="E2988:F2988"/>
    <mergeCell ref="E2989:F2989"/>
    <mergeCell ref="E2904:F2904"/>
    <mergeCell ref="E2905:F2905"/>
    <mergeCell ref="E2906:F2906"/>
    <mergeCell ref="E2907:F2907"/>
    <mergeCell ref="E2908:F2908"/>
    <mergeCell ref="E2933:F2933"/>
    <mergeCell ref="E2934:F2934"/>
    <mergeCell ref="E2935:F2935"/>
    <mergeCell ref="E2936:F2936"/>
    <mergeCell ref="E2937:F2937"/>
    <mergeCell ref="H2939:I2939"/>
    <mergeCell ref="E2925:F2925"/>
    <mergeCell ref="E2926:F2926"/>
    <mergeCell ref="H2928:I2928"/>
    <mergeCell ref="E2930:F2930"/>
    <mergeCell ref="E2931:F2931"/>
    <mergeCell ref="E2932:F2932"/>
    <mergeCell ref="E2917:F2917"/>
    <mergeCell ref="H2919:I2919"/>
    <mergeCell ref="E2921:F2921"/>
    <mergeCell ref="E2922:F2922"/>
    <mergeCell ref="E2923:F2923"/>
    <mergeCell ref="E2924:F2924"/>
    <mergeCell ref="H2910:I2910"/>
    <mergeCell ref="E2912:F2912"/>
    <mergeCell ref="E2913:F2913"/>
    <mergeCell ref="E2914:F2914"/>
    <mergeCell ref="E2915:F2915"/>
    <mergeCell ref="E2916:F2916"/>
    <mergeCell ref="E2941:F2941"/>
    <mergeCell ref="E2942:F2942"/>
    <mergeCell ref="E2943:F2943"/>
    <mergeCell ref="E2944:F2944"/>
    <mergeCell ref="E2945:F2945"/>
    <mergeCell ref="E2862:F2862"/>
    <mergeCell ref="E2863:F2863"/>
    <mergeCell ref="E2864:F2864"/>
    <mergeCell ref="E2865:F2865"/>
    <mergeCell ref="E2866:F2866"/>
    <mergeCell ref="E2891:F2891"/>
    <mergeCell ref="E2892:F2892"/>
    <mergeCell ref="E2893:F2893"/>
    <mergeCell ref="E2894:F2894"/>
    <mergeCell ref="H2896:I2896"/>
    <mergeCell ref="E2898:F2898"/>
    <mergeCell ref="E2883:F2883"/>
    <mergeCell ref="E2884:F2884"/>
    <mergeCell ref="H2886:I2886"/>
    <mergeCell ref="E2888:F2888"/>
    <mergeCell ref="E2889:F2889"/>
    <mergeCell ref="E2890:F2890"/>
    <mergeCell ref="H2876:I2876"/>
    <mergeCell ref="E2878:F2878"/>
    <mergeCell ref="E2879:F2879"/>
    <mergeCell ref="E2880:F2880"/>
    <mergeCell ref="E2881:F2881"/>
    <mergeCell ref="E2882:F2882"/>
    <mergeCell ref="H2868:I2868"/>
    <mergeCell ref="E2870:F2870"/>
    <mergeCell ref="E2871:F2871"/>
    <mergeCell ref="E2872:F2872"/>
    <mergeCell ref="E2873:F2873"/>
    <mergeCell ref="E2874:F2874"/>
    <mergeCell ref="E2899:F2899"/>
    <mergeCell ref="E2900:F2900"/>
    <mergeCell ref="E2901:F2901"/>
    <mergeCell ref="E2902:F2902"/>
    <mergeCell ref="E2903:F2903"/>
    <mergeCell ref="E2820:F2820"/>
    <mergeCell ref="E2821:F2821"/>
    <mergeCell ref="E2822:F2822"/>
    <mergeCell ref="E2823:F2823"/>
    <mergeCell ref="E2824:F2824"/>
    <mergeCell ref="H2848:I2848"/>
    <mergeCell ref="E2850:F2850"/>
    <mergeCell ref="E2851:F2851"/>
    <mergeCell ref="E2852:F2852"/>
    <mergeCell ref="E2853:F2853"/>
    <mergeCell ref="E2854:F2854"/>
    <mergeCell ref="E2841:F2841"/>
    <mergeCell ref="E2842:F2842"/>
    <mergeCell ref="E2843:F2843"/>
    <mergeCell ref="E2844:F2844"/>
    <mergeCell ref="E2845:F2845"/>
    <mergeCell ref="E2846:F2846"/>
    <mergeCell ref="E2833:F2833"/>
    <mergeCell ref="E2834:F2834"/>
    <mergeCell ref="E2835:F2835"/>
    <mergeCell ref="E2836:F2836"/>
    <mergeCell ref="H2838:I2838"/>
    <mergeCell ref="E2840:F2840"/>
    <mergeCell ref="E2825:F2825"/>
    <mergeCell ref="E2826:F2826"/>
    <mergeCell ref="H2828:I2828"/>
    <mergeCell ref="E2830:F2830"/>
    <mergeCell ref="E2831:F2831"/>
    <mergeCell ref="E2832:F2832"/>
    <mergeCell ref="E2855:F2855"/>
    <mergeCell ref="E2856:F2856"/>
    <mergeCell ref="H2858:I2858"/>
    <mergeCell ref="E2860:F2860"/>
    <mergeCell ref="E2861:F2861"/>
    <mergeCell ref="E2780:F2780"/>
    <mergeCell ref="E2781:F2781"/>
    <mergeCell ref="E2782:F2782"/>
    <mergeCell ref="E2783:F2783"/>
    <mergeCell ref="E2784:F2784"/>
    <mergeCell ref="E2805:F2805"/>
    <mergeCell ref="E2806:F2806"/>
    <mergeCell ref="E2807:F2807"/>
    <mergeCell ref="H2809:I2809"/>
    <mergeCell ref="E2811:F2811"/>
    <mergeCell ref="E2812:F2812"/>
    <mergeCell ref="E2799:F2799"/>
    <mergeCell ref="E2800:F2800"/>
    <mergeCell ref="E2801:F2801"/>
    <mergeCell ref="E2802:F2802"/>
    <mergeCell ref="E2803:F2803"/>
    <mergeCell ref="E2804:F2804"/>
    <mergeCell ref="E2791:F2791"/>
    <mergeCell ref="H2793:I2793"/>
    <mergeCell ref="E2795:F2795"/>
    <mergeCell ref="E2796:F2796"/>
    <mergeCell ref="E2797:F2797"/>
    <mergeCell ref="E2798:F2798"/>
    <mergeCell ref="E2785:F2785"/>
    <mergeCell ref="E2786:F2786"/>
    <mergeCell ref="E2787:F2787"/>
    <mergeCell ref="E2788:F2788"/>
    <mergeCell ref="E2789:F2789"/>
    <mergeCell ref="E2790:F2790"/>
    <mergeCell ref="E2813:F2813"/>
    <mergeCell ref="E2814:F2814"/>
    <mergeCell ref="E2815:F2815"/>
    <mergeCell ref="H2817:I2817"/>
    <mergeCell ref="E2819:F2819"/>
    <mergeCell ref="E2734:F2734"/>
    <mergeCell ref="H2736:I2736"/>
    <mergeCell ref="E2738:F2738"/>
    <mergeCell ref="E2739:F2739"/>
    <mergeCell ref="E2740:F2740"/>
    <mergeCell ref="E2765:F2765"/>
    <mergeCell ref="E2766:F2766"/>
    <mergeCell ref="H2768:I2768"/>
    <mergeCell ref="E2770:F2770"/>
    <mergeCell ref="E2771:F2771"/>
    <mergeCell ref="E2772:F2772"/>
    <mergeCell ref="E2757:F2757"/>
    <mergeCell ref="E2758:F2758"/>
    <mergeCell ref="H2760:I2760"/>
    <mergeCell ref="E2762:F2762"/>
    <mergeCell ref="E2763:F2763"/>
    <mergeCell ref="E2764:F2764"/>
    <mergeCell ref="E2749:F2749"/>
    <mergeCell ref="E2750:F2750"/>
    <mergeCell ref="H2752:I2752"/>
    <mergeCell ref="E2754:F2754"/>
    <mergeCell ref="E2755:F2755"/>
    <mergeCell ref="E2756:F2756"/>
    <mergeCell ref="E2741:F2741"/>
    <mergeCell ref="E2742:F2742"/>
    <mergeCell ref="H2744:I2744"/>
    <mergeCell ref="E2746:F2746"/>
    <mergeCell ref="E2747:F2747"/>
    <mergeCell ref="E2748:F2748"/>
    <mergeCell ref="E2773:F2773"/>
    <mergeCell ref="E2774:F2774"/>
    <mergeCell ref="E2775:F2775"/>
    <mergeCell ref="E2776:F2776"/>
    <mergeCell ref="H2778:I2778"/>
    <mergeCell ref="E2690:F2690"/>
    <mergeCell ref="H2692:I2692"/>
    <mergeCell ref="E2694:F2694"/>
    <mergeCell ref="E2695:F2695"/>
    <mergeCell ref="E2696:F2696"/>
    <mergeCell ref="E2721:F2721"/>
    <mergeCell ref="E2722:F2722"/>
    <mergeCell ref="E2723:F2723"/>
    <mergeCell ref="E2724:F2724"/>
    <mergeCell ref="E2725:F2725"/>
    <mergeCell ref="E2726:F2726"/>
    <mergeCell ref="E2713:F2713"/>
    <mergeCell ref="E2714:F2714"/>
    <mergeCell ref="E2715:F2715"/>
    <mergeCell ref="E2716:F2716"/>
    <mergeCell ref="E2717:F2717"/>
    <mergeCell ref="H2719:I2719"/>
    <mergeCell ref="E2705:F2705"/>
    <mergeCell ref="E2706:F2706"/>
    <mergeCell ref="E2707:F2707"/>
    <mergeCell ref="E2708:F2708"/>
    <mergeCell ref="H2710:I2710"/>
    <mergeCell ref="E2712:F2712"/>
    <mergeCell ref="E2697:F2697"/>
    <mergeCell ref="E2698:F2698"/>
    <mergeCell ref="E2699:F2699"/>
    <mergeCell ref="H2701:I2701"/>
    <mergeCell ref="E2703:F2703"/>
    <mergeCell ref="E2704:F2704"/>
    <mergeCell ref="H2728:I2728"/>
    <mergeCell ref="E2730:F2730"/>
    <mergeCell ref="E2731:F2731"/>
    <mergeCell ref="E2732:F2732"/>
    <mergeCell ref="E2733:F2733"/>
    <mergeCell ref="H2651:I2651"/>
    <mergeCell ref="E2653:F2653"/>
    <mergeCell ref="E2654:F2654"/>
    <mergeCell ref="E2655:F2655"/>
    <mergeCell ref="E2656:F2656"/>
    <mergeCell ref="E2657:F2657"/>
    <mergeCell ref="E2685:F2685"/>
    <mergeCell ref="E2686:F2686"/>
    <mergeCell ref="E2687:F2687"/>
    <mergeCell ref="E2688:F2688"/>
    <mergeCell ref="E2689:F2689"/>
    <mergeCell ref="E2646:F2646"/>
    <mergeCell ref="E2647:F2647"/>
    <mergeCell ref="E2648:F2648"/>
    <mergeCell ref="E2649:F2649"/>
    <mergeCell ref="E2677:F2677"/>
    <mergeCell ref="E2678:F2678"/>
    <mergeCell ref="E2679:F2679"/>
    <mergeCell ref="E2680:F2680"/>
    <mergeCell ref="E2681:F2681"/>
    <mergeCell ref="H2683:I2683"/>
    <mergeCell ref="E2669:F2669"/>
    <mergeCell ref="E2670:F2670"/>
    <mergeCell ref="E2671:F2671"/>
    <mergeCell ref="E2672:F2672"/>
    <mergeCell ref="E2673:F2673"/>
    <mergeCell ref="H2675:I2675"/>
    <mergeCell ref="H2643:I2643"/>
    <mergeCell ref="E2645:F2645"/>
    <mergeCell ref="H2601:I2601"/>
    <mergeCell ref="E2603:F2603"/>
    <mergeCell ref="E2604:F2604"/>
    <mergeCell ref="E2605:F2605"/>
    <mergeCell ref="E2606:F2606"/>
    <mergeCell ref="E2607:F2607"/>
    <mergeCell ref="H2609:I2609"/>
    <mergeCell ref="E2611:F2611"/>
    <mergeCell ref="E2634:F2634"/>
    <mergeCell ref="H2636:I2636"/>
    <mergeCell ref="E2638:F2638"/>
    <mergeCell ref="E2639:F2639"/>
    <mergeCell ref="E2640:F2640"/>
    <mergeCell ref="E2641:F2641"/>
    <mergeCell ref="H2667:I2667"/>
    <mergeCell ref="E2623:F2623"/>
    <mergeCell ref="E2624:F2624"/>
    <mergeCell ref="E2625:F2625"/>
    <mergeCell ref="H2627:I2627"/>
    <mergeCell ref="E2629:F2629"/>
    <mergeCell ref="E2630:F2630"/>
    <mergeCell ref="E2631:F2631"/>
    <mergeCell ref="E2632:F2632"/>
    <mergeCell ref="E2633:F2633"/>
    <mergeCell ref="H2659:I2659"/>
    <mergeCell ref="E2661:F2661"/>
    <mergeCell ref="E2662:F2662"/>
    <mergeCell ref="E2663:F2663"/>
    <mergeCell ref="E2664:F2664"/>
    <mergeCell ref="E2665:F2665"/>
    <mergeCell ref="H2592:I2592"/>
    <mergeCell ref="E2594:F2594"/>
    <mergeCell ref="E2595:F2595"/>
    <mergeCell ref="E2596:F2596"/>
    <mergeCell ref="E2597:F2597"/>
    <mergeCell ref="E2598:F2598"/>
    <mergeCell ref="H2583:I2583"/>
    <mergeCell ref="E2585:F2585"/>
    <mergeCell ref="E2586:F2586"/>
    <mergeCell ref="E2587:F2587"/>
    <mergeCell ref="E2588:F2588"/>
    <mergeCell ref="E2589:F2589"/>
    <mergeCell ref="E2620:F2620"/>
    <mergeCell ref="E2621:F2621"/>
    <mergeCell ref="E2622:F2622"/>
    <mergeCell ref="E2579:F2579"/>
    <mergeCell ref="E2580:F2580"/>
    <mergeCell ref="E2581:F2581"/>
    <mergeCell ref="E2590:F2590"/>
    <mergeCell ref="E2599:F2599"/>
    <mergeCell ref="E2612:F2612"/>
    <mergeCell ref="E2613:F2613"/>
    <mergeCell ref="E2614:F2614"/>
    <mergeCell ref="E2615:F2615"/>
    <mergeCell ref="E2616:F2616"/>
    <mergeCell ref="H2618:I2618"/>
    <mergeCell ref="E2537:F2537"/>
    <mergeCell ref="E2538:F2538"/>
    <mergeCell ref="E2539:F2539"/>
    <mergeCell ref="H2541:I2541"/>
    <mergeCell ref="E2543:F2543"/>
    <mergeCell ref="H2565:I2565"/>
    <mergeCell ref="E2567:F2567"/>
    <mergeCell ref="E2568:F2568"/>
    <mergeCell ref="E2569:F2569"/>
    <mergeCell ref="E2570:F2570"/>
    <mergeCell ref="E2571:F2571"/>
    <mergeCell ref="E2558:F2558"/>
    <mergeCell ref="E2559:F2559"/>
    <mergeCell ref="E2560:F2560"/>
    <mergeCell ref="E2561:F2561"/>
    <mergeCell ref="E2562:F2562"/>
    <mergeCell ref="E2563:F2563"/>
    <mergeCell ref="E2550:F2550"/>
    <mergeCell ref="E2551:F2551"/>
    <mergeCell ref="E2552:F2552"/>
    <mergeCell ref="E2553:F2553"/>
    <mergeCell ref="H2555:I2555"/>
    <mergeCell ref="E2557:F2557"/>
    <mergeCell ref="E2544:F2544"/>
    <mergeCell ref="E2545:F2545"/>
    <mergeCell ref="E2546:F2546"/>
    <mergeCell ref="E2547:F2547"/>
    <mergeCell ref="E2548:F2548"/>
    <mergeCell ref="E2549:F2549"/>
    <mergeCell ref="E2572:F2572"/>
    <mergeCell ref="H2574:I2574"/>
    <mergeCell ref="E2576:F2576"/>
    <mergeCell ref="E2577:F2577"/>
    <mergeCell ref="E2578:F2578"/>
    <mergeCell ref="E2491:F2491"/>
    <mergeCell ref="E2492:F2492"/>
    <mergeCell ref="H2494:I2494"/>
    <mergeCell ref="E2496:F2496"/>
    <mergeCell ref="E2497:F2497"/>
    <mergeCell ref="E2522:F2522"/>
    <mergeCell ref="E2523:F2523"/>
    <mergeCell ref="E2524:F2524"/>
    <mergeCell ref="E2525:F2525"/>
    <mergeCell ref="H2527:I2527"/>
    <mergeCell ref="E2529:F2529"/>
    <mergeCell ref="E2514:F2514"/>
    <mergeCell ref="E2515:F2515"/>
    <mergeCell ref="E2516:F2516"/>
    <mergeCell ref="E2517:F2517"/>
    <mergeCell ref="H2519:I2519"/>
    <mergeCell ref="E2521:F2521"/>
    <mergeCell ref="E2506:F2506"/>
    <mergeCell ref="E2507:F2507"/>
    <mergeCell ref="E2508:F2508"/>
    <mergeCell ref="E2509:F2509"/>
    <mergeCell ref="H2511:I2511"/>
    <mergeCell ref="E2513:F2513"/>
    <mergeCell ref="E2498:F2498"/>
    <mergeCell ref="E2499:F2499"/>
    <mergeCell ref="E2500:F2500"/>
    <mergeCell ref="E2501:F2501"/>
    <mergeCell ref="H2503:I2503"/>
    <mergeCell ref="E2505:F2505"/>
    <mergeCell ref="E2530:F2530"/>
    <mergeCell ref="E2531:F2531"/>
    <mergeCell ref="H2533:I2533"/>
    <mergeCell ref="E2535:F2535"/>
    <mergeCell ref="E2536:F2536"/>
    <mergeCell ref="E2447:F2447"/>
    <mergeCell ref="H2449:I2449"/>
    <mergeCell ref="E2451:F2451"/>
    <mergeCell ref="E2452:F2452"/>
    <mergeCell ref="E2453:F2453"/>
    <mergeCell ref="E2478:F2478"/>
    <mergeCell ref="E2479:F2479"/>
    <mergeCell ref="E2480:F2480"/>
    <mergeCell ref="E2481:F2481"/>
    <mergeCell ref="E2482:F2482"/>
    <mergeCell ref="E2483:F2483"/>
    <mergeCell ref="E2470:F2470"/>
    <mergeCell ref="E2471:F2471"/>
    <mergeCell ref="E2472:F2472"/>
    <mergeCell ref="E2473:F2473"/>
    <mergeCell ref="E2474:F2474"/>
    <mergeCell ref="H2476:I2476"/>
    <mergeCell ref="E2462:F2462"/>
    <mergeCell ref="E2463:F2463"/>
    <mergeCell ref="E2464:F2464"/>
    <mergeCell ref="E2465:F2465"/>
    <mergeCell ref="H2467:I2467"/>
    <mergeCell ref="E2469:F2469"/>
    <mergeCell ref="E2454:F2454"/>
    <mergeCell ref="E2455:F2455"/>
    <mergeCell ref="E2456:F2456"/>
    <mergeCell ref="H2458:I2458"/>
    <mergeCell ref="E2460:F2460"/>
    <mergeCell ref="E2461:F2461"/>
    <mergeCell ref="H2485:I2485"/>
    <mergeCell ref="E2487:F2487"/>
    <mergeCell ref="E2488:F2488"/>
    <mergeCell ref="E2489:F2489"/>
    <mergeCell ref="E2490:F2490"/>
    <mergeCell ref="H2404:I2404"/>
    <mergeCell ref="E2406:F2406"/>
    <mergeCell ref="E2407:F2407"/>
    <mergeCell ref="E2408:F2408"/>
    <mergeCell ref="E2409:F2409"/>
    <mergeCell ref="E2434:F2434"/>
    <mergeCell ref="E2435:F2435"/>
    <mergeCell ref="E2436:F2436"/>
    <mergeCell ref="E2437:F2437"/>
    <mergeCell ref="E2438:F2438"/>
    <mergeCell ref="H2440:I2440"/>
    <mergeCell ref="E2426:F2426"/>
    <mergeCell ref="E2427:F2427"/>
    <mergeCell ref="E2428:F2428"/>
    <mergeCell ref="E2429:F2429"/>
    <mergeCell ref="H2431:I2431"/>
    <mergeCell ref="E2433:F2433"/>
    <mergeCell ref="E2418:F2418"/>
    <mergeCell ref="E2419:F2419"/>
    <mergeCell ref="E2420:F2420"/>
    <mergeCell ref="H2422:I2422"/>
    <mergeCell ref="E2424:F2424"/>
    <mergeCell ref="E2425:F2425"/>
    <mergeCell ref="E2410:F2410"/>
    <mergeCell ref="E2411:F2411"/>
    <mergeCell ref="H2413:I2413"/>
    <mergeCell ref="E2415:F2415"/>
    <mergeCell ref="E2416:F2416"/>
    <mergeCell ref="E2417:F2417"/>
    <mergeCell ref="E2442:F2442"/>
    <mergeCell ref="E2443:F2443"/>
    <mergeCell ref="E2444:F2444"/>
    <mergeCell ref="E2445:F2445"/>
    <mergeCell ref="E2446:F2446"/>
    <mergeCell ref="E2357:F2357"/>
    <mergeCell ref="E2358:F2358"/>
    <mergeCell ref="E2359:F2359"/>
    <mergeCell ref="E2360:F2360"/>
    <mergeCell ref="H2362:I2362"/>
    <mergeCell ref="E2388:F2388"/>
    <mergeCell ref="H2390:I2390"/>
    <mergeCell ref="E2392:F2392"/>
    <mergeCell ref="E2393:F2393"/>
    <mergeCell ref="E2394:F2394"/>
    <mergeCell ref="E2395:F2395"/>
    <mergeCell ref="E2380:F2380"/>
    <mergeCell ref="E2381:F2381"/>
    <mergeCell ref="H2383:I2383"/>
    <mergeCell ref="E2385:F2385"/>
    <mergeCell ref="E2386:F2386"/>
    <mergeCell ref="E2387:F2387"/>
    <mergeCell ref="E2372:F2372"/>
    <mergeCell ref="E2373:F2373"/>
    <mergeCell ref="E2374:F2374"/>
    <mergeCell ref="H2376:I2376"/>
    <mergeCell ref="E2378:F2378"/>
    <mergeCell ref="E2379:F2379"/>
    <mergeCell ref="E2364:F2364"/>
    <mergeCell ref="E2365:F2365"/>
    <mergeCell ref="E2366:F2366"/>
    <mergeCell ref="E2367:F2367"/>
    <mergeCell ref="H2369:I2369"/>
    <mergeCell ref="E2371:F2371"/>
    <mergeCell ref="H2397:I2397"/>
    <mergeCell ref="E2399:F2399"/>
    <mergeCell ref="E2400:F2400"/>
    <mergeCell ref="E2401:F2401"/>
    <mergeCell ref="E2402:F2402"/>
    <mergeCell ref="E2311:F2311"/>
    <mergeCell ref="E2312:F2312"/>
    <mergeCell ref="E2313:F2313"/>
    <mergeCell ref="E2314:F2314"/>
    <mergeCell ref="H2316:I2316"/>
    <mergeCell ref="H2341:I2341"/>
    <mergeCell ref="E2343:F2343"/>
    <mergeCell ref="E2344:F2344"/>
    <mergeCell ref="E2345:F2345"/>
    <mergeCell ref="E2346:F2346"/>
    <mergeCell ref="H2348:I2348"/>
    <mergeCell ref="E2332:F2332"/>
    <mergeCell ref="H2334:I2334"/>
    <mergeCell ref="E2336:F2336"/>
    <mergeCell ref="E2337:F2337"/>
    <mergeCell ref="E2338:F2338"/>
    <mergeCell ref="E2339:F2339"/>
    <mergeCell ref="H2325:I2325"/>
    <mergeCell ref="E2327:F2327"/>
    <mergeCell ref="E2328:F2328"/>
    <mergeCell ref="E2329:F2329"/>
    <mergeCell ref="E2330:F2330"/>
    <mergeCell ref="E2331:F2331"/>
    <mergeCell ref="E2318:F2318"/>
    <mergeCell ref="E2319:F2319"/>
    <mergeCell ref="E2320:F2320"/>
    <mergeCell ref="E2321:F2321"/>
    <mergeCell ref="E2322:F2322"/>
    <mergeCell ref="E2323:F2323"/>
    <mergeCell ref="E2350:F2350"/>
    <mergeCell ref="E2351:F2351"/>
    <mergeCell ref="E2352:F2352"/>
    <mergeCell ref="E2353:F2353"/>
    <mergeCell ref="H2355:I2355"/>
    <mergeCell ref="E2267:F2267"/>
    <mergeCell ref="E2268:F2268"/>
    <mergeCell ref="E2269:F2269"/>
    <mergeCell ref="H2271:I2271"/>
    <mergeCell ref="E2273:F2273"/>
    <mergeCell ref="E2296:F2296"/>
    <mergeCell ref="H2298:I2298"/>
    <mergeCell ref="E2300:F2300"/>
    <mergeCell ref="E2301:F2301"/>
    <mergeCell ref="E2302:F2302"/>
    <mergeCell ref="E2303:F2303"/>
    <mergeCell ref="H2289:I2289"/>
    <mergeCell ref="E2291:F2291"/>
    <mergeCell ref="E2292:F2292"/>
    <mergeCell ref="E2293:F2293"/>
    <mergeCell ref="E2294:F2294"/>
    <mergeCell ref="E2295:F2295"/>
    <mergeCell ref="E2282:F2282"/>
    <mergeCell ref="E2283:F2283"/>
    <mergeCell ref="E2284:F2284"/>
    <mergeCell ref="E2285:F2285"/>
    <mergeCell ref="E2286:F2286"/>
    <mergeCell ref="E2287:F2287"/>
    <mergeCell ref="E2274:F2274"/>
    <mergeCell ref="E2275:F2275"/>
    <mergeCell ref="E2276:F2276"/>
    <mergeCell ref="E2277:F2277"/>
    <mergeCell ref="E2278:F2278"/>
    <mergeCell ref="H2280:I2280"/>
    <mergeCell ref="E2304:F2304"/>
    <mergeCell ref="E2305:F2305"/>
    <mergeCell ref="H2307:I2307"/>
    <mergeCell ref="E2309:F2309"/>
    <mergeCell ref="E2310:F2310"/>
    <mergeCell ref="E2223:F2223"/>
    <mergeCell ref="E2224:F2224"/>
    <mergeCell ref="H2226:I2226"/>
    <mergeCell ref="E2228:F2228"/>
    <mergeCell ref="E2229:F2229"/>
    <mergeCell ref="H2253:I2253"/>
    <mergeCell ref="E2255:F2255"/>
    <mergeCell ref="E2256:F2256"/>
    <mergeCell ref="E2257:F2257"/>
    <mergeCell ref="E2258:F2258"/>
    <mergeCell ref="E2259:F2259"/>
    <mergeCell ref="E2246:F2246"/>
    <mergeCell ref="E2247:F2247"/>
    <mergeCell ref="E2248:F2248"/>
    <mergeCell ref="E2249:F2249"/>
    <mergeCell ref="E2250:F2250"/>
    <mergeCell ref="E2251:F2251"/>
    <mergeCell ref="E2238:F2238"/>
    <mergeCell ref="E2239:F2239"/>
    <mergeCell ref="E2240:F2240"/>
    <mergeCell ref="E2241:F2241"/>
    <mergeCell ref="E2242:F2242"/>
    <mergeCell ref="H2244:I2244"/>
    <mergeCell ref="E2230:F2230"/>
    <mergeCell ref="E2231:F2231"/>
    <mergeCell ref="E2232:F2232"/>
    <mergeCell ref="E2233:F2233"/>
    <mergeCell ref="H2235:I2235"/>
    <mergeCell ref="E2237:F2237"/>
    <mergeCell ref="E2260:F2260"/>
    <mergeCell ref="H2262:I2262"/>
    <mergeCell ref="E2264:F2264"/>
    <mergeCell ref="E2265:F2265"/>
    <mergeCell ref="E2266:F2266"/>
    <mergeCell ref="E2181:F2181"/>
    <mergeCell ref="E2182:F2182"/>
    <mergeCell ref="E2183:F2183"/>
    <mergeCell ref="E2184:F2184"/>
    <mergeCell ref="E2185:F2185"/>
    <mergeCell ref="E2210:F2210"/>
    <mergeCell ref="E2211:F2211"/>
    <mergeCell ref="E2212:F2212"/>
    <mergeCell ref="E2213:F2213"/>
    <mergeCell ref="E2214:F2214"/>
    <mergeCell ref="E2215:F2215"/>
    <mergeCell ref="E2202:F2202"/>
    <mergeCell ref="E2203:F2203"/>
    <mergeCell ref="E2204:F2204"/>
    <mergeCell ref="H2206:I2206"/>
    <mergeCell ref="E2208:F2208"/>
    <mergeCell ref="E2209:F2209"/>
    <mergeCell ref="E2194:F2194"/>
    <mergeCell ref="E2195:F2195"/>
    <mergeCell ref="H2197:I2197"/>
    <mergeCell ref="E2199:F2199"/>
    <mergeCell ref="E2200:F2200"/>
    <mergeCell ref="E2201:F2201"/>
    <mergeCell ref="E2186:F2186"/>
    <mergeCell ref="H2188:I2188"/>
    <mergeCell ref="E2190:F2190"/>
    <mergeCell ref="E2191:F2191"/>
    <mergeCell ref="E2192:F2192"/>
    <mergeCell ref="E2193:F2193"/>
    <mergeCell ref="H2217:I2217"/>
    <mergeCell ref="E2219:F2219"/>
    <mergeCell ref="E2220:F2220"/>
    <mergeCell ref="E2221:F2221"/>
    <mergeCell ref="E2222:F2222"/>
    <mergeCell ref="E2137:F2137"/>
    <mergeCell ref="E2138:F2138"/>
    <mergeCell ref="E2139:F2139"/>
    <mergeCell ref="E2140:F2140"/>
    <mergeCell ref="E2141:F2141"/>
    <mergeCell ref="E2166:F2166"/>
    <mergeCell ref="E2167:F2167"/>
    <mergeCell ref="E2168:F2168"/>
    <mergeCell ref="E2169:F2169"/>
    <mergeCell ref="H2171:I2171"/>
    <mergeCell ref="E2173:F2173"/>
    <mergeCell ref="E2158:F2158"/>
    <mergeCell ref="E2159:F2159"/>
    <mergeCell ref="E2160:F2160"/>
    <mergeCell ref="H2162:I2162"/>
    <mergeCell ref="E2164:F2164"/>
    <mergeCell ref="E2165:F2165"/>
    <mergeCell ref="E2150:F2150"/>
    <mergeCell ref="E2151:F2151"/>
    <mergeCell ref="H2153:I2153"/>
    <mergeCell ref="E2155:F2155"/>
    <mergeCell ref="E2156:F2156"/>
    <mergeCell ref="E2157:F2157"/>
    <mergeCell ref="E2142:F2142"/>
    <mergeCell ref="H2144:I2144"/>
    <mergeCell ref="E2146:F2146"/>
    <mergeCell ref="E2147:F2147"/>
    <mergeCell ref="E2148:F2148"/>
    <mergeCell ref="E2149:F2149"/>
    <mergeCell ref="E2174:F2174"/>
    <mergeCell ref="E2175:F2175"/>
    <mergeCell ref="E2176:F2176"/>
    <mergeCell ref="E2177:F2177"/>
    <mergeCell ref="H2179:I2179"/>
    <mergeCell ref="E2091:F2091"/>
    <mergeCell ref="H2093:I2093"/>
    <mergeCell ref="E2095:F2095"/>
    <mergeCell ref="E2096:F2096"/>
    <mergeCell ref="E2097:F2097"/>
    <mergeCell ref="E2122:F2122"/>
    <mergeCell ref="E2123:F2123"/>
    <mergeCell ref="E2124:F2124"/>
    <mergeCell ref="H2126:I2126"/>
    <mergeCell ref="E2128:F2128"/>
    <mergeCell ref="E2129:F2129"/>
    <mergeCell ref="H2115:I2115"/>
    <mergeCell ref="E2117:F2117"/>
    <mergeCell ref="E2118:F2118"/>
    <mergeCell ref="E2119:F2119"/>
    <mergeCell ref="E2120:F2120"/>
    <mergeCell ref="E2121:F2121"/>
    <mergeCell ref="H2107:I2107"/>
    <mergeCell ref="E2109:F2109"/>
    <mergeCell ref="E2110:F2110"/>
    <mergeCell ref="E2111:F2111"/>
    <mergeCell ref="E2112:F2112"/>
    <mergeCell ref="E2113:F2113"/>
    <mergeCell ref="E2098:F2098"/>
    <mergeCell ref="H2100:I2100"/>
    <mergeCell ref="E2102:F2102"/>
    <mergeCell ref="E2103:F2103"/>
    <mergeCell ref="E2104:F2104"/>
    <mergeCell ref="E2105:F2105"/>
    <mergeCell ref="E2130:F2130"/>
    <mergeCell ref="E2131:F2131"/>
    <mergeCell ref="E2132:F2132"/>
    <mergeCell ref="H2134:I2134"/>
    <mergeCell ref="E2136:F2136"/>
    <mergeCell ref="E2047:F2047"/>
    <mergeCell ref="E2048:F2048"/>
    <mergeCell ref="E2049:F2049"/>
    <mergeCell ref="H2051:I2051"/>
    <mergeCell ref="E2053:F2053"/>
    <mergeCell ref="H2077:I2077"/>
    <mergeCell ref="E2079:F2079"/>
    <mergeCell ref="E2080:F2080"/>
    <mergeCell ref="E2081:F2081"/>
    <mergeCell ref="E2082:F2082"/>
    <mergeCell ref="E2083:F2083"/>
    <mergeCell ref="E2070:F2070"/>
    <mergeCell ref="E2071:F2071"/>
    <mergeCell ref="E2072:F2072"/>
    <mergeCell ref="E2073:F2073"/>
    <mergeCell ref="E2074:F2074"/>
    <mergeCell ref="E2075:F2075"/>
    <mergeCell ref="E2062:F2062"/>
    <mergeCell ref="E2063:F2063"/>
    <mergeCell ref="E2064:F2064"/>
    <mergeCell ref="E2065:F2065"/>
    <mergeCell ref="E2066:F2066"/>
    <mergeCell ref="H2068:I2068"/>
    <mergeCell ref="E2054:F2054"/>
    <mergeCell ref="E2055:F2055"/>
    <mergeCell ref="E2056:F2056"/>
    <mergeCell ref="E2057:F2057"/>
    <mergeCell ref="H2059:I2059"/>
    <mergeCell ref="E2061:F2061"/>
    <mergeCell ref="H2085:I2085"/>
    <mergeCell ref="E2087:F2087"/>
    <mergeCell ref="E2088:F2088"/>
    <mergeCell ref="E2089:F2089"/>
    <mergeCell ref="E2090:F2090"/>
    <mergeCell ref="E2005:F2005"/>
    <mergeCell ref="E2014:F2014"/>
    <mergeCell ref="E2015:F2015"/>
    <mergeCell ref="E2016:F2016"/>
    <mergeCell ref="E2025:F2025"/>
    <mergeCell ref="E2034:F2034"/>
    <mergeCell ref="E2035:F2035"/>
    <mergeCell ref="E2036:F2036"/>
    <mergeCell ref="E2037:F2037"/>
    <mergeCell ref="E2038:F2038"/>
    <mergeCell ref="H2040:I2040"/>
    <mergeCell ref="E2026:F2026"/>
    <mergeCell ref="E2027:F2027"/>
    <mergeCell ref="H2029:I2029"/>
    <mergeCell ref="E2031:F2031"/>
    <mergeCell ref="E2032:F2032"/>
    <mergeCell ref="E2033:F2033"/>
    <mergeCell ref="H2018:I2018"/>
    <mergeCell ref="E2020:F2020"/>
    <mergeCell ref="E2021:F2021"/>
    <mergeCell ref="E2022:F2022"/>
    <mergeCell ref="E2023:F2023"/>
    <mergeCell ref="E2024:F2024"/>
    <mergeCell ref="H2007:I2007"/>
    <mergeCell ref="E2009:F2009"/>
    <mergeCell ref="E2010:F2010"/>
    <mergeCell ref="E2011:F2011"/>
    <mergeCell ref="E2012:F2012"/>
    <mergeCell ref="E2013:F2013"/>
    <mergeCell ref="E2042:F2042"/>
    <mergeCell ref="E2043:F2043"/>
    <mergeCell ref="E2044:F2044"/>
    <mergeCell ref="E2045:F2045"/>
    <mergeCell ref="E2046:F2046"/>
    <mergeCell ref="E1965:F1965"/>
    <mergeCell ref="E1966:F1966"/>
    <mergeCell ref="E1967:F1967"/>
    <mergeCell ref="E1968:F1968"/>
    <mergeCell ref="E1969:F1969"/>
    <mergeCell ref="E1992:F1992"/>
    <mergeCell ref="E1993:F1993"/>
    <mergeCell ref="E1994:F1994"/>
    <mergeCell ref="H1996:I1996"/>
    <mergeCell ref="E1998:F1998"/>
    <mergeCell ref="E1999:F1999"/>
    <mergeCell ref="H1985:I1985"/>
    <mergeCell ref="E1987:F1987"/>
    <mergeCell ref="E1988:F1988"/>
    <mergeCell ref="E1989:F1989"/>
    <mergeCell ref="E1990:F1990"/>
    <mergeCell ref="E1991:F1991"/>
    <mergeCell ref="E1978:F1978"/>
    <mergeCell ref="E1979:F1979"/>
    <mergeCell ref="E1980:F1980"/>
    <mergeCell ref="E1981:F1981"/>
    <mergeCell ref="E1982:F1982"/>
    <mergeCell ref="E1983:F1983"/>
    <mergeCell ref="E1970:F1970"/>
    <mergeCell ref="E1971:F1971"/>
    <mergeCell ref="E1972:F1972"/>
    <mergeCell ref="H1974:I1974"/>
    <mergeCell ref="E1976:F1976"/>
    <mergeCell ref="E1977:F1977"/>
    <mergeCell ref="E2000:F2000"/>
    <mergeCell ref="E2001:F2001"/>
    <mergeCell ref="E2002:F2002"/>
    <mergeCell ref="E2003:F2003"/>
    <mergeCell ref="E2004:F2004"/>
    <mergeCell ref="E1921:F1921"/>
    <mergeCell ref="H1923:I1923"/>
    <mergeCell ref="E1925:F1925"/>
    <mergeCell ref="E1926:F1926"/>
    <mergeCell ref="E1927:F1927"/>
    <mergeCell ref="E1950:F1950"/>
    <mergeCell ref="H1952:I1952"/>
    <mergeCell ref="E1954:F1954"/>
    <mergeCell ref="E1955:F1955"/>
    <mergeCell ref="E1956:F1956"/>
    <mergeCell ref="E1957:F1957"/>
    <mergeCell ref="E1944:F1944"/>
    <mergeCell ref="E1945:F1945"/>
    <mergeCell ref="E1946:F1946"/>
    <mergeCell ref="E1947:F1947"/>
    <mergeCell ref="E1948:F1948"/>
    <mergeCell ref="E1949:F1949"/>
    <mergeCell ref="E1936:F1936"/>
    <mergeCell ref="E1937:F1937"/>
    <mergeCell ref="E1938:F1938"/>
    <mergeCell ref="E1939:F1939"/>
    <mergeCell ref="H1941:I1941"/>
    <mergeCell ref="E1943:F1943"/>
    <mergeCell ref="E1928:F1928"/>
    <mergeCell ref="E1929:F1929"/>
    <mergeCell ref="E1930:F1930"/>
    <mergeCell ref="H1932:I1932"/>
    <mergeCell ref="E1934:F1934"/>
    <mergeCell ref="E1935:F1935"/>
    <mergeCell ref="E1958:F1958"/>
    <mergeCell ref="E1959:F1959"/>
    <mergeCell ref="E1960:F1960"/>
    <mergeCell ref="E1961:F1961"/>
    <mergeCell ref="H1963:I1963"/>
    <mergeCell ref="E1879:F1879"/>
    <mergeCell ref="E1880:F1880"/>
    <mergeCell ref="E1881:F1881"/>
    <mergeCell ref="E1882:F1882"/>
    <mergeCell ref="E1883:F1883"/>
    <mergeCell ref="E1908:F1908"/>
    <mergeCell ref="E1909:F1909"/>
    <mergeCell ref="E1910:F1910"/>
    <mergeCell ref="E1911:F1911"/>
    <mergeCell ref="E1912:F1912"/>
    <mergeCell ref="H1914:I1914"/>
    <mergeCell ref="E1900:F1900"/>
    <mergeCell ref="E1901:F1901"/>
    <mergeCell ref="E1902:F1902"/>
    <mergeCell ref="E1903:F1903"/>
    <mergeCell ref="H1905:I1905"/>
    <mergeCell ref="E1907:F1907"/>
    <mergeCell ref="E1892:F1892"/>
    <mergeCell ref="E1893:F1893"/>
    <mergeCell ref="E1894:F1894"/>
    <mergeCell ref="H1896:I1896"/>
    <mergeCell ref="E1898:F1898"/>
    <mergeCell ref="E1899:F1899"/>
    <mergeCell ref="E1884:F1884"/>
    <mergeCell ref="E1885:F1885"/>
    <mergeCell ref="H1887:I1887"/>
    <mergeCell ref="E1889:F1889"/>
    <mergeCell ref="E1890:F1890"/>
    <mergeCell ref="E1891:F1891"/>
    <mergeCell ref="E1916:F1916"/>
    <mergeCell ref="E1917:F1917"/>
    <mergeCell ref="E1918:F1918"/>
    <mergeCell ref="E1919:F1919"/>
    <mergeCell ref="E1920:F1920"/>
    <mergeCell ref="E1837:F1837"/>
    <mergeCell ref="E1838:F1838"/>
    <mergeCell ref="E1839:F1839"/>
    <mergeCell ref="E1840:F1840"/>
    <mergeCell ref="E1841:F1841"/>
    <mergeCell ref="H1865:I1865"/>
    <mergeCell ref="E1867:F1867"/>
    <mergeCell ref="E1868:F1868"/>
    <mergeCell ref="E1869:F1869"/>
    <mergeCell ref="E1870:F1870"/>
    <mergeCell ref="E1871:F1871"/>
    <mergeCell ref="E1858:F1858"/>
    <mergeCell ref="E1859:F1859"/>
    <mergeCell ref="E1860:F1860"/>
    <mergeCell ref="E1861:F1861"/>
    <mergeCell ref="E1862:F1862"/>
    <mergeCell ref="E1863:F1863"/>
    <mergeCell ref="E1850:F1850"/>
    <mergeCell ref="E1851:F1851"/>
    <mergeCell ref="E1852:F1852"/>
    <mergeCell ref="H1854:I1854"/>
    <mergeCell ref="E1856:F1856"/>
    <mergeCell ref="E1857:F1857"/>
    <mergeCell ref="H1843:I1843"/>
    <mergeCell ref="E1845:F1845"/>
    <mergeCell ref="E1846:F1846"/>
    <mergeCell ref="E1847:F1847"/>
    <mergeCell ref="E1848:F1848"/>
    <mergeCell ref="E1849:F1849"/>
    <mergeCell ref="E1872:F1872"/>
    <mergeCell ref="E1873:F1873"/>
    <mergeCell ref="E1874:F1874"/>
    <mergeCell ref="H1876:I1876"/>
    <mergeCell ref="E1878:F1878"/>
    <mergeCell ref="E1795:F1795"/>
    <mergeCell ref="E1796:F1796"/>
    <mergeCell ref="E1797:F1797"/>
    <mergeCell ref="H1799:I1799"/>
    <mergeCell ref="E1801:F1801"/>
    <mergeCell ref="E1824:F1824"/>
    <mergeCell ref="E1825:F1825"/>
    <mergeCell ref="E1826:F1826"/>
    <mergeCell ref="E1827:F1827"/>
    <mergeCell ref="E1828:F1828"/>
    <mergeCell ref="E1829:F1829"/>
    <mergeCell ref="E1816:F1816"/>
    <mergeCell ref="E1817:F1817"/>
    <mergeCell ref="E1818:F1818"/>
    <mergeCell ref="E1819:F1819"/>
    <mergeCell ref="H1821:I1821"/>
    <mergeCell ref="E1823:F1823"/>
    <mergeCell ref="E1808:F1808"/>
    <mergeCell ref="H1810:I1810"/>
    <mergeCell ref="E1812:F1812"/>
    <mergeCell ref="E1813:F1813"/>
    <mergeCell ref="E1814:F1814"/>
    <mergeCell ref="E1815:F1815"/>
    <mergeCell ref="E1802:F1802"/>
    <mergeCell ref="E1803:F1803"/>
    <mergeCell ref="E1804:F1804"/>
    <mergeCell ref="E1805:F1805"/>
    <mergeCell ref="E1806:F1806"/>
    <mergeCell ref="E1807:F1807"/>
    <mergeCell ref="E1830:F1830"/>
    <mergeCell ref="H1832:I1832"/>
    <mergeCell ref="E1834:F1834"/>
    <mergeCell ref="E1835:F1835"/>
    <mergeCell ref="E1836:F1836"/>
    <mergeCell ref="E1753:F1753"/>
    <mergeCell ref="E1762:F1762"/>
    <mergeCell ref="E1763:F1763"/>
    <mergeCell ref="E1764:F1764"/>
    <mergeCell ref="E1773:F1773"/>
    <mergeCell ref="E1782:F1782"/>
    <mergeCell ref="E1783:F1783"/>
    <mergeCell ref="E1784:F1784"/>
    <mergeCell ref="E1785:F1785"/>
    <mergeCell ref="E1786:F1786"/>
    <mergeCell ref="H1788:I1788"/>
    <mergeCell ref="E1774:F1774"/>
    <mergeCell ref="E1775:F1775"/>
    <mergeCell ref="H1777:I1777"/>
    <mergeCell ref="E1779:F1779"/>
    <mergeCell ref="E1780:F1780"/>
    <mergeCell ref="E1781:F1781"/>
    <mergeCell ref="H1766:I1766"/>
    <mergeCell ref="E1768:F1768"/>
    <mergeCell ref="E1769:F1769"/>
    <mergeCell ref="E1770:F1770"/>
    <mergeCell ref="E1771:F1771"/>
    <mergeCell ref="E1772:F1772"/>
    <mergeCell ref="H1755:I1755"/>
    <mergeCell ref="E1757:F1757"/>
    <mergeCell ref="E1758:F1758"/>
    <mergeCell ref="E1759:F1759"/>
    <mergeCell ref="E1760:F1760"/>
    <mergeCell ref="E1761:F1761"/>
    <mergeCell ref="E1790:F1790"/>
    <mergeCell ref="E1791:F1791"/>
    <mergeCell ref="E1792:F1792"/>
    <mergeCell ref="E1793:F1793"/>
    <mergeCell ref="E1794:F1794"/>
    <mergeCell ref="E1713:F1713"/>
    <mergeCell ref="E1714:F1714"/>
    <mergeCell ref="E1715:F1715"/>
    <mergeCell ref="E1716:F1716"/>
    <mergeCell ref="E1717:F1717"/>
    <mergeCell ref="E1740:F1740"/>
    <mergeCell ref="E1741:F1741"/>
    <mergeCell ref="E1742:F1742"/>
    <mergeCell ref="H1744:I1744"/>
    <mergeCell ref="E1746:F1746"/>
    <mergeCell ref="E1747:F1747"/>
    <mergeCell ref="H1733:I1733"/>
    <mergeCell ref="E1735:F1735"/>
    <mergeCell ref="E1736:F1736"/>
    <mergeCell ref="E1737:F1737"/>
    <mergeCell ref="E1738:F1738"/>
    <mergeCell ref="E1739:F1739"/>
    <mergeCell ref="E1726:F1726"/>
    <mergeCell ref="E1727:F1727"/>
    <mergeCell ref="E1728:F1728"/>
    <mergeCell ref="E1729:F1729"/>
    <mergeCell ref="E1730:F1730"/>
    <mergeCell ref="E1731:F1731"/>
    <mergeCell ref="E1718:F1718"/>
    <mergeCell ref="E1719:F1719"/>
    <mergeCell ref="E1720:F1720"/>
    <mergeCell ref="H1722:I1722"/>
    <mergeCell ref="E1724:F1724"/>
    <mergeCell ref="E1725:F1725"/>
    <mergeCell ref="E1748:F1748"/>
    <mergeCell ref="E1749:F1749"/>
    <mergeCell ref="E1750:F1750"/>
    <mergeCell ref="E1751:F1751"/>
    <mergeCell ref="E1752:F1752"/>
    <mergeCell ref="E1671:F1671"/>
    <mergeCell ref="E1672:F1672"/>
    <mergeCell ref="E1673:F1673"/>
    <mergeCell ref="E1674:F1674"/>
    <mergeCell ref="E1675:F1675"/>
    <mergeCell ref="E1698:F1698"/>
    <mergeCell ref="H1700:I1700"/>
    <mergeCell ref="E1702:F1702"/>
    <mergeCell ref="E1703:F1703"/>
    <mergeCell ref="E1704:F1704"/>
    <mergeCell ref="E1705:F1705"/>
    <mergeCell ref="E1692:F1692"/>
    <mergeCell ref="E1693:F1693"/>
    <mergeCell ref="E1694:F1694"/>
    <mergeCell ref="E1695:F1695"/>
    <mergeCell ref="E1696:F1696"/>
    <mergeCell ref="E1697:F1697"/>
    <mergeCell ref="E1684:F1684"/>
    <mergeCell ref="E1685:F1685"/>
    <mergeCell ref="E1686:F1686"/>
    <mergeCell ref="E1687:F1687"/>
    <mergeCell ref="H1689:I1689"/>
    <mergeCell ref="E1691:F1691"/>
    <mergeCell ref="E1676:F1676"/>
    <mergeCell ref="H1678:I1678"/>
    <mergeCell ref="E1680:F1680"/>
    <mergeCell ref="E1681:F1681"/>
    <mergeCell ref="E1682:F1682"/>
    <mergeCell ref="E1683:F1683"/>
    <mergeCell ref="E1706:F1706"/>
    <mergeCell ref="E1707:F1707"/>
    <mergeCell ref="E1708:F1708"/>
    <mergeCell ref="E1709:F1709"/>
    <mergeCell ref="H1711:I1711"/>
    <mergeCell ref="E1627:F1627"/>
    <mergeCell ref="E1628:F1628"/>
    <mergeCell ref="E1629:F1629"/>
    <mergeCell ref="H1631:I1631"/>
    <mergeCell ref="E1633:F1633"/>
    <mergeCell ref="E1656:F1656"/>
    <mergeCell ref="H1658:I1658"/>
    <mergeCell ref="E1660:F1660"/>
    <mergeCell ref="E1661:F1661"/>
    <mergeCell ref="E1662:F1662"/>
    <mergeCell ref="E1663:F1663"/>
    <mergeCell ref="H1649:I1649"/>
    <mergeCell ref="E1651:F1651"/>
    <mergeCell ref="E1652:F1652"/>
    <mergeCell ref="E1653:F1653"/>
    <mergeCell ref="E1654:F1654"/>
    <mergeCell ref="E1655:F1655"/>
    <mergeCell ref="E1642:F1642"/>
    <mergeCell ref="E1643:F1643"/>
    <mergeCell ref="E1644:F1644"/>
    <mergeCell ref="E1645:F1645"/>
    <mergeCell ref="E1646:F1646"/>
    <mergeCell ref="E1647:F1647"/>
    <mergeCell ref="E1634:F1634"/>
    <mergeCell ref="E1635:F1635"/>
    <mergeCell ref="E1636:F1636"/>
    <mergeCell ref="E1637:F1637"/>
    <mergeCell ref="E1638:F1638"/>
    <mergeCell ref="H1640:I1640"/>
    <mergeCell ref="E1664:F1664"/>
    <mergeCell ref="E1665:F1665"/>
    <mergeCell ref="H1667:I1667"/>
    <mergeCell ref="E1669:F1669"/>
    <mergeCell ref="E1670:F1670"/>
    <mergeCell ref="E1583:F1583"/>
    <mergeCell ref="E1584:F1584"/>
    <mergeCell ref="H1586:I1586"/>
    <mergeCell ref="E1588:F1588"/>
    <mergeCell ref="E1589:F1589"/>
    <mergeCell ref="H1613:I1613"/>
    <mergeCell ref="E1615:F1615"/>
    <mergeCell ref="E1616:F1616"/>
    <mergeCell ref="E1617:F1617"/>
    <mergeCell ref="E1618:F1618"/>
    <mergeCell ref="E1619:F1619"/>
    <mergeCell ref="E1606:F1606"/>
    <mergeCell ref="E1607:F1607"/>
    <mergeCell ref="E1608:F1608"/>
    <mergeCell ref="E1609:F1609"/>
    <mergeCell ref="E1610:F1610"/>
    <mergeCell ref="E1611:F1611"/>
    <mergeCell ref="E1598:F1598"/>
    <mergeCell ref="E1599:F1599"/>
    <mergeCell ref="E1600:F1600"/>
    <mergeCell ref="E1601:F1601"/>
    <mergeCell ref="E1602:F1602"/>
    <mergeCell ref="H1604:I1604"/>
    <mergeCell ref="E1590:F1590"/>
    <mergeCell ref="E1591:F1591"/>
    <mergeCell ref="E1592:F1592"/>
    <mergeCell ref="E1593:F1593"/>
    <mergeCell ref="H1595:I1595"/>
    <mergeCell ref="E1597:F1597"/>
    <mergeCell ref="E1620:F1620"/>
    <mergeCell ref="H1622:I1622"/>
    <mergeCell ref="E1624:F1624"/>
    <mergeCell ref="E1625:F1625"/>
    <mergeCell ref="E1626:F1626"/>
    <mergeCell ref="E1543:F1543"/>
    <mergeCell ref="E1544:F1544"/>
    <mergeCell ref="E1545:F1545"/>
    <mergeCell ref="E1546:F1546"/>
    <mergeCell ref="E1547:F1547"/>
    <mergeCell ref="E1570:F1570"/>
    <mergeCell ref="E1571:F1571"/>
    <mergeCell ref="E1572:F1572"/>
    <mergeCell ref="E1573:F1573"/>
    <mergeCell ref="E1574:F1574"/>
    <mergeCell ref="E1575:F1575"/>
    <mergeCell ref="E1562:F1562"/>
    <mergeCell ref="H1564:I1564"/>
    <mergeCell ref="E1566:F1566"/>
    <mergeCell ref="E1567:F1567"/>
    <mergeCell ref="E1568:F1568"/>
    <mergeCell ref="E1569:F1569"/>
    <mergeCell ref="E1556:F1556"/>
    <mergeCell ref="E1557:F1557"/>
    <mergeCell ref="E1558:F1558"/>
    <mergeCell ref="E1559:F1559"/>
    <mergeCell ref="E1560:F1560"/>
    <mergeCell ref="E1561:F1561"/>
    <mergeCell ref="E1548:F1548"/>
    <mergeCell ref="H1550:I1550"/>
    <mergeCell ref="E1552:F1552"/>
    <mergeCell ref="E1553:F1553"/>
    <mergeCell ref="E1554:F1554"/>
    <mergeCell ref="E1555:F1555"/>
    <mergeCell ref="H1577:I1577"/>
    <mergeCell ref="E1579:F1579"/>
    <mergeCell ref="E1580:F1580"/>
    <mergeCell ref="E1581:F1581"/>
    <mergeCell ref="E1582:F1582"/>
    <mergeCell ref="E1503:F1503"/>
    <mergeCell ref="E1504:F1504"/>
    <mergeCell ref="E1505:F1505"/>
    <mergeCell ref="E1506:F1506"/>
    <mergeCell ref="E1507:F1507"/>
    <mergeCell ref="E1530:F1530"/>
    <mergeCell ref="E1531:F1531"/>
    <mergeCell ref="E1532:F1532"/>
    <mergeCell ref="H1534:I1534"/>
    <mergeCell ref="E1536:F1536"/>
    <mergeCell ref="E1537:F1537"/>
    <mergeCell ref="E1524:F1524"/>
    <mergeCell ref="E1525:F1525"/>
    <mergeCell ref="E1526:F1526"/>
    <mergeCell ref="E1527:F1527"/>
    <mergeCell ref="E1528:F1528"/>
    <mergeCell ref="E1529:F1529"/>
    <mergeCell ref="E1516:F1516"/>
    <mergeCell ref="E1517:F1517"/>
    <mergeCell ref="E1518:F1518"/>
    <mergeCell ref="H1520:I1520"/>
    <mergeCell ref="E1522:F1522"/>
    <mergeCell ref="E1523:F1523"/>
    <mergeCell ref="E1508:F1508"/>
    <mergeCell ref="H1510:I1510"/>
    <mergeCell ref="E1512:F1512"/>
    <mergeCell ref="E1513:F1513"/>
    <mergeCell ref="E1514:F1514"/>
    <mergeCell ref="E1515:F1515"/>
    <mergeCell ref="E1538:F1538"/>
    <mergeCell ref="E1539:F1539"/>
    <mergeCell ref="E1540:F1540"/>
    <mergeCell ref="E1541:F1541"/>
    <mergeCell ref="E1542:F1542"/>
    <mergeCell ref="E1461:F1461"/>
    <mergeCell ref="E1462:F1462"/>
    <mergeCell ref="E1463:F1463"/>
    <mergeCell ref="E1464:F1464"/>
    <mergeCell ref="E1465:F1465"/>
    <mergeCell ref="E1488:F1488"/>
    <mergeCell ref="H1490:I1490"/>
    <mergeCell ref="E1492:F1492"/>
    <mergeCell ref="E1493:F1493"/>
    <mergeCell ref="E1494:F1494"/>
    <mergeCell ref="E1495:F1495"/>
    <mergeCell ref="E1482:F1482"/>
    <mergeCell ref="E1483:F1483"/>
    <mergeCell ref="E1484:F1484"/>
    <mergeCell ref="E1485:F1485"/>
    <mergeCell ref="E1486:F1486"/>
    <mergeCell ref="E1487:F1487"/>
    <mergeCell ref="E1474:F1474"/>
    <mergeCell ref="E1475:F1475"/>
    <mergeCell ref="E1476:F1476"/>
    <mergeCell ref="E1477:F1477"/>
    <mergeCell ref="H1479:I1479"/>
    <mergeCell ref="E1481:F1481"/>
    <mergeCell ref="E1466:F1466"/>
    <mergeCell ref="H1468:I1468"/>
    <mergeCell ref="E1470:F1470"/>
    <mergeCell ref="E1471:F1471"/>
    <mergeCell ref="E1472:F1472"/>
    <mergeCell ref="E1473:F1473"/>
    <mergeCell ref="E1496:F1496"/>
    <mergeCell ref="E1497:F1497"/>
    <mergeCell ref="H1499:I1499"/>
    <mergeCell ref="E1501:F1501"/>
    <mergeCell ref="E1502:F1502"/>
    <mergeCell ref="H1418:I1418"/>
    <mergeCell ref="E1420:F1420"/>
    <mergeCell ref="E1421:F1421"/>
    <mergeCell ref="E1422:F1422"/>
    <mergeCell ref="E1423:F1423"/>
    <mergeCell ref="E1446:F1446"/>
    <mergeCell ref="H1448:I1448"/>
    <mergeCell ref="E1450:F1450"/>
    <mergeCell ref="E1451:F1451"/>
    <mergeCell ref="E1452:F1452"/>
    <mergeCell ref="E1453:F1453"/>
    <mergeCell ref="E1440:F1440"/>
    <mergeCell ref="E1441:F1441"/>
    <mergeCell ref="E1442:F1442"/>
    <mergeCell ref="E1443:F1443"/>
    <mergeCell ref="E1444:F1444"/>
    <mergeCell ref="E1445:F1445"/>
    <mergeCell ref="E1432:F1432"/>
    <mergeCell ref="E1433:F1433"/>
    <mergeCell ref="E1434:F1434"/>
    <mergeCell ref="E1435:F1435"/>
    <mergeCell ref="E1436:F1436"/>
    <mergeCell ref="H1438:I1438"/>
    <mergeCell ref="E1424:F1424"/>
    <mergeCell ref="E1425:F1425"/>
    <mergeCell ref="E1426:F1426"/>
    <mergeCell ref="H1428:I1428"/>
    <mergeCell ref="E1430:F1430"/>
    <mergeCell ref="E1431:F1431"/>
    <mergeCell ref="E1454:F1454"/>
    <mergeCell ref="E1455:F1455"/>
    <mergeCell ref="E1456:F1456"/>
    <mergeCell ref="H1458:I1458"/>
    <mergeCell ref="E1460:F1460"/>
    <mergeCell ref="E1375:F1375"/>
    <mergeCell ref="E1376:F1376"/>
    <mergeCell ref="E1385:F1385"/>
    <mergeCell ref="E1386:F1386"/>
    <mergeCell ref="E1395:F1395"/>
    <mergeCell ref="E1404:F1404"/>
    <mergeCell ref="E1405:F1405"/>
    <mergeCell ref="E1406:F1406"/>
    <mergeCell ref="H1408:I1408"/>
    <mergeCell ref="E1410:F1410"/>
    <mergeCell ref="E1411:F1411"/>
    <mergeCell ref="E1396:F1396"/>
    <mergeCell ref="H1398:I1398"/>
    <mergeCell ref="E1400:F1400"/>
    <mergeCell ref="E1401:F1401"/>
    <mergeCell ref="E1402:F1402"/>
    <mergeCell ref="E1403:F1403"/>
    <mergeCell ref="H1388:I1388"/>
    <mergeCell ref="E1390:F1390"/>
    <mergeCell ref="E1391:F1391"/>
    <mergeCell ref="E1392:F1392"/>
    <mergeCell ref="E1393:F1393"/>
    <mergeCell ref="E1394:F1394"/>
    <mergeCell ref="H1378:I1378"/>
    <mergeCell ref="E1380:F1380"/>
    <mergeCell ref="E1381:F1381"/>
    <mergeCell ref="E1382:F1382"/>
    <mergeCell ref="E1383:F1383"/>
    <mergeCell ref="E1384:F1384"/>
    <mergeCell ref="E1412:F1412"/>
    <mergeCell ref="E1413:F1413"/>
    <mergeCell ref="E1414:F1414"/>
    <mergeCell ref="E1415:F1415"/>
    <mergeCell ref="E1416:F1416"/>
    <mergeCell ref="E1333:F1333"/>
    <mergeCell ref="E1334:F1334"/>
    <mergeCell ref="E1335:F1335"/>
    <mergeCell ref="E1344:F1344"/>
    <mergeCell ref="E1345:F1345"/>
    <mergeCell ref="E1362:F1362"/>
    <mergeCell ref="E1363:F1363"/>
    <mergeCell ref="E1364:F1364"/>
    <mergeCell ref="E1365:F1365"/>
    <mergeCell ref="H1367:I1367"/>
    <mergeCell ref="E1369:F1369"/>
    <mergeCell ref="E1354:F1354"/>
    <mergeCell ref="E1355:F1355"/>
    <mergeCell ref="H1357:I1357"/>
    <mergeCell ref="E1359:F1359"/>
    <mergeCell ref="E1360:F1360"/>
    <mergeCell ref="E1361:F1361"/>
    <mergeCell ref="H1347:I1347"/>
    <mergeCell ref="E1349:F1349"/>
    <mergeCell ref="E1350:F1350"/>
    <mergeCell ref="E1351:F1351"/>
    <mergeCell ref="E1352:F1352"/>
    <mergeCell ref="E1353:F1353"/>
    <mergeCell ref="H1337:I1337"/>
    <mergeCell ref="E1339:F1339"/>
    <mergeCell ref="E1340:F1340"/>
    <mergeCell ref="E1341:F1341"/>
    <mergeCell ref="E1342:F1342"/>
    <mergeCell ref="E1343:F1343"/>
    <mergeCell ref="E1370:F1370"/>
    <mergeCell ref="E1371:F1371"/>
    <mergeCell ref="E1372:F1372"/>
    <mergeCell ref="E1373:F1373"/>
    <mergeCell ref="E1374:F1374"/>
    <mergeCell ref="E1291:F1291"/>
    <mergeCell ref="E1292:F1292"/>
    <mergeCell ref="E1293:F1293"/>
    <mergeCell ref="E1294:F1294"/>
    <mergeCell ref="E1303:F1303"/>
    <mergeCell ref="E1320:F1320"/>
    <mergeCell ref="E1321:F1321"/>
    <mergeCell ref="E1322:F1322"/>
    <mergeCell ref="E1323:F1323"/>
    <mergeCell ref="E1324:F1324"/>
    <mergeCell ref="H1326:I1326"/>
    <mergeCell ref="E1312:F1312"/>
    <mergeCell ref="E1313:F1313"/>
    <mergeCell ref="E1314:F1314"/>
    <mergeCell ref="H1316:I1316"/>
    <mergeCell ref="E1318:F1318"/>
    <mergeCell ref="E1319:F1319"/>
    <mergeCell ref="E1304:F1304"/>
    <mergeCell ref="H1306:I1306"/>
    <mergeCell ref="E1308:F1308"/>
    <mergeCell ref="E1309:F1309"/>
    <mergeCell ref="E1310:F1310"/>
    <mergeCell ref="E1311:F1311"/>
    <mergeCell ref="H1296:I1296"/>
    <mergeCell ref="E1298:F1298"/>
    <mergeCell ref="E1299:F1299"/>
    <mergeCell ref="E1300:F1300"/>
    <mergeCell ref="E1301:F1301"/>
    <mergeCell ref="E1302:F1302"/>
    <mergeCell ref="E1328:F1328"/>
    <mergeCell ref="E1329:F1329"/>
    <mergeCell ref="E1330:F1330"/>
    <mergeCell ref="E1331:F1331"/>
    <mergeCell ref="E1332:F1332"/>
    <mergeCell ref="E1249:F1249"/>
    <mergeCell ref="E1250:F1250"/>
    <mergeCell ref="E1251:F1251"/>
    <mergeCell ref="E1252:F1252"/>
    <mergeCell ref="E1253:F1253"/>
    <mergeCell ref="E1278:F1278"/>
    <mergeCell ref="E1279:F1279"/>
    <mergeCell ref="E1280:F1280"/>
    <mergeCell ref="E1281:F1281"/>
    <mergeCell ref="E1282:F1282"/>
    <mergeCell ref="E1283:F1283"/>
    <mergeCell ref="E1270:F1270"/>
    <mergeCell ref="E1271:F1271"/>
    <mergeCell ref="E1272:F1272"/>
    <mergeCell ref="E1273:F1273"/>
    <mergeCell ref="E1274:F1274"/>
    <mergeCell ref="H1276:I1276"/>
    <mergeCell ref="E1262:F1262"/>
    <mergeCell ref="E1263:F1263"/>
    <mergeCell ref="E1264:F1264"/>
    <mergeCell ref="H1266:I1266"/>
    <mergeCell ref="E1268:F1268"/>
    <mergeCell ref="E1269:F1269"/>
    <mergeCell ref="E1254:F1254"/>
    <mergeCell ref="H1256:I1256"/>
    <mergeCell ref="E1258:F1258"/>
    <mergeCell ref="E1259:F1259"/>
    <mergeCell ref="E1260:F1260"/>
    <mergeCell ref="E1261:F1261"/>
    <mergeCell ref="E1284:F1284"/>
    <mergeCell ref="H1286:I1286"/>
    <mergeCell ref="E1288:F1288"/>
    <mergeCell ref="E1289:F1289"/>
    <mergeCell ref="E1290:F1290"/>
    <mergeCell ref="E1209:F1209"/>
    <mergeCell ref="E1210:F1210"/>
    <mergeCell ref="E1211:F1211"/>
    <mergeCell ref="E1212:F1212"/>
    <mergeCell ref="E1213:F1213"/>
    <mergeCell ref="E1236:F1236"/>
    <mergeCell ref="E1237:F1237"/>
    <mergeCell ref="E1238:F1238"/>
    <mergeCell ref="E1239:F1239"/>
    <mergeCell ref="E1240:F1240"/>
    <mergeCell ref="E1241:F1241"/>
    <mergeCell ref="E1228:F1228"/>
    <mergeCell ref="E1229:F1229"/>
    <mergeCell ref="E1230:F1230"/>
    <mergeCell ref="E1231:F1231"/>
    <mergeCell ref="E1232:F1232"/>
    <mergeCell ref="H1234:I1234"/>
    <mergeCell ref="H1221:I1221"/>
    <mergeCell ref="E1223:F1223"/>
    <mergeCell ref="E1224:F1224"/>
    <mergeCell ref="E1225:F1225"/>
    <mergeCell ref="E1226:F1226"/>
    <mergeCell ref="E1227:F1227"/>
    <mergeCell ref="E1214:F1214"/>
    <mergeCell ref="E1215:F1215"/>
    <mergeCell ref="E1216:F1216"/>
    <mergeCell ref="E1217:F1217"/>
    <mergeCell ref="E1218:F1218"/>
    <mergeCell ref="E1219:F1219"/>
    <mergeCell ref="E1242:F1242"/>
    <mergeCell ref="E1243:F1243"/>
    <mergeCell ref="H1245:I1245"/>
    <mergeCell ref="E1247:F1247"/>
    <mergeCell ref="E1248:F1248"/>
    <mergeCell ref="E1165:F1165"/>
    <mergeCell ref="E1166:F1166"/>
    <mergeCell ref="H1168:I1168"/>
    <mergeCell ref="E1170:F1170"/>
    <mergeCell ref="E1171:F1171"/>
    <mergeCell ref="E1196:F1196"/>
    <mergeCell ref="E1197:F1197"/>
    <mergeCell ref="E1198:F1198"/>
    <mergeCell ref="E1199:F1199"/>
    <mergeCell ref="E1200:F1200"/>
    <mergeCell ref="E1201:F1201"/>
    <mergeCell ref="E1188:F1188"/>
    <mergeCell ref="E1189:F1189"/>
    <mergeCell ref="E1190:F1190"/>
    <mergeCell ref="E1191:F1191"/>
    <mergeCell ref="H1193:I1193"/>
    <mergeCell ref="E1195:F1195"/>
    <mergeCell ref="E1180:F1180"/>
    <mergeCell ref="E1181:F1181"/>
    <mergeCell ref="E1182:F1182"/>
    <mergeCell ref="E1183:F1183"/>
    <mergeCell ref="H1185:I1185"/>
    <mergeCell ref="E1187:F1187"/>
    <mergeCell ref="E1172:F1172"/>
    <mergeCell ref="E1173:F1173"/>
    <mergeCell ref="E1174:F1174"/>
    <mergeCell ref="E1175:F1175"/>
    <mergeCell ref="H1177:I1177"/>
    <mergeCell ref="E1179:F1179"/>
    <mergeCell ref="E1202:F1202"/>
    <mergeCell ref="E1203:F1203"/>
    <mergeCell ref="E1204:F1204"/>
    <mergeCell ref="H1206:I1206"/>
    <mergeCell ref="E1208:F1208"/>
    <mergeCell ref="E1123:F1123"/>
    <mergeCell ref="E1124:F1124"/>
    <mergeCell ref="E1125:F1125"/>
    <mergeCell ref="E1126:F1126"/>
    <mergeCell ref="E1127:F1127"/>
    <mergeCell ref="E1152:F1152"/>
    <mergeCell ref="E1153:F1153"/>
    <mergeCell ref="E1154:F1154"/>
    <mergeCell ref="E1155:F1155"/>
    <mergeCell ref="E1156:F1156"/>
    <mergeCell ref="E1157:F1157"/>
    <mergeCell ref="E1144:F1144"/>
    <mergeCell ref="E1145:F1145"/>
    <mergeCell ref="E1146:F1146"/>
    <mergeCell ref="E1147:F1147"/>
    <mergeCell ref="E1148:F1148"/>
    <mergeCell ref="H1150:I1150"/>
    <mergeCell ref="E1136:F1136"/>
    <mergeCell ref="E1137:F1137"/>
    <mergeCell ref="E1138:F1138"/>
    <mergeCell ref="E1139:F1139"/>
    <mergeCell ref="H1141:I1141"/>
    <mergeCell ref="E1143:F1143"/>
    <mergeCell ref="E1128:F1128"/>
    <mergeCell ref="H1130:I1130"/>
    <mergeCell ref="E1132:F1132"/>
    <mergeCell ref="E1133:F1133"/>
    <mergeCell ref="E1134:F1134"/>
    <mergeCell ref="E1135:F1135"/>
    <mergeCell ref="E1158:F1158"/>
    <mergeCell ref="H1160:I1160"/>
    <mergeCell ref="E1162:F1162"/>
    <mergeCell ref="E1163:F1163"/>
    <mergeCell ref="E1164:F1164"/>
    <mergeCell ref="E1081:F1081"/>
    <mergeCell ref="E1082:F1082"/>
    <mergeCell ref="E1083:F1083"/>
    <mergeCell ref="E1084:F1084"/>
    <mergeCell ref="E1085:F1085"/>
    <mergeCell ref="E1110:F1110"/>
    <mergeCell ref="E1111:F1111"/>
    <mergeCell ref="E1112:F1112"/>
    <mergeCell ref="E1113:F1113"/>
    <mergeCell ref="E1114:F1114"/>
    <mergeCell ref="E1115:F1115"/>
    <mergeCell ref="E1102:F1102"/>
    <mergeCell ref="E1103:F1103"/>
    <mergeCell ref="E1104:F1104"/>
    <mergeCell ref="E1105:F1105"/>
    <mergeCell ref="E1106:F1106"/>
    <mergeCell ref="H1108:I1108"/>
    <mergeCell ref="E1094:F1094"/>
    <mergeCell ref="E1095:F1095"/>
    <mergeCell ref="H1097:I1097"/>
    <mergeCell ref="E1099:F1099"/>
    <mergeCell ref="E1100:F1100"/>
    <mergeCell ref="E1101:F1101"/>
    <mergeCell ref="E1086:F1086"/>
    <mergeCell ref="E1087:F1087"/>
    <mergeCell ref="H1089:I1089"/>
    <mergeCell ref="E1091:F1091"/>
    <mergeCell ref="E1092:F1092"/>
    <mergeCell ref="E1093:F1093"/>
    <mergeCell ref="E1116:F1116"/>
    <mergeCell ref="E1117:F1117"/>
    <mergeCell ref="E1118:F1118"/>
    <mergeCell ref="E1119:F1119"/>
    <mergeCell ref="H1121:I1121"/>
    <mergeCell ref="E1039:F1039"/>
    <mergeCell ref="E1040:F1040"/>
    <mergeCell ref="E1041:F1041"/>
    <mergeCell ref="E1042:F1042"/>
    <mergeCell ref="E1043:F1043"/>
    <mergeCell ref="E1066:F1066"/>
    <mergeCell ref="E1067:F1067"/>
    <mergeCell ref="E1068:F1068"/>
    <mergeCell ref="E1069:F1069"/>
    <mergeCell ref="H1071:I1071"/>
    <mergeCell ref="E1073:F1073"/>
    <mergeCell ref="E1058:F1058"/>
    <mergeCell ref="E1059:F1059"/>
    <mergeCell ref="H1061:I1061"/>
    <mergeCell ref="E1063:F1063"/>
    <mergeCell ref="E1064:F1064"/>
    <mergeCell ref="E1065:F1065"/>
    <mergeCell ref="E1052:F1052"/>
    <mergeCell ref="E1053:F1053"/>
    <mergeCell ref="E1054:F1054"/>
    <mergeCell ref="E1055:F1055"/>
    <mergeCell ref="E1056:F1056"/>
    <mergeCell ref="E1057:F1057"/>
    <mergeCell ref="E1044:F1044"/>
    <mergeCell ref="E1045:F1045"/>
    <mergeCell ref="E1046:F1046"/>
    <mergeCell ref="E1047:F1047"/>
    <mergeCell ref="E1048:F1048"/>
    <mergeCell ref="H1050:I1050"/>
    <mergeCell ref="E1074:F1074"/>
    <mergeCell ref="E1075:F1075"/>
    <mergeCell ref="E1076:F1076"/>
    <mergeCell ref="E1077:F1077"/>
    <mergeCell ref="H1079:I1079"/>
    <mergeCell ref="E995:F995"/>
    <mergeCell ref="E996:F996"/>
    <mergeCell ref="E997:F997"/>
    <mergeCell ref="H999:I999"/>
    <mergeCell ref="E1001:F1001"/>
    <mergeCell ref="E1024:F1024"/>
    <mergeCell ref="H1026:I1026"/>
    <mergeCell ref="E1028:F1028"/>
    <mergeCell ref="E1029:F1029"/>
    <mergeCell ref="E1030:F1030"/>
    <mergeCell ref="E1031:F1031"/>
    <mergeCell ref="E1016:F1016"/>
    <mergeCell ref="H1018:I1018"/>
    <mergeCell ref="E1020:F1020"/>
    <mergeCell ref="E1021:F1021"/>
    <mergeCell ref="E1022:F1022"/>
    <mergeCell ref="E1023:F1023"/>
    <mergeCell ref="E1008:F1008"/>
    <mergeCell ref="H1010:I1010"/>
    <mergeCell ref="E1012:F1012"/>
    <mergeCell ref="E1013:F1013"/>
    <mergeCell ref="E1014:F1014"/>
    <mergeCell ref="E1015:F1015"/>
    <mergeCell ref="E1002:F1002"/>
    <mergeCell ref="E1003:F1003"/>
    <mergeCell ref="E1004:F1004"/>
    <mergeCell ref="E1005:F1005"/>
    <mergeCell ref="E1006:F1006"/>
    <mergeCell ref="E1007:F1007"/>
    <mergeCell ref="E1032:F1032"/>
    <mergeCell ref="E1033:F1033"/>
    <mergeCell ref="E1034:F1034"/>
    <mergeCell ref="H1036:I1036"/>
    <mergeCell ref="E1038:F1038"/>
    <mergeCell ref="H952:I952"/>
    <mergeCell ref="E954:F954"/>
    <mergeCell ref="E955:F955"/>
    <mergeCell ref="E956:F956"/>
    <mergeCell ref="E957:F957"/>
    <mergeCell ref="E982:F982"/>
    <mergeCell ref="E983:F983"/>
    <mergeCell ref="E984:F984"/>
    <mergeCell ref="E985:F985"/>
    <mergeCell ref="H987:I987"/>
    <mergeCell ref="E989:F989"/>
    <mergeCell ref="E974:F974"/>
    <mergeCell ref="E975:F975"/>
    <mergeCell ref="E976:F976"/>
    <mergeCell ref="H978:I978"/>
    <mergeCell ref="E980:F980"/>
    <mergeCell ref="E981:F981"/>
    <mergeCell ref="E966:F966"/>
    <mergeCell ref="H968:I968"/>
    <mergeCell ref="E970:F970"/>
    <mergeCell ref="E971:F971"/>
    <mergeCell ref="E972:F972"/>
    <mergeCell ref="E973:F973"/>
    <mergeCell ref="E958:F958"/>
    <mergeCell ref="H960:I960"/>
    <mergeCell ref="E962:F962"/>
    <mergeCell ref="E963:F963"/>
    <mergeCell ref="E964:F964"/>
    <mergeCell ref="E965:F965"/>
    <mergeCell ref="E990:F990"/>
    <mergeCell ref="E991:F991"/>
    <mergeCell ref="E992:F992"/>
    <mergeCell ref="E993:F993"/>
    <mergeCell ref="E994:F994"/>
    <mergeCell ref="E909:F909"/>
    <mergeCell ref="E910:F910"/>
    <mergeCell ref="E911:F911"/>
    <mergeCell ref="E928:F928"/>
    <mergeCell ref="E929:F929"/>
    <mergeCell ref="E938:F938"/>
    <mergeCell ref="E939:F939"/>
    <mergeCell ref="E940:F940"/>
    <mergeCell ref="E941:F941"/>
    <mergeCell ref="E942:F942"/>
    <mergeCell ref="H944:I944"/>
    <mergeCell ref="E930:F930"/>
    <mergeCell ref="E931:F931"/>
    <mergeCell ref="H933:I933"/>
    <mergeCell ref="E935:F935"/>
    <mergeCell ref="E936:F936"/>
    <mergeCell ref="E937:F937"/>
    <mergeCell ref="H921:I921"/>
    <mergeCell ref="E923:F923"/>
    <mergeCell ref="E924:F924"/>
    <mergeCell ref="E925:F925"/>
    <mergeCell ref="E926:F926"/>
    <mergeCell ref="E927:F927"/>
    <mergeCell ref="H913:I913"/>
    <mergeCell ref="E915:F915"/>
    <mergeCell ref="E916:F916"/>
    <mergeCell ref="E917:F917"/>
    <mergeCell ref="E918:F918"/>
    <mergeCell ref="E919:F919"/>
    <mergeCell ref="E946:F946"/>
    <mergeCell ref="E947:F947"/>
    <mergeCell ref="E948:F948"/>
    <mergeCell ref="E949:F949"/>
    <mergeCell ref="E950:F950"/>
    <mergeCell ref="E867:F867"/>
    <mergeCell ref="E868:F868"/>
    <mergeCell ref="E869:F869"/>
    <mergeCell ref="E870:F870"/>
    <mergeCell ref="E879:F879"/>
    <mergeCell ref="E896:F896"/>
    <mergeCell ref="E897:F897"/>
    <mergeCell ref="E898:F898"/>
    <mergeCell ref="E899:F899"/>
    <mergeCell ref="E900:F900"/>
    <mergeCell ref="H902:I902"/>
    <mergeCell ref="E888:F888"/>
    <mergeCell ref="E889:F889"/>
    <mergeCell ref="E890:F890"/>
    <mergeCell ref="H892:I892"/>
    <mergeCell ref="E894:F894"/>
    <mergeCell ref="E895:F895"/>
    <mergeCell ref="E880:F880"/>
    <mergeCell ref="H882:I882"/>
    <mergeCell ref="E884:F884"/>
    <mergeCell ref="E885:F885"/>
    <mergeCell ref="E886:F886"/>
    <mergeCell ref="E887:F887"/>
    <mergeCell ref="H872:I872"/>
    <mergeCell ref="E874:F874"/>
    <mergeCell ref="E875:F875"/>
    <mergeCell ref="E876:F876"/>
    <mergeCell ref="E877:F877"/>
    <mergeCell ref="E878:F878"/>
    <mergeCell ref="E904:F904"/>
    <mergeCell ref="E905:F905"/>
    <mergeCell ref="E906:F906"/>
    <mergeCell ref="E907:F907"/>
    <mergeCell ref="E908:F908"/>
    <mergeCell ref="E825:F825"/>
    <mergeCell ref="E826:F826"/>
    <mergeCell ref="E827:F827"/>
    <mergeCell ref="E828:F828"/>
    <mergeCell ref="E829:F829"/>
    <mergeCell ref="E852:F852"/>
    <mergeCell ref="E853:F853"/>
    <mergeCell ref="E854:F854"/>
    <mergeCell ref="E855:F855"/>
    <mergeCell ref="H857:I857"/>
    <mergeCell ref="E859:F859"/>
    <mergeCell ref="E844:F844"/>
    <mergeCell ref="H846:I846"/>
    <mergeCell ref="E848:F848"/>
    <mergeCell ref="E849:F849"/>
    <mergeCell ref="E850:F850"/>
    <mergeCell ref="E851:F851"/>
    <mergeCell ref="E838:F838"/>
    <mergeCell ref="E839:F839"/>
    <mergeCell ref="E840:F840"/>
    <mergeCell ref="E841:F841"/>
    <mergeCell ref="E842:F842"/>
    <mergeCell ref="E843:F843"/>
    <mergeCell ref="E830:F830"/>
    <mergeCell ref="E831:F831"/>
    <mergeCell ref="E832:F832"/>
    <mergeCell ref="H834:I834"/>
    <mergeCell ref="E836:F836"/>
    <mergeCell ref="E837:F837"/>
    <mergeCell ref="E860:F860"/>
    <mergeCell ref="E861:F861"/>
    <mergeCell ref="E862:F862"/>
    <mergeCell ref="H864:I864"/>
    <mergeCell ref="E866:F866"/>
    <mergeCell ref="E783:F783"/>
    <mergeCell ref="E784:F784"/>
    <mergeCell ref="E785:F785"/>
    <mergeCell ref="E786:F786"/>
    <mergeCell ref="E787:F787"/>
    <mergeCell ref="E810:F810"/>
    <mergeCell ref="H812:I812"/>
    <mergeCell ref="E814:F814"/>
    <mergeCell ref="E815:F815"/>
    <mergeCell ref="E816:F816"/>
    <mergeCell ref="E817:F817"/>
    <mergeCell ref="E804:F804"/>
    <mergeCell ref="E805:F805"/>
    <mergeCell ref="E806:F806"/>
    <mergeCell ref="E807:F807"/>
    <mergeCell ref="E808:F808"/>
    <mergeCell ref="E809:F809"/>
    <mergeCell ref="E796:F796"/>
    <mergeCell ref="E797:F797"/>
    <mergeCell ref="E798:F798"/>
    <mergeCell ref="E799:F799"/>
    <mergeCell ref="H801:I801"/>
    <mergeCell ref="E803:F803"/>
    <mergeCell ref="E788:F788"/>
    <mergeCell ref="H790:I790"/>
    <mergeCell ref="E792:F792"/>
    <mergeCell ref="E793:F793"/>
    <mergeCell ref="E794:F794"/>
    <mergeCell ref="E795:F795"/>
    <mergeCell ref="E818:F818"/>
    <mergeCell ref="E819:F819"/>
    <mergeCell ref="E820:F820"/>
    <mergeCell ref="E821:F821"/>
    <mergeCell ref="H823:I823"/>
    <mergeCell ref="E741:F741"/>
    <mergeCell ref="E742:F742"/>
    <mergeCell ref="E743:F743"/>
    <mergeCell ref="E744:F744"/>
    <mergeCell ref="H746:I746"/>
    <mergeCell ref="E770:F770"/>
    <mergeCell ref="E771:F771"/>
    <mergeCell ref="E772:F772"/>
    <mergeCell ref="E773:F773"/>
    <mergeCell ref="E774:F774"/>
    <mergeCell ref="E775:F775"/>
    <mergeCell ref="E762:F762"/>
    <mergeCell ref="E763:F763"/>
    <mergeCell ref="E764:F764"/>
    <mergeCell ref="E765:F765"/>
    <mergeCell ref="E766:F766"/>
    <mergeCell ref="H768:I768"/>
    <mergeCell ref="E754:F754"/>
    <mergeCell ref="E755:F755"/>
    <mergeCell ref="H757:I757"/>
    <mergeCell ref="E759:F759"/>
    <mergeCell ref="E760:F760"/>
    <mergeCell ref="E761:F761"/>
    <mergeCell ref="E748:F748"/>
    <mergeCell ref="E749:F749"/>
    <mergeCell ref="E750:F750"/>
    <mergeCell ref="E751:F751"/>
    <mergeCell ref="E752:F752"/>
    <mergeCell ref="E753:F753"/>
    <mergeCell ref="E776:F776"/>
    <mergeCell ref="E777:F777"/>
    <mergeCell ref="H779:I779"/>
    <mergeCell ref="E781:F781"/>
    <mergeCell ref="E782:F782"/>
    <mergeCell ref="E699:F699"/>
    <mergeCell ref="E700:F700"/>
    <mergeCell ref="E701:F701"/>
    <mergeCell ref="E702:F702"/>
    <mergeCell ref="E703:F703"/>
    <mergeCell ref="E728:F728"/>
    <mergeCell ref="E729:F729"/>
    <mergeCell ref="E730:F730"/>
    <mergeCell ref="E731:F731"/>
    <mergeCell ref="E732:F732"/>
    <mergeCell ref="E733:F733"/>
    <mergeCell ref="E720:F720"/>
    <mergeCell ref="E721:F721"/>
    <mergeCell ref="E722:F722"/>
    <mergeCell ref="H724:I724"/>
    <mergeCell ref="E726:F726"/>
    <mergeCell ref="E727:F727"/>
    <mergeCell ref="H713:I713"/>
    <mergeCell ref="E715:F715"/>
    <mergeCell ref="E716:F716"/>
    <mergeCell ref="E717:F717"/>
    <mergeCell ref="E718:F718"/>
    <mergeCell ref="E719:F719"/>
    <mergeCell ref="H705:I705"/>
    <mergeCell ref="E707:F707"/>
    <mergeCell ref="E708:F708"/>
    <mergeCell ref="E709:F709"/>
    <mergeCell ref="E710:F710"/>
    <mergeCell ref="E711:F711"/>
    <mergeCell ref="H735:I735"/>
    <mergeCell ref="E737:F737"/>
    <mergeCell ref="E738:F738"/>
    <mergeCell ref="E739:F739"/>
    <mergeCell ref="E740:F740"/>
    <mergeCell ref="E659:F659"/>
    <mergeCell ref="E660:F660"/>
    <mergeCell ref="E661:F661"/>
    <mergeCell ref="E662:F662"/>
    <mergeCell ref="E663:F663"/>
    <mergeCell ref="E686:F686"/>
    <mergeCell ref="E687:F687"/>
    <mergeCell ref="E688:F688"/>
    <mergeCell ref="E689:F689"/>
    <mergeCell ref="E690:F690"/>
    <mergeCell ref="H692:I692"/>
    <mergeCell ref="H679:I679"/>
    <mergeCell ref="E681:F681"/>
    <mergeCell ref="E682:F682"/>
    <mergeCell ref="E683:F683"/>
    <mergeCell ref="E684:F684"/>
    <mergeCell ref="E685:F685"/>
    <mergeCell ref="E672:F672"/>
    <mergeCell ref="E673:F673"/>
    <mergeCell ref="E674:F674"/>
    <mergeCell ref="E675:F675"/>
    <mergeCell ref="E676:F676"/>
    <mergeCell ref="E677:F677"/>
    <mergeCell ref="E664:F664"/>
    <mergeCell ref="H666:I666"/>
    <mergeCell ref="E668:F668"/>
    <mergeCell ref="E669:F669"/>
    <mergeCell ref="E670:F670"/>
    <mergeCell ref="E671:F671"/>
    <mergeCell ref="E694:F694"/>
    <mergeCell ref="E695:F695"/>
    <mergeCell ref="E696:F696"/>
    <mergeCell ref="E697:F697"/>
    <mergeCell ref="E698:F698"/>
    <mergeCell ref="E617:F617"/>
    <mergeCell ref="E618:F618"/>
    <mergeCell ref="E619:F619"/>
    <mergeCell ref="H621:I621"/>
    <mergeCell ref="E623:F623"/>
    <mergeCell ref="E644:F644"/>
    <mergeCell ref="H646:I646"/>
    <mergeCell ref="E648:F648"/>
    <mergeCell ref="E649:F649"/>
    <mergeCell ref="E650:F650"/>
    <mergeCell ref="E651:F651"/>
    <mergeCell ref="E638:F638"/>
    <mergeCell ref="E639:F639"/>
    <mergeCell ref="E640:F640"/>
    <mergeCell ref="E641:F641"/>
    <mergeCell ref="E642:F642"/>
    <mergeCell ref="E643:F643"/>
    <mergeCell ref="E630:F630"/>
    <mergeCell ref="H632:I632"/>
    <mergeCell ref="E634:F634"/>
    <mergeCell ref="E635:F635"/>
    <mergeCell ref="E636:F636"/>
    <mergeCell ref="E637:F637"/>
    <mergeCell ref="E624:F624"/>
    <mergeCell ref="E625:F625"/>
    <mergeCell ref="E626:F626"/>
    <mergeCell ref="E627:F627"/>
    <mergeCell ref="E628:F628"/>
    <mergeCell ref="E629:F629"/>
    <mergeCell ref="E652:F652"/>
    <mergeCell ref="E653:F653"/>
    <mergeCell ref="E654:F654"/>
    <mergeCell ref="E655:F655"/>
    <mergeCell ref="H657:I657"/>
    <mergeCell ref="E575:F575"/>
    <mergeCell ref="E576:F576"/>
    <mergeCell ref="E577:F577"/>
    <mergeCell ref="E586:F586"/>
    <mergeCell ref="E595:F595"/>
    <mergeCell ref="E604:F604"/>
    <mergeCell ref="E605:F605"/>
    <mergeCell ref="E606:F606"/>
    <mergeCell ref="E607:F607"/>
    <mergeCell ref="E608:F608"/>
    <mergeCell ref="H610:I610"/>
    <mergeCell ref="E596:F596"/>
    <mergeCell ref="E597:F597"/>
    <mergeCell ref="H599:I599"/>
    <mergeCell ref="E601:F601"/>
    <mergeCell ref="E602:F602"/>
    <mergeCell ref="E603:F603"/>
    <mergeCell ref="H588:I588"/>
    <mergeCell ref="E590:F590"/>
    <mergeCell ref="E591:F591"/>
    <mergeCell ref="E592:F592"/>
    <mergeCell ref="E593:F593"/>
    <mergeCell ref="E594:F594"/>
    <mergeCell ref="H579:I579"/>
    <mergeCell ref="E581:F581"/>
    <mergeCell ref="E582:F582"/>
    <mergeCell ref="E583:F583"/>
    <mergeCell ref="E584:F584"/>
    <mergeCell ref="E585:F585"/>
    <mergeCell ref="E612:F612"/>
    <mergeCell ref="E613:F613"/>
    <mergeCell ref="E614:F614"/>
    <mergeCell ref="E615:F615"/>
    <mergeCell ref="E616:F616"/>
    <mergeCell ref="E533:F533"/>
    <mergeCell ref="E534:F534"/>
    <mergeCell ref="H536:I536"/>
    <mergeCell ref="E538:F538"/>
    <mergeCell ref="E539:F539"/>
    <mergeCell ref="E562:F562"/>
    <mergeCell ref="E563:F563"/>
    <mergeCell ref="E564:F564"/>
    <mergeCell ref="E565:F565"/>
    <mergeCell ref="E566:F566"/>
    <mergeCell ref="E567:F567"/>
    <mergeCell ref="E554:F554"/>
    <mergeCell ref="E555:F555"/>
    <mergeCell ref="E556:F556"/>
    <mergeCell ref="E557:F557"/>
    <mergeCell ref="H559:I559"/>
    <mergeCell ref="E561:F561"/>
    <mergeCell ref="E546:F546"/>
    <mergeCell ref="H548:I548"/>
    <mergeCell ref="E550:F550"/>
    <mergeCell ref="E551:F551"/>
    <mergeCell ref="E552:F552"/>
    <mergeCell ref="E553:F553"/>
    <mergeCell ref="E540:F540"/>
    <mergeCell ref="E541:F541"/>
    <mergeCell ref="E542:F542"/>
    <mergeCell ref="E543:F543"/>
    <mergeCell ref="E544:F544"/>
    <mergeCell ref="E545:F545"/>
    <mergeCell ref="H569:I569"/>
    <mergeCell ref="E571:F571"/>
    <mergeCell ref="E572:F572"/>
    <mergeCell ref="E573:F573"/>
    <mergeCell ref="E574:F574"/>
    <mergeCell ref="E491:F491"/>
    <mergeCell ref="E492:F492"/>
    <mergeCell ref="E493:F493"/>
    <mergeCell ref="E502:F502"/>
    <mergeCell ref="E503:F503"/>
    <mergeCell ref="E520:F520"/>
    <mergeCell ref="E521:F521"/>
    <mergeCell ref="E522:F522"/>
    <mergeCell ref="E523:F523"/>
    <mergeCell ref="E524:F524"/>
    <mergeCell ref="H526:I526"/>
    <mergeCell ref="E512:F512"/>
    <mergeCell ref="E513:F513"/>
    <mergeCell ref="E514:F514"/>
    <mergeCell ref="H516:I516"/>
    <mergeCell ref="E518:F518"/>
    <mergeCell ref="E519:F519"/>
    <mergeCell ref="E504:F504"/>
    <mergeCell ref="H506:I506"/>
    <mergeCell ref="E508:F508"/>
    <mergeCell ref="E509:F509"/>
    <mergeCell ref="E510:F510"/>
    <mergeCell ref="E511:F511"/>
    <mergeCell ref="H495:I495"/>
    <mergeCell ref="E497:F497"/>
    <mergeCell ref="E498:F498"/>
    <mergeCell ref="E499:F499"/>
    <mergeCell ref="E500:F500"/>
    <mergeCell ref="E501:F501"/>
    <mergeCell ref="E528:F528"/>
    <mergeCell ref="E529:F529"/>
    <mergeCell ref="E530:F530"/>
    <mergeCell ref="E531:F531"/>
    <mergeCell ref="E532:F532"/>
    <mergeCell ref="H452:I452"/>
    <mergeCell ref="E454:F454"/>
    <mergeCell ref="E455:F455"/>
    <mergeCell ref="E456:F456"/>
    <mergeCell ref="E457:F457"/>
    <mergeCell ref="E478:F478"/>
    <mergeCell ref="E479:F479"/>
    <mergeCell ref="H481:I481"/>
    <mergeCell ref="E483:F483"/>
    <mergeCell ref="E484:F484"/>
    <mergeCell ref="E485:F485"/>
    <mergeCell ref="E472:F472"/>
    <mergeCell ref="E473:F473"/>
    <mergeCell ref="E474:F474"/>
    <mergeCell ref="E475:F475"/>
    <mergeCell ref="E476:F476"/>
    <mergeCell ref="E477:F477"/>
    <mergeCell ref="E464:F464"/>
    <mergeCell ref="E465:F465"/>
    <mergeCell ref="H467:I467"/>
    <mergeCell ref="E469:F469"/>
    <mergeCell ref="E470:F470"/>
    <mergeCell ref="E471:F471"/>
    <mergeCell ref="E458:F458"/>
    <mergeCell ref="E459:F459"/>
    <mergeCell ref="E460:F460"/>
    <mergeCell ref="E461:F461"/>
    <mergeCell ref="E462:F462"/>
    <mergeCell ref="E463:F463"/>
    <mergeCell ref="E486:F486"/>
    <mergeCell ref="E487:F487"/>
    <mergeCell ref="E488:F488"/>
    <mergeCell ref="E489:F489"/>
    <mergeCell ref="E490:F490"/>
    <mergeCell ref="E411:F411"/>
    <mergeCell ref="E412:F412"/>
    <mergeCell ref="E413:F413"/>
    <mergeCell ref="E414:F414"/>
    <mergeCell ref="E415:F415"/>
    <mergeCell ref="E438:F438"/>
    <mergeCell ref="H440:I440"/>
    <mergeCell ref="E442:F442"/>
    <mergeCell ref="E443:F443"/>
    <mergeCell ref="E444:F444"/>
    <mergeCell ref="E445:F445"/>
    <mergeCell ref="E430:F430"/>
    <mergeCell ref="E431:F431"/>
    <mergeCell ref="E432:F432"/>
    <mergeCell ref="H434:I434"/>
    <mergeCell ref="E436:F436"/>
    <mergeCell ref="E437:F437"/>
    <mergeCell ref="E424:F424"/>
    <mergeCell ref="E425:F425"/>
    <mergeCell ref="E426:F426"/>
    <mergeCell ref="E427:F427"/>
    <mergeCell ref="E428:F428"/>
    <mergeCell ref="E429:F429"/>
    <mergeCell ref="E416:F416"/>
    <mergeCell ref="E417:F417"/>
    <mergeCell ref="E418:F418"/>
    <mergeCell ref="E419:F419"/>
    <mergeCell ref="H421:I421"/>
    <mergeCell ref="E423:F423"/>
    <mergeCell ref="E446:F446"/>
    <mergeCell ref="E447:F447"/>
    <mergeCell ref="E448:F448"/>
    <mergeCell ref="E449:F449"/>
    <mergeCell ref="E450:F450"/>
    <mergeCell ref="E369:F369"/>
    <mergeCell ref="E370:F370"/>
    <mergeCell ref="E371:F371"/>
    <mergeCell ref="H373:I373"/>
    <mergeCell ref="E375:F375"/>
    <mergeCell ref="E396:F396"/>
    <mergeCell ref="H398:I398"/>
    <mergeCell ref="E400:F400"/>
    <mergeCell ref="E401:F401"/>
    <mergeCell ref="E402:F402"/>
    <mergeCell ref="E403:F403"/>
    <mergeCell ref="E390:F390"/>
    <mergeCell ref="E391:F391"/>
    <mergeCell ref="E392:F392"/>
    <mergeCell ref="E393:F393"/>
    <mergeCell ref="E394:F394"/>
    <mergeCell ref="E395:F395"/>
    <mergeCell ref="E382:F382"/>
    <mergeCell ref="E383:F383"/>
    <mergeCell ref="E384:F384"/>
    <mergeCell ref="E385:F385"/>
    <mergeCell ref="E386:F386"/>
    <mergeCell ref="H388:I388"/>
    <mergeCell ref="E376:F376"/>
    <mergeCell ref="E377:F377"/>
    <mergeCell ref="E378:F378"/>
    <mergeCell ref="E379:F379"/>
    <mergeCell ref="E380:F380"/>
    <mergeCell ref="E381:F381"/>
    <mergeCell ref="E404:F404"/>
    <mergeCell ref="E405:F405"/>
    <mergeCell ref="E406:F406"/>
    <mergeCell ref="H408:I408"/>
    <mergeCell ref="E410:F410"/>
    <mergeCell ref="E327:F327"/>
    <mergeCell ref="E328:F328"/>
    <mergeCell ref="H330:I330"/>
    <mergeCell ref="E332:F332"/>
    <mergeCell ref="E333:F333"/>
    <mergeCell ref="E356:F356"/>
    <mergeCell ref="E357:F357"/>
    <mergeCell ref="E358:F358"/>
    <mergeCell ref="E359:F359"/>
    <mergeCell ref="E360:F360"/>
    <mergeCell ref="E361:F361"/>
    <mergeCell ref="E348:F348"/>
    <mergeCell ref="E349:F349"/>
    <mergeCell ref="E350:F350"/>
    <mergeCell ref="E351:F351"/>
    <mergeCell ref="H353:I353"/>
    <mergeCell ref="E355:F355"/>
    <mergeCell ref="H341:I341"/>
    <mergeCell ref="E343:F343"/>
    <mergeCell ref="E344:F344"/>
    <mergeCell ref="E345:F345"/>
    <mergeCell ref="E346:F346"/>
    <mergeCell ref="E347:F347"/>
    <mergeCell ref="E334:F334"/>
    <mergeCell ref="E335:F335"/>
    <mergeCell ref="E336:F336"/>
    <mergeCell ref="E337:F337"/>
    <mergeCell ref="E338:F338"/>
    <mergeCell ref="E339:F339"/>
    <mergeCell ref="H363:I363"/>
    <mergeCell ref="E365:F365"/>
    <mergeCell ref="E366:F366"/>
    <mergeCell ref="E367:F367"/>
    <mergeCell ref="E368:F368"/>
    <mergeCell ref="E285:F285"/>
    <mergeCell ref="E294:F294"/>
    <mergeCell ref="E295:F295"/>
    <mergeCell ref="E304:F304"/>
    <mergeCell ref="E305:F305"/>
    <mergeCell ref="E314:F314"/>
    <mergeCell ref="E315:F315"/>
    <mergeCell ref="E316:F316"/>
    <mergeCell ref="E317:F317"/>
    <mergeCell ref="E318:F318"/>
    <mergeCell ref="H320:I320"/>
    <mergeCell ref="E306:F306"/>
    <mergeCell ref="H308:I308"/>
    <mergeCell ref="E310:F310"/>
    <mergeCell ref="E311:F311"/>
    <mergeCell ref="E312:F312"/>
    <mergeCell ref="E313:F313"/>
    <mergeCell ref="H297:I297"/>
    <mergeCell ref="E299:F299"/>
    <mergeCell ref="E300:F300"/>
    <mergeCell ref="E301:F301"/>
    <mergeCell ref="E302:F302"/>
    <mergeCell ref="E303:F303"/>
    <mergeCell ref="H287:I287"/>
    <mergeCell ref="E289:F289"/>
    <mergeCell ref="E290:F290"/>
    <mergeCell ref="E291:F291"/>
    <mergeCell ref="E292:F292"/>
    <mergeCell ref="E293:F293"/>
    <mergeCell ref="E322:F322"/>
    <mergeCell ref="E323:F323"/>
    <mergeCell ref="E324:F324"/>
    <mergeCell ref="E325:F325"/>
    <mergeCell ref="E326:F326"/>
    <mergeCell ref="E245:F245"/>
    <mergeCell ref="E246:F246"/>
    <mergeCell ref="E247:F247"/>
    <mergeCell ref="E248:F248"/>
    <mergeCell ref="E249:F249"/>
    <mergeCell ref="E272:F272"/>
    <mergeCell ref="E273:F273"/>
    <mergeCell ref="E274:F274"/>
    <mergeCell ref="E275:F275"/>
    <mergeCell ref="H277:I277"/>
    <mergeCell ref="E279:F279"/>
    <mergeCell ref="E266:F266"/>
    <mergeCell ref="E267:F267"/>
    <mergeCell ref="E268:F268"/>
    <mergeCell ref="E269:F269"/>
    <mergeCell ref="E270:F270"/>
    <mergeCell ref="E271:F271"/>
    <mergeCell ref="E258:F258"/>
    <mergeCell ref="E259:F259"/>
    <mergeCell ref="E260:F260"/>
    <mergeCell ref="E261:F261"/>
    <mergeCell ref="E262:F262"/>
    <mergeCell ref="H264:I264"/>
    <mergeCell ref="E250:F250"/>
    <mergeCell ref="H252:I252"/>
    <mergeCell ref="E254:F254"/>
    <mergeCell ref="E255:F255"/>
    <mergeCell ref="E256:F256"/>
    <mergeCell ref="E257:F257"/>
    <mergeCell ref="E280:F280"/>
    <mergeCell ref="E281:F281"/>
    <mergeCell ref="E282:F282"/>
    <mergeCell ref="E283:F283"/>
    <mergeCell ref="E284:F284"/>
    <mergeCell ref="E203:F203"/>
    <mergeCell ref="E204:F204"/>
    <mergeCell ref="E205:F205"/>
    <mergeCell ref="E206:F206"/>
    <mergeCell ref="E207:F207"/>
    <mergeCell ref="E230:F230"/>
    <mergeCell ref="E231:F231"/>
    <mergeCell ref="E232:F232"/>
    <mergeCell ref="H234:I234"/>
    <mergeCell ref="E236:F236"/>
    <mergeCell ref="E237:F237"/>
    <mergeCell ref="E222:F222"/>
    <mergeCell ref="H224:I224"/>
    <mergeCell ref="E226:F226"/>
    <mergeCell ref="E227:F227"/>
    <mergeCell ref="E228:F228"/>
    <mergeCell ref="E229:F229"/>
    <mergeCell ref="E216:F216"/>
    <mergeCell ref="E217:F217"/>
    <mergeCell ref="E218:F218"/>
    <mergeCell ref="E219:F219"/>
    <mergeCell ref="E220:F220"/>
    <mergeCell ref="E221:F221"/>
    <mergeCell ref="H209:I209"/>
    <mergeCell ref="E211:F211"/>
    <mergeCell ref="E212:F212"/>
    <mergeCell ref="E213:F213"/>
    <mergeCell ref="E214:F214"/>
    <mergeCell ref="E215:F215"/>
    <mergeCell ref="E238:F238"/>
    <mergeCell ref="E239:F239"/>
    <mergeCell ref="E240:F240"/>
    <mergeCell ref="H242:I242"/>
    <mergeCell ref="E244:F244"/>
    <mergeCell ref="H160:I160"/>
    <mergeCell ref="E162:F162"/>
    <mergeCell ref="E163:F163"/>
    <mergeCell ref="E164:F164"/>
    <mergeCell ref="E165:F165"/>
    <mergeCell ref="E188:F188"/>
    <mergeCell ref="E189:F189"/>
    <mergeCell ref="E190:F190"/>
    <mergeCell ref="H192:I192"/>
    <mergeCell ref="E194:F194"/>
    <mergeCell ref="E195:F195"/>
    <mergeCell ref="E180:F180"/>
    <mergeCell ref="H182:I182"/>
    <mergeCell ref="E184:F184"/>
    <mergeCell ref="E185:F185"/>
    <mergeCell ref="E186:F186"/>
    <mergeCell ref="E187:F187"/>
    <mergeCell ref="E174:F174"/>
    <mergeCell ref="E175:F175"/>
    <mergeCell ref="E176:F176"/>
    <mergeCell ref="E177:F177"/>
    <mergeCell ref="E178:F178"/>
    <mergeCell ref="E179:F179"/>
    <mergeCell ref="E166:F166"/>
    <mergeCell ref="E167:F167"/>
    <mergeCell ref="E168:F168"/>
    <mergeCell ref="E169:F169"/>
    <mergeCell ref="E170:F170"/>
    <mergeCell ref="H172:I172"/>
    <mergeCell ref="E196:F196"/>
    <mergeCell ref="E197:F197"/>
    <mergeCell ref="E198:F198"/>
    <mergeCell ref="E199:F199"/>
    <mergeCell ref="H201:I201"/>
    <mergeCell ref="E119:F119"/>
    <mergeCell ref="E120:F120"/>
    <mergeCell ref="E121:F121"/>
    <mergeCell ref="E122:F122"/>
    <mergeCell ref="E123:F123"/>
    <mergeCell ref="E146:F146"/>
    <mergeCell ref="E147:F147"/>
    <mergeCell ref="E148:F148"/>
    <mergeCell ref="H150:I150"/>
    <mergeCell ref="E152:F152"/>
    <mergeCell ref="E153:F153"/>
    <mergeCell ref="E138:F138"/>
    <mergeCell ref="H140:I140"/>
    <mergeCell ref="E142:F142"/>
    <mergeCell ref="E143:F143"/>
    <mergeCell ref="E144:F144"/>
    <mergeCell ref="E145:F145"/>
    <mergeCell ref="E130:F130"/>
    <mergeCell ref="H132:I132"/>
    <mergeCell ref="E134:F134"/>
    <mergeCell ref="E135:F135"/>
    <mergeCell ref="E136:F136"/>
    <mergeCell ref="E137:F137"/>
    <mergeCell ref="E124:F124"/>
    <mergeCell ref="E125:F125"/>
    <mergeCell ref="E126:F126"/>
    <mergeCell ref="E127:F127"/>
    <mergeCell ref="E128:F128"/>
    <mergeCell ref="E129:F129"/>
    <mergeCell ref="E154:F154"/>
    <mergeCell ref="E155:F155"/>
    <mergeCell ref="E156:F156"/>
    <mergeCell ref="E157:F157"/>
    <mergeCell ref="E158:F158"/>
    <mergeCell ref="E73:F73"/>
    <mergeCell ref="E74:F74"/>
    <mergeCell ref="E75:F75"/>
    <mergeCell ref="E76:F76"/>
    <mergeCell ref="H78:I78"/>
    <mergeCell ref="E104:F104"/>
    <mergeCell ref="E105:F105"/>
    <mergeCell ref="E106:F106"/>
    <mergeCell ref="H108:I108"/>
    <mergeCell ref="E110:F110"/>
    <mergeCell ref="E111:F111"/>
    <mergeCell ref="E96:F96"/>
    <mergeCell ref="E97:F97"/>
    <mergeCell ref="E98:F98"/>
    <mergeCell ref="E99:F99"/>
    <mergeCell ref="H101:I101"/>
    <mergeCell ref="E103:F103"/>
    <mergeCell ref="E88:F88"/>
    <mergeCell ref="E89:F89"/>
    <mergeCell ref="E90:F90"/>
    <mergeCell ref="H92:I92"/>
    <mergeCell ref="E94:F94"/>
    <mergeCell ref="E95:F95"/>
    <mergeCell ref="E80:F80"/>
    <mergeCell ref="E81:F81"/>
    <mergeCell ref="E82:F82"/>
    <mergeCell ref="E83:F83"/>
    <mergeCell ref="H85:I85"/>
    <mergeCell ref="E87:F87"/>
    <mergeCell ref="E112:F112"/>
    <mergeCell ref="E113:F113"/>
    <mergeCell ref="E114:F114"/>
    <mergeCell ref="E115:F115"/>
    <mergeCell ref="H117:I117"/>
    <mergeCell ref="E71:F71"/>
    <mergeCell ref="E72:F72"/>
    <mergeCell ref="E33:F33"/>
    <mergeCell ref="E34:F34"/>
    <mergeCell ref="E35:F35"/>
    <mergeCell ref="E36:F36"/>
    <mergeCell ref="E45:F45"/>
    <mergeCell ref="E60:F60"/>
    <mergeCell ref="E61:F61"/>
    <mergeCell ref="E62:F62"/>
    <mergeCell ref="E63:F63"/>
    <mergeCell ref="H65:I65"/>
    <mergeCell ref="E67:F67"/>
    <mergeCell ref="E54:F54"/>
    <mergeCell ref="E55:F55"/>
    <mergeCell ref="E56:F56"/>
    <mergeCell ref="E57:F57"/>
    <mergeCell ref="E58:F58"/>
    <mergeCell ref="E59:F59"/>
    <mergeCell ref="E18:F18"/>
    <mergeCell ref="E19:F19"/>
    <mergeCell ref="E46:F46"/>
    <mergeCell ref="E47:F47"/>
    <mergeCell ref="E48:F48"/>
    <mergeCell ref="E49:F49"/>
    <mergeCell ref="H51:I51"/>
    <mergeCell ref="E53:F53"/>
    <mergeCell ref="H38:I38"/>
    <mergeCell ref="E40:F40"/>
    <mergeCell ref="E41:F41"/>
    <mergeCell ref="E42:F42"/>
    <mergeCell ref="E43:F43"/>
    <mergeCell ref="E44:F44"/>
    <mergeCell ref="E68:F68"/>
    <mergeCell ref="E69:F69"/>
    <mergeCell ref="E70:F70"/>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dimension ref="D54:F56"/>
  <sheetViews>
    <sheetView view="pageBreakPreview" topLeftCell="A13" zoomScaleNormal="100" zoomScaleSheetLayoutView="100" workbookViewId="0">
      <selection activeCell="N50" sqref="N50"/>
    </sheetView>
  </sheetViews>
  <sheetFormatPr defaultRowHeight="14.25"/>
  <cols>
    <col min="1" max="5" width="9.140625" style="329"/>
    <col min="6" max="6" width="9.42578125" style="329" customWidth="1"/>
    <col min="7" max="12" width="9.140625" style="329"/>
    <col min="13" max="13" width="11.28515625" style="329" customWidth="1"/>
    <col min="14" max="16384" width="9.140625" style="329"/>
  </cols>
  <sheetData>
    <row r="54" spans="4:6">
      <c r="D54" s="929" t="str">
        <f>'2-ORÇAMENTO'!E624</f>
        <v>VITOR GUSTAVO VERHALEN</v>
      </c>
      <c r="E54" s="929"/>
      <c r="F54" s="929"/>
    </row>
    <row r="55" spans="4:6">
      <c r="D55" s="930" t="str">
        <f>'2-ORÇAMENTO'!E625</f>
        <v>ENGENHEIRO CIVIL</v>
      </c>
      <c r="E55" s="930"/>
      <c r="F55" s="930"/>
    </row>
    <row r="56" spans="4:6">
      <c r="D56" s="930" t="str">
        <f>'2-ORÇAMENTO'!E626</f>
        <v>CREA MT 49989</v>
      </c>
      <c r="E56" s="930"/>
      <c r="F56" s="930"/>
    </row>
  </sheetData>
  <mergeCells count="3">
    <mergeCell ref="D54:F54"/>
    <mergeCell ref="D55:F55"/>
    <mergeCell ref="D56:F56"/>
  </mergeCells>
  <printOptions horizontalCentered="1"/>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JULHO 2021</vt:lpstr>
      <vt:lpstr>QUANT</vt:lpstr>
      <vt:lpstr>1-RESUMO</vt:lpstr>
      <vt:lpstr>2-ORÇAMENTO</vt:lpstr>
      <vt:lpstr>3-CRONOGRAMA</vt:lpstr>
      <vt:lpstr>4-BDI</vt:lpstr>
      <vt:lpstr>5-COMP. PROPRIA</vt:lpstr>
      <vt:lpstr>6-CPUs</vt:lpstr>
      <vt:lpstr>7-ENCARGOS SOCIAIS</vt:lpstr>
      <vt:lpstr>'1-RESUMO'!Area_de_impressao</vt:lpstr>
      <vt:lpstr>'3-CRONOGRAMA'!Area_de_impressao</vt:lpstr>
      <vt:lpstr>'4-BDI'!Area_de_impressao</vt:lpstr>
      <vt:lpstr>'5-COMP. PROPRIA'!Area_de_impressao</vt:lpstr>
      <vt:lpstr>'7-ENCARGOS SOCIAIS'!Area_de_impressao</vt:lpstr>
      <vt:lpstr>QUANT!Area_de_impressao</vt:lpstr>
      <vt:lpstr>'SINAPI JULHO 2021'!Area_de_impressao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2021-08-24T12:59:02Z</cp:lastPrinted>
  <dcterms:created xsi:type="dcterms:W3CDTF">2009-03-07T19:28:34Z</dcterms:created>
  <dcterms:modified xsi:type="dcterms:W3CDTF">2021-08-24T13:54:12Z</dcterms:modified>
</cp:coreProperties>
</file>